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EstaPastaDeTrabalho"/>
  <mc:AlternateContent xmlns:mc="http://schemas.openxmlformats.org/markup-compatibility/2006">
    <mc:Choice Requires="x15">
      <x15ac:absPath xmlns:x15ac="http://schemas.microsoft.com/office/spreadsheetml/2010/11/ac" url="N:\Diretoria Adm. Financeira\RI\28. Resultados\2024\2T24\Fundamentos\"/>
    </mc:Choice>
  </mc:AlternateContent>
  <xr:revisionPtr revIDLastSave="0" documentId="13_ncr:1_{9DFCD6A0-11C8-4BFF-8981-8B5A11A7E888}" xr6:coauthVersionLast="47" xr6:coauthVersionMax="47" xr10:uidLastSave="{00000000-0000-0000-0000-000000000000}"/>
  <bookViews>
    <workbookView xWindow="-108" yWindow="-108" windowWidth="23256" windowHeight="12456" tabRatio="863" xr2:uid="{00000000-000D-0000-FFFF-FFFF00000000}"/>
  </bookViews>
  <sheets>
    <sheet name="Sumário | Summary" sheetId="33" r:id="rId1"/>
    <sheet name="DRE - IFRS" sheetId="35" r:id="rId2"/>
    <sheet name="DRE - Proforma" sheetId="34" r:id="rId3"/>
    <sheet name="Indicadores" sheetId="16" r:id="rId4"/>
    <sheet name="Balanço IFRS" sheetId="13" r:id="rId5"/>
    <sheet name="Balanço Proforma" sheetId="31" r:id="rId6"/>
    <sheet name="Porfólio" sheetId="32" r:id="rId7"/>
    <sheet name="Vacância" sheetId="21" r:id="rId8"/>
    <sheet name="Consolidação IFRS" sheetId="28" r:id="rId9"/>
  </sheets>
  <definedNames>
    <definedName name="_xlnm.Print_Area" localSheetId="4">'Balanço IFRS'!$B$1:$X$60</definedName>
    <definedName name="_xlnm.Print_Area" localSheetId="8">'Consolidação IFRS'!$B$1:$B$20</definedName>
    <definedName name="_xlnm.Print_Area" localSheetId="1">'DRE - IFRS'!$B$1:$B$42</definedName>
    <definedName name="_xlnm.Print_Area" localSheetId="3">Indicadores!$B$1:$B$63</definedName>
    <definedName name="_xlnm.Print_Area" localSheetId="6">Porfólio!$B$1:$X$100</definedName>
    <definedName name="_xlnm.Print_Area" localSheetId="0">'Sumário | Summary'!$A$1:$I$20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94" i="32" l="1"/>
  <c r="BN194" i="32"/>
  <c r="BM194" i="32"/>
  <c r="BL194" i="32"/>
  <c r="BK194" i="32"/>
  <c r="BJ194" i="32"/>
  <c r="BI194" i="32"/>
  <c r="BH194" i="32"/>
  <c r="BG194" i="32"/>
  <c r="BF194" i="32"/>
  <c r="BE194" i="32"/>
  <c r="BD194" i="32"/>
  <c r="BC194" i="32"/>
  <c r="BB194" i="32"/>
  <c r="BA194" i="32"/>
  <c r="AZ194" i="32"/>
  <c r="AY194" i="32"/>
  <c r="AX194" i="32"/>
  <c r="AW194" i="32"/>
  <c r="AV194" i="32"/>
  <c r="AU194" i="32"/>
  <c r="AT194" i="32"/>
  <c r="AS194" i="32"/>
  <c r="AR194" i="32"/>
  <c r="AQ194" i="32"/>
  <c r="AP194" i="32"/>
  <c r="AO194" i="32"/>
  <c r="AN194" i="32"/>
  <c r="AM194" i="32"/>
  <c r="AL194" i="32"/>
  <c r="AK194" i="32"/>
  <c r="AJ194" i="32"/>
  <c r="AI194" i="32"/>
  <c r="AH194" i="32"/>
  <c r="AG194" i="32"/>
  <c r="AF194" i="32"/>
  <c r="AE194" i="32"/>
  <c r="AD194" i="32"/>
  <c r="AC194" i="32"/>
  <c r="AB194" i="32"/>
  <c r="AA194" i="32"/>
  <c r="Z194" i="32"/>
  <c r="Y194" i="32"/>
  <c r="X194" i="32"/>
  <c r="W194" i="32"/>
  <c r="V194" i="32"/>
  <c r="U194" i="32"/>
  <c r="T194" i="32"/>
  <c r="S194" i="32"/>
  <c r="R194" i="32"/>
  <c r="Q194" i="32"/>
  <c r="P194" i="32"/>
  <c r="O194" i="32"/>
  <c r="N194" i="32"/>
  <c r="M194" i="32"/>
  <c r="L194" i="32"/>
  <c r="K194" i="32"/>
  <c r="J194" i="32"/>
  <c r="I194" i="32"/>
  <c r="H194" i="32"/>
  <c r="G194" i="32"/>
  <c r="F194" i="32"/>
  <c r="E194" i="32"/>
  <c r="D194" i="32"/>
  <c r="C194" i="32"/>
  <c r="BO182" i="32"/>
  <c r="BN182" i="32"/>
  <c r="BM182" i="32"/>
  <c r="BL182" i="32"/>
  <c r="BK182" i="32"/>
  <c r="BJ182" i="32"/>
  <c r="BI182" i="32"/>
  <c r="BH182" i="32"/>
  <c r="BG182" i="32"/>
  <c r="BF182" i="32"/>
  <c r="BE182" i="32"/>
  <c r="BD182" i="32"/>
  <c r="BC182" i="32"/>
  <c r="BB182" i="32"/>
  <c r="BA182" i="32"/>
  <c r="AZ182" i="32"/>
  <c r="AY182" i="32"/>
  <c r="AX182" i="32"/>
  <c r="AW182" i="32"/>
  <c r="AV182" i="32"/>
  <c r="AU182" i="32"/>
  <c r="AT182" i="32"/>
  <c r="AS182" i="32"/>
  <c r="AR182" i="32"/>
  <c r="AQ182" i="32"/>
  <c r="AP182" i="32"/>
  <c r="AO182" i="32"/>
  <c r="AN182" i="32"/>
  <c r="AM182" i="32"/>
  <c r="AL182" i="32"/>
  <c r="AK182" i="32"/>
  <c r="AJ182" i="32"/>
  <c r="AI182" i="32"/>
  <c r="AH182" i="32"/>
  <c r="AG182"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F182" i="32"/>
  <c r="E182" i="32"/>
  <c r="D182" i="32"/>
  <c r="C182" i="32"/>
  <c r="BO173" i="32"/>
  <c r="BN173" i="32"/>
  <c r="BM173" i="32"/>
  <c r="BL173" i="32"/>
  <c r="BK173" i="32"/>
  <c r="BJ173" i="32"/>
  <c r="BI173" i="32"/>
  <c r="BH173" i="32"/>
  <c r="BG173" i="32"/>
  <c r="BF173" i="32"/>
  <c r="BE173" i="32"/>
  <c r="BD173" i="32"/>
  <c r="BC173" i="32"/>
  <c r="BB173" i="32"/>
  <c r="BA173" i="32"/>
  <c r="AZ173" i="32"/>
  <c r="AY173" i="32"/>
  <c r="AX173" i="32"/>
  <c r="AW173" i="32"/>
  <c r="AV173" i="32"/>
  <c r="AU173" i="32"/>
  <c r="AT173" i="32"/>
  <c r="AS173" i="32"/>
  <c r="AR173" i="32"/>
  <c r="AQ173" i="32"/>
  <c r="AP173" i="32"/>
  <c r="AO173" i="32"/>
  <c r="AN173" i="32"/>
  <c r="AM173" i="32"/>
  <c r="AL173" i="32"/>
  <c r="AK173" i="32"/>
  <c r="AJ173" i="32"/>
  <c r="AI173" i="32"/>
  <c r="AH173" i="32"/>
  <c r="AG173" i="32"/>
  <c r="AF173" i="32"/>
  <c r="AE173" i="32"/>
  <c r="AD173" i="32"/>
  <c r="AC173" i="32"/>
  <c r="AB173" i="32"/>
  <c r="AA173" i="32"/>
  <c r="Z173" i="32"/>
  <c r="Y173" i="32"/>
  <c r="X173" i="32"/>
  <c r="W173" i="32"/>
  <c r="V173" i="32"/>
  <c r="U173" i="32"/>
  <c r="T173" i="32"/>
  <c r="S173" i="32"/>
  <c r="R173" i="32"/>
  <c r="Q173" i="32"/>
  <c r="P173" i="32"/>
  <c r="O173" i="32"/>
  <c r="N173" i="32"/>
  <c r="M173" i="32"/>
  <c r="L173" i="32"/>
  <c r="K173" i="32"/>
  <c r="J173" i="32"/>
  <c r="I173" i="32"/>
  <c r="H173" i="32"/>
  <c r="G173" i="32"/>
  <c r="F173" i="32"/>
  <c r="E173" i="32"/>
  <c r="D173" i="32"/>
  <c r="C173" i="32"/>
  <c r="BO164" i="32"/>
  <c r="BN164" i="32"/>
  <c r="BM164" i="32"/>
  <c r="BL164" i="32"/>
  <c r="BK164" i="32"/>
  <c r="BJ164" i="32"/>
  <c r="BI164" i="32"/>
  <c r="BH164" i="32"/>
  <c r="BG164" i="32"/>
  <c r="BF164" i="32"/>
  <c r="BE164" i="32"/>
  <c r="BD164" i="32"/>
  <c r="BC164" i="32"/>
  <c r="BB164" i="32"/>
  <c r="BA164" i="32"/>
  <c r="AZ164" i="32"/>
  <c r="AY164" i="32"/>
  <c r="AX164" i="32"/>
  <c r="AW164" i="32"/>
  <c r="AV164" i="32"/>
  <c r="AU164" i="32"/>
  <c r="AT164" i="32"/>
  <c r="AS164" i="32"/>
  <c r="AR164" i="32"/>
  <c r="AQ164" i="32"/>
  <c r="AP164" i="32"/>
  <c r="AO164" i="32"/>
  <c r="AN164" i="32"/>
  <c r="AM164" i="32"/>
  <c r="AL164" i="32"/>
  <c r="AK164" i="32"/>
  <c r="AJ164" i="32"/>
  <c r="AI164" i="32"/>
  <c r="AH164" i="32"/>
  <c r="AG164" i="32"/>
  <c r="AF164" i="32"/>
  <c r="AE164" i="32"/>
  <c r="AD164" i="32"/>
  <c r="AC164" i="32"/>
  <c r="AB164" i="32"/>
  <c r="AA164" i="32"/>
  <c r="Z164" i="32"/>
  <c r="Y164" i="32"/>
  <c r="X164" i="32"/>
  <c r="W164" i="32"/>
  <c r="V164" i="32"/>
  <c r="U164" i="32"/>
  <c r="T164" i="32"/>
  <c r="S164" i="32"/>
  <c r="R164" i="32"/>
  <c r="Q164" i="32"/>
  <c r="P164" i="32"/>
  <c r="O164" i="32"/>
  <c r="N164" i="32"/>
  <c r="M164" i="32"/>
  <c r="L164" i="32"/>
  <c r="K164" i="32"/>
  <c r="J164" i="32"/>
  <c r="I164" i="32"/>
  <c r="H164" i="32"/>
  <c r="G164" i="32"/>
  <c r="F164" i="32"/>
  <c r="E164" i="32"/>
  <c r="D164" i="32"/>
  <c r="C164" i="32"/>
  <c r="BO152" i="32"/>
  <c r="BO151" i="32" s="1"/>
  <c r="BN152" i="32"/>
  <c r="BM152" i="32"/>
  <c r="BL152" i="32"/>
  <c r="BK152" i="32"/>
  <c r="BK151" i="32" s="1"/>
  <c r="BJ152" i="32"/>
  <c r="BI152" i="32"/>
  <c r="BH152" i="32"/>
  <c r="BG152" i="32"/>
  <c r="BG151" i="32" s="1"/>
  <c r="BF152" i="32"/>
  <c r="BE152" i="32"/>
  <c r="BD152" i="32"/>
  <c r="BC152" i="32"/>
  <c r="BC151" i="32" s="1"/>
  <c r="BB152" i="32"/>
  <c r="BB151" i="32" s="1"/>
  <c r="BA152" i="32"/>
  <c r="AZ152" i="32"/>
  <c r="AY152" i="32"/>
  <c r="AY151" i="32" s="1"/>
  <c r="AX152" i="32"/>
  <c r="AW152" i="32"/>
  <c r="AV152" i="32"/>
  <c r="AU152" i="32"/>
  <c r="AU151" i="32" s="1"/>
  <c r="AT152" i="32"/>
  <c r="AS152" i="32"/>
  <c r="AR152" i="32"/>
  <c r="AQ152" i="32"/>
  <c r="AQ151" i="32" s="1"/>
  <c r="AP152" i="32"/>
  <c r="AO152" i="32"/>
  <c r="AN152" i="32"/>
  <c r="AM152" i="32"/>
  <c r="AM151" i="32" s="1"/>
  <c r="AL152" i="32"/>
  <c r="AL151" i="32" s="1"/>
  <c r="AL103" i="32" s="1"/>
  <c r="AK152" i="32"/>
  <c r="AJ152" i="32"/>
  <c r="AI152" i="32"/>
  <c r="AI151" i="32" s="1"/>
  <c r="AI196" i="32" s="1"/>
  <c r="AH152" i="32"/>
  <c r="AG152" i="32"/>
  <c r="AF152" i="32"/>
  <c r="AE152" i="32"/>
  <c r="AE151" i="32" s="1"/>
  <c r="AD152" i="32"/>
  <c r="AC152" i="32"/>
  <c r="AB152" i="32"/>
  <c r="AA152" i="32"/>
  <c r="AA151" i="32" s="1"/>
  <c r="AA196" i="32" s="1"/>
  <c r="Z152" i="32"/>
  <c r="Y152" i="32"/>
  <c r="X152" i="32"/>
  <c r="W152" i="32"/>
  <c r="W151" i="32" s="1"/>
  <c r="V152" i="32"/>
  <c r="V151" i="32" s="1"/>
  <c r="U152" i="32"/>
  <c r="U151" i="32" s="1"/>
  <c r="T152" i="32"/>
  <c r="S152" i="32"/>
  <c r="S151" i="32" s="1"/>
  <c r="S196" i="32" s="1"/>
  <c r="R152" i="32"/>
  <c r="Q152" i="32"/>
  <c r="P152" i="32"/>
  <c r="O152" i="32"/>
  <c r="O151" i="32" s="1"/>
  <c r="N152" i="32"/>
  <c r="M152" i="32"/>
  <c r="L152" i="32"/>
  <c r="K152" i="32"/>
  <c r="K151" i="32" s="1"/>
  <c r="K196" i="32" s="1"/>
  <c r="J152" i="32"/>
  <c r="I152" i="32"/>
  <c r="H152" i="32"/>
  <c r="G152" i="32"/>
  <c r="G151" i="32" s="1"/>
  <c r="F152" i="32"/>
  <c r="F151" i="32" s="1"/>
  <c r="E152" i="32"/>
  <c r="D152" i="32"/>
  <c r="C152" i="32"/>
  <c r="C151" i="32" s="1"/>
  <c r="C196" i="32" s="1"/>
  <c r="BN151" i="32"/>
  <c r="BN196" i="32" s="1"/>
  <c r="BM151" i="32"/>
  <c r="BM196" i="32" s="1"/>
  <c r="BL151" i="32"/>
  <c r="BL196" i="32" s="1"/>
  <c r="BJ151" i="32"/>
  <c r="BJ196" i="32" s="1"/>
  <c r="BI151" i="32"/>
  <c r="BI196" i="32" s="1"/>
  <c r="BF151" i="32"/>
  <c r="BE151" i="32"/>
  <c r="BE196" i="32" s="1"/>
  <c r="BD151" i="32"/>
  <c r="BD196" i="32" s="1"/>
  <c r="AX151" i="32"/>
  <c r="AX196" i="32" s="1"/>
  <c r="AW151" i="32"/>
  <c r="AW196" i="32" s="1"/>
  <c r="AV151" i="32"/>
  <c r="AT151" i="32"/>
  <c r="AT196" i="32" s="1"/>
  <c r="AP151" i="32"/>
  <c r="AP196" i="32" s="1"/>
  <c r="AO151" i="32"/>
  <c r="AO196" i="32" s="1"/>
  <c r="AN151" i="32"/>
  <c r="AH151" i="32"/>
  <c r="AG151" i="32"/>
  <c r="AF151" i="32"/>
  <c r="AD151" i="32"/>
  <c r="Z151" i="32"/>
  <c r="Z196" i="32" s="1"/>
  <c r="Y151" i="32"/>
  <c r="Y196" i="32" s="1"/>
  <c r="X151" i="32"/>
  <c r="X196" i="32" s="1"/>
  <c r="R151" i="32"/>
  <c r="R196" i="32" s="1"/>
  <c r="Q151" i="32"/>
  <c r="Q196" i="32" s="1"/>
  <c r="P151" i="32"/>
  <c r="P196" i="32" s="1"/>
  <c r="N151" i="32"/>
  <c r="N196" i="32" s="1"/>
  <c r="J151" i="32"/>
  <c r="J196" i="32" s="1"/>
  <c r="I151" i="32"/>
  <c r="H151" i="32"/>
  <c r="BO147" i="32"/>
  <c r="BN147" i="32"/>
  <c r="BM147" i="32"/>
  <c r="BL147" i="32"/>
  <c r="BK147" i="32"/>
  <c r="BJ147" i="32"/>
  <c r="BI147" i="32"/>
  <c r="BH147" i="32"/>
  <c r="BG147" i="32"/>
  <c r="BF147" i="32"/>
  <c r="BE147" i="32"/>
  <c r="BD147" i="32"/>
  <c r="BC147" i="32"/>
  <c r="BB147" i="32"/>
  <c r="BA147" i="32"/>
  <c r="AZ147" i="32"/>
  <c r="AY147" i="32"/>
  <c r="AX147" i="32"/>
  <c r="AW147" i="32"/>
  <c r="AV147" i="32"/>
  <c r="AU147" i="32"/>
  <c r="AT147" i="32"/>
  <c r="AS147" i="32"/>
  <c r="AR147" i="32"/>
  <c r="AQ147" i="32"/>
  <c r="AP147" i="32"/>
  <c r="AO147" i="32"/>
  <c r="AN147" i="32"/>
  <c r="AM147" i="32"/>
  <c r="AL147" i="32"/>
  <c r="AK147" i="32"/>
  <c r="AJ147" i="32"/>
  <c r="AI147" i="32"/>
  <c r="AH147" i="32"/>
  <c r="AG147" i="32"/>
  <c r="AF147" i="32"/>
  <c r="AE147" i="32"/>
  <c r="AD147" i="32"/>
  <c r="AC147" i="32"/>
  <c r="AB147" i="32"/>
  <c r="AA147" i="32"/>
  <c r="Z147" i="32"/>
  <c r="Y147" i="32"/>
  <c r="X147" i="32"/>
  <c r="W147" i="32"/>
  <c r="V147" i="32"/>
  <c r="U147" i="32"/>
  <c r="T147" i="32"/>
  <c r="S147" i="32"/>
  <c r="R147" i="32"/>
  <c r="Q147" i="32"/>
  <c r="P147" i="32"/>
  <c r="O147" i="32"/>
  <c r="N147" i="32"/>
  <c r="M147" i="32"/>
  <c r="L147" i="32"/>
  <c r="K147" i="32"/>
  <c r="J147" i="32"/>
  <c r="I147" i="32"/>
  <c r="H147" i="32"/>
  <c r="G147" i="32"/>
  <c r="F147" i="32"/>
  <c r="E147" i="32"/>
  <c r="D147" i="32"/>
  <c r="C147" i="32"/>
  <c r="BO145" i="32"/>
  <c r="BN145" i="32"/>
  <c r="BM145" i="32"/>
  <c r="BL145" i="32"/>
  <c r="BK145" i="32"/>
  <c r="BJ145" i="32"/>
  <c r="BI145" i="32"/>
  <c r="BH145" i="32"/>
  <c r="BG145" i="32"/>
  <c r="BF145" i="32"/>
  <c r="BE145" i="32"/>
  <c r="BD145" i="32"/>
  <c r="BC145" i="32"/>
  <c r="BB145" i="32"/>
  <c r="BA145" i="32"/>
  <c r="AZ145" i="32"/>
  <c r="AY145" i="32"/>
  <c r="AX145" i="32"/>
  <c r="AW145" i="32"/>
  <c r="AV145" i="32"/>
  <c r="AU145" i="32"/>
  <c r="AT145" i="32"/>
  <c r="AS145" i="32"/>
  <c r="AR145" i="32"/>
  <c r="AQ145" i="32"/>
  <c r="AP145" i="32"/>
  <c r="AO145" i="32"/>
  <c r="AN145" i="32"/>
  <c r="AM145" i="32"/>
  <c r="AL145" i="32"/>
  <c r="AK145" i="32"/>
  <c r="AJ145" i="32"/>
  <c r="AI145" i="32"/>
  <c r="AH145" i="32"/>
  <c r="AG145" i="32"/>
  <c r="AF145" i="32"/>
  <c r="AE145" i="32"/>
  <c r="AD145" i="32"/>
  <c r="AC145" i="32"/>
  <c r="AB145" i="32"/>
  <c r="AA145" i="32"/>
  <c r="Z145" i="32"/>
  <c r="Y145" i="32"/>
  <c r="X145" i="32"/>
  <c r="W145" i="32"/>
  <c r="V145" i="32"/>
  <c r="U145" i="32"/>
  <c r="T145" i="32"/>
  <c r="S145" i="32"/>
  <c r="R145" i="32"/>
  <c r="Q145" i="32"/>
  <c r="P145" i="32"/>
  <c r="O145" i="32"/>
  <c r="N145" i="32"/>
  <c r="M145" i="32"/>
  <c r="L145" i="32"/>
  <c r="K145" i="32"/>
  <c r="J145" i="32"/>
  <c r="I145" i="32"/>
  <c r="H145" i="32"/>
  <c r="G145" i="32"/>
  <c r="F145" i="32"/>
  <c r="E145" i="32"/>
  <c r="D145" i="32"/>
  <c r="C145" i="32"/>
  <c r="BO144" i="32"/>
  <c r="BN144" i="32"/>
  <c r="BM144" i="32"/>
  <c r="BL144" i="32"/>
  <c r="BK144" i="32"/>
  <c r="BJ144" i="32"/>
  <c r="BI144" i="32"/>
  <c r="BH144" i="32"/>
  <c r="BG144" i="32"/>
  <c r="BF144" i="32"/>
  <c r="BE144" i="32"/>
  <c r="BD144" i="32"/>
  <c r="BC144" i="32"/>
  <c r="BB144" i="32"/>
  <c r="BA144" i="32"/>
  <c r="AZ144" i="32"/>
  <c r="AY144" i="32"/>
  <c r="AX144" i="32"/>
  <c r="AW144" i="32"/>
  <c r="AV144" i="32"/>
  <c r="AU144" i="32"/>
  <c r="AT144" i="32"/>
  <c r="AS144" i="32"/>
  <c r="AR144" i="32"/>
  <c r="AQ144" i="32"/>
  <c r="AP144" i="32"/>
  <c r="AO144" i="32"/>
  <c r="AN144" i="32"/>
  <c r="AM144" i="32"/>
  <c r="AL144" i="32"/>
  <c r="AK144" i="32"/>
  <c r="AJ144" i="32"/>
  <c r="AI144" i="32"/>
  <c r="AH144" i="32"/>
  <c r="AG144" i="32"/>
  <c r="AF144" i="32"/>
  <c r="AE144" i="32"/>
  <c r="AD144" i="32"/>
  <c r="AC144" i="32"/>
  <c r="AB144" i="32"/>
  <c r="AA144" i="32"/>
  <c r="Z144" i="32"/>
  <c r="Y144" i="32"/>
  <c r="X144" i="32"/>
  <c r="W144" i="32"/>
  <c r="V144" i="32"/>
  <c r="U144" i="32"/>
  <c r="T144" i="32"/>
  <c r="S144" i="32"/>
  <c r="R144" i="32"/>
  <c r="Q144" i="32"/>
  <c r="P144" i="32"/>
  <c r="O144" i="32"/>
  <c r="N144" i="32"/>
  <c r="M144" i="32"/>
  <c r="L144" i="32"/>
  <c r="K144" i="32"/>
  <c r="J144" i="32"/>
  <c r="I144" i="32"/>
  <c r="H144" i="32"/>
  <c r="G144" i="32"/>
  <c r="F144" i="32"/>
  <c r="E144" i="32"/>
  <c r="D144" i="32"/>
  <c r="C144" i="32"/>
  <c r="BO143" i="32"/>
  <c r="BN143" i="32"/>
  <c r="BM143" i="32"/>
  <c r="BL143" i="32"/>
  <c r="BK143" i="32"/>
  <c r="BJ143" i="32"/>
  <c r="BI143" i="32"/>
  <c r="BH143" i="32"/>
  <c r="BG143" i="32"/>
  <c r="BF143" i="32"/>
  <c r="BE143" i="32"/>
  <c r="BD143" i="32"/>
  <c r="BC143" i="32"/>
  <c r="BB143" i="32"/>
  <c r="BA143" i="32"/>
  <c r="AZ143" i="32"/>
  <c r="AY143" i="32"/>
  <c r="AX143" i="32"/>
  <c r="AW143" i="32"/>
  <c r="AV143" i="32"/>
  <c r="AU143" i="32"/>
  <c r="AT143" i="32"/>
  <c r="AS143" i="32"/>
  <c r="AR143" i="32"/>
  <c r="AQ143" i="32"/>
  <c r="AP143" i="32"/>
  <c r="AO143" i="32"/>
  <c r="AN143" i="32"/>
  <c r="AM143" i="32"/>
  <c r="AL143" i="32"/>
  <c r="AK143" i="32"/>
  <c r="AJ143" i="32"/>
  <c r="AI143" i="32"/>
  <c r="AH143" i="32"/>
  <c r="AG143" i="32"/>
  <c r="AF143" i="32"/>
  <c r="AE143" i="32"/>
  <c r="AD143" i="32"/>
  <c r="AC143" i="32"/>
  <c r="AB143" i="32"/>
  <c r="AA143" i="32"/>
  <c r="Z143" i="32"/>
  <c r="Y143" i="32"/>
  <c r="X143" i="32"/>
  <c r="W143" i="32"/>
  <c r="V143" i="32"/>
  <c r="U143" i="32"/>
  <c r="T143" i="32"/>
  <c r="S143" i="32"/>
  <c r="R143" i="32"/>
  <c r="Q143" i="32"/>
  <c r="P143" i="32"/>
  <c r="O143" i="32"/>
  <c r="N143" i="32"/>
  <c r="M143" i="32"/>
  <c r="L143" i="32"/>
  <c r="K143" i="32"/>
  <c r="J143" i="32"/>
  <c r="I143" i="32"/>
  <c r="H143" i="32"/>
  <c r="G143" i="32"/>
  <c r="F143" i="32"/>
  <c r="E143" i="32"/>
  <c r="D143" i="32"/>
  <c r="C143" i="32"/>
  <c r="BO142" i="32"/>
  <c r="BN142" i="32"/>
  <c r="BM142" i="32"/>
  <c r="BL142" i="32"/>
  <c r="BK142" i="32"/>
  <c r="BJ142" i="32"/>
  <c r="BI142" i="32"/>
  <c r="BH142" i="32"/>
  <c r="BG142" i="32"/>
  <c r="BF142" i="32"/>
  <c r="BE142" i="32"/>
  <c r="BD142" i="32"/>
  <c r="BC142" i="32"/>
  <c r="BB142" i="32"/>
  <c r="BA142" i="32"/>
  <c r="AZ142" i="32"/>
  <c r="AY142" i="32"/>
  <c r="AX142" i="32"/>
  <c r="AW142" i="32"/>
  <c r="AV142" i="32"/>
  <c r="AU142" i="32"/>
  <c r="AT142" i="32"/>
  <c r="AS142" i="32"/>
  <c r="AR142" i="32"/>
  <c r="AQ142" i="32"/>
  <c r="AP142" i="32"/>
  <c r="AO142" i="32"/>
  <c r="AN142" i="32"/>
  <c r="AM142" i="32"/>
  <c r="AL142" i="32"/>
  <c r="AK142" i="32"/>
  <c r="AJ142" i="32"/>
  <c r="AI142" i="32"/>
  <c r="AH142" i="32"/>
  <c r="AG142" i="32"/>
  <c r="AF142" i="32"/>
  <c r="AE142" i="32"/>
  <c r="AD142" i="32"/>
  <c r="AC142" i="32"/>
  <c r="AB142" i="32"/>
  <c r="AA142" i="32"/>
  <c r="Z142" i="32"/>
  <c r="Y142" i="32"/>
  <c r="X142" i="32"/>
  <c r="W142" i="32"/>
  <c r="V142" i="32"/>
  <c r="U142" i="32"/>
  <c r="T142" i="32"/>
  <c r="S142" i="32"/>
  <c r="R142" i="32"/>
  <c r="Q142" i="32"/>
  <c r="P142" i="32"/>
  <c r="O142" i="32"/>
  <c r="N142" i="32"/>
  <c r="M142" i="32"/>
  <c r="L142" i="32"/>
  <c r="K142" i="32"/>
  <c r="J142" i="32"/>
  <c r="I142" i="32"/>
  <c r="H142" i="32"/>
  <c r="G142" i="32"/>
  <c r="F142" i="32"/>
  <c r="E142" i="32"/>
  <c r="D142" i="32"/>
  <c r="C142" i="32"/>
  <c r="BO141" i="32"/>
  <c r="BN141" i="32"/>
  <c r="BM141" i="32"/>
  <c r="BL141" i="32"/>
  <c r="BK141" i="32"/>
  <c r="BJ141" i="32"/>
  <c r="BI141" i="32"/>
  <c r="BH141" i="32"/>
  <c r="BG141" i="32"/>
  <c r="BF141" i="32"/>
  <c r="BE141" i="32"/>
  <c r="BD141" i="32"/>
  <c r="BC141" i="32"/>
  <c r="BB141" i="32"/>
  <c r="BA141" i="32"/>
  <c r="AZ141" i="32"/>
  <c r="AY141" i="32"/>
  <c r="AX141" i="32"/>
  <c r="AW141" i="32"/>
  <c r="AV141" i="32"/>
  <c r="AU141" i="32"/>
  <c r="AT141" i="32"/>
  <c r="AS141" i="32"/>
  <c r="AR141" i="32"/>
  <c r="AQ141" i="32"/>
  <c r="AP141" i="32"/>
  <c r="AO141" i="32"/>
  <c r="AN141" i="32"/>
  <c r="AM141" i="32"/>
  <c r="AL141" i="32"/>
  <c r="AK141" i="32"/>
  <c r="AJ141" i="32"/>
  <c r="AI141" i="32"/>
  <c r="AH141" i="32"/>
  <c r="AG141" i="32"/>
  <c r="AF141" i="32"/>
  <c r="AE141" i="32"/>
  <c r="AD141" i="32"/>
  <c r="AC141" i="32"/>
  <c r="AB141" i="32"/>
  <c r="AA141" i="32"/>
  <c r="Z141" i="32"/>
  <c r="Y141" i="32"/>
  <c r="X141" i="32"/>
  <c r="W141" i="32"/>
  <c r="V141" i="32"/>
  <c r="U141" i="32"/>
  <c r="T141" i="32"/>
  <c r="S141" i="32"/>
  <c r="R141" i="32"/>
  <c r="Q141" i="32"/>
  <c r="P141" i="32"/>
  <c r="O141" i="32"/>
  <c r="N141" i="32"/>
  <c r="M141" i="32"/>
  <c r="L141" i="32"/>
  <c r="K141" i="32"/>
  <c r="J141" i="32"/>
  <c r="I141" i="32"/>
  <c r="H141" i="32"/>
  <c r="G141" i="32"/>
  <c r="F141" i="32"/>
  <c r="E141" i="32"/>
  <c r="D141" i="32"/>
  <c r="C141" i="32"/>
  <c r="BO140" i="32"/>
  <c r="BN140" i="32"/>
  <c r="BM140" i="32"/>
  <c r="BL140" i="32"/>
  <c r="BK140" i="32"/>
  <c r="BJ140" i="32"/>
  <c r="BI140" i="32"/>
  <c r="BH140" i="32"/>
  <c r="BG140" i="32"/>
  <c r="BF140" i="32"/>
  <c r="BE140" i="32"/>
  <c r="BD140" i="32"/>
  <c r="BC140" i="32"/>
  <c r="BB140" i="32"/>
  <c r="BA140" i="32"/>
  <c r="AZ140" i="32"/>
  <c r="AY140" i="32"/>
  <c r="AX140" i="32"/>
  <c r="AW140" i="32"/>
  <c r="AV140" i="32"/>
  <c r="AU140" i="32"/>
  <c r="AT140" i="32"/>
  <c r="AS140" i="32"/>
  <c r="AR140" i="32"/>
  <c r="AQ140" i="32"/>
  <c r="AP140" i="32"/>
  <c r="AO140" i="32"/>
  <c r="AN140" i="32"/>
  <c r="AM140" i="32"/>
  <c r="AL140" i="32"/>
  <c r="AK140" i="32"/>
  <c r="AJ140" i="32"/>
  <c r="AI140" i="32"/>
  <c r="AH140" i="32"/>
  <c r="AG140"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F140" i="32"/>
  <c r="E140" i="32"/>
  <c r="D140" i="32"/>
  <c r="C140" i="32"/>
  <c r="BO139" i="32"/>
  <c r="BN139" i="32"/>
  <c r="BM139" i="32"/>
  <c r="BL139" i="32"/>
  <c r="BK139" i="32"/>
  <c r="BJ139" i="32"/>
  <c r="BI139" i="32"/>
  <c r="BH139" i="32"/>
  <c r="BG139" i="32"/>
  <c r="BF139" i="32"/>
  <c r="BE139" i="32"/>
  <c r="BD139" i="32"/>
  <c r="BC139" i="32"/>
  <c r="BB139" i="32"/>
  <c r="BA139" i="32"/>
  <c r="AZ139" i="32"/>
  <c r="AY139" i="32"/>
  <c r="AX139" i="32"/>
  <c r="AW139" i="32"/>
  <c r="AV139" i="32"/>
  <c r="AU139" i="32"/>
  <c r="AT139" i="32"/>
  <c r="AS139" i="32"/>
  <c r="AR139" i="32"/>
  <c r="AQ139" i="32"/>
  <c r="AP139" i="32"/>
  <c r="AO139" i="32"/>
  <c r="AN139" i="32"/>
  <c r="AM139" i="32"/>
  <c r="AL139" i="32"/>
  <c r="AK139" i="32"/>
  <c r="AJ139" i="32"/>
  <c r="AI139" i="32"/>
  <c r="AH139" i="32"/>
  <c r="AG139"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F139" i="32"/>
  <c r="E139" i="32"/>
  <c r="D139" i="32"/>
  <c r="C139" i="32"/>
  <c r="BO138" i="32"/>
  <c r="BN138" i="32"/>
  <c r="BM138" i="32"/>
  <c r="BL138" i="32"/>
  <c r="BK138" i="32"/>
  <c r="BJ138" i="32"/>
  <c r="BI138" i="32"/>
  <c r="BH138" i="32"/>
  <c r="BG138" i="32"/>
  <c r="BF138" i="32"/>
  <c r="BE138" i="32"/>
  <c r="BD138" i="32"/>
  <c r="BC138" i="32"/>
  <c r="BB138" i="32"/>
  <c r="BA138" i="32"/>
  <c r="AZ138" i="32"/>
  <c r="AY138" i="32"/>
  <c r="AX138" i="32"/>
  <c r="AW138" i="32"/>
  <c r="AV138" i="32"/>
  <c r="AU138" i="32"/>
  <c r="AT138" i="32"/>
  <c r="AS138" i="32"/>
  <c r="AR138" i="32"/>
  <c r="AQ138" i="32"/>
  <c r="AP138" i="32"/>
  <c r="AO138" i="32"/>
  <c r="AN138" i="32"/>
  <c r="AM138" i="32"/>
  <c r="AL138" i="32"/>
  <c r="AK138" i="32"/>
  <c r="AJ138" i="32"/>
  <c r="AI138" i="32"/>
  <c r="AH138" i="32"/>
  <c r="AG138"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F138" i="32"/>
  <c r="E138" i="32"/>
  <c r="D138" i="32"/>
  <c r="C138" i="32"/>
  <c r="BO137" i="32"/>
  <c r="BN137" i="32"/>
  <c r="BM137" i="32"/>
  <c r="BL137" i="32"/>
  <c r="BK137" i="32"/>
  <c r="BJ137" i="32"/>
  <c r="BI137" i="32"/>
  <c r="BH137" i="32"/>
  <c r="BG137" i="32"/>
  <c r="BF137" i="32"/>
  <c r="BE137" i="32"/>
  <c r="BD137" i="32"/>
  <c r="BC137" i="32"/>
  <c r="BB137" i="32"/>
  <c r="BA137" i="32"/>
  <c r="AZ137" i="32"/>
  <c r="AY137" i="32"/>
  <c r="AX137" i="32"/>
  <c r="AW137" i="32"/>
  <c r="AV137" i="32"/>
  <c r="AU137" i="32"/>
  <c r="AT137" i="32"/>
  <c r="AS137" i="32"/>
  <c r="AR137" i="32"/>
  <c r="AQ137" i="32"/>
  <c r="AP137" i="32"/>
  <c r="AO137" i="32"/>
  <c r="AN137" i="32"/>
  <c r="AM137" i="32"/>
  <c r="AL137" i="32"/>
  <c r="AK137" i="32"/>
  <c r="AJ137" i="32"/>
  <c r="AI137" i="32"/>
  <c r="AH137" i="32"/>
  <c r="AG137" i="32"/>
  <c r="AF137" i="32"/>
  <c r="AE137" i="32"/>
  <c r="AD137" i="32"/>
  <c r="AC137" i="32"/>
  <c r="AB137" i="32"/>
  <c r="AA137" i="32"/>
  <c r="Z137" i="32"/>
  <c r="Y137" i="32"/>
  <c r="X137" i="32"/>
  <c r="W137" i="32"/>
  <c r="V137" i="32"/>
  <c r="U137" i="32"/>
  <c r="T137" i="32"/>
  <c r="S137" i="32"/>
  <c r="R137" i="32"/>
  <c r="Q137" i="32"/>
  <c r="P137" i="32"/>
  <c r="O137" i="32"/>
  <c r="N137" i="32"/>
  <c r="M137" i="32"/>
  <c r="L137" i="32"/>
  <c r="K137" i="32"/>
  <c r="J137" i="32"/>
  <c r="I137" i="32"/>
  <c r="H137" i="32"/>
  <c r="G137" i="32"/>
  <c r="F137" i="32"/>
  <c r="E137" i="32"/>
  <c r="D137" i="32"/>
  <c r="C137" i="32"/>
  <c r="BO136" i="32"/>
  <c r="BN136" i="32"/>
  <c r="BM136" i="32"/>
  <c r="BL136" i="32"/>
  <c r="BK136" i="32"/>
  <c r="BJ136" i="32"/>
  <c r="BI136" i="32"/>
  <c r="BH136" i="32"/>
  <c r="BG136" i="32"/>
  <c r="BF136" i="32"/>
  <c r="BE136" i="32"/>
  <c r="BD136" i="32"/>
  <c r="BC136" i="32"/>
  <c r="BB136" i="32"/>
  <c r="BA136" i="32"/>
  <c r="AZ136" i="32"/>
  <c r="AY136" i="32"/>
  <c r="AX136" i="32"/>
  <c r="AW136" i="32"/>
  <c r="AV136" i="32"/>
  <c r="AU136" i="32"/>
  <c r="AT136" i="32"/>
  <c r="AS136" i="32"/>
  <c r="AR136" i="32"/>
  <c r="AQ136" i="32"/>
  <c r="AP136" i="32"/>
  <c r="AO136" i="32"/>
  <c r="AN136" i="32"/>
  <c r="AM136" i="32"/>
  <c r="AL136" i="32"/>
  <c r="AK136" i="32"/>
  <c r="AJ136" i="32"/>
  <c r="AI136" i="32"/>
  <c r="AH136" i="32"/>
  <c r="AG136" i="32"/>
  <c r="AF136" i="32"/>
  <c r="AE136" i="32"/>
  <c r="AD136" i="32"/>
  <c r="AC136" i="32"/>
  <c r="AB136" i="32"/>
  <c r="AA136" i="32"/>
  <c r="Z136" i="32"/>
  <c r="Y136" i="32"/>
  <c r="X136" i="32"/>
  <c r="W136" i="32"/>
  <c r="V136" i="32"/>
  <c r="U136" i="32"/>
  <c r="T136" i="32"/>
  <c r="S136" i="32"/>
  <c r="R136" i="32"/>
  <c r="Q136" i="32"/>
  <c r="P136" i="32"/>
  <c r="O136" i="32"/>
  <c r="N136" i="32"/>
  <c r="M136" i="32"/>
  <c r="L136" i="32"/>
  <c r="K136" i="32"/>
  <c r="J136" i="32"/>
  <c r="I136" i="32"/>
  <c r="H136" i="32"/>
  <c r="G136" i="32"/>
  <c r="F136" i="32"/>
  <c r="E136" i="32"/>
  <c r="D136" i="32"/>
  <c r="C136" i="32"/>
  <c r="BO135" i="32"/>
  <c r="BN135" i="32"/>
  <c r="BM135" i="32"/>
  <c r="BL135" i="32"/>
  <c r="BK135" i="32"/>
  <c r="BJ135" i="32"/>
  <c r="BI135" i="32"/>
  <c r="BH135" i="32"/>
  <c r="BG135" i="32"/>
  <c r="BF135" i="32"/>
  <c r="BE135" i="32"/>
  <c r="BD135" i="32"/>
  <c r="BC135" i="32"/>
  <c r="BB135" i="32"/>
  <c r="BA135" i="32"/>
  <c r="AZ135" i="32"/>
  <c r="AY135" i="32"/>
  <c r="AX135" i="32"/>
  <c r="AW135" i="32"/>
  <c r="AV135" i="32"/>
  <c r="AU135" i="32"/>
  <c r="AT135" i="32"/>
  <c r="AS135" i="32"/>
  <c r="AR135" i="32"/>
  <c r="AQ135" i="32"/>
  <c r="AP135" i="32"/>
  <c r="AO135" i="32"/>
  <c r="AN135" i="32"/>
  <c r="AM135" i="32"/>
  <c r="AL135" i="32"/>
  <c r="AK135" i="32"/>
  <c r="AJ135" i="32"/>
  <c r="AI135" i="32"/>
  <c r="AH135" i="32"/>
  <c r="AG135" i="32"/>
  <c r="AF135" i="32"/>
  <c r="AE135" i="32"/>
  <c r="AD135" i="32"/>
  <c r="AC135" i="32"/>
  <c r="AB135" i="32"/>
  <c r="AA135" i="32"/>
  <c r="Z135" i="32"/>
  <c r="Y135" i="32"/>
  <c r="X135" i="32"/>
  <c r="W135" i="32"/>
  <c r="V135" i="32"/>
  <c r="U135" i="32"/>
  <c r="T135" i="32"/>
  <c r="S135" i="32"/>
  <c r="R135" i="32"/>
  <c r="Q135" i="32"/>
  <c r="P135" i="32"/>
  <c r="O135" i="32"/>
  <c r="N135" i="32"/>
  <c r="M135" i="32"/>
  <c r="L135" i="32"/>
  <c r="K135" i="32"/>
  <c r="J135" i="32"/>
  <c r="I135" i="32"/>
  <c r="H135" i="32"/>
  <c r="G135" i="32"/>
  <c r="F135" i="32"/>
  <c r="E135" i="32"/>
  <c r="D135" i="32"/>
  <c r="C135" i="32"/>
  <c r="BO133" i="32"/>
  <c r="BN133" i="32"/>
  <c r="BM133" i="32"/>
  <c r="BL133" i="32"/>
  <c r="BK133" i="32"/>
  <c r="BJ133" i="32"/>
  <c r="BI133" i="32"/>
  <c r="BH133" i="32"/>
  <c r="BG133" i="32"/>
  <c r="BF133" i="32"/>
  <c r="BE133" i="32"/>
  <c r="BD133" i="32"/>
  <c r="BC133" i="32"/>
  <c r="BB133" i="32"/>
  <c r="BA133" i="32"/>
  <c r="AZ133" i="32"/>
  <c r="AY133" i="32"/>
  <c r="AX133" i="32"/>
  <c r="AW133" i="32"/>
  <c r="AV133" i="32"/>
  <c r="AU133" i="32"/>
  <c r="AT133" i="32"/>
  <c r="AS133" i="32"/>
  <c r="AR133" i="32"/>
  <c r="AQ133" i="32"/>
  <c r="AP133" i="32"/>
  <c r="AO133" i="32"/>
  <c r="AN133" i="32"/>
  <c r="AM133" i="32"/>
  <c r="AL133" i="32"/>
  <c r="AK133" i="32"/>
  <c r="AJ133" i="32"/>
  <c r="AI133" i="32"/>
  <c r="AH133" i="32"/>
  <c r="AG133" i="32"/>
  <c r="AF133" i="32"/>
  <c r="AE133" i="32"/>
  <c r="AD133" i="32"/>
  <c r="AC133" i="32"/>
  <c r="AB133" i="32"/>
  <c r="AA133" i="32"/>
  <c r="Z133" i="32"/>
  <c r="Y133" i="32"/>
  <c r="X133" i="32"/>
  <c r="W133" i="32"/>
  <c r="V133" i="32"/>
  <c r="U133" i="32"/>
  <c r="T133" i="32"/>
  <c r="S133" i="32"/>
  <c r="R133" i="32"/>
  <c r="Q133" i="32"/>
  <c r="P133" i="32"/>
  <c r="O133" i="32"/>
  <c r="N133" i="32"/>
  <c r="M133" i="32"/>
  <c r="L133" i="32"/>
  <c r="K133" i="32"/>
  <c r="J133" i="32"/>
  <c r="I133" i="32"/>
  <c r="H133" i="32"/>
  <c r="G133" i="32"/>
  <c r="F133" i="32"/>
  <c r="E133" i="32"/>
  <c r="D133" i="32"/>
  <c r="C133" i="32"/>
  <c r="BO132" i="32"/>
  <c r="BN132" i="32"/>
  <c r="BM132" i="32"/>
  <c r="BL132" i="32"/>
  <c r="BK132" i="32"/>
  <c r="BJ132" i="32"/>
  <c r="BI132" i="32"/>
  <c r="BH132" i="32"/>
  <c r="BG132" i="32"/>
  <c r="BF132" i="32"/>
  <c r="BE132" i="32"/>
  <c r="BD132" i="32"/>
  <c r="BC132" i="32"/>
  <c r="BB132" i="32"/>
  <c r="BA132" i="32"/>
  <c r="AZ132" i="32"/>
  <c r="AY132" i="32"/>
  <c r="AX132"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Z132" i="32"/>
  <c r="Y132" i="32"/>
  <c r="X132" i="32"/>
  <c r="W132" i="32"/>
  <c r="V132" i="32"/>
  <c r="U132" i="32"/>
  <c r="T132" i="32"/>
  <c r="S132" i="32"/>
  <c r="R132" i="32"/>
  <c r="Q132" i="32"/>
  <c r="P132" i="32"/>
  <c r="O132" i="32"/>
  <c r="N132" i="32"/>
  <c r="M132" i="32"/>
  <c r="L132" i="32"/>
  <c r="K132" i="32"/>
  <c r="J132" i="32"/>
  <c r="I132" i="32"/>
  <c r="H132" i="32"/>
  <c r="G132" i="32"/>
  <c r="F132" i="32"/>
  <c r="E132" i="32"/>
  <c r="D132" i="32"/>
  <c r="C132" i="32"/>
  <c r="BO131" i="32"/>
  <c r="BN131" i="32"/>
  <c r="BM131" i="32"/>
  <c r="BL131" i="32"/>
  <c r="BK131" i="32"/>
  <c r="BJ131" i="32"/>
  <c r="BI131" i="32"/>
  <c r="BH131" i="32"/>
  <c r="BG131" i="32"/>
  <c r="BF131" i="32"/>
  <c r="BE131" i="32"/>
  <c r="BD131" i="32"/>
  <c r="BC131" i="32"/>
  <c r="BB131" i="32"/>
  <c r="BA131" i="32"/>
  <c r="AZ131" i="32"/>
  <c r="AY131" i="32"/>
  <c r="AX131"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T131" i="32"/>
  <c r="S131" i="32"/>
  <c r="R131" i="32"/>
  <c r="Q131" i="32"/>
  <c r="P131" i="32"/>
  <c r="O131" i="32"/>
  <c r="N131" i="32"/>
  <c r="M131" i="32"/>
  <c r="L131" i="32"/>
  <c r="K131" i="32"/>
  <c r="J131" i="32"/>
  <c r="I131" i="32"/>
  <c r="H131" i="32"/>
  <c r="G131" i="32"/>
  <c r="F131" i="32"/>
  <c r="E131" i="32"/>
  <c r="D131" i="32"/>
  <c r="C131" i="32"/>
  <c r="BO130" i="32"/>
  <c r="BN130" i="32"/>
  <c r="BM130" i="32"/>
  <c r="BL130" i="32"/>
  <c r="BK130" i="32"/>
  <c r="BJ130" i="32"/>
  <c r="BI130" i="32"/>
  <c r="BH130" i="32"/>
  <c r="BG130" i="32"/>
  <c r="BF130" i="32"/>
  <c r="BE130" i="32"/>
  <c r="BD130" i="32"/>
  <c r="BC130" i="32"/>
  <c r="BB130" i="32"/>
  <c r="BA130" i="32"/>
  <c r="AZ130" i="32"/>
  <c r="AY130" i="32"/>
  <c r="AX130" i="32"/>
  <c r="AW130" i="32"/>
  <c r="AV130" i="32"/>
  <c r="AU130" i="32"/>
  <c r="AT130" i="32"/>
  <c r="AS130" i="32"/>
  <c r="AR130" i="32"/>
  <c r="AQ130" i="32"/>
  <c r="AP130" i="32"/>
  <c r="AO130" i="32"/>
  <c r="AN130" i="32"/>
  <c r="AM130" i="32"/>
  <c r="AL130" i="32"/>
  <c r="AK130" i="32"/>
  <c r="AJ130" i="32"/>
  <c r="AI130" i="32"/>
  <c r="AH130" i="32"/>
  <c r="AG130" i="32"/>
  <c r="AF130" i="32"/>
  <c r="AE130" i="32"/>
  <c r="AD130" i="32"/>
  <c r="AC130" i="32"/>
  <c r="AB130" i="32"/>
  <c r="AA130" i="32"/>
  <c r="Z130" i="32"/>
  <c r="Y130" i="32"/>
  <c r="X130" i="32"/>
  <c r="W130" i="32"/>
  <c r="V130" i="32"/>
  <c r="U130" i="32"/>
  <c r="T130" i="32"/>
  <c r="S130" i="32"/>
  <c r="R130" i="32"/>
  <c r="Q130" i="32"/>
  <c r="P130" i="32"/>
  <c r="O130" i="32"/>
  <c r="N130" i="32"/>
  <c r="M130" i="32"/>
  <c r="L130" i="32"/>
  <c r="K130" i="32"/>
  <c r="J130" i="32"/>
  <c r="I130" i="32"/>
  <c r="H130" i="32"/>
  <c r="G130" i="32"/>
  <c r="F130" i="32"/>
  <c r="E130" i="32"/>
  <c r="D130" i="32"/>
  <c r="C130" i="32"/>
  <c r="BO129" i="32"/>
  <c r="BN129" i="32"/>
  <c r="BM129" i="32"/>
  <c r="BL129" i="32"/>
  <c r="BK129" i="32"/>
  <c r="BJ129" i="32"/>
  <c r="BI129" i="32"/>
  <c r="BH129" i="32"/>
  <c r="BG129" i="32"/>
  <c r="BF129" i="32"/>
  <c r="BE129" i="32"/>
  <c r="BD129" i="32"/>
  <c r="BC129" i="32"/>
  <c r="BB129" i="32"/>
  <c r="BA129" i="32"/>
  <c r="AZ129" i="32"/>
  <c r="AY129" i="32"/>
  <c r="AX129" i="32"/>
  <c r="AW129" i="32"/>
  <c r="AV129" i="32"/>
  <c r="AU129" i="32"/>
  <c r="AT129" i="32"/>
  <c r="AS129" i="32"/>
  <c r="AR129" i="32"/>
  <c r="AQ129" i="32"/>
  <c r="AP129" i="32"/>
  <c r="AO129" i="32"/>
  <c r="AN129" i="32"/>
  <c r="AM129" i="32"/>
  <c r="AL129" i="32"/>
  <c r="AK129" i="32"/>
  <c r="AJ129" i="32"/>
  <c r="AI129" i="32"/>
  <c r="AH129" i="32"/>
  <c r="AG129" i="32"/>
  <c r="AF129" i="32"/>
  <c r="AE129" i="32"/>
  <c r="AD129" i="32"/>
  <c r="AC129" i="32"/>
  <c r="AB129" i="32"/>
  <c r="AA129" i="32"/>
  <c r="Z129" i="32"/>
  <c r="Y129" i="32"/>
  <c r="X129" i="32"/>
  <c r="W129" i="32"/>
  <c r="V129" i="32"/>
  <c r="U129" i="32"/>
  <c r="T129" i="32"/>
  <c r="S129" i="32"/>
  <c r="R129" i="32"/>
  <c r="Q129" i="32"/>
  <c r="P129" i="32"/>
  <c r="O129" i="32"/>
  <c r="N129" i="32"/>
  <c r="M129" i="32"/>
  <c r="L129" i="32"/>
  <c r="K129" i="32"/>
  <c r="J129" i="32"/>
  <c r="I129" i="32"/>
  <c r="H129" i="32"/>
  <c r="G129" i="32"/>
  <c r="F129" i="32"/>
  <c r="E129" i="32"/>
  <c r="D129" i="32"/>
  <c r="C129" i="32"/>
  <c r="BO128" i="32"/>
  <c r="BN128" i="32"/>
  <c r="BM128" i="32"/>
  <c r="BL128" i="32"/>
  <c r="BK128" i="32"/>
  <c r="BJ128" i="32"/>
  <c r="BI128" i="32"/>
  <c r="BH128" i="32"/>
  <c r="BG128" i="32"/>
  <c r="BF128" i="32"/>
  <c r="BE128" i="32"/>
  <c r="BD128" i="32"/>
  <c r="BC128" i="32"/>
  <c r="BB128" i="32"/>
  <c r="BA128" i="32"/>
  <c r="AZ128" i="32"/>
  <c r="AY128" i="32"/>
  <c r="AX128"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Z128" i="32"/>
  <c r="Y128" i="32"/>
  <c r="X128" i="32"/>
  <c r="W128" i="32"/>
  <c r="V128" i="32"/>
  <c r="U128" i="32"/>
  <c r="T128" i="32"/>
  <c r="S128" i="32"/>
  <c r="R128" i="32"/>
  <c r="Q128" i="32"/>
  <c r="P128" i="32"/>
  <c r="O128" i="32"/>
  <c r="N128" i="32"/>
  <c r="M128" i="32"/>
  <c r="L128" i="32"/>
  <c r="K128" i="32"/>
  <c r="J128" i="32"/>
  <c r="I128" i="32"/>
  <c r="H128" i="32"/>
  <c r="G128" i="32"/>
  <c r="F128" i="32"/>
  <c r="E128" i="32"/>
  <c r="D128" i="32"/>
  <c r="C128" i="32"/>
  <c r="BO127" i="32"/>
  <c r="BN127" i="32"/>
  <c r="BM127" i="32"/>
  <c r="BL127" i="32"/>
  <c r="BK127" i="32"/>
  <c r="BJ127" i="32"/>
  <c r="BI127" i="32"/>
  <c r="BH127" i="32"/>
  <c r="BG127" i="32"/>
  <c r="BF127" i="32"/>
  <c r="BE127" i="32"/>
  <c r="BD127" i="32"/>
  <c r="BC127" i="32"/>
  <c r="BB127" i="32"/>
  <c r="BA127" i="32"/>
  <c r="AZ127" i="32"/>
  <c r="AY127" i="32"/>
  <c r="AX127" i="32"/>
  <c r="AW127" i="32"/>
  <c r="AV127" i="32"/>
  <c r="AU127" i="32"/>
  <c r="AT127" i="32"/>
  <c r="AS127" i="32"/>
  <c r="AR127" i="32"/>
  <c r="AQ127" i="32"/>
  <c r="AP127" i="32"/>
  <c r="AO127" i="32"/>
  <c r="AN127" i="32"/>
  <c r="AM127" i="32"/>
  <c r="AL127" i="32"/>
  <c r="AK127" i="32"/>
  <c r="AJ127" i="32"/>
  <c r="AI127" i="32"/>
  <c r="AH127" i="32"/>
  <c r="AG127" i="32"/>
  <c r="AF127" i="32"/>
  <c r="AE127" i="32"/>
  <c r="AD127" i="32"/>
  <c r="AC127" i="32"/>
  <c r="AB127" i="32"/>
  <c r="AA127" i="32"/>
  <c r="Z127" i="32"/>
  <c r="Y127" i="32"/>
  <c r="X127" i="32"/>
  <c r="W127" i="32"/>
  <c r="V127" i="32"/>
  <c r="U127" i="32"/>
  <c r="T127" i="32"/>
  <c r="S127" i="32"/>
  <c r="R127" i="32"/>
  <c r="Q127" i="32"/>
  <c r="P127" i="32"/>
  <c r="O127" i="32"/>
  <c r="N127" i="32"/>
  <c r="M127" i="32"/>
  <c r="L127" i="32"/>
  <c r="K127" i="32"/>
  <c r="J127" i="32"/>
  <c r="I127" i="32"/>
  <c r="H127" i="32"/>
  <c r="G127" i="32"/>
  <c r="F127" i="32"/>
  <c r="E127" i="32"/>
  <c r="D127" i="32"/>
  <c r="C127" i="32"/>
  <c r="BO126" i="32"/>
  <c r="BN126" i="32"/>
  <c r="BM126" i="32"/>
  <c r="BL126" i="32"/>
  <c r="BK126" i="32"/>
  <c r="BJ126" i="32"/>
  <c r="BI126" i="32"/>
  <c r="BH126" i="32"/>
  <c r="BG126" i="32"/>
  <c r="BF126" i="32"/>
  <c r="BE126" i="32"/>
  <c r="BD126" i="32"/>
  <c r="BC126" i="32"/>
  <c r="BB126" i="32"/>
  <c r="BA126" i="32"/>
  <c r="AZ126" i="32"/>
  <c r="AY126" i="32"/>
  <c r="AX126"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Z126" i="32"/>
  <c r="Y126" i="32"/>
  <c r="X126" i="32"/>
  <c r="W126" i="32"/>
  <c r="V126" i="32"/>
  <c r="U126" i="32"/>
  <c r="T126" i="32"/>
  <c r="S126" i="32"/>
  <c r="R126" i="32"/>
  <c r="Q126" i="32"/>
  <c r="P126" i="32"/>
  <c r="O126" i="32"/>
  <c r="N126" i="32"/>
  <c r="M126" i="32"/>
  <c r="L126" i="32"/>
  <c r="K126" i="32"/>
  <c r="J126" i="32"/>
  <c r="I126" i="32"/>
  <c r="H126" i="32"/>
  <c r="G126" i="32"/>
  <c r="F126" i="32"/>
  <c r="E126" i="32"/>
  <c r="D126" i="32"/>
  <c r="C126" i="32"/>
  <c r="BO124" i="32"/>
  <c r="BN124" i="32"/>
  <c r="BM124" i="32"/>
  <c r="BL124" i="32"/>
  <c r="BK124" i="32"/>
  <c r="BJ124" i="32"/>
  <c r="BI124" i="32"/>
  <c r="BH124" i="32"/>
  <c r="BG124" i="32"/>
  <c r="BF124" i="32"/>
  <c r="BE124" i="32"/>
  <c r="BD124" i="32"/>
  <c r="BC124" i="32"/>
  <c r="BB124" i="32"/>
  <c r="BA124" i="32"/>
  <c r="AZ124" i="32"/>
  <c r="AY124" i="32"/>
  <c r="AX124" i="32"/>
  <c r="AW124" i="32"/>
  <c r="AV124" i="32"/>
  <c r="AU124" i="32"/>
  <c r="AT124" i="32"/>
  <c r="AS124" i="32"/>
  <c r="AR124" i="32"/>
  <c r="AQ124" i="32"/>
  <c r="AP124" i="32"/>
  <c r="AO124" i="32"/>
  <c r="AN124" i="32"/>
  <c r="AM124" i="32"/>
  <c r="AL124" i="32"/>
  <c r="AK124" i="32"/>
  <c r="AJ124" i="32"/>
  <c r="AI124" i="32"/>
  <c r="AH124" i="32"/>
  <c r="AG124" i="32"/>
  <c r="AF124" i="32"/>
  <c r="AE124" i="32"/>
  <c r="AD124" i="32"/>
  <c r="AC124" i="32"/>
  <c r="AB124" i="32"/>
  <c r="AA124" i="32"/>
  <c r="Z124" i="32"/>
  <c r="Y124" i="32"/>
  <c r="X124" i="32"/>
  <c r="W124" i="32"/>
  <c r="V124" i="32"/>
  <c r="U124" i="32"/>
  <c r="T124" i="32"/>
  <c r="S124" i="32"/>
  <c r="R124" i="32"/>
  <c r="Q124" i="32"/>
  <c r="P124" i="32"/>
  <c r="O124" i="32"/>
  <c r="N124" i="32"/>
  <c r="M124" i="32"/>
  <c r="L124" i="32"/>
  <c r="K124" i="32"/>
  <c r="J124" i="32"/>
  <c r="I124" i="32"/>
  <c r="H124" i="32"/>
  <c r="G124" i="32"/>
  <c r="F124" i="32"/>
  <c r="E124" i="32"/>
  <c r="D124" i="32"/>
  <c r="C124" i="32"/>
  <c r="BO123" i="32"/>
  <c r="BN123" i="32"/>
  <c r="BM123" i="32"/>
  <c r="BL123" i="32"/>
  <c r="BK123" i="32"/>
  <c r="BJ123" i="32"/>
  <c r="BI123" i="32"/>
  <c r="BH123" i="32"/>
  <c r="BG123" i="32"/>
  <c r="BF123" i="32"/>
  <c r="BE123" i="32"/>
  <c r="BD123" i="32"/>
  <c r="BC123" i="32"/>
  <c r="BB123" i="32"/>
  <c r="BA123" i="32"/>
  <c r="AZ123" i="32"/>
  <c r="AY123" i="32"/>
  <c r="AX123" i="32"/>
  <c r="AW123" i="32"/>
  <c r="AV123" i="32"/>
  <c r="AU123" i="32"/>
  <c r="AT123" i="32"/>
  <c r="AS123" i="32"/>
  <c r="AR123" i="32"/>
  <c r="AQ123" i="32"/>
  <c r="AP123" i="32"/>
  <c r="AO123" i="32"/>
  <c r="AN123" i="32"/>
  <c r="AM123" i="32"/>
  <c r="AL123" i="32"/>
  <c r="AK123" i="32"/>
  <c r="AJ123" i="32"/>
  <c r="AI123" i="32"/>
  <c r="AH123" i="32"/>
  <c r="AG123" i="32"/>
  <c r="AF123" i="32"/>
  <c r="AE123" i="32"/>
  <c r="AD123" i="32"/>
  <c r="AC123" i="32"/>
  <c r="AB123" i="32"/>
  <c r="AA123" i="32"/>
  <c r="Z123" i="32"/>
  <c r="Y123" i="32"/>
  <c r="X123" i="32"/>
  <c r="W123" i="32"/>
  <c r="V123" i="32"/>
  <c r="U123" i="32"/>
  <c r="T123" i="32"/>
  <c r="S123" i="32"/>
  <c r="R123" i="32"/>
  <c r="Q123" i="32"/>
  <c r="P123" i="32"/>
  <c r="O123" i="32"/>
  <c r="N123" i="32"/>
  <c r="M123" i="32"/>
  <c r="L123" i="32"/>
  <c r="K123" i="32"/>
  <c r="J123" i="32"/>
  <c r="I123" i="32"/>
  <c r="H123" i="32"/>
  <c r="G123" i="32"/>
  <c r="F123" i="32"/>
  <c r="E123" i="32"/>
  <c r="D123" i="32"/>
  <c r="C123" i="32"/>
  <c r="BO122" i="32"/>
  <c r="BN122" i="32"/>
  <c r="BM122" i="32"/>
  <c r="BL122" i="32"/>
  <c r="BK122" i="32"/>
  <c r="BJ122" i="32"/>
  <c r="BI122" i="32"/>
  <c r="BH122" i="32"/>
  <c r="BG122" i="32"/>
  <c r="BF122" i="32"/>
  <c r="BE122" i="32"/>
  <c r="BD122" i="32"/>
  <c r="BC122" i="32"/>
  <c r="BB122" i="32"/>
  <c r="BA122" i="32"/>
  <c r="AZ122" i="32"/>
  <c r="AY122" i="32"/>
  <c r="AX122" i="32"/>
  <c r="AW122" i="32"/>
  <c r="AV122" i="32"/>
  <c r="AU122" i="32"/>
  <c r="AT122" i="32"/>
  <c r="AS122" i="32"/>
  <c r="AR122" i="32"/>
  <c r="AQ122" i="32"/>
  <c r="AP122" i="32"/>
  <c r="AO122" i="32"/>
  <c r="AN122" i="32"/>
  <c r="AM122" i="32"/>
  <c r="AL122" i="32"/>
  <c r="AK122" i="32"/>
  <c r="AJ122" i="32"/>
  <c r="AI122" i="32"/>
  <c r="AH122" i="32"/>
  <c r="AG122" i="32"/>
  <c r="AF122" i="32"/>
  <c r="AE122" i="32"/>
  <c r="AD122" i="32"/>
  <c r="AC122" i="32"/>
  <c r="AB122" i="32"/>
  <c r="AA122" i="32"/>
  <c r="Z122" i="32"/>
  <c r="Y122" i="32"/>
  <c r="X122" i="32"/>
  <c r="W122" i="32"/>
  <c r="V122" i="32"/>
  <c r="U122" i="32"/>
  <c r="T122" i="32"/>
  <c r="S122" i="32"/>
  <c r="R122" i="32"/>
  <c r="Q122" i="32"/>
  <c r="P122" i="32"/>
  <c r="O122" i="32"/>
  <c r="N122" i="32"/>
  <c r="M122" i="32"/>
  <c r="L122" i="32"/>
  <c r="K122" i="32"/>
  <c r="J122" i="32"/>
  <c r="I122" i="32"/>
  <c r="H122" i="32"/>
  <c r="G122" i="32"/>
  <c r="F122" i="32"/>
  <c r="E122" i="32"/>
  <c r="D122" i="32"/>
  <c r="C122" i="32"/>
  <c r="BO121" i="32"/>
  <c r="BN121" i="32"/>
  <c r="BM121" i="32"/>
  <c r="BL121" i="32"/>
  <c r="BK121" i="32"/>
  <c r="BJ121" i="32"/>
  <c r="BI121" i="32"/>
  <c r="BH121" i="32"/>
  <c r="BG121" i="32"/>
  <c r="BF121" i="32"/>
  <c r="BE121" i="32"/>
  <c r="BD121" i="32"/>
  <c r="BC121" i="32"/>
  <c r="BB121" i="32"/>
  <c r="BA121" i="32"/>
  <c r="AZ121" i="32"/>
  <c r="AY121" i="32"/>
  <c r="AX121" i="32"/>
  <c r="AW121" i="32"/>
  <c r="AV121" i="32"/>
  <c r="AU121" i="32"/>
  <c r="AT121" i="32"/>
  <c r="AS121" i="32"/>
  <c r="AR121" i="32"/>
  <c r="AQ121" i="32"/>
  <c r="AP121" i="32"/>
  <c r="AO121" i="32"/>
  <c r="AN121" i="32"/>
  <c r="AM121" i="32"/>
  <c r="AL121" i="32"/>
  <c r="AK121" i="32"/>
  <c r="AJ121" i="32"/>
  <c r="AI121" i="32"/>
  <c r="AH121" i="32"/>
  <c r="AG121" i="32"/>
  <c r="AF121" i="32"/>
  <c r="AE121" i="32"/>
  <c r="AD121" i="32"/>
  <c r="AC121" i="32"/>
  <c r="AB121" i="32"/>
  <c r="AA121" i="32"/>
  <c r="Z121" i="32"/>
  <c r="Y121" i="32"/>
  <c r="X121" i="32"/>
  <c r="W121" i="32"/>
  <c r="V121" i="32"/>
  <c r="U121" i="32"/>
  <c r="T121" i="32"/>
  <c r="S121" i="32"/>
  <c r="R121" i="32"/>
  <c r="Q121" i="32"/>
  <c r="P121" i="32"/>
  <c r="O121" i="32"/>
  <c r="N121" i="32"/>
  <c r="M121" i="32"/>
  <c r="L121" i="32"/>
  <c r="K121" i="32"/>
  <c r="J121" i="32"/>
  <c r="I121" i="32"/>
  <c r="H121" i="32"/>
  <c r="G121" i="32"/>
  <c r="F121" i="32"/>
  <c r="E121" i="32"/>
  <c r="D121" i="32"/>
  <c r="C121" i="32"/>
  <c r="BO120" i="32"/>
  <c r="BN120" i="32"/>
  <c r="BM120" i="32"/>
  <c r="BL120" i="32"/>
  <c r="BK120" i="32"/>
  <c r="BJ120" i="32"/>
  <c r="BI120" i="32"/>
  <c r="BH120" i="32"/>
  <c r="BG120" i="32"/>
  <c r="BF120" i="32"/>
  <c r="BE120" i="32"/>
  <c r="BD120" i="32"/>
  <c r="BC120" i="32"/>
  <c r="BB120" i="32"/>
  <c r="BA120" i="32"/>
  <c r="AZ120" i="32"/>
  <c r="AY120" i="32"/>
  <c r="AX120" i="32"/>
  <c r="AW120" i="32"/>
  <c r="AV120" i="32"/>
  <c r="AU120" i="32"/>
  <c r="AT120" i="32"/>
  <c r="AS120" i="32"/>
  <c r="AR120" i="32"/>
  <c r="AQ120" i="32"/>
  <c r="AP120" i="32"/>
  <c r="AO120" i="32"/>
  <c r="AN120" i="32"/>
  <c r="AM120" i="32"/>
  <c r="AL120" i="32"/>
  <c r="AK120" i="32"/>
  <c r="AJ120" i="32"/>
  <c r="AI120" i="32"/>
  <c r="AH120" i="32"/>
  <c r="AG120" i="32"/>
  <c r="AF120" i="32"/>
  <c r="AE120" i="32"/>
  <c r="AD120" i="32"/>
  <c r="AC120" i="32"/>
  <c r="AB120" i="32"/>
  <c r="AA120" i="32"/>
  <c r="Z120" i="32"/>
  <c r="Y120" i="32"/>
  <c r="X120" i="32"/>
  <c r="W120" i="32"/>
  <c r="V120" i="32"/>
  <c r="U120" i="32"/>
  <c r="T120" i="32"/>
  <c r="S120" i="32"/>
  <c r="R120" i="32"/>
  <c r="Q120" i="32"/>
  <c r="P120" i="32"/>
  <c r="O120" i="32"/>
  <c r="N120" i="32"/>
  <c r="M120" i="32"/>
  <c r="L120" i="32"/>
  <c r="K120" i="32"/>
  <c r="J120" i="32"/>
  <c r="I120" i="32"/>
  <c r="H120" i="32"/>
  <c r="G120" i="32"/>
  <c r="F120" i="32"/>
  <c r="E120" i="32"/>
  <c r="D120" i="32"/>
  <c r="C120" i="32"/>
  <c r="BO119" i="32"/>
  <c r="BN119" i="32"/>
  <c r="BM119" i="32"/>
  <c r="BL119" i="32"/>
  <c r="BK119" i="32"/>
  <c r="BJ119" i="32"/>
  <c r="BI119" i="32"/>
  <c r="BH119" i="32"/>
  <c r="BG119" i="32"/>
  <c r="BF119" i="32"/>
  <c r="BE119" i="32"/>
  <c r="BD119" i="32"/>
  <c r="BC119" i="32"/>
  <c r="BB119" i="32"/>
  <c r="BA119" i="32"/>
  <c r="AZ119" i="32"/>
  <c r="AY119" i="32"/>
  <c r="AX119" i="32"/>
  <c r="AW119" i="32"/>
  <c r="AV119" i="32"/>
  <c r="AU119" i="32"/>
  <c r="AT119" i="32"/>
  <c r="AS119" i="32"/>
  <c r="AR119" i="32"/>
  <c r="AQ119" i="32"/>
  <c r="AP119" i="32"/>
  <c r="AO119" i="32"/>
  <c r="AN119" i="32"/>
  <c r="AM119" i="32"/>
  <c r="AL119" i="32"/>
  <c r="AK119" i="32"/>
  <c r="AJ119" i="32"/>
  <c r="AI119" i="32"/>
  <c r="AH119" i="32"/>
  <c r="AG119" i="32"/>
  <c r="AF119" i="32"/>
  <c r="AE119" i="32"/>
  <c r="AD119" i="32"/>
  <c r="AC119" i="32"/>
  <c r="AB119" i="32"/>
  <c r="AA119" i="32"/>
  <c r="Z119" i="32"/>
  <c r="Y119" i="32"/>
  <c r="X119" i="32"/>
  <c r="W119" i="32"/>
  <c r="V119" i="32"/>
  <c r="U119" i="32"/>
  <c r="T119" i="32"/>
  <c r="S119" i="32"/>
  <c r="R119" i="32"/>
  <c r="Q119" i="32"/>
  <c r="P119" i="32"/>
  <c r="O119" i="32"/>
  <c r="N119" i="32"/>
  <c r="M119" i="32"/>
  <c r="L119" i="32"/>
  <c r="K119" i="32"/>
  <c r="J119" i="32"/>
  <c r="I119" i="32"/>
  <c r="H119" i="32"/>
  <c r="G119" i="32"/>
  <c r="F119" i="32"/>
  <c r="E119" i="32"/>
  <c r="D119" i="32"/>
  <c r="C119" i="32"/>
  <c r="BO118" i="32"/>
  <c r="BN118" i="32"/>
  <c r="BM118" i="32"/>
  <c r="BL118" i="32"/>
  <c r="BK118" i="32"/>
  <c r="BJ118" i="32"/>
  <c r="BI118" i="32"/>
  <c r="BH118" i="32"/>
  <c r="BG118" i="32"/>
  <c r="BF118" i="32"/>
  <c r="BE118" i="32"/>
  <c r="BD118" i="32"/>
  <c r="BC118" i="32"/>
  <c r="BB118" i="32"/>
  <c r="BA118" i="32"/>
  <c r="AZ118" i="32"/>
  <c r="AY118" i="32"/>
  <c r="AX118" i="32"/>
  <c r="AW118" i="32"/>
  <c r="AV118" i="32"/>
  <c r="AU118" i="32"/>
  <c r="AT118" i="32"/>
  <c r="AS118" i="32"/>
  <c r="AR118" i="32"/>
  <c r="AQ118" i="32"/>
  <c r="AP118" i="32"/>
  <c r="AO118" i="32"/>
  <c r="AN118" i="32"/>
  <c r="AM118" i="32"/>
  <c r="AL118" i="32"/>
  <c r="AK118" i="32"/>
  <c r="AJ118" i="32"/>
  <c r="AI118" i="32"/>
  <c r="AH118" i="32"/>
  <c r="AG118" i="32"/>
  <c r="AF118" i="32"/>
  <c r="AE118" i="32"/>
  <c r="AD118" i="32"/>
  <c r="AC118" i="32"/>
  <c r="AB118" i="32"/>
  <c r="AA118" i="32"/>
  <c r="Z118" i="32"/>
  <c r="Y118" i="32"/>
  <c r="X118" i="32"/>
  <c r="W118" i="32"/>
  <c r="V118" i="32"/>
  <c r="U118" i="32"/>
  <c r="T118" i="32"/>
  <c r="S118" i="32"/>
  <c r="R118" i="32"/>
  <c r="Q118" i="32"/>
  <c r="P118" i="32"/>
  <c r="O118" i="32"/>
  <c r="N118" i="32"/>
  <c r="M118" i="32"/>
  <c r="L118" i="32"/>
  <c r="K118" i="32"/>
  <c r="J118" i="32"/>
  <c r="I118" i="32"/>
  <c r="H118" i="32"/>
  <c r="G118" i="32"/>
  <c r="F118" i="32"/>
  <c r="E118" i="32"/>
  <c r="D118" i="32"/>
  <c r="C118" i="32"/>
  <c r="BO117" i="32"/>
  <c r="BN117" i="32"/>
  <c r="BM117" i="32"/>
  <c r="BL117" i="32"/>
  <c r="BK117" i="32"/>
  <c r="BJ117" i="32"/>
  <c r="BI117" i="32"/>
  <c r="BH117" i="32"/>
  <c r="BG117" i="32"/>
  <c r="BF117" i="32"/>
  <c r="BE117" i="32"/>
  <c r="BD117" i="32"/>
  <c r="BC117" i="32"/>
  <c r="BB117" i="32"/>
  <c r="BA117" i="32"/>
  <c r="AZ117" i="32"/>
  <c r="AY117" i="32"/>
  <c r="AX117" i="32"/>
  <c r="AW117" i="32"/>
  <c r="AV117" i="32"/>
  <c r="AU117" i="32"/>
  <c r="AT117" i="32"/>
  <c r="AS117" i="32"/>
  <c r="AR117" i="32"/>
  <c r="AQ117" i="32"/>
  <c r="AP117" i="32"/>
  <c r="AO117" i="32"/>
  <c r="AN117" i="32"/>
  <c r="AM117" i="32"/>
  <c r="AL117" i="32"/>
  <c r="AK117" i="32"/>
  <c r="AJ117" i="32"/>
  <c r="AI117" i="32"/>
  <c r="AH117" i="32"/>
  <c r="AG117" i="32"/>
  <c r="AF117" i="32"/>
  <c r="AE117" i="32"/>
  <c r="AD117" i="32"/>
  <c r="AC117" i="32"/>
  <c r="AB117" i="32"/>
  <c r="AA117" i="32"/>
  <c r="Z117" i="32"/>
  <c r="Y117" i="32"/>
  <c r="X117" i="32"/>
  <c r="W117" i="32"/>
  <c r="V117" i="32"/>
  <c r="U117" i="32"/>
  <c r="T117" i="32"/>
  <c r="S117" i="32"/>
  <c r="R117" i="32"/>
  <c r="Q117" i="32"/>
  <c r="P117" i="32"/>
  <c r="O117" i="32"/>
  <c r="N117" i="32"/>
  <c r="M117" i="32"/>
  <c r="L117" i="32"/>
  <c r="K117" i="32"/>
  <c r="J117" i="32"/>
  <c r="I117" i="32"/>
  <c r="H117" i="32"/>
  <c r="G117" i="32"/>
  <c r="F117" i="32"/>
  <c r="E117" i="32"/>
  <c r="D117" i="32"/>
  <c r="C117" i="32"/>
  <c r="BO115" i="32"/>
  <c r="BN115" i="32"/>
  <c r="BM115" i="32"/>
  <c r="BL115" i="32"/>
  <c r="BK115" i="32"/>
  <c r="BJ115" i="32"/>
  <c r="BI115" i="32"/>
  <c r="BH115" i="32"/>
  <c r="BG115" i="32"/>
  <c r="BF115" i="32"/>
  <c r="BE115" i="32"/>
  <c r="BD115" i="32"/>
  <c r="BC115" i="32"/>
  <c r="BB115" i="32"/>
  <c r="BA115" i="32"/>
  <c r="AZ115" i="32"/>
  <c r="AY115" i="32"/>
  <c r="AX115" i="32"/>
  <c r="AW115" i="32"/>
  <c r="AV115" i="32"/>
  <c r="AU115" i="32"/>
  <c r="AT115" i="32"/>
  <c r="AS115" i="32"/>
  <c r="AR115" i="32"/>
  <c r="AQ115" i="32"/>
  <c r="AP115" i="32"/>
  <c r="AO115" i="32"/>
  <c r="AN115" i="32"/>
  <c r="AM115" i="32"/>
  <c r="AL115" i="32"/>
  <c r="AK115" i="32"/>
  <c r="AJ115" i="32"/>
  <c r="AI115" i="32"/>
  <c r="AH115" i="32"/>
  <c r="AG115" i="32"/>
  <c r="AF115" i="32"/>
  <c r="AE115" i="32"/>
  <c r="AD115" i="32"/>
  <c r="AC115" i="32"/>
  <c r="AB115" i="32"/>
  <c r="AA115" i="32"/>
  <c r="Z115" i="32"/>
  <c r="Y115" i="32"/>
  <c r="X115" i="32"/>
  <c r="W115" i="32"/>
  <c r="V115" i="32"/>
  <c r="U115" i="32"/>
  <c r="T115" i="32"/>
  <c r="S115" i="32"/>
  <c r="R115" i="32"/>
  <c r="Q115" i="32"/>
  <c r="P115" i="32"/>
  <c r="O115" i="32"/>
  <c r="N115" i="32"/>
  <c r="M115" i="32"/>
  <c r="L115" i="32"/>
  <c r="K115" i="32"/>
  <c r="J115" i="32"/>
  <c r="I115" i="32"/>
  <c r="H115" i="32"/>
  <c r="G115" i="32"/>
  <c r="F115" i="32"/>
  <c r="E115" i="32"/>
  <c r="D115" i="32"/>
  <c r="C115" i="32"/>
  <c r="BO114" i="32"/>
  <c r="BN114" i="32"/>
  <c r="BM114" i="32"/>
  <c r="BL114" i="32"/>
  <c r="BK114" i="32"/>
  <c r="BJ114" i="32"/>
  <c r="BI114" i="32"/>
  <c r="BH114" i="32"/>
  <c r="BG114" i="32"/>
  <c r="BF114" i="32"/>
  <c r="BE114" i="32"/>
  <c r="BD114" i="32"/>
  <c r="BC114" i="32"/>
  <c r="BB114" i="32"/>
  <c r="BA114" i="32"/>
  <c r="AZ114" i="32"/>
  <c r="AY114" i="32"/>
  <c r="AX114"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Z114" i="32"/>
  <c r="Y114" i="32"/>
  <c r="X114" i="32"/>
  <c r="W114" i="32"/>
  <c r="V114" i="32"/>
  <c r="U114" i="32"/>
  <c r="T114" i="32"/>
  <c r="S114" i="32"/>
  <c r="R114" i="32"/>
  <c r="Q114" i="32"/>
  <c r="P114" i="32"/>
  <c r="O114" i="32"/>
  <c r="N114" i="32"/>
  <c r="M114" i="32"/>
  <c r="L114" i="32"/>
  <c r="K114" i="32"/>
  <c r="J114" i="32"/>
  <c r="I114" i="32"/>
  <c r="H114" i="32"/>
  <c r="G114" i="32"/>
  <c r="F114" i="32"/>
  <c r="E114" i="32"/>
  <c r="D114" i="32"/>
  <c r="C114" i="32"/>
  <c r="BO113" i="32"/>
  <c r="BN113" i="32"/>
  <c r="BM113" i="32"/>
  <c r="BL113" i="32"/>
  <c r="BK113" i="32"/>
  <c r="BJ113" i="32"/>
  <c r="BI113" i="32"/>
  <c r="BH113" i="32"/>
  <c r="BG113" i="32"/>
  <c r="BF113" i="32"/>
  <c r="BE113" i="32"/>
  <c r="BD113" i="32"/>
  <c r="BC113" i="32"/>
  <c r="BB113" i="32"/>
  <c r="BA113" i="32"/>
  <c r="AZ113" i="32"/>
  <c r="AY113" i="32"/>
  <c r="AX113" i="32"/>
  <c r="AW113" i="32"/>
  <c r="AV113" i="32"/>
  <c r="AU113" i="32"/>
  <c r="AT113" i="32"/>
  <c r="AS113" i="32"/>
  <c r="AR113" i="32"/>
  <c r="AQ113" i="32"/>
  <c r="AP113" i="32"/>
  <c r="AO113" i="32"/>
  <c r="AN113" i="32"/>
  <c r="AM113" i="32"/>
  <c r="AL113" i="32"/>
  <c r="AK113" i="32"/>
  <c r="AJ113" i="32"/>
  <c r="AI113" i="32"/>
  <c r="AH113" i="32"/>
  <c r="AG113" i="32"/>
  <c r="AF113" i="32"/>
  <c r="AE113" i="32"/>
  <c r="AD113" i="32"/>
  <c r="AC113" i="32"/>
  <c r="AB113" i="32"/>
  <c r="AA113" i="32"/>
  <c r="Z113" i="32"/>
  <c r="Y113" i="32"/>
  <c r="X113" i="32"/>
  <c r="W113" i="32"/>
  <c r="V113" i="32"/>
  <c r="U113" i="32"/>
  <c r="T113" i="32"/>
  <c r="S113" i="32"/>
  <c r="R113" i="32"/>
  <c r="Q113" i="32"/>
  <c r="P113" i="32"/>
  <c r="O113" i="32"/>
  <c r="N113" i="32"/>
  <c r="M113" i="32"/>
  <c r="L113" i="32"/>
  <c r="K113" i="32"/>
  <c r="J113" i="32"/>
  <c r="I113" i="32"/>
  <c r="H113" i="32"/>
  <c r="G113" i="32"/>
  <c r="F113" i="32"/>
  <c r="E113" i="32"/>
  <c r="D113" i="32"/>
  <c r="C113" i="32"/>
  <c r="BO112" i="32"/>
  <c r="BN112" i="32"/>
  <c r="BM112" i="32"/>
  <c r="BL112" i="32"/>
  <c r="BK112" i="32"/>
  <c r="BJ112" i="32"/>
  <c r="BI112" i="32"/>
  <c r="BH112" i="32"/>
  <c r="BG112" i="32"/>
  <c r="BF112" i="32"/>
  <c r="BE112" i="32"/>
  <c r="BD112" i="32"/>
  <c r="BC112" i="32"/>
  <c r="BB112" i="32"/>
  <c r="BA112" i="32"/>
  <c r="AZ112" i="32"/>
  <c r="AY112" i="32"/>
  <c r="AX112" i="32"/>
  <c r="AW112" i="32"/>
  <c r="AV112" i="32"/>
  <c r="AU112" i="32"/>
  <c r="AT112" i="32"/>
  <c r="AS112" i="32"/>
  <c r="AR112" i="32"/>
  <c r="AQ112" i="32"/>
  <c r="AP112" i="32"/>
  <c r="AO112" i="32"/>
  <c r="AN112" i="32"/>
  <c r="AM112" i="32"/>
  <c r="AL112" i="32"/>
  <c r="AK112" i="32"/>
  <c r="AJ112" i="32"/>
  <c r="AI112" i="32"/>
  <c r="AH112" i="32"/>
  <c r="AG112" i="32"/>
  <c r="AF112" i="32"/>
  <c r="AE112" i="32"/>
  <c r="AD112" i="32"/>
  <c r="AC112" i="32"/>
  <c r="AB112" i="32"/>
  <c r="AA112" i="32"/>
  <c r="Z112" i="32"/>
  <c r="Y112" i="32"/>
  <c r="X112" i="32"/>
  <c r="W112" i="32"/>
  <c r="V112" i="32"/>
  <c r="U112" i="32"/>
  <c r="T112" i="32"/>
  <c r="S112" i="32"/>
  <c r="R112" i="32"/>
  <c r="Q112" i="32"/>
  <c r="P112" i="32"/>
  <c r="O112" i="32"/>
  <c r="N112" i="32"/>
  <c r="M112" i="32"/>
  <c r="L112" i="32"/>
  <c r="K112" i="32"/>
  <c r="J112" i="32"/>
  <c r="I112" i="32"/>
  <c r="H112" i="32"/>
  <c r="G112" i="32"/>
  <c r="F112" i="32"/>
  <c r="E112" i="32"/>
  <c r="D112" i="32"/>
  <c r="C112" i="32"/>
  <c r="BO111" i="32"/>
  <c r="BN111" i="32"/>
  <c r="BM111" i="32"/>
  <c r="BL111" i="32"/>
  <c r="BK111" i="32"/>
  <c r="BJ111" i="32"/>
  <c r="BI111" i="32"/>
  <c r="BH111" i="32"/>
  <c r="BG111" i="32"/>
  <c r="BF111" i="32"/>
  <c r="BE111" i="32"/>
  <c r="BD111" i="32"/>
  <c r="BC111" i="32"/>
  <c r="BB111" i="32"/>
  <c r="BA111" i="32"/>
  <c r="AZ111" i="32"/>
  <c r="AY111" i="32"/>
  <c r="AX111" i="32"/>
  <c r="AW111" i="32"/>
  <c r="AV111" i="32"/>
  <c r="AU111" i="32"/>
  <c r="AT111" i="32"/>
  <c r="AS111" i="32"/>
  <c r="AR111" i="32"/>
  <c r="AQ111" i="32"/>
  <c r="AP111" i="32"/>
  <c r="AO111" i="32"/>
  <c r="AN111" i="32"/>
  <c r="AM111" i="32"/>
  <c r="AL111" i="32"/>
  <c r="AK111" i="32"/>
  <c r="AJ111" i="32"/>
  <c r="AI111" i="32"/>
  <c r="AH111" i="32"/>
  <c r="AG111" i="32"/>
  <c r="AF111" i="32"/>
  <c r="AE111" i="32"/>
  <c r="AD111" i="32"/>
  <c r="AC111" i="32"/>
  <c r="AB111" i="32"/>
  <c r="AA111" i="32"/>
  <c r="Z111" i="32"/>
  <c r="Y111" i="32"/>
  <c r="X111" i="32"/>
  <c r="W111" i="32"/>
  <c r="V111" i="32"/>
  <c r="U111" i="32"/>
  <c r="T111" i="32"/>
  <c r="S111" i="32"/>
  <c r="R111" i="32"/>
  <c r="Q111" i="32"/>
  <c r="P111" i="32"/>
  <c r="O111" i="32"/>
  <c r="N111" i="32"/>
  <c r="M111" i="32"/>
  <c r="L111" i="32"/>
  <c r="K111" i="32"/>
  <c r="J111" i="32"/>
  <c r="I111" i="32"/>
  <c r="H111" i="32"/>
  <c r="G111" i="32"/>
  <c r="F111" i="32"/>
  <c r="E111" i="32"/>
  <c r="D111" i="32"/>
  <c r="C111" i="32"/>
  <c r="BO110" i="32"/>
  <c r="BN110" i="32"/>
  <c r="BM110" i="32"/>
  <c r="BL110" i="32"/>
  <c r="BK110" i="32"/>
  <c r="BJ110" i="32"/>
  <c r="BI110" i="32"/>
  <c r="BH110" i="32"/>
  <c r="BG110" i="32"/>
  <c r="BF110" i="32"/>
  <c r="BE110" i="32"/>
  <c r="BD110" i="32"/>
  <c r="BC110" i="32"/>
  <c r="BB110" i="32"/>
  <c r="BA110" i="32"/>
  <c r="AZ110" i="32"/>
  <c r="AY110" i="32"/>
  <c r="AX110" i="32"/>
  <c r="AW110" i="32"/>
  <c r="AV110" i="32"/>
  <c r="AU110" i="32"/>
  <c r="AT110" i="32"/>
  <c r="AS110" i="32"/>
  <c r="AR110" i="32"/>
  <c r="AQ110" i="32"/>
  <c r="AP110" i="32"/>
  <c r="AO110" i="32"/>
  <c r="AN110" i="32"/>
  <c r="AM110" i="32"/>
  <c r="AL110" i="32"/>
  <c r="AK110" i="32"/>
  <c r="AJ110" i="32"/>
  <c r="AI110" i="32"/>
  <c r="AH110" i="32"/>
  <c r="AG110" i="32"/>
  <c r="AF110" i="32"/>
  <c r="AE110" i="32"/>
  <c r="AD110" i="32"/>
  <c r="AC110" i="32"/>
  <c r="AB110" i="32"/>
  <c r="AA110" i="32"/>
  <c r="Z110" i="32"/>
  <c r="Y110" i="32"/>
  <c r="X110" i="32"/>
  <c r="W110" i="32"/>
  <c r="V110" i="32"/>
  <c r="U110" i="32"/>
  <c r="T110" i="32"/>
  <c r="S110" i="32"/>
  <c r="R110" i="32"/>
  <c r="Q110" i="32"/>
  <c r="P110" i="32"/>
  <c r="O110" i="32"/>
  <c r="N110" i="32"/>
  <c r="M110" i="32"/>
  <c r="L110" i="32"/>
  <c r="K110" i="32"/>
  <c r="J110" i="32"/>
  <c r="I110" i="32"/>
  <c r="H110" i="32"/>
  <c r="G110" i="32"/>
  <c r="F110" i="32"/>
  <c r="E110" i="32"/>
  <c r="D110" i="32"/>
  <c r="C110" i="32"/>
  <c r="BO109" i="32"/>
  <c r="BN109" i="32"/>
  <c r="BM109" i="32"/>
  <c r="BL109" i="32"/>
  <c r="BK109" i="32"/>
  <c r="BJ109" i="32"/>
  <c r="BI109" i="32"/>
  <c r="BH109" i="32"/>
  <c r="BG109" i="32"/>
  <c r="BF109" i="32"/>
  <c r="BE109" i="32"/>
  <c r="BD109" i="32"/>
  <c r="BC109" i="32"/>
  <c r="BB109" i="32"/>
  <c r="BA109" i="32"/>
  <c r="AZ109" i="32"/>
  <c r="AY109" i="32"/>
  <c r="AX109" i="32"/>
  <c r="AW109" i="32"/>
  <c r="AV109" i="32"/>
  <c r="AU109" i="32"/>
  <c r="AT109" i="32"/>
  <c r="AS109" i="32"/>
  <c r="AR109" i="32"/>
  <c r="AQ109" i="32"/>
  <c r="AP109" i="32"/>
  <c r="AO109" i="32"/>
  <c r="AN109" i="32"/>
  <c r="AM109" i="32"/>
  <c r="AL109" i="32"/>
  <c r="AK109" i="32"/>
  <c r="AJ109" i="32"/>
  <c r="AI109" i="32"/>
  <c r="AH109" i="32"/>
  <c r="AG109" i="32"/>
  <c r="AF109" i="32"/>
  <c r="AE109" i="32"/>
  <c r="AD109" i="32"/>
  <c r="AC109" i="32"/>
  <c r="AB109" i="32"/>
  <c r="AA109" i="32"/>
  <c r="Z109" i="32"/>
  <c r="Y109" i="32"/>
  <c r="X109" i="32"/>
  <c r="W109" i="32"/>
  <c r="V109" i="32"/>
  <c r="U109" i="32"/>
  <c r="T109" i="32"/>
  <c r="S109" i="32"/>
  <c r="R109" i="32"/>
  <c r="Q109" i="32"/>
  <c r="P109" i="32"/>
  <c r="O109" i="32"/>
  <c r="N109" i="32"/>
  <c r="M109" i="32"/>
  <c r="L109" i="32"/>
  <c r="K109" i="32"/>
  <c r="J109" i="32"/>
  <c r="I109" i="32"/>
  <c r="H109" i="32"/>
  <c r="G109" i="32"/>
  <c r="F109" i="32"/>
  <c r="E109" i="32"/>
  <c r="D109" i="32"/>
  <c r="C109" i="32"/>
  <c r="BO108" i="32"/>
  <c r="BN108" i="32"/>
  <c r="BM108" i="32"/>
  <c r="BL108" i="32"/>
  <c r="BK108" i="32"/>
  <c r="BJ108" i="32"/>
  <c r="BI108" i="32"/>
  <c r="BH108" i="32"/>
  <c r="BG108" i="32"/>
  <c r="BF108" i="32"/>
  <c r="BE108" i="32"/>
  <c r="BD108" i="32"/>
  <c r="BC108" i="32"/>
  <c r="BB108" i="32"/>
  <c r="BA108" i="32"/>
  <c r="AZ108" i="32"/>
  <c r="AY108" i="32"/>
  <c r="AX108" i="32"/>
  <c r="AW108" i="32"/>
  <c r="AV108" i="32"/>
  <c r="AU108" i="32"/>
  <c r="AT108" i="32"/>
  <c r="AS108" i="32"/>
  <c r="AR108" i="32"/>
  <c r="AQ108" i="32"/>
  <c r="AP108" i="32"/>
  <c r="AO108" i="32"/>
  <c r="AN108" i="32"/>
  <c r="AM108" i="32"/>
  <c r="AL108" i="32"/>
  <c r="AK108" i="32"/>
  <c r="AJ108" i="32"/>
  <c r="AI108" i="32"/>
  <c r="AH108" i="32"/>
  <c r="AG108" i="32"/>
  <c r="AF108" i="32"/>
  <c r="AE108" i="32"/>
  <c r="AD108" i="32"/>
  <c r="AC108" i="32"/>
  <c r="AB108" i="32"/>
  <c r="AA108" i="32"/>
  <c r="Z108" i="32"/>
  <c r="Y108" i="32"/>
  <c r="X108" i="32"/>
  <c r="W108" i="32"/>
  <c r="V108" i="32"/>
  <c r="U108" i="32"/>
  <c r="T108" i="32"/>
  <c r="S108" i="32"/>
  <c r="R108" i="32"/>
  <c r="Q108" i="32"/>
  <c r="P108" i="32"/>
  <c r="O108" i="32"/>
  <c r="N108" i="32"/>
  <c r="M108" i="32"/>
  <c r="L108" i="32"/>
  <c r="K108" i="32"/>
  <c r="J108" i="32"/>
  <c r="I108" i="32"/>
  <c r="H108" i="32"/>
  <c r="G108" i="32"/>
  <c r="F108" i="32"/>
  <c r="E108" i="32"/>
  <c r="D108" i="32"/>
  <c r="C108" i="32"/>
  <c r="BO107" i="32"/>
  <c r="BN107" i="32"/>
  <c r="BM107" i="32"/>
  <c r="BL107" i="32"/>
  <c r="BK107" i="32"/>
  <c r="BJ107" i="32"/>
  <c r="BI107" i="32"/>
  <c r="BH107" i="32"/>
  <c r="BG107" i="32"/>
  <c r="BF107" i="32"/>
  <c r="BE107" i="32"/>
  <c r="BD107" i="32"/>
  <c r="BC107" i="32"/>
  <c r="BB107" i="32"/>
  <c r="BA107" i="32"/>
  <c r="AZ107" i="32"/>
  <c r="AY107" i="32"/>
  <c r="AX107" i="32"/>
  <c r="AW107" i="32"/>
  <c r="AV107" i="32"/>
  <c r="AU107" i="32"/>
  <c r="AT107" i="32"/>
  <c r="AS107" i="32"/>
  <c r="AR107" i="32"/>
  <c r="AQ107" i="32"/>
  <c r="AP107" i="32"/>
  <c r="AO107" i="32"/>
  <c r="AN107" i="32"/>
  <c r="AM107" i="32"/>
  <c r="AL107" i="32"/>
  <c r="AK107" i="32"/>
  <c r="AJ107" i="32"/>
  <c r="AI107" i="32"/>
  <c r="AH107" i="32"/>
  <c r="AG107" i="32"/>
  <c r="AF107" i="32"/>
  <c r="AE107" i="32"/>
  <c r="AD107" i="32"/>
  <c r="AC107" i="32"/>
  <c r="AB107" i="32"/>
  <c r="AA107" i="32"/>
  <c r="Z107" i="32"/>
  <c r="Y107" i="32"/>
  <c r="X107" i="32"/>
  <c r="W107" i="32"/>
  <c r="V107" i="32"/>
  <c r="U107" i="32"/>
  <c r="T107" i="32"/>
  <c r="S107" i="32"/>
  <c r="R107" i="32"/>
  <c r="Q107" i="32"/>
  <c r="P107" i="32"/>
  <c r="O107" i="32"/>
  <c r="N107" i="32"/>
  <c r="M107" i="32"/>
  <c r="L107" i="32"/>
  <c r="K107" i="32"/>
  <c r="J107" i="32"/>
  <c r="I107" i="32"/>
  <c r="H107" i="32"/>
  <c r="G107" i="32"/>
  <c r="F107" i="32"/>
  <c r="E107" i="32"/>
  <c r="D107" i="32"/>
  <c r="C107" i="32"/>
  <c r="BO106" i="32"/>
  <c r="BN106" i="32"/>
  <c r="BM106" i="32"/>
  <c r="BL106" i="32"/>
  <c r="BK106" i="32"/>
  <c r="BJ106" i="32"/>
  <c r="BI106" i="32"/>
  <c r="BH106" i="32"/>
  <c r="BG106" i="32"/>
  <c r="BF106" i="32"/>
  <c r="BE106" i="32"/>
  <c r="BD106" i="32"/>
  <c r="BC106" i="32"/>
  <c r="BB106" i="32"/>
  <c r="BA106" i="32"/>
  <c r="AZ106" i="32"/>
  <c r="AY106" i="32"/>
  <c r="AX106" i="32"/>
  <c r="AW106" i="32"/>
  <c r="AV106" i="32"/>
  <c r="AU106" i="32"/>
  <c r="AT106" i="32"/>
  <c r="AS106" i="32"/>
  <c r="AR106" i="32"/>
  <c r="AQ106" i="32"/>
  <c r="AP106" i="32"/>
  <c r="AO106" i="32"/>
  <c r="AN106" i="32"/>
  <c r="AM106" i="32"/>
  <c r="AL106" i="32"/>
  <c r="AK106" i="32"/>
  <c r="AJ106" i="32"/>
  <c r="AI106" i="32"/>
  <c r="AH106" i="32"/>
  <c r="AG106" i="32"/>
  <c r="AF106" i="32"/>
  <c r="AE106" i="32"/>
  <c r="AD106" i="32"/>
  <c r="AC106" i="32"/>
  <c r="AB106" i="32"/>
  <c r="AA106" i="32"/>
  <c r="Z106" i="32"/>
  <c r="Y106" i="32"/>
  <c r="X106" i="32"/>
  <c r="W106" i="32"/>
  <c r="V106" i="32"/>
  <c r="U106" i="32"/>
  <c r="T106" i="32"/>
  <c r="S106" i="32"/>
  <c r="R106" i="32"/>
  <c r="Q106" i="32"/>
  <c r="P106" i="32"/>
  <c r="O106" i="32"/>
  <c r="N106" i="32"/>
  <c r="M106" i="32"/>
  <c r="L106" i="32"/>
  <c r="K106" i="32"/>
  <c r="J106" i="32"/>
  <c r="I106" i="32"/>
  <c r="H106" i="32"/>
  <c r="G106" i="32"/>
  <c r="F106" i="32"/>
  <c r="E106" i="32"/>
  <c r="D106" i="32"/>
  <c r="C106" i="32"/>
  <c r="BO105" i="32"/>
  <c r="BN105" i="32"/>
  <c r="BM105" i="32"/>
  <c r="BL105" i="32"/>
  <c r="BK105" i="32"/>
  <c r="BJ105" i="32"/>
  <c r="BI105" i="32"/>
  <c r="BH105" i="32"/>
  <c r="BG105" i="32"/>
  <c r="BF105" i="32"/>
  <c r="BE105" i="32"/>
  <c r="BD105" i="32"/>
  <c r="BC105" i="32"/>
  <c r="BB105" i="32"/>
  <c r="BA105" i="32"/>
  <c r="AZ105" i="32"/>
  <c r="AY105" i="32"/>
  <c r="AX105" i="32"/>
  <c r="AW105" i="32"/>
  <c r="AV105" i="32"/>
  <c r="AU105" i="32"/>
  <c r="AT105" i="32"/>
  <c r="AS105" i="32"/>
  <c r="AR105" i="32"/>
  <c r="AQ105" i="32"/>
  <c r="AP105" i="32"/>
  <c r="AO105" i="32"/>
  <c r="AN105" i="32"/>
  <c r="AM105" i="32"/>
  <c r="AL105" i="32"/>
  <c r="AK105" i="32"/>
  <c r="AJ105" i="32"/>
  <c r="AI105" i="32"/>
  <c r="AH105" i="32"/>
  <c r="AG105" i="32"/>
  <c r="AF105" i="32"/>
  <c r="AE105" i="32"/>
  <c r="AD105" i="32"/>
  <c r="AC105" i="32"/>
  <c r="AB105" i="32"/>
  <c r="AA105" i="32"/>
  <c r="Z105" i="32"/>
  <c r="Y105" i="32"/>
  <c r="X105" i="32"/>
  <c r="W105" i="32"/>
  <c r="V105" i="32"/>
  <c r="U105" i="32"/>
  <c r="T105" i="32"/>
  <c r="S105" i="32"/>
  <c r="R105" i="32"/>
  <c r="Q105" i="32"/>
  <c r="P105" i="32"/>
  <c r="O105" i="32"/>
  <c r="N105" i="32"/>
  <c r="M105" i="32"/>
  <c r="L105" i="32"/>
  <c r="K105" i="32"/>
  <c r="J105" i="32"/>
  <c r="I105" i="32"/>
  <c r="H105" i="32"/>
  <c r="G105" i="32"/>
  <c r="F105" i="32"/>
  <c r="E105" i="32"/>
  <c r="D105" i="32"/>
  <c r="C105" i="32"/>
  <c r="BO98" i="32"/>
  <c r="BO146" i="32" s="1"/>
  <c r="BN98" i="32"/>
  <c r="BM98" i="32"/>
  <c r="BL98" i="32"/>
  <c r="BK98" i="32"/>
  <c r="BJ98" i="32"/>
  <c r="BI98" i="32"/>
  <c r="BH98" i="32"/>
  <c r="BG98" i="32"/>
  <c r="BF98" i="32"/>
  <c r="BE98" i="32"/>
  <c r="BD98" i="32"/>
  <c r="BC98" i="32"/>
  <c r="BB98" i="32"/>
  <c r="BA98" i="32"/>
  <c r="AZ98" i="32"/>
  <c r="AY98" i="32"/>
  <c r="AX98" i="32"/>
  <c r="AW98" i="32"/>
  <c r="AV98" i="32"/>
  <c r="AU98" i="32"/>
  <c r="AT98" i="32"/>
  <c r="AS98" i="32"/>
  <c r="AR98" i="32"/>
  <c r="AQ98" i="32"/>
  <c r="AP98" i="32"/>
  <c r="AO98" i="32"/>
  <c r="AN98" i="32"/>
  <c r="AM98" i="32"/>
  <c r="AL98" i="32"/>
  <c r="AK98" i="32"/>
  <c r="AJ98" i="32"/>
  <c r="AI98" i="32"/>
  <c r="AH98" i="32"/>
  <c r="AG98" i="32"/>
  <c r="AF98" i="32"/>
  <c r="AE98" i="32"/>
  <c r="AD98" i="32"/>
  <c r="AC98" i="32"/>
  <c r="AB98" i="32"/>
  <c r="AA98" i="32"/>
  <c r="Z98" i="32"/>
  <c r="Y98" i="32"/>
  <c r="X98" i="32"/>
  <c r="W98" i="32"/>
  <c r="V98" i="32"/>
  <c r="V146" i="32" s="1"/>
  <c r="U98" i="32"/>
  <c r="U146" i="32" s="1"/>
  <c r="T98" i="32"/>
  <c r="S98" i="32"/>
  <c r="S146" i="32" s="1"/>
  <c r="R98" i="32"/>
  <c r="Q98" i="32"/>
  <c r="Q146" i="32" s="1"/>
  <c r="P98" i="32"/>
  <c r="O98" i="32"/>
  <c r="N98" i="32"/>
  <c r="N146" i="32" s="1"/>
  <c r="M98" i="32"/>
  <c r="M146" i="32" s="1"/>
  <c r="L98" i="32"/>
  <c r="K98" i="32"/>
  <c r="K146" i="32" s="1"/>
  <c r="J98" i="32"/>
  <c r="I98" i="32"/>
  <c r="I146" i="32" s="1"/>
  <c r="H98" i="32"/>
  <c r="G98" i="32"/>
  <c r="F98" i="32"/>
  <c r="F146" i="32" s="1"/>
  <c r="E98" i="32"/>
  <c r="E146" i="32" s="1"/>
  <c r="D98" i="32"/>
  <c r="C98" i="32"/>
  <c r="C146" i="32" s="1"/>
  <c r="BO86" i="32"/>
  <c r="BN86" i="32"/>
  <c r="BN134" i="32" s="1"/>
  <c r="BM86" i="32"/>
  <c r="BM134" i="32" s="1"/>
  <c r="BL86" i="32"/>
  <c r="BL134" i="32" s="1"/>
  <c r="BK86" i="32"/>
  <c r="BK134" i="32" s="1"/>
  <c r="BJ86" i="32"/>
  <c r="BJ134" i="32" s="1"/>
  <c r="BI86" i="32"/>
  <c r="BI134" i="32" s="1"/>
  <c r="BH86" i="32"/>
  <c r="BG86" i="32"/>
  <c r="BF86" i="32"/>
  <c r="BF134" i="32" s="1"/>
  <c r="BE86" i="32"/>
  <c r="BE134" i="32" s="1"/>
  <c r="BD86" i="32"/>
  <c r="BD134" i="32" s="1"/>
  <c r="BC86" i="32"/>
  <c r="BC134" i="32" s="1"/>
  <c r="BB86" i="32"/>
  <c r="BB134" i="32" s="1"/>
  <c r="BA86" i="32"/>
  <c r="BA134" i="32" s="1"/>
  <c r="AZ86" i="32"/>
  <c r="AY86" i="32"/>
  <c r="AX86" i="32"/>
  <c r="AX134" i="32" s="1"/>
  <c r="AW86" i="32"/>
  <c r="AW134" i="32" s="1"/>
  <c r="AV86" i="32"/>
  <c r="AV134" i="32" s="1"/>
  <c r="AU86" i="32"/>
  <c r="AU134" i="32" s="1"/>
  <c r="AT86" i="32"/>
  <c r="AT134" i="32" s="1"/>
  <c r="AS86" i="32"/>
  <c r="AS134" i="32" s="1"/>
  <c r="AR86" i="32"/>
  <c r="AQ86" i="32"/>
  <c r="AP86" i="32"/>
  <c r="AP134" i="32" s="1"/>
  <c r="AO86" i="32"/>
  <c r="AO134" i="32" s="1"/>
  <c r="AN86" i="32"/>
  <c r="AM86" i="32"/>
  <c r="AL86" i="32"/>
  <c r="AK86" i="32"/>
  <c r="AJ86" i="32"/>
  <c r="AI86" i="32"/>
  <c r="AH86" i="32"/>
  <c r="AH134" i="32" s="1"/>
  <c r="AG86" i="32"/>
  <c r="AG134" i="32" s="1"/>
  <c r="AF86" i="32"/>
  <c r="AF134" i="32" s="1"/>
  <c r="AE86" i="32"/>
  <c r="AE134" i="32" s="1"/>
  <c r="AD86" i="32"/>
  <c r="AC86" i="32"/>
  <c r="AB86" i="32"/>
  <c r="AA86" i="32"/>
  <c r="Z86" i="32"/>
  <c r="Z134" i="32" s="1"/>
  <c r="Y86" i="32"/>
  <c r="Y134" i="32" s="1"/>
  <c r="X86" i="32"/>
  <c r="X134" i="32" s="1"/>
  <c r="W86" i="32"/>
  <c r="W134" i="32" s="1"/>
  <c r="V86" i="32"/>
  <c r="V134" i="32" s="1"/>
  <c r="U86" i="32"/>
  <c r="U134" i="32" s="1"/>
  <c r="T86" i="32"/>
  <c r="S86" i="32"/>
  <c r="R86" i="32"/>
  <c r="R134" i="32" s="1"/>
  <c r="Q86" i="32"/>
  <c r="Q134" i="32" s="1"/>
  <c r="P86" i="32"/>
  <c r="P134" i="32" s="1"/>
  <c r="O86" i="32"/>
  <c r="O134" i="32" s="1"/>
  <c r="N86" i="32"/>
  <c r="N134" i="32" s="1"/>
  <c r="M86" i="32"/>
  <c r="M134" i="32" s="1"/>
  <c r="L86" i="32"/>
  <c r="K86" i="32"/>
  <c r="J86" i="32"/>
  <c r="J134" i="32" s="1"/>
  <c r="I86" i="32"/>
  <c r="I134" i="32" s="1"/>
  <c r="H86" i="32"/>
  <c r="H134" i="32" s="1"/>
  <c r="G86" i="32"/>
  <c r="G134" i="32" s="1"/>
  <c r="F86" i="32"/>
  <c r="F134" i="32" s="1"/>
  <c r="E86" i="32"/>
  <c r="E134" i="32" s="1"/>
  <c r="D86" i="32"/>
  <c r="C86" i="32"/>
  <c r="BO77" i="32"/>
  <c r="BN77" i="32"/>
  <c r="BN125" i="32" s="1"/>
  <c r="BM77" i="32"/>
  <c r="BM125" i="32" s="1"/>
  <c r="BL77" i="32"/>
  <c r="BL125" i="32" s="1"/>
  <c r="BK77" i="32"/>
  <c r="BK125" i="32" s="1"/>
  <c r="BJ77" i="32"/>
  <c r="BJ125" i="32" s="1"/>
  <c r="BI77" i="32"/>
  <c r="BI125" i="32" s="1"/>
  <c r="BH77" i="32"/>
  <c r="BG77" i="32"/>
  <c r="BF77" i="32"/>
  <c r="BF125" i="32" s="1"/>
  <c r="BE77" i="32"/>
  <c r="BE125" i="32" s="1"/>
  <c r="BD77" i="32"/>
  <c r="BD125" i="32" s="1"/>
  <c r="BC77" i="32"/>
  <c r="BC125" i="32" s="1"/>
  <c r="BB77" i="32"/>
  <c r="BB125" i="32" s="1"/>
  <c r="BA77" i="32"/>
  <c r="BA125" i="32" s="1"/>
  <c r="AZ77" i="32"/>
  <c r="AY77" i="32"/>
  <c r="AX77" i="32"/>
  <c r="AX125" i="32" s="1"/>
  <c r="AW77" i="32"/>
  <c r="AW125" i="32" s="1"/>
  <c r="AV77" i="32"/>
  <c r="AV125" i="32" s="1"/>
  <c r="AU77" i="32"/>
  <c r="AU125" i="32" s="1"/>
  <c r="AT77" i="32"/>
  <c r="AT125" i="32" s="1"/>
  <c r="AS77" i="32"/>
  <c r="AS125" i="32" s="1"/>
  <c r="AR77" i="32"/>
  <c r="AQ77" i="32"/>
  <c r="AP77" i="32"/>
  <c r="AP125" i="32" s="1"/>
  <c r="AO77" i="32"/>
  <c r="AO125" i="32" s="1"/>
  <c r="AN77" i="32"/>
  <c r="AN125" i="32" s="1"/>
  <c r="AM77" i="32"/>
  <c r="AM125" i="32" s="1"/>
  <c r="AL77" i="32"/>
  <c r="AL125" i="32" s="1"/>
  <c r="AK77" i="32"/>
  <c r="AK125" i="32" s="1"/>
  <c r="AJ77" i="32"/>
  <c r="AI77" i="32"/>
  <c r="AH77" i="32"/>
  <c r="AH125" i="32" s="1"/>
  <c r="AG77" i="32"/>
  <c r="AG125" i="32" s="1"/>
  <c r="AF77" i="32"/>
  <c r="AF125" i="32" s="1"/>
  <c r="AE77" i="32"/>
  <c r="AE125" i="32" s="1"/>
  <c r="AD77" i="32"/>
  <c r="AD125" i="32" s="1"/>
  <c r="AC77" i="32"/>
  <c r="AC125" i="32" s="1"/>
  <c r="AB77" i="32"/>
  <c r="AA77" i="32"/>
  <c r="Z77" i="32"/>
  <c r="Z125" i="32" s="1"/>
  <c r="Y77" i="32"/>
  <c r="Y125" i="32" s="1"/>
  <c r="X77" i="32"/>
  <c r="X125" i="32" s="1"/>
  <c r="W77" i="32"/>
  <c r="W125" i="32" s="1"/>
  <c r="V77" i="32"/>
  <c r="V125" i="32" s="1"/>
  <c r="U77" i="32"/>
  <c r="U125" i="32" s="1"/>
  <c r="T77" i="32"/>
  <c r="S77" i="32"/>
  <c r="R77" i="32"/>
  <c r="R125" i="32" s="1"/>
  <c r="Q77" i="32"/>
  <c r="Q125" i="32" s="1"/>
  <c r="P77" i="32"/>
  <c r="P125" i="32" s="1"/>
  <c r="O77" i="32"/>
  <c r="O125" i="32" s="1"/>
  <c r="N77" i="32"/>
  <c r="N125" i="32" s="1"/>
  <c r="M77" i="32"/>
  <c r="M125" i="32" s="1"/>
  <c r="L77" i="32"/>
  <c r="K77" i="32"/>
  <c r="J77" i="32"/>
  <c r="J125" i="32" s="1"/>
  <c r="I77" i="32"/>
  <c r="I125" i="32" s="1"/>
  <c r="H77" i="32"/>
  <c r="H125" i="32" s="1"/>
  <c r="G77" i="32"/>
  <c r="G125" i="32" s="1"/>
  <c r="F77" i="32"/>
  <c r="F125" i="32" s="1"/>
  <c r="E77" i="32"/>
  <c r="E125" i="32" s="1"/>
  <c r="D77" i="32"/>
  <c r="C77" i="32"/>
  <c r="BO68" i="32"/>
  <c r="BO116" i="32" s="1"/>
  <c r="BN68" i="32"/>
  <c r="BN116" i="32" s="1"/>
  <c r="BM68" i="32"/>
  <c r="BM116" i="32" s="1"/>
  <c r="BL68" i="32"/>
  <c r="BL116" i="32" s="1"/>
  <c r="BK68" i="32"/>
  <c r="BJ68" i="32"/>
  <c r="BJ116" i="32" s="1"/>
  <c r="BI68" i="32"/>
  <c r="BH68" i="32"/>
  <c r="BG68" i="32"/>
  <c r="BG116" i="32" s="1"/>
  <c r="BF68" i="32"/>
  <c r="BE68" i="32"/>
  <c r="BE116" i="32" s="1"/>
  <c r="BD68" i="32"/>
  <c r="BD116" i="32" s="1"/>
  <c r="BC68" i="32"/>
  <c r="BB68" i="32"/>
  <c r="BB116" i="32" s="1"/>
  <c r="BA68" i="32"/>
  <c r="AZ68" i="32"/>
  <c r="AY68" i="32"/>
  <c r="AY116" i="32" s="1"/>
  <c r="AX68" i="32"/>
  <c r="AX116" i="32" s="1"/>
  <c r="AW68" i="32"/>
  <c r="AW116" i="32" s="1"/>
  <c r="AV68" i="32"/>
  <c r="AV116" i="32" s="1"/>
  <c r="AU68" i="32"/>
  <c r="AU116" i="32" s="1"/>
  <c r="AT68" i="32"/>
  <c r="AT116" i="32" s="1"/>
  <c r="AS68" i="32"/>
  <c r="AR68" i="32"/>
  <c r="AQ68" i="32"/>
  <c r="AQ116" i="32" s="1"/>
  <c r="AP68" i="32"/>
  <c r="AO68" i="32"/>
  <c r="AO116" i="32" s="1"/>
  <c r="AN68" i="32"/>
  <c r="AN116" i="32" s="1"/>
  <c r="AM68" i="32"/>
  <c r="AM116" i="32" s="1"/>
  <c r="AL68" i="32"/>
  <c r="AL116" i="32" s="1"/>
  <c r="AK68" i="32"/>
  <c r="AJ68" i="32"/>
  <c r="AI68" i="32"/>
  <c r="AI116" i="32" s="1"/>
  <c r="AH68" i="32"/>
  <c r="AH116" i="32" s="1"/>
  <c r="AG68" i="32"/>
  <c r="AG116" i="32" s="1"/>
  <c r="AF68" i="32"/>
  <c r="AF116" i="32" s="1"/>
  <c r="AE68" i="32"/>
  <c r="AE116" i="32" s="1"/>
  <c r="AD68" i="32"/>
  <c r="AD116" i="32" s="1"/>
  <c r="AC68" i="32"/>
  <c r="AB68" i="32"/>
  <c r="AA68" i="32"/>
  <c r="AA116" i="32" s="1"/>
  <c r="Z68" i="32"/>
  <c r="Z116" i="32" s="1"/>
  <c r="Y68" i="32"/>
  <c r="Y116" i="32" s="1"/>
  <c r="X68" i="32"/>
  <c r="X116" i="32" s="1"/>
  <c r="W68" i="32"/>
  <c r="W116" i="32" s="1"/>
  <c r="V68" i="32"/>
  <c r="V116" i="32" s="1"/>
  <c r="U68" i="32"/>
  <c r="T68" i="32"/>
  <c r="S68" i="32"/>
  <c r="S116" i="32" s="1"/>
  <c r="R68" i="32"/>
  <c r="R116" i="32" s="1"/>
  <c r="Q68" i="32"/>
  <c r="Q116" i="32" s="1"/>
  <c r="P68" i="32"/>
  <c r="P116" i="32" s="1"/>
  <c r="O68" i="32"/>
  <c r="N68" i="32"/>
  <c r="N116" i="32" s="1"/>
  <c r="M68" i="32"/>
  <c r="L68" i="32"/>
  <c r="K68" i="32"/>
  <c r="K116" i="32" s="1"/>
  <c r="J68" i="32"/>
  <c r="J116" i="32" s="1"/>
  <c r="I68" i="32"/>
  <c r="I116" i="32" s="1"/>
  <c r="H68" i="32"/>
  <c r="H116" i="32" s="1"/>
  <c r="G68" i="32"/>
  <c r="F68" i="32"/>
  <c r="F116" i="32" s="1"/>
  <c r="E68" i="32"/>
  <c r="D68" i="32"/>
  <c r="C68" i="32"/>
  <c r="C116" i="32" s="1"/>
  <c r="BO56" i="32"/>
  <c r="BO55" i="32" s="1"/>
  <c r="BO100" i="32" s="1"/>
  <c r="BN56" i="32"/>
  <c r="BN104" i="32" s="1"/>
  <c r="BM56" i="32"/>
  <c r="BM104" i="32" s="1"/>
  <c r="BL56" i="32"/>
  <c r="BL55" i="32" s="1"/>
  <c r="BL100" i="32" s="1"/>
  <c r="BK56" i="32"/>
  <c r="BK104" i="32" s="1"/>
  <c r="BJ56" i="32"/>
  <c r="BJ55" i="32" s="1"/>
  <c r="BJ103" i="32" s="1"/>
  <c r="BI56" i="32"/>
  <c r="BI104" i="32" s="1"/>
  <c r="BH56" i="32"/>
  <c r="BH55" i="32" s="1"/>
  <c r="BH100" i="32" s="1"/>
  <c r="BG56" i="32"/>
  <c r="BG55" i="32" s="1"/>
  <c r="BG100" i="32" s="1"/>
  <c r="BF56" i="32"/>
  <c r="BF104" i="32" s="1"/>
  <c r="BE56" i="32"/>
  <c r="BE104" i="32" s="1"/>
  <c r="BD56" i="32"/>
  <c r="BD55" i="32" s="1"/>
  <c r="BD103" i="32" s="1"/>
  <c r="BC56" i="32"/>
  <c r="BC104" i="32" s="1"/>
  <c r="BB56" i="32"/>
  <c r="BB55" i="32" s="1"/>
  <c r="BB100" i="32" s="1"/>
  <c r="BA56" i="32"/>
  <c r="BA104" i="32" s="1"/>
  <c r="AZ56" i="32"/>
  <c r="AZ55" i="32" s="1"/>
  <c r="AZ100" i="32" s="1"/>
  <c r="AY56" i="32"/>
  <c r="AY55" i="32" s="1"/>
  <c r="AY100" i="32" s="1"/>
  <c r="AX56" i="32"/>
  <c r="AX104" i="32" s="1"/>
  <c r="AW56" i="32"/>
  <c r="AW104" i="32" s="1"/>
  <c r="AV56" i="32"/>
  <c r="AV55" i="32" s="1"/>
  <c r="AV100" i="32" s="1"/>
  <c r="AU56" i="32"/>
  <c r="AU104" i="32" s="1"/>
  <c r="AT56" i="32"/>
  <c r="AT55" i="32" s="1"/>
  <c r="AT100" i="32" s="1"/>
  <c r="AS56" i="32"/>
  <c r="AS104" i="32" s="1"/>
  <c r="AR56" i="32"/>
  <c r="AR55" i="32" s="1"/>
  <c r="AR100" i="32" s="1"/>
  <c r="AQ56" i="32"/>
  <c r="AQ55" i="32" s="1"/>
  <c r="AQ100" i="32" s="1"/>
  <c r="AP56" i="32"/>
  <c r="AP104" i="32" s="1"/>
  <c r="AO56" i="32"/>
  <c r="AO104" i="32" s="1"/>
  <c r="AN56" i="32"/>
  <c r="AN55" i="32" s="1"/>
  <c r="AN103" i="32" s="1"/>
  <c r="AM56" i="32"/>
  <c r="AM104" i="32" s="1"/>
  <c r="AL56" i="32"/>
  <c r="AL55" i="32" s="1"/>
  <c r="AK56" i="32"/>
  <c r="AK104" i="32" s="1"/>
  <c r="AJ56" i="32"/>
  <c r="AJ55" i="32" s="1"/>
  <c r="AJ100" i="32" s="1"/>
  <c r="AI56" i="32"/>
  <c r="AI55" i="32" s="1"/>
  <c r="AI100" i="32" s="1"/>
  <c r="AH56" i="32"/>
  <c r="AH104" i="32" s="1"/>
  <c r="AG56" i="32"/>
  <c r="AG104" i="32" s="1"/>
  <c r="AF56" i="32"/>
  <c r="AF55" i="32" s="1"/>
  <c r="AF103" i="32" s="1"/>
  <c r="AE56" i="32"/>
  <c r="AE104" i="32" s="1"/>
  <c r="AD56" i="32"/>
  <c r="AD55" i="32" s="1"/>
  <c r="AD103" i="32" s="1"/>
  <c r="AC56" i="32"/>
  <c r="AC104" i="32" s="1"/>
  <c r="AB56" i="32"/>
  <c r="AB55" i="32" s="1"/>
  <c r="AB100" i="32" s="1"/>
  <c r="AA56" i="32"/>
  <c r="AA55" i="32" s="1"/>
  <c r="AA100" i="32" s="1"/>
  <c r="Z56" i="32"/>
  <c r="Z104" i="32" s="1"/>
  <c r="Y56" i="32"/>
  <c r="Y104" i="32" s="1"/>
  <c r="X56" i="32"/>
  <c r="X55" i="32" s="1"/>
  <c r="X103" i="32" s="1"/>
  <c r="W56" i="32"/>
  <c r="W104" i="32" s="1"/>
  <c r="V56" i="32"/>
  <c r="V55" i="32" s="1"/>
  <c r="V100" i="32" s="1"/>
  <c r="U56" i="32"/>
  <c r="U104" i="32" s="1"/>
  <c r="T56" i="32"/>
  <c r="T55" i="32" s="1"/>
  <c r="T100" i="32" s="1"/>
  <c r="S56" i="32"/>
  <c r="S55" i="32" s="1"/>
  <c r="S100" i="32" s="1"/>
  <c r="R56" i="32"/>
  <c r="R104" i="32" s="1"/>
  <c r="Q56" i="32"/>
  <c r="Q104" i="32" s="1"/>
  <c r="P56" i="32"/>
  <c r="P55" i="32" s="1"/>
  <c r="P100" i="32" s="1"/>
  <c r="O56" i="32"/>
  <c r="O104" i="32" s="1"/>
  <c r="N56" i="32"/>
  <c r="N55" i="32" s="1"/>
  <c r="N103" i="32" s="1"/>
  <c r="M56" i="32"/>
  <c r="M104" i="32" s="1"/>
  <c r="L56" i="32"/>
  <c r="L55" i="32" s="1"/>
  <c r="L100" i="32" s="1"/>
  <c r="K56" i="32"/>
  <c r="K55" i="32" s="1"/>
  <c r="K100" i="32" s="1"/>
  <c r="J56" i="32"/>
  <c r="J104" i="32" s="1"/>
  <c r="I56" i="32"/>
  <c r="I104" i="32" s="1"/>
  <c r="H56" i="32"/>
  <c r="H55" i="32" s="1"/>
  <c r="H100" i="32" s="1"/>
  <c r="G56" i="32"/>
  <c r="G104" i="32" s="1"/>
  <c r="F56" i="32"/>
  <c r="F55" i="32" s="1"/>
  <c r="F100" i="32" s="1"/>
  <c r="E56" i="32"/>
  <c r="E104" i="32" s="1"/>
  <c r="D56" i="32"/>
  <c r="D55" i="32" s="1"/>
  <c r="D100" i="32" s="1"/>
  <c r="C56" i="32"/>
  <c r="C55" i="32" s="1"/>
  <c r="C100" i="32" s="1"/>
  <c r="BN55" i="32"/>
  <c r="BN100" i="32" s="1"/>
  <c r="BI55" i="32"/>
  <c r="BI100" i="32" s="1"/>
  <c r="BA55" i="32"/>
  <c r="BA100" i="32" s="1"/>
  <c r="AU55" i="32"/>
  <c r="AU100" i="32" s="1"/>
  <c r="AS55" i="32"/>
  <c r="AS100" i="32" s="1"/>
  <c r="AM55" i="32"/>
  <c r="AK55" i="32"/>
  <c r="AC55" i="32"/>
  <c r="Z55" i="32"/>
  <c r="Z100" i="32" s="1"/>
  <c r="W55" i="32"/>
  <c r="W100" i="32" s="1"/>
  <c r="U55" i="32"/>
  <c r="U100" i="32" s="1"/>
  <c r="R55" i="32"/>
  <c r="R100" i="32" s="1"/>
  <c r="M55" i="32"/>
  <c r="M100" i="32" s="1"/>
  <c r="E55" i="32"/>
  <c r="E100" i="32" s="1"/>
  <c r="BO50" i="32"/>
  <c r="BN50" i="32"/>
  <c r="BM50"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C50" i="32"/>
  <c r="BO38" i="32"/>
  <c r="BN38" i="32"/>
  <c r="BM38" i="32"/>
  <c r="BL38" i="32"/>
  <c r="BK38" i="32"/>
  <c r="BJ38" i="32"/>
  <c r="BI38" i="32"/>
  <c r="BH38"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S38" i="32"/>
  <c r="R38" i="32"/>
  <c r="Q38" i="32"/>
  <c r="P38" i="32"/>
  <c r="O38" i="32"/>
  <c r="N38" i="32"/>
  <c r="M38" i="32"/>
  <c r="L38" i="32"/>
  <c r="K38" i="32"/>
  <c r="J38" i="32"/>
  <c r="I38" i="32"/>
  <c r="H38" i="32"/>
  <c r="G38" i="32"/>
  <c r="F38" i="32"/>
  <c r="E38" i="32"/>
  <c r="D38" i="32"/>
  <c r="C38"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BO20" i="32"/>
  <c r="BN20" i="32"/>
  <c r="BM20" i="32"/>
  <c r="BL20" i="32"/>
  <c r="BK20" i="32"/>
  <c r="BJ20" i="32"/>
  <c r="BI20" i="32"/>
  <c r="BH20" i="32"/>
  <c r="BG20" i="32"/>
  <c r="BF20" i="32"/>
  <c r="BE20" i="32"/>
  <c r="BD20" i="32"/>
  <c r="BC20" i="32"/>
  <c r="BB20" i="32"/>
  <c r="BA20" i="32"/>
  <c r="AZ20" i="32"/>
  <c r="AY20" i="32"/>
  <c r="AX20" i="32"/>
  <c r="AW20" i="32"/>
  <c r="AV20" i="32"/>
  <c r="AU20" i="32"/>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D20" i="32"/>
  <c r="C20" i="32"/>
  <c r="BO8" i="32"/>
  <c r="BN8" i="32"/>
  <c r="BM8" i="32"/>
  <c r="BL8" i="32"/>
  <c r="BK8" i="32"/>
  <c r="BJ8" i="32"/>
  <c r="BI8" i="32"/>
  <c r="BI7" i="32" s="1"/>
  <c r="BI52" i="32" s="1"/>
  <c r="BH8" i="32"/>
  <c r="BH7" i="32" s="1"/>
  <c r="BH52" i="32" s="1"/>
  <c r="BG8" i="32"/>
  <c r="BF8" i="32"/>
  <c r="BE8" i="32"/>
  <c r="BD8" i="32"/>
  <c r="BC8" i="32"/>
  <c r="BB8" i="32"/>
  <c r="BA8" i="32"/>
  <c r="BA7" i="32" s="1"/>
  <c r="BA52" i="32" s="1"/>
  <c r="AZ8" i="32"/>
  <c r="AZ7" i="32" s="1"/>
  <c r="AZ52" i="32" s="1"/>
  <c r="AY8" i="32"/>
  <c r="AX8" i="32"/>
  <c r="AW8" i="32"/>
  <c r="AV8" i="32"/>
  <c r="AU8" i="32"/>
  <c r="AT8" i="32"/>
  <c r="AS8" i="32"/>
  <c r="AS7" i="32" s="1"/>
  <c r="AS52" i="32" s="1"/>
  <c r="AR8" i="32"/>
  <c r="AR7" i="32" s="1"/>
  <c r="AR52" i="32" s="1"/>
  <c r="AQ8" i="32"/>
  <c r="AP8" i="32"/>
  <c r="AO8" i="32"/>
  <c r="AN8" i="32"/>
  <c r="AM8" i="32"/>
  <c r="AL8" i="32"/>
  <c r="AK8" i="32"/>
  <c r="AK7" i="32" s="1"/>
  <c r="AK52" i="32" s="1"/>
  <c r="AJ8" i="32"/>
  <c r="AJ7" i="32" s="1"/>
  <c r="AI8" i="32"/>
  <c r="AH8" i="32"/>
  <c r="AG8" i="32"/>
  <c r="AF8" i="32"/>
  <c r="AE8" i="32"/>
  <c r="AD8" i="32"/>
  <c r="AC8" i="32"/>
  <c r="AC7" i="32" s="1"/>
  <c r="AC52" i="32" s="1"/>
  <c r="AB8" i="32"/>
  <c r="AB7" i="32" s="1"/>
  <c r="AA8" i="32"/>
  <c r="Z8" i="32"/>
  <c r="Y8" i="32"/>
  <c r="X8" i="32"/>
  <c r="W8" i="32"/>
  <c r="V8" i="32"/>
  <c r="U8" i="32"/>
  <c r="U7" i="32" s="1"/>
  <c r="U52" i="32" s="1"/>
  <c r="T8" i="32"/>
  <c r="T7" i="32" s="1"/>
  <c r="T52" i="32" s="1"/>
  <c r="S8" i="32"/>
  <c r="R8" i="32"/>
  <c r="Q8" i="32"/>
  <c r="P8" i="32"/>
  <c r="O8" i="32"/>
  <c r="N8" i="32"/>
  <c r="M8" i="32"/>
  <c r="M7" i="32" s="1"/>
  <c r="M52" i="32" s="1"/>
  <c r="L8" i="32"/>
  <c r="L7" i="32" s="1"/>
  <c r="L52" i="32" s="1"/>
  <c r="K8" i="32"/>
  <c r="J8" i="32"/>
  <c r="I8" i="32"/>
  <c r="H8" i="32"/>
  <c r="G8" i="32"/>
  <c r="F8" i="32"/>
  <c r="E8" i="32"/>
  <c r="D8" i="32"/>
  <c r="D7" i="32" s="1"/>
  <c r="D52" i="32" s="1"/>
  <c r="C8" i="32"/>
  <c r="I7" i="32"/>
  <c r="I52" i="32" s="1"/>
  <c r="J7" i="32"/>
  <c r="J52" i="32" s="1"/>
  <c r="R7" i="32"/>
  <c r="R52" i="32" s="1"/>
  <c r="Z7" i="32"/>
  <c r="Z52" i="32" s="1"/>
  <c r="AH7" i="32"/>
  <c r="AH52" i="32" s="1"/>
  <c r="AP7" i="32"/>
  <c r="AP52" i="32" s="1"/>
  <c r="AX7" i="32"/>
  <c r="AX52" i="32" s="1"/>
  <c r="BE7" i="32"/>
  <c r="BE52" i="32" s="1"/>
  <c r="BF7" i="32"/>
  <c r="BF52" i="32" s="1"/>
  <c r="BN7" i="32"/>
  <c r="BN52" i="32" s="1"/>
  <c r="BJ7" i="32"/>
  <c r="BJ52" i="32" s="1"/>
  <c r="F7" i="32"/>
  <c r="F52" i="32" s="1"/>
  <c r="BL7" i="32"/>
  <c r="BL52" i="32" s="1"/>
  <c r="BK7" i="32"/>
  <c r="BK52" i="32" s="1"/>
  <c r="BD7" i="32"/>
  <c r="BD52" i="32" s="1"/>
  <c r="BC7" i="32"/>
  <c r="BC52" i="32" s="1"/>
  <c r="AY7" i="32"/>
  <c r="AY52" i="32" s="1"/>
  <c r="AV7" i="32"/>
  <c r="AV52" i="32" s="1"/>
  <c r="AU7" i="32"/>
  <c r="AU52" i="32" s="1"/>
  <c r="AQ7" i="32"/>
  <c r="AQ52" i="32" s="1"/>
  <c r="AN7" i="32"/>
  <c r="AM7" i="32"/>
  <c r="AI7" i="32"/>
  <c r="AF7" i="32"/>
  <c r="AE7" i="32"/>
  <c r="X7" i="32"/>
  <c r="X52" i="32" s="1"/>
  <c r="W7" i="32"/>
  <c r="W52" i="32" s="1"/>
  <c r="P7" i="32"/>
  <c r="P52" i="32" s="1"/>
  <c r="O7" i="32"/>
  <c r="O52" i="32" s="1"/>
  <c r="K7" i="32"/>
  <c r="K52" i="32" s="1"/>
  <c r="H7" i="32"/>
  <c r="H52" i="32" s="1"/>
  <c r="G7" i="32"/>
  <c r="G52" i="32" s="1"/>
  <c r="E7" i="32"/>
  <c r="E52" i="32" s="1"/>
  <c r="BN148" i="32" l="1"/>
  <c r="U103" i="32"/>
  <c r="U196" i="32"/>
  <c r="F196" i="32"/>
  <c r="F103" i="32"/>
  <c r="V103" i="32"/>
  <c r="V196" i="32"/>
  <c r="BB103" i="32"/>
  <c r="BB196" i="32"/>
  <c r="Q7" i="32"/>
  <c r="Q52" i="32" s="1"/>
  <c r="Y7" i="32"/>
  <c r="Y52" i="32" s="1"/>
  <c r="AG7" i="32"/>
  <c r="AO7" i="32"/>
  <c r="AO52" i="32" s="1"/>
  <c r="AW7" i="32"/>
  <c r="AW52" i="32" s="1"/>
  <c r="BM7" i="32"/>
  <c r="BM52" i="32" s="1"/>
  <c r="AE52" i="32"/>
  <c r="AM52" i="32"/>
  <c r="G55" i="32"/>
  <c r="G100" i="32" s="1"/>
  <c r="O55" i="32"/>
  <c r="O100" i="32" s="1"/>
  <c r="BC55" i="32"/>
  <c r="BC100" i="32" s="1"/>
  <c r="BK55" i="32"/>
  <c r="BK100" i="32" s="1"/>
  <c r="AC100" i="32"/>
  <c r="AK100" i="32"/>
  <c r="BL103" i="32"/>
  <c r="V104" i="32"/>
  <c r="AF104" i="32"/>
  <c r="BB104" i="32"/>
  <c r="BL104" i="32"/>
  <c r="G116" i="32"/>
  <c r="AV103" i="32"/>
  <c r="G103" i="32"/>
  <c r="W103" i="32"/>
  <c r="AM103" i="32"/>
  <c r="AU103" i="32"/>
  <c r="BC103" i="32"/>
  <c r="D134" i="32"/>
  <c r="L134" i="32"/>
  <c r="T134" i="32"/>
  <c r="AB134" i="32"/>
  <c r="AJ134" i="32"/>
  <c r="AR134" i="32"/>
  <c r="AZ134" i="32"/>
  <c r="BH134" i="32"/>
  <c r="AF52" i="32"/>
  <c r="AN52" i="32"/>
  <c r="AD100" i="32"/>
  <c r="AL100" i="32"/>
  <c r="Z103" i="32"/>
  <c r="AK196" i="32"/>
  <c r="D146" i="32"/>
  <c r="L146" i="32"/>
  <c r="T146" i="32"/>
  <c r="C7" i="32"/>
  <c r="C52" i="32" s="1"/>
  <c r="S7" i="32"/>
  <c r="S52" i="32" s="1"/>
  <c r="AA7" i="32"/>
  <c r="AA52" i="32" s="1"/>
  <c r="BG7" i="32"/>
  <c r="BG52" i="32" s="1"/>
  <c r="BO7" i="32"/>
  <c r="BO52" i="32" s="1"/>
  <c r="AG52" i="32"/>
  <c r="AM100" i="32"/>
  <c r="BN103" i="32"/>
  <c r="N104" i="32"/>
  <c r="X104" i="32"/>
  <c r="AT104" i="32"/>
  <c r="BD104" i="32"/>
  <c r="BK116" i="32"/>
  <c r="AD196" i="32"/>
  <c r="AL196" i="32"/>
  <c r="AP55" i="32"/>
  <c r="AX55" i="32"/>
  <c r="BF55" i="32"/>
  <c r="BF100" i="32" s="1"/>
  <c r="AN100" i="32"/>
  <c r="N100" i="32"/>
  <c r="AF100" i="32"/>
  <c r="BJ100" i="32"/>
  <c r="AP116" i="32"/>
  <c r="H103" i="32"/>
  <c r="AE196" i="32"/>
  <c r="AM196" i="32"/>
  <c r="AU196" i="32"/>
  <c r="BC196" i="32"/>
  <c r="BK196" i="32"/>
  <c r="AI52" i="32"/>
  <c r="P103" i="32"/>
  <c r="F104" i="32"/>
  <c r="P104" i="32"/>
  <c r="AL104" i="32"/>
  <c r="AV104" i="32"/>
  <c r="BC116" i="32"/>
  <c r="C103" i="32"/>
  <c r="K103" i="32"/>
  <c r="S103" i="32"/>
  <c r="AA103" i="32"/>
  <c r="AI103" i="32"/>
  <c r="AQ103" i="32"/>
  <c r="AY103" i="32"/>
  <c r="BG103" i="32"/>
  <c r="BO103" i="32"/>
  <c r="AF196" i="32"/>
  <c r="AN196" i="32"/>
  <c r="G146" i="32"/>
  <c r="O146" i="32"/>
  <c r="AV196" i="32"/>
  <c r="N7" i="32"/>
  <c r="N52" i="32" s="1"/>
  <c r="AB52" i="32"/>
  <c r="AJ52" i="32"/>
  <c r="AH100" i="32"/>
  <c r="X100" i="32"/>
  <c r="BD100" i="32"/>
  <c r="AG196" i="32"/>
  <c r="H146" i="32"/>
  <c r="P146" i="32"/>
  <c r="G196" i="32"/>
  <c r="O196" i="32"/>
  <c r="W196" i="32"/>
  <c r="R103" i="32"/>
  <c r="H104" i="32"/>
  <c r="AD104" i="32"/>
  <c r="AN104" i="32"/>
  <c r="BJ104" i="32"/>
  <c r="O116" i="32"/>
  <c r="BF103" i="32"/>
  <c r="D116" i="32"/>
  <c r="L116" i="32"/>
  <c r="T116" i="32"/>
  <c r="AB116" i="32"/>
  <c r="AJ116" i="32"/>
  <c r="AR116" i="32"/>
  <c r="AZ116" i="32"/>
  <c r="BH116" i="32"/>
  <c r="C125" i="32"/>
  <c r="K125" i="32"/>
  <c r="S125" i="32"/>
  <c r="AA125" i="32"/>
  <c r="AI125" i="32"/>
  <c r="AQ125" i="32"/>
  <c r="AY125" i="32"/>
  <c r="BG125" i="32"/>
  <c r="BO125" i="32"/>
  <c r="AH196" i="32"/>
  <c r="BM146" i="32"/>
  <c r="H196" i="32"/>
  <c r="BF196" i="32"/>
  <c r="BF116" i="32"/>
  <c r="AT103" i="32"/>
  <c r="BI103" i="32"/>
  <c r="E116" i="32"/>
  <c r="M116" i="32"/>
  <c r="U116" i="32"/>
  <c r="AC116" i="32"/>
  <c r="AK116" i="32"/>
  <c r="AS151" i="32"/>
  <c r="BA116" i="32"/>
  <c r="BI116" i="32"/>
  <c r="D125" i="32"/>
  <c r="L125" i="32"/>
  <c r="T125" i="32"/>
  <c r="AB125" i="32"/>
  <c r="AJ125" i="32"/>
  <c r="AR125" i="32"/>
  <c r="AZ125" i="32"/>
  <c r="BH125" i="32"/>
  <c r="C134" i="32"/>
  <c r="K134" i="32"/>
  <c r="S134" i="32"/>
  <c r="AA134" i="32"/>
  <c r="AI134" i="32"/>
  <c r="AQ134" i="32"/>
  <c r="AY134" i="32"/>
  <c r="BG134" i="32"/>
  <c r="BO134" i="32"/>
  <c r="J146" i="32"/>
  <c r="R146" i="32"/>
  <c r="BN146" i="32"/>
  <c r="I196" i="32"/>
  <c r="AQ196" i="32"/>
  <c r="AY196" i="32"/>
  <c r="BG196" i="32"/>
  <c r="BO196" i="32"/>
  <c r="BO148" i="32" s="1"/>
  <c r="AL134" i="32"/>
  <c r="AC134" i="32"/>
  <c r="AM134" i="32"/>
  <c r="AD134" i="32"/>
  <c r="AK134" i="32"/>
  <c r="AN134" i="32"/>
  <c r="AK151" i="32"/>
  <c r="AK103" i="32" s="1"/>
  <c r="M151" i="32"/>
  <c r="BA151" i="32"/>
  <c r="AC151" i="32"/>
  <c r="AC103" i="32" s="1"/>
  <c r="E151" i="32"/>
  <c r="AS116" i="32"/>
  <c r="D151" i="32"/>
  <c r="L151" i="32"/>
  <c r="T151" i="32"/>
  <c r="AB151" i="32"/>
  <c r="AJ151" i="32"/>
  <c r="AR151" i="32"/>
  <c r="AZ151" i="32"/>
  <c r="BH151" i="32"/>
  <c r="C104" i="32"/>
  <c r="K104" i="32"/>
  <c r="S104" i="32"/>
  <c r="AA104" i="32"/>
  <c r="AI104" i="32"/>
  <c r="AQ104" i="32"/>
  <c r="AY104" i="32"/>
  <c r="BG104" i="32"/>
  <c r="BO104" i="32"/>
  <c r="D104" i="32"/>
  <c r="L104" i="32"/>
  <c r="T104" i="32"/>
  <c r="AB104" i="32"/>
  <c r="AJ104" i="32"/>
  <c r="AR104" i="32"/>
  <c r="AZ104" i="32"/>
  <c r="BH104" i="32"/>
  <c r="AE55" i="32"/>
  <c r="AE100" i="32" s="1"/>
  <c r="AH55" i="32"/>
  <c r="AH103" i="32" s="1"/>
  <c r="J55" i="32"/>
  <c r="I55" i="32"/>
  <c r="I100" i="32" s="1"/>
  <c r="Q55" i="32"/>
  <c r="Y55" i="32"/>
  <c r="AG55" i="32"/>
  <c r="AG103" i="32" s="1"/>
  <c r="AO55" i="32"/>
  <c r="AW55" i="32"/>
  <c r="BE55" i="32"/>
  <c r="BM55" i="32"/>
  <c r="V7" i="32"/>
  <c r="V52" i="32" s="1"/>
  <c r="AD7" i="32"/>
  <c r="AD52" i="32" s="1"/>
  <c r="AL7" i="32"/>
  <c r="AL52" i="32" s="1"/>
  <c r="AT7" i="32"/>
  <c r="AT52" i="32" s="1"/>
  <c r="BB7" i="32"/>
  <c r="BB52" i="32" s="1"/>
  <c r="AO100" i="32" l="1"/>
  <c r="AO103" i="32"/>
  <c r="BH103" i="32"/>
  <c r="BH196" i="32"/>
  <c r="AS103" i="32"/>
  <c r="AS196" i="32"/>
  <c r="BK103" i="32"/>
  <c r="I103" i="32"/>
  <c r="Q100" i="32"/>
  <c r="Q103" i="32"/>
  <c r="AR103" i="32"/>
  <c r="AR196" i="32"/>
  <c r="AC196" i="32"/>
  <c r="D103" i="32"/>
  <c r="D196" i="32"/>
  <c r="AJ103" i="32"/>
  <c r="AJ196" i="32"/>
  <c r="Y100" i="32"/>
  <c r="Y103" i="32"/>
  <c r="BA103" i="32"/>
  <c r="BA196" i="32"/>
  <c r="BM100" i="32"/>
  <c r="BM148" i="32" s="1"/>
  <c r="BM103" i="32"/>
  <c r="M103" i="32"/>
  <c r="M196" i="32"/>
  <c r="AE103" i="32"/>
  <c r="E103" i="32"/>
  <c r="E196" i="32"/>
  <c r="J100" i="32"/>
  <c r="J103" i="32"/>
  <c r="AG100" i="32"/>
  <c r="T103" i="32"/>
  <c r="T196" i="32"/>
  <c r="AX100" i="32"/>
  <c r="AX103" i="32"/>
  <c r="AZ103" i="32"/>
  <c r="AZ196" i="32"/>
  <c r="AB103" i="32"/>
  <c r="AB196" i="32"/>
  <c r="BE103" i="32"/>
  <c r="BE100" i="32"/>
  <c r="AW100" i="32"/>
  <c r="AW103" i="32"/>
  <c r="L103" i="32"/>
  <c r="L196" i="32"/>
  <c r="AP100" i="32"/>
  <c r="AP103" i="32"/>
  <c r="O103" i="32"/>
  <c r="AK24" i="34"/>
  <c r="AK21" i="34"/>
  <c r="AK22" i="34" s="1"/>
  <c r="AK23" i="34" s="1"/>
  <c r="AO14" i="34"/>
  <c r="AO21" i="34"/>
  <c r="AO24" i="34"/>
  <c r="AO37" i="34"/>
  <c r="AO22" i="34" l="1"/>
  <c r="AO23" i="34" s="1"/>
  <c r="AO33" i="34" l="1"/>
  <c r="AO36" i="34" s="1"/>
  <c r="BP37" i="21"/>
  <c r="BO54" i="21" l="1"/>
  <c r="BO49" i="21"/>
  <c r="BP54" i="21"/>
  <c r="BP49" i="21"/>
  <c r="BP150" i="32" l="1"/>
  <c r="BP102" i="32"/>
  <c r="BP54" i="32"/>
  <c r="BP123" i="32" l="1"/>
  <c r="BP119" i="32"/>
  <c r="BP138" i="32"/>
  <c r="BP109" i="32"/>
  <c r="BP141" i="32"/>
  <c r="BP111" i="32"/>
  <c r="BP143" i="32"/>
  <c r="BP113" i="32"/>
  <c r="BP137" i="32"/>
  <c r="BP145" i="32"/>
  <c r="BP106" i="32"/>
  <c r="BL72" i="16"/>
  <c r="BL71" i="16"/>
  <c r="B51" i="16"/>
  <c r="BG72" i="16"/>
  <c r="BG73" i="16" s="1"/>
  <c r="BG74" i="16" s="1"/>
  <c r="BC72" i="16"/>
  <c r="BC73" i="16" s="1"/>
  <c r="BC74" i="16" s="1"/>
  <c r="AY72" i="16"/>
  <c r="AY73" i="16" s="1"/>
  <c r="AY74" i="16" s="1"/>
  <c r="AU72" i="16"/>
  <c r="AU73" i="16" s="1"/>
  <c r="AU74" i="16" s="1"/>
  <c r="AQ72" i="16"/>
  <c r="AQ73" i="16" s="1"/>
  <c r="AQ74" i="16" s="1"/>
  <c r="AM72" i="16"/>
  <c r="AM73" i="16" s="1"/>
  <c r="AM74" i="16" s="1"/>
  <c r="AI72" i="16"/>
  <c r="AI73" i="16" s="1"/>
  <c r="AI74" i="16" s="1"/>
  <c r="AE72" i="16"/>
  <c r="AE73" i="16" s="1"/>
  <c r="AE74" i="16" s="1"/>
  <c r="BH71" i="16"/>
  <c r="BH72" i="16" s="1"/>
  <c r="BH73" i="16" s="1"/>
  <c r="BH74" i="16" s="1"/>
  <c r="BG71" i="16"/>
  <c r="BF71" i="16"/>
  <c r="BF72" i="16" s="1"/>
  <c r="BF73" i="16" s="1"/>
  <c r="BF74" i="16" s="1"/>
  <c r="BE71" i="16"/>
  <c r="BE72" i="16" s="1"/>
  <c r="BE73" i="16" s="1"/>
  <c r="BE74" i="16" s="1"/>
  <c r="BD71" i="16"/>
  <c r="BD72" i="16" s="1"/>
  <c r="BD73" i="16" s="1"/>
  <c r="BD74" i="16" s="1"/>
  <c r="BC71" i="16"/>
  <c r="BB71" i="16"/>
  <c r="BB72" i="16" s="1"/>
  <c r="BB73" i="16" s="1"/>
  <c r="BB74" i="16" s="1"/>
  <c r="BA71" i="16"/>
  <c r="BA72" i="16" s="1"/>
  <c r="BA73" i="16" s="1"/>
  <c r="BA74" i="16" s="1"/>
  <c r="AZ71" i="16"/>
  <c r="AZ72" i="16" s="1"/>
  <c r="AZ73" i="16" s="1"/>
  <c r="AZ74" i="16" s="1"/>
  <c r="AY71" i="16"/>
  <c r="AX71" i="16"/>
  <c r="AX72" i="16" s="1"/>
  <c r="AX73" i="16" s="1"/>
  <c r="AX74" i="16" s="1"/>
  <c r="AW71" i="16"/>
  <c r="AW72" i="16" s="1"/>
  <c r="AW73" i="16" s="1"/>
  <c r="AW74" i="16" s="1"/>
  <c r="AV71" i="16"/>
  <c r="AV72" i="16" s="1"/>
  <c r="AV73" i="16" s="1"/>
  <c r="AV74" i="16" s="1"/>
  <c r="AU71" i="16"/>
  <c r="AT71" i="16"/>
  <c r="AT72" i="16" s="1"/>
  <c r="AT73" i="16" s="1"/>
  <c r="AT74" i="16" s="1"/>
  <c r="AS71" i="16"/>
  <c r="AS72" i="16" s="1"/>
  <c r="AS73" i="16" s="1"/>
  <c r="AS74" i="16" s="1"/>
  <c r="AR71" i="16"/>
  <c r="AR72" i="16" s="1"/>
  <c r="AR73" i="16" s="1"/>
  <c r="AR74" i="16" s="1"/>
  <c r="AQ71" i="16"/>
  <c r="AP71" i="16"/>
  <c r="AP72" i="16" s="1"/>
  <c r="AP73" i="16" s="1"/>
  <c r="AP74" i="16" s="1"/>
  <c r="AO71" i="16"/>
  <c r="AO72" i="16" s="1"/>
  <c r="AO73" i="16" s="1"/>
  <c r="AO74" i="16" s="1"/>
  <c r="AN71" i="16"/>
  <c r="AN72" i="16" s="1"/>
  <c r="AN73" i="16" s="1"/>
  <c r="AN74" i="16" s="1"/>
  <c r="AM71" i="16"/>
  <c r="AL71" i="16"/>
  <c r="AL72" i="16" s="1"/>
  <c r="AL73" i="16" s="1"/>
  <c r="AL74" i="16" s="1"/>
  <c r="AK71" i="16"/>
  <c r="AK72" i="16" s="1"/>
  <c r="AK73" i="16" s="1"/>
  <c r="AK74" i="16" s="1"/>
  <c r="AJ71" i="16"/>
  <c r="AJ72" i="16" s="1"/>
  <c r="AJ73" i="16" s="1"/>
  <c r="AJ74" i="16" s="1"/>
  <c r="AI71" i="16"/>
  <c r="AH71" i="16"/>
  <c r="AH72" i="16" s="1"/>
  <c r="AH73" i="16" s="1"/>
  <c r="AH74" i="16" s="1"/>
  <c r="AG71" i="16"/>
  <c r="AG72" i="16" s="1"/>
  <c r="AG73" i="16" s="1"/>
  <c r="AG74" i="16" s="1"/>
  <c r="AF71" i="16"/>
  <c r="AF72" i="16" s="1"/>
  <c r="AF73" i="16" s="1"/>
  <c r="AF74" i="16" s="1"/>
  <c r="AE71" i="16"/>
  <c r="AD71" i="16"/>
  <c r="AD72" i="16" s="1"/>
  <c r="AD73" i="16" s="1"/>
  <c r="AD74" i="16" s="1"/>
  <c r="AC71" i="16"/>
  <c r="AC72" i="16" s="1"/>
  <c r="AC73" i="16" s="1"/>
  <c r="AC74" i="16" s="1"/>
  <c r="AB71" i="16"/>
  <c r="AB72" i="16" s="1"/>
  <c r="AB73" i="16" s="1"/>
  <c r="AB74" i="16" s="1"/>
  <c r="BJ72" i="16"/>
  <c r="BJ73" i="16" s="1"/>
  <c r="BJ74" i="16" s="1"/>
  <c r="BI71" i="16"/>
  <c r="BI72" i="16" s="1"/>
  <c r="BI73" i="16" s="1"/>
  <c r="BI74" i="16" s="1"/>
  <c r="BJ71" i="16"/>
  <c r="BP139" i="32" l="1"/>
  <c r="BP108" i="32"/>
  <c r="BP133" i="32"/>
  <c r="BP140" i="32"/>
  <c r="BP107" i="32"/>
  <c r="BP136" i="32"/>
  <c r="BP142" i="32"/>
  <c r="BP144" i="32"/>
  <c r="BP128" i="32"/>
  <c r="BP105" i="32"/>
  <c r="BP112" i="32"/>
  <c r="BL73" i="16"/>
  <c r="B50" i="16"/>
  <c r="B49" i="16"/>
  <c r="B48" i="16"/>
  <c r="B47" i="16"/>
  <c r="B46" i="16"/>
  <c r="B45" i="16"/>
  <c r="B44" i="16"/>
  <c r="B15" i="13"/>
  <c r="B21" i="13"/>
  <c r="BL74" i="16" l="1"/>
  <c r="AU18" i="13"/>
  <c r="BJ43" i="35" l="1"/>
  <c r="BI43" i="35"/>
  <c r="BH43" i="35"/>
  <c r="BG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AN43" i="34"/>
  <c r="AM43" i="34"/>
  <c r="T43" i="34"/>
  <c r="R43" i="34"/>
  <c r="F43" i="34"/>
  <c r="E43" i="34"/>
  <c r="D43" i="34"/>
  <c r="C43" i="34"/>
  <c r="AY54" i="21" l="1"/>
  <c r="BB29" i="16" l="1"/>
  <c r="BM150" i="32" l="1"/>
  <c r="BL150" i="32"/>
  <c r="BK150" i="32"/>
  <c r="BJ150" i="32"/>
  <c r="BI150" i="32"/>
  <c r="BH150" i="32"/>
  <c r="BG150" i="32"/>
  <c r="BF150" i="32"/>
  <c r="BE150" i="32"/>
  <c r="BD150" i="32"/>
  <c r="BC150" i="32"/>
  <c r="BB150" i="32"/>
  <c r="BA150" i="32"/>
  <c r="AZ150" i="32"/>
  <c r="AY150" i="32"/>
  <c r="AX150" i="32"/>
  <c r="AW150" i="32"/>
  <c r="AV150" i="32"/>
  <c r="AU150" i="32"/>
  <c r="AT150" i="32"/>
  <c r="AS150" i="32"/>
  <c r="AR150" i="32"/>
  <c r="AQ150" i="32"/>
  <c r="AP150" i="32"/>
  <c r="AO150" i="32"/>
  <c r="AN150" i="32"/>
  <c r="AM150" i="32"/>
  <c r="AL150" i="32"/>
  <c r="AK150" i="32"/>
  <c r="AJ150" i="32"/>
  <c r="AI150" i="32"/>
  <c r="AH150" i="32"/>
  <c r="AG150" i="32"/>
  <c r="AF150" i="32"/>
  <c r="AE150" i="32"/>
  <c r="AD150" i="32"/>
  <c r="AC150" i="32"/>
  <c r="AB150" i="32"/>
  <c r="AA150" i="32"/>
  <c r="Z150" i="32"/>
  <c r="Y150" i="32"/>
  <c r="X150" i="32"/>
  <c r="W150" i="32"/>
  <c r="V150" i="32"/>
  <c r="U150" i="32"/>
  <c r="T150" i="32"/>
  <c r="S150" i="32"/>
  <c r="R150" i="32"/>
  <c r="Q150" i="32"/>
  <c r="P150" i="32"/>
  <c r="O150" i="32"/>
  <c r="N150" i="32"/>
  <c r="M150" i="32"/>
  <c r="L150" i="32"/>
  <c r="K150" i="32"/>
  <c r="J150" i="32"/>
  <c r="I150" i="32"/>
  <c r="H150" i="32"/>
  <c r="G150" i="32"/>
  <c r="F150" i="32"/>
  <c r="E150" i="32"/>
  <c r="D150" i="32"/>
  <c r="C150" i="32"/>
  <c r="AR23" i="35" l="1"/>
  <c r="BM54" i="21" l="1"/>
  <c r="BL54" i="21"/>
  <c r="BK54" i="21"/>
  <c r="BJ54" i="21"/>
  <c r="BI54" i="21"/>
  <c r="BH54" i="21"/>
  <c r="BG54" i="21"/>
  <c r="BF54" i="21"/>
  <c r="BE54" i="21"/>
  <c r="BD54" i="21"/>
  <c r="BC54" i="21"/>
  <c r="BB54" i="21"/>
  <c r="BA54" i="21"/>
  <c r="AZ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M102" i="32"/>
  <c r="BL102" i="32"/>
  <c r="BK102" i="32"/>
  <c r="BJ102" i="32"/>
  <c r="BI102" i="32"/>
  <c r="BH102" i="32"/>
  <c r="BG102" i="32"/>
  <c r="BF102"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R102" i="32"/>
  <c r="Q102" i="32"/>
  <c r="P102" i="32"/>
  <c r="O102" i="32"/>
  <c r="N102" i="32"/>
  <c r="M102" i="32"/>
  <c r="L102" i="32"/>
  <c r="K102" i="32"/>
  <c r="J102" i="32"/>
  <c r="I102" i="32"/>
  <c r="H102" i="32"/>
  <c r="G102" i="32"/>
  <c r="F102" i="32"/>
  <c r="E102" i="32"/>
  <c r="D102" i="32"/>
  <c r="C102" i="32"/>
  <c r="BM54" i="32"/>
  <c r="BL54" i="32"/>
  <c r="BK54" i="32"/>
  <c r="BJ54" i="32"/>
  <c r="BI54" i="32"/>
  <c r="BH54" i="32"/>
  <c r="BG54" i="32"/>
  <c r="BF54" i="32"/>
  <c r="BE54" i="32"/>
  <c r="BD54" i="32"/>
  <c r="BC54" i="32"/>
  <c r="BB54" i="32"/>
  <c r="BA54" i="32"/>
  <c r="AZ54" i="32"/>
  <c r="AY54" i="32"/>
  <c r="AX54"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R54" i="32"/>
  <c r="Q54" i="32"/>
  <c r="P54" i="32"/>
  <c r="O54" i="32"/>
  <c r="N54" i="32"/>
  <c r="M54" i="32"/>
  <c r="L54" i="32"/>
  <c r="K54" i="32"/>
  <c r="J54" i="32"/>
  <c r="I54" i="32"/>
  <c r="H54" i="32"/>
  <c r="G54" i="32"/>
  <c r="F54" i="32"/>
  <c r="E54" i="32"/>
  <c r="D54" i="32"/>
  <c r="C54" i="32"/>
  <c r="BE42" i="35" l="1"/>
  <c r="AI7" i="13" l="1"/>
  <c r="AI18" i="13"/>
  <c r="AI29" i="13"/>
  <c r="AI36" i="13"/>
  <c r="AI53" i="13"/>
  <c r="AI35" i="13" l="1"/>
  <c r="AI6" i="13"/>
  <c r="AI66" i="13" l="1"/>
  <c r="BH26" i="16" l="1"/>
  <c r="BG26" i="16"/>
  <c r="BD26" i="16"/>
  <c r="BC26" i="16"/>
  <c r="BB26" i="16"/>
  <c r="BA26" i="16"/>
  <c r="BF26" i="16"/>
  <c r="BF36" i="35" l="1"/>
  <c r="B44" i="35" l="1"/>
  <c r="B43" i="35"/>
  <c r="AA42" i="35"/>
  <c r="B42" i="35"/>
  <c r="B41" i="35"/>
  <c r="BD40" i="35"/>
  <c r="BC40" i="35"/>
  <c r="BB40" i="35"/>
  <c r="BA40" i="35"/>
  <c r="B40" i="35"/>
  <c r="B39" i="35"/>
  <c r="B38" i="35"/>
  <c r="BF37" i="35"/>
  <c r="AZ37" i="35"/>
  <c r="AZ40" i="35" s="1"/>
  <c r="AZ42" i="35" s="1"/>
  <c r="AY37" i="35"/>
  <c r="AX37" i="35"/>
  <c r="AW37" i="35"/>
  <c r="AV37" i="35"/>
  <c r="AU37" i="35"/>
  <c r="AU40" i="35" s="1"/>
  <c r="AU42" i="35" s="1"/>
  <c r="AT37" i="35"/>
  <c r="AP37" i="35"/>
  <c r="AP40" i="35" s="1"/>
  <c r="AP42" i="35" s="1"/>
  <c r="AO37" i="35"/>
  <c r="AM37" i="35"/>
  <c r="AK37" i="35"/>
  <c r="AK40" i="35" s="1"/>
  <c r="AK42" i="35" s="1"/>
  <c r="AJ37" i="35"/>
  <c r="AJ40" i="35" s="1"/>
  <c r="AJ42" i="35" s="1"/>
  <c r="AI37" i="35"/>
  <c r="AI40" i="35" s="1"/>
  <c r="AI42" i="35" s="1"/>
  <c r="AH37" i="35"/>
  <c r="AH40" i="35" s="1"/>
  <c r="AH42" i="35" s="1"/>
  <c r="AG37" i="35"/>
  <c r="AG40" i="35" s="1"/>
  <c r="AG42" i="35" s="1"/>
  <c r="AF37" i="35"/>
  <c r="AF40" i="35" s="1"/>
  <c r="AF42" i="35" s="1"/>
  <c r="AE37" i="35"/>
  <c r="AE40" i="35" s="1"/>
  <c r="AE42" i="35" s="1"/>
  <c r="AD37" i="35"/>
  <c r="AD40" i="35" s="1"/>
  <c r="AD42" i="35" s="1"/>
  <c r="AC37" i="35"/>
  <c r="AC40" i="35" s="1"/>
  <c r="AC42" i="35" s="1"/>
  <c r="AB37" i="35"/>
  <c r="AB40" i="35" s="1"/>
  <c r="AB42" i="35" s="1"/>
  <c r="AA37" i="35"/>
  <c r="Z37" i="35"/>
  <c r="Y37" i="35"/>
  <c r="X37" i="35"/>
  <c r="W37" i="35"/>
  <c r="V37" i="35"/>
  <c r="U37" i="35"/>
  <c r="T37" i="35"/>
  <c r="S37" i="35"/>
  <c r="R37" i="35"/>
  <c r="Q37" i="35"/>
  <c r="P37" i="35"/>
  <c r="O37" i="35"/>
  <c r="N37" i="35"/>
  <c r="M37" i="35"/>
  <c r="L37" i="35"/>
  <c r="K37" i="35"/>
  <c r="J37" i="35"/>
  <c r="I37" i="35"/>
  <c r="H37" i="35"/>
  <c r="G37"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B5" i="35"/>
  <c r="AV40" i="35" l="1"/>
  <c r="AX40" i="35"/>
  <c r="AY40" i="35"/>
  <c r="BA42" i="35"/>
  <c r="BB42" i="35"/>
  <c r="BC42" i="35"/>
  <c r="BD42" i="35"/>
  <c r="BF42" i="35"/>
  <c r="BF43" i="35" l="1"/>
  <c r="AV42" i="35"/>
  <c r="AX42" i="35"/>
  <c r="AY42" i="35"/>
  <c r="AL37" i="34" l="1"/>
  <c r="AL40" i="34" l="1"/>
  <c r="B44" i="34"/>
  <c r="B43" i="34"/>
  <c r="B42" i="34"/>
  <c r="B41" i="34"/>
  <c r="B40" i="34"/>
  <c r="B39" i="34"/>
  <c r="B38" i="34"/>
  <c r="AM37" i="34"/>
  <c r="AI37" i="34"/>
  <c r="AH37" i="34"/>
  <c r="AG37" i="34"/>
  <c r="AE37" i="34"/>
  <c r="AD37" i="34"/>
  <c r="AC37" i="34"/>
  <c r="AB37" i="34"/>
  <c r="Z37" i="34"/>
  <c r="Y37" i="34"/>
  <c r="X37" i="34"/>
  <c r="W37" i="34"/>
  <c r="U37" i="34"/>
  <c r="S37" i="34"/>
  <c r="Q37" i="34"/>
  <c r="Q40" i="34" s="1"/>
  <c r="Q42" i="34" s="1"/>
  <c r="Q43" i="34" s="1"/>
  <c r="P37" i="34"/>
  <c r="P40" i="34" s="1"/>
  <c r="P42" i="34" s="1"/>
  <c r="P43" i="34" s="1"/>
  <c r="O37" i="34"/>
  <c r="N37" i="34"/>
  <c r="N40" i="34" s="1"/>
  <c r="N42" i="34" s="1"/>
  <c r="N43" i="34" s="1"/>
  <c r="M37" i="34"/>
  <c r="M40" i="34" s="1"/>
  <c r="M42" i="34" s="1"/>
  <c r="M43" i="34" s="1"/>
  <c r="L37" i="34"/>
  <c r="L40" i="34" s="1"/>
  <c r="L42" i="34" s="1"/>
  <c r="L43" i="34" s="1"/>
  <c r="K37" i="34"/>
  <c r="K40" i="34" s="1"/>
  <c r="K42" i="34" s="1"/>
  <c r="K43" i="34" s="1"/>
  <c r="J37" i="34"/>
  <c r="I37" i="34"/>
  <c r="I40" i="34" s="1"/>
  <c r="I42" i="34" s="1"/>
  <c r="I43" i="34" s="1"/>
  <c r="H37" i="34"/>
  <c r="H40" i="34" s="1"/>
  <c r="H42" i="34" s="1"/>
  <c r="H43" i="34" s="1"/>
  <c r="G37" i="34"/>
  <c r="G40" i="34" s="1"/>
  <c r="G42" i="34" s="1"/>
  <c r="G43" i="34" s="1"/>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A24" i="16" l="1"/>
  <c r="BB24" i="16"/>
  <c r="BC24" i="16"/>
  <c r="BF24" i="16"/>
  <c r="BG24" i="16"/>
  <c r="BD24" i="16"/>
  <c r="BH24" i="16"/>
  <c r="U40" i="34"/>
  <c r="AH40" i="34"/>
  <c r="AI40" i="34"/>
  <c r="AC40" i="34"/>
  <c r="AE40" i="34"/>
  <c r="X40" i="34"/>
  <c r="Y40" i="34"/>
  <c r="AG40" i="34"/>
  <c r="J40" i="34"/>
  <c r="Z40" i="34"/>
  <c r="S40" i="34"/>
  <c r="AB40" i="34"/>
  <c r="O40" i="34"/>
  <c r="W40" i="34"/>
  <c r="AD40" i="34"/>
  <c r="AM40" i="34"/>
  <c r="AL42" i="34"/>
  <c r="AL43" i="34" l="1"/>
  <c r="AI42" i="34"/>
  <c r="U42" i="34"/>
  <c r="U43" i="34" s="1"/>
  <c r="AE42" i="34"/>
  <c r="AE43" i="34" s="1"/>
  <c r="AC42" i="34"/>
  <c r="AC43" i="34" s="1"/>
  <c r="AH42" i="34"/>
  <c r="AH43" i="34" s="1"/>
  <c r="AB42" i="34"/>
  <c r="AB43" i="34" s="1"/>
  <c r="J42" i="34"/>
  <c r="J43" i="34" s="1"/>
  <c r="AG42" i="34"/>
  <c r="AG43" i="34" s="1"/>
  <c r="W42" i="34"/>
  <c r="W43" i="34" s="1"/>
  <c r="S42" i="34"/>
  <c r="S43" i="34" s="1"/>
  <c r="Y42" i="34"/>
  <c r="Y43" i="34" s="1"/>
  <c r="O42" i="34"/>
  <c r="O43" i="34" s="1"/>
  <c r="Z42" i="34"/>
  <c r="Z43" i="34" s="1"/>
  <c r="X42" i="34"/>
  <c r="X43" i="34" s="1"/>
  <c r="AD42" i="34"/>
  <c r="AD43" i="34" s="1"/>
  <c r="AI43" i="34" l="1"/>
  <c r="B68" i="16"/>
  <c r="B67" i="16"/>
  <c r="B66" i="16"/>
  <c r="B65" i="16"/>
  <c r="B64" i="16"/>
  <c r="B21" i="28" l="1"/>
  <c r="BK146" i="32"/>
  <c r="BJ146" i="32"/>
  <c r="BL146" i="32"/>
  <c r="BI146" i="32"/>
  <c r="BH146" i="32"/>
  <c r="BG146" i="32"/>
  <c r="B33" i="16" l="1"/>
  <c r="BL148" i="32" l="1"/>
  <c r="BH148" i="32"/>
  <c r="BK148" i="32"/>
  <c r="BI148" i="32"/>
  <c r="BJ148" i="32"/>
  <c r="BG148" i="32"/>
  <c r="B54" i="32"/>
  <c r="B101" i="32"/>
  <c r="B150" i="32" l="1"/>
  <c r="B102" i="32"/>
  <c r="B6" i="32"/>
  <c r="BF101" i="32" l="1"/>
  <c r="AS53" i="13" l="1"/>
  <c r="AR53" i="13"/>
  <c r="AQ53" i="13"/>
  <c r="AP53" i="13"/>
  <c r="AO53" i="13"/>
  <c r="AN53" i="13"/>
  <c r="AM53" i="13"/>
  <c r="AL53" i="13"/>
  <c r="AK53" i="13"/>
  <c r="AJ53" i="13"/>
  <c r="AH53" i="13"/>
  <c r="AG53" i="13"/>
  <c r="AF53" i="13"/>
  <c r="AE53" i="13"/>
  <c r="AD53" i="13"/>
  <c r="AC53" i="13"/>
  <c r="AB53" i="13"/>
  <c r="AA53" i="13"/>
  <c r="Z53" i="13"/>
  <c r="Y53" i="13"/>
  <c r="X53" i="13"/>
  <c r="W53" i="13"/>
  <c r="V53" i="13"/>
  <c r="U53" i="13"/>
  <c r="T53" i="13"/>
  <c r="AS36" i="13"/>
  <c r="AR36" i="13"/>
  <c r="AQ36" i="13"/>
  <c r="AP36" i="13"/>
  <c r="AO36" i="13"/>
  <c r="AN36" i="13"/>
  <c r="AM36" i="13"/>
  <c r="AL36" i="13"/>
  <c r="AK36" i="13"/>
  <c r="AJ36" i="13"/>
  <c r="AH36" i="13"/>
  <c r="AG36" i="13"/>
  <c r="AF36" i="13"/>
  <c r="AE36" i="13"/>
  <c r="AD36" i="13"/>
  <c r="AC36" i="13"/>
  <c r="AB36" i="13"/>
  <c r="AA36" i="13"/>
  <c r="Z36" i="13"/>
  <c r="Y36" i="13"/>
  <c r="X36" i="13"/>
  <c r="W36" i="13"/>
  <c r="V36" i="13"/>
  <c r="U36" i="13"/>
  <c r="T36" i="13"/>
  <c r="AS29" i="13"/>
  <c r="AR29" i="13"/>
  <c r="AQ29" i="13"/>
  <c r="AP29" i="13"/>
  <c r="AO29" i="13"/>
  <c r="AN29" i="13"/>
  <c r="AM29" i="13"/>
  <c r="AL29" i="13"/>
  <c r="AK29" i="13"/>
  <c r="AJ29" i="13"/>
  <c r="AH29" i="13"/>
  <c r="AG29" i="13"/>
  <c r="AF29" i="13"/>
  <c r="AE29" i="13"/>
  <c r="AD29" i="13"/>
  <c r="AC29" i="13"/>
  <c r="AB29" i="13"/>
  <c r="AA29" i="13"/>
  <c r="Z29" i="13"/>
  <c r="Y29" i="13"/>
  <c r="X29" i="13"/>
  <c r="W29" i="13"/>
  <c r="V29" i="13"/>
  <c r="U29" i="13"/>
  <c r="T29" i="13"/>
  <c r="AS18" i="13"/>
  <c r="AR18" i="13"/>
  <c r="AQ18" i="13"/>
  <c r="AP18" i="13"/>
  <c r="AO18" i="13"/>
  <c r="AN18" i="13"/>
  <c r="AM18" i="13"/>
  <c r="AL18" i="13"/>
  <c r="AK18" i="13"/>
  <c r="AJ18" i="13"/>
  <c r="AH18" i="13"/>
  <c r="AG18" i="13"/>
  <c r="AF18" i="13"/>
  <c r="AE18" i="13"/>
  <c r="AD18" i="13"/>
  <c r="AC18" i="13"/>
  <c r="AB18" i="13"/>
  <c r="AA18" i="13"/>
  <c r="Z18" i="13"/>
  <c r="Y18" i="13"/>
  <c r="X18" i="13"/>
  <c r="W18" i="13"/>
  <c r="V18" i="13"/>
  <c r="U18" i="13"/>
  <c r="T18" i="13"/>
  <c r="AS7" i="13"/>
  <c r="AR7" i="13"/>
  <c r="AQ7" i="13"/>
  <c r="AP7" i="13"/>
  <c r="AO7" i="13"/>
  <c r="AN7" i="13"/>
  <c r="AM7" i="13"/>
  <c r="AL7" i="13"/>
  <c r="AK7" i="13"/>
  <c r="AJ7" i="13"/>
  <c r="AH7" i="13"/>
  <c r="AG7" i="13"/>
  <c r="AF7" i="13"/>
  <c r="AE7" i="13"/>
  <c r="AD7" i="13"/>
  <c r="AC7" i="13"/>
  <c r="AB7" i="13"/>
  <c r="AA7" i="13"/>
  <c r="Z7" i="13"/>
  <c r="Y7" i="13"/>
  <c r="X7" i="13"/>
  <c r="W7" i="13"/>
  <c r="V7" i="13"/>
  <c r="U7" i="13"/>
  <c r="T7" i="13"/>
  <c r="AF52" i="31"/>
  <c r="AE52" i="31"/>
  <c r="AD52" i="31"/>
  <c r="AC52" i="31"/>
  <c r="AB52" i="31"/>
  <c r="AA52" i="31"/>
  <c r="Z52" i="31"/>
  <c r="Y52" i="31"/>
  <c r="X52" i="31"/>
  <c r="W52" i="31"/>
  <c r="V52" i="31"/>
  <c r="U52" i="31"/>
  <c r="T52" i="31"/>
  <c r="S52" i="31"/>
  <c r="R52" i="31"/>
  <c r="Q52" i="31"/>
  <c r="P52" i="31"/>
  <c r="O52" i="31"/>
  <c r="AF35" i="31"/>
  <c r="AE35" i="31"/>
  <c r="AD35" i="31"/>
  <c r="AC35" i="31"/>
  <c r="AB35" i="31"/>
  <c r="AB34" i="31" s="1"/>
  <c r="AA35" i="31"/>
  <c r="Z35" i="31"/>
  <c r="Y35" i="31"/>
  <c r="X35" i="31"/>
  <c r="W35" i="31"/>
  <c r="V35" i="31"/>
  <c r="U35" i="31"/>
  <c r="T35" i="31"/>
  <c r="S35" i="31"/>
  <c r="R35" i="31"/>
  <c r="Q35" i="31"/>
  <c r="P35" i="31"/>
  <c r="O35" i="31"/>
  <c r="AF28" i="31"/>
  <c r="AE28" i="31"/>
  <c r="AD28" i="31"/>
  <c r="AC28" i="31"/>
  <c r="AB28" i="31"/>
  <c r="AA28" i="31"/>
  <c r="Z28" i="31"/>
  <c r="Y28" i="31"/>
  <c r="X28" i="31"/>
  <c r="W28" i="31"/>
  <c r="V28" i="31"/>
  <c r="U28" i="31"/>
  <c r="T28" i="31"/>
  <c r="S28" i="31"/>
  <c r="R28" i="31"/>
  <c r="Q28" i="31"/>
  <c r="P28" i="31"/>
  <c r="O28" i="31"/>
  <c r="AF18" i="31"/>
  <c r="AE18" i="31"/>
  <c r="AD18" i="31"/>
  <c r="AC18" i="31"/>
  <c r="AB18" i="31"/>
  <c r="AA18" i="31"/>
  <c r="Z18" i="31"/>
  <c r="Y18" i="31"/>
  <c r="X18" i="31"/>
  <c r="W18" i="31"/>
  <c r="V18" i="31"/>
  <c r="U18" i="31"/>
  <c r="T18" i="31"/>
  <c r="S18" i="31"/>
  <c r="R18" i="31"/>
  <c r="Q18" i="31"/>
  <c r="P18" i="31"/>
  <c r="O18" i="31"/>
  <c r="AF7" i="31"/>
  <c r="AE7" i="31"/>
  <c r="AD7" i="31"/>
  <c r="AC7" i="31"/>
  <c r="AB7" i="31"/>
  <c r="AA7" i="31"/>
  <c r="Z7" i="31"/>
  <c r="Y7" i="31"/>
  <c r="X7" i="31"/>
  <c r="W7" i="31"/>
  <c r="V7" i="31"/>
  <c r="U7" i="31"/>
  <c r="T7" i="31"/>
  <c r="S7" i="31"/>
  <c r="R7" i="31"/>
  <c r="Q7" i="31"/>
  <c r="P7" i="31"/>
  <c r="O7" i="31"/>
  <c r="W6" i="13" l="1"/>
  <c r="Y35" i="13"/>
  <c r="O34" i="31"/>
  <c r="V34" i="31"/>
  <c r="W34" i="31"/>
  <c r="Z34" i="31"/>
  <c r="AJ35" i="13"/>
  <c r="U6" i="31"/>
  <c r="Z6" i="31"/>
  <c r="T34" i="31"/>
  <c r="AG35" i="13"/>
  <c r="Z6" i="13"/>
  <c r="AL35" i="13"/>
  <c r="AM6" i="13"/>
  <c r="AN6" i="13"/>
  <c r="AC6" i="31"/>
  <c r="AB6" i="31"/>
  <c r="AD34" i="31"/>
  <c r="Z35" i="13"/>
  <c r="AH35" i="13"/>
  <c r="W35" i="13"/>
  <c r="W66" i="13" s="1"/>
  <c r="AE35" i="13"/>
  <c r="AM35" i="13"/>
  <c r="X6" i="13"/>
  <c r="X35" i="13"/>
  <c r="AF35" i="13"/>
  <c r="AO35" i="13"/>
  <c r="AA6" i="13"/>
  <c r="AQ6" i="13"/>
  <c r="AF6" i="13"/>
  <c r="T35" i="13"/>
  <c r="AB35" i="13"/>
  <c r="Y6" i="13"/>
  <c r="AG6" i="13"/>
  <c r="AO6" i="13"/>
  <c r="U35" i="13"/>
  <c r="AC35" i="13"/>
  <c r="AK35" i="13"/>
  <c r="AR35" i="13"/>
  <c r="AP35" i="13"/>
  <c r="AA35" i="13"/>
  <c r="AQ35" i="13"/>
  <c r="AN35" i="13"/>
  <c r="R6" i="31"/>
  <c r="T6" i="31"/>
  <c r="S6" i="31"/>
  <c r="S34" i="31"/>
  <c r="AA34" i="31"/>
  <c r="P34" i="31"/>
  <c r="X34" i="31"/>
  <c r="AA6" i="31"/>
  <c r="Q34" i="31"/>
  <c r="Y34" i="31"/>
  <c r="AF34" i="31"/>
  <c r="AE6" i="13"/>
  <c r="Y6" i="31"/>
  <c r="U34" i="31"/>
  <c r="AC34" i="31"/>
  <c r="R34" i="31"/>
  <c r="AH6" i="13"/>
  <c r="AP6" i="13"/>
  <c r="V35" i="13"/>
  <c r="AD35" i="13"/>
  <c r="AS35" i="13"/>
  <c r="Q6" i="31"/>
  <c r="V6" i="31"/>
  <c r="AD6" i="31"/>
  <c r="T6" i="13"/>
  <c r="AB6" i="13"/>
  <c r="AJ6" i="13"/>
  <c r="U6" i="13"/>
  <c r="AC6" i="13"/>
  <c r="AK6" i="13"/>
  <c r="AR6" i="13"/>
  <c r="V6" i="13"/>
  <c r="AD6" i="13"/>
  <c r="AL6" i="13"/>
  <c r="AS6" i="13"/>
  <c r="AE34" i="31"/>
  <c r="W6" i="31"/>
  <c r="O6" i="31"/>
  <c r="AF6" i="31"/>
  <c r="P6" i="31"/>
  <c r="AE6" i="31"/>
  <c r="X6" i="31"/>
  <c r="Y66" i="13" l="1"/>
  <c r="R65" i="31"/>
  <c r="O65" i="31"/>
  <c r="AG66" i="13"/>
  <c r="Z65" i="31"/>
  <c r="V65" i="31"/>
  <c r="U65" i="31"/>
  <c r="T65" i="31"/>
  <c r="W65" i="31"/>
  <c r="Y65" i="31"/>
  <c r="Z66" i="13"/>
  <c r="AJ66" i="13"/>
  <c r="AC66" i="13"/>
  <c r="T66" i="13"/>
  <c r="AH66" i="13"/>
  <c r="AK66" i="13"/>
  <c r="U66" i="13"/>
  <c r="AL66" i="13"/>
  <c r="X66" i="13"/>
  <c r="AM66" i="13"/>
  <c r="AD65" i="31"/>
  <c r="AB65" i="31"/>
  <c r="AC65" i="31"/>
  <c r="AR66" i="13"/>
  <c r="AE66" i="13"/>
  <c r="AD66" i="13"/>
  <c r="AB66" i="13"/>
  <c r="AF66" i="13"/>
  <c r="AO66" i="13"/>
  <c r="AQ66" i="13"/>
  <c r="AP66" i="13"/>
  <c r="AA66" i="13"/>
  <c r="AN66" i="13"/>
  <c r="X65" i="31"/>
  <c r="AE65" i="31"/>
  <c r="P65" i="31"/>
  <c r="AF65" i="31"/>
  <c r="AA65" i="31"/>
  <c r="S65" i="31"/>
  <c r="Q65" i="31"/>
  <c r="AS66" i="13"/>
  <c r="V66" i="13"/>
  <c r="BF146" i="32" l="1"/>
  <c r="BE146" i="32"/>
  <c r="BD146" i="32"/>
  <c r="BC146" i="32"/>
  <c r="BB146" i="32"/>
  <c r="BA146" i="32"/>
  <c r="AZ146" i="32"/>
  <c r="AY146" i="32"/>
  <c r="AX146" i="32"/>
  <c r="AW146" i="32"/>
  <c r="AV146" i="32"/>
  <c r="AU146" i="32"/>
  <c r="AT146" i="32"/>
  <c r="AS146" i="32"/>
  <c r="AR146" i="32"/>
  <c r="AQ146" i="32"/>
  <c r="AP146" i="32"/>
  <c r="AO146" i="32"/>
  <c r="AN146" i="32"/>
  <c r="AM146" i="32"/>
  <c r="AL146" i="32"/>
  <c r="AK146" i="32"/>
  <c r="AJ146" i="32"/>
  <c r="AI146" i="32"/>
  <c r="AH146" i="32"/>
  <c r="AG146" i="32"/>
  <c r="AF146" i="32"/>
  <c r="AE146" i="32"/>
  <c r="AD146" i="32"/>
  <c r="AC146" i="32"/>
  <c r="AB146" i="32"/>
  <c r="AA146" i="32"/>
  <c r="Z146" i="32"/>
  <c r="Y146" i="32"/>
  <c r="X146" i="32"/>
  <c r="W146" i="32"/>
  <c r="C148" i="32" l="1"/>
  <c r="AA148" i="32"/>
  <c r="E148" i="32"/>
  <c r="M148" i="32"/>
  <c r="U148" i="32"/>
  <c r="AC148" i="32"/>
  <c r="AS148" i="32"/>
  <c r="K148" i="32"/>
  <c r="L148" i="32"/>
  <c r="F148" i="32"/>
  <c r="N148" i="32"/>
  <c r="AD148" i="32"/>
  <c r="AL148" i="32"/>
  <c r="AT148" i="32"/>
  <c r="G148" i="32"/>
  <c r="O148" i="32"/>
  <c r="W148" i="32"/>
  <c r="AE148" i="32"/>
  <c r="AM148" i="32"/>
  <c r="H148" i="32"/>
  <c r="P148" i="32"/>
  <c r="X148" i="32"/>
  <c r="AF148" i="32"/>
  <c r="AN148" i="32"/>
  <c r="I148" i="32"/>
  <c r="Q148" i="32"/>
  <c r="Y148" i="32"/>
  <c r="AO148" i="32"/>
  <c r="BE148" i="32"/>
  <c r="Z148" i="32"/>
  <c r="AH148" i="32"/>
  <c r="BJ101" i="32"/>
  <c r="AK148" i="32" l="1"/>
  <c r="AU148" i="32"/>
  <c r="AV148" i="32"/>
  <c r="AW148" i="32"/>
  <c r="AY148" i="32"/>
  <c r="AZ148" i="32"/>
  <c r="BA148" i="32"/>
  <c r="BB148" i="32"/>
  <c r="BC148" i="32"/>
  <c r="BD148" i="32"/>
  <c r="BF148" i="32"/>
  <c r="T148" i="32"/>
  <c r="D148" i="32"/>
  <c r="AX148" i="32"/>
  <c r="AB148" i="32"/>
  <c r="R148" i="32"/>
  <c r="J148" i="32"/>
  <c r="AQ148" i="32"/>
  <c r="AG148" i="32"/>
  <c r="V148" i="32"/>
  <c r="AJ148" i="32"/>
  <c r="AR148" i="32"/>
  <c r="AI148" i="32"/>
  <c r="AP148" i="32"/>
  <c r="S148" i="32"/>
  <c r="B63" i="31" l="1"/>
  <c r="B50" i="31"/>
  <c r="B64" i="13"/>
  <c r="B51" i="13"/>
  <c r="D5" i="28" l="1"/>
  <c r="C5" i="28"/>
  <c r="B5" i="28"/>
  <c r="B58" i="21"/>
  <c r="B57" i="21"/>
  <c r="B55" i="21"/>
  <c r="B54" i="21"/>
  <c r="B49" i="21"/>
  <c r="B37" i="21"/>
  <c r="B19" i="21"/>
  <c r="B7" i="21"/>
  <c r="B6" i="21"/>
  <c r="B5" i="21"/>
  <c r="B50" i="32"/>
  <c r="B38" i="32"/>
  <c r="B20" i="32"/>
  <c r="B8" i="32"/>
  <c r="B7" i="32"/>
  <c r="B194" i="32"/>
  <c r="B182" i="32"/>
  <c r="B164" i="32"/>
  <c r="B152" i="32"/>
  <c r="B151" i="32"/>
  <c r="B146" i="32"/>
  <c r="B134" i="32"/>
  <c r="B116" i="32"/>
  <c r="B104" i="32"/>
  <c r="B103" i="32"/>
  <c r="B98" i="32"/>
  <c r="B86" i="32"/>
  <c r="B68" i="32"/>
  <c r="B56" i="32"/>
  <c r="B55" i="32"/>
  <c r="B5" i="32"/>
  <c r="B65" i="31"/>
  <c r="B64" i="31"/>
  <c r="B62" i="31"/>
  <c r="B61" i="31"/>
  <c r="B60" i="31"/>
  <c r="B59" i="31"/>
  <c r="B58" i="31"/>
  <c r="B57" i="31"/>
  <c r="B56" i="31"/>
  <c r="B55" i="31"/>
  <c r="B54" i="31"/>
  <c r="B53" i="31"/>
  <c r="B52" i="31"/>
  <c r="B51"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5" i="31"/>
  <c r="B14" i="31"/>
  <c r="B13" i="31"/>
  <c r="B12" i="31"/>
  <c r="B11" i="31"/>
  <c r="B10" i="31"/>
  <c r="B9" i="31"/>
  <c r="B8" i="31"/>
  <c r="B7" i="31"/>
  <c r="B6" i="31"/>
  <c r="B5" i="31"/>
  <c r="B66" i="13"/>
  <c r="B65" i="13"/>
  <c r="B63" i="13"/>
  <c r="B62" i="13"/>
  <c r="B61" i="13"/>
  <c r="B60" i="13"/>
  <c r="B59" i="13"/>
  <c r="B58" i="13"/>
  <c r="B57" i="13"/>
  <c r="B56" i="13"/>
  <c r="B55" i="13"/>
  <c r="B54" i="13"/>
  <c r="B53" i="13"/>
  <c r="B52"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0" i="13"/>
  <c r="B19" i="13"/>
  <c r="B18" i="13"/>
  <c r="B17" i="13"/>
  <c r="B14" i="13"/>
  <c r="B13" i="13"/>
  <c r="B12" i="13"/>
  <c r="B11" i="13"/>
  <c r="B10" i="13"/>
  <c r="B9" i="13"/>
  <c r="B8" i="13"/>
  <c r="B7" i="13"/>
  <c r="B6" i="13"/>
  <c r="B5" i="13"/>
  <c r="B63" i="16"/>
  <c r="B62" i="16"/>
  <c r="B61" i="16"/>
  <c r="B60" i="16"/>
  <c r="B59" i="16"/>
  <c r="B57" i="16"/>
  <c r="B56" i="16"/>
  <c r="B55" i="16"/>
  <c r="B54" i="16"/>
  <c r="B53" i="16"/>
  <c r="B42" i="16"/>
  <c r="B41" i="16"/>
  <c r="B40" i="16"/>
  <c r="B39" i="16"/>
  <c r="B38" i="16"/>
  <c r="B37" i="16"/>
  <c r="B36" i="16"/>
  <c r="B35" i="16"/>
  <c r="B20" i="16"/>
  <c r="B18" i="16"/>
  <c r="B17" i="16"/>
  <c r="B16" i="16"/>
  <c r="B15" i="16"/>
  <c r="B14" i="16"/>
  <c r="B13" i="16"/>
  <c r="B12" i="16"/>
  <c r="B11" i="16"/>
  <c r="B10" i="16"/>
  <c r="B9" i="16"/>
  <c r="B8" i="16"/>
  <c r="B7" i="16"/>
  <c r="B6" i="16"/>
  <c r="B5" i="16"/>
  <c r="AI28" i="31" l="1"/>
  <c r="AI7" i="31"/>
  <c r="AI35" i="31"/>
  <c r="AI18" i="31"/>
  <c r="AI52" i="31"/>
  <c r="AI34" i="31" l="1"/>
  <c r="AI6" i="31"/>
  <c r="AI65" i="31" l="1"/>
  <c r="BL37" i="35" l="1"/>
  <c r="AR21" i="34"/>
  <c r="AJ35" i="31"/>
  <c r="BL24" i="35"/>
  <c r="AJ7" i="31"/>
  <c r="AJ18" i="31"/>
  <c r="AW36" i="13"/>
  <c r="AW7" i="13"/>
  <c r="AJ28" i="31"/>
  <c r="AR37" i="34"/>
  <c r="AW53" i="13"/>
  <c r="AW18" i="13"/>
  <c r="BL21" i="35"/>
  <c r="AJ52" i="31"/>
  <c r="AR24" i="34"/>
  <c r="AW29" i="13"/>
  <c r="AR14" i="34"/>
  <c r="A34" i="16" l="1"/>
  <c r="BL14" i="35"/>
  <c r="AJ6" i="31"/>
  <c r="AW6" i="13"/>
  <c r="BL10" i="16"/>
  <c r="AW35" i="13"/>
  <c r="AJ34" i="31"/>
  <c r="AR22" i="34" l="1"/>
  <c r="BL22" i="35"/>
  <c r="AJ65" i="31"/>
  <c r="AW66" i="13"/>
  <c r="BL33" i="35" l="1"/>
  <c r="BL23" i="35"/>
  <c r="AR33" i="34"/>
  <c r="AR23" i="34"/>
  <c r="BL48" i="16" l="1"/>
  <c r="BL45" i="16" l="1"/>
  <c r="BL50" i="16" l="1"/>
  <c r="BL39" i="16"/>
  <c r="BL36" i="16"/>
  <c r="BL12" i="16" l="1"/>
  <c r="BL17" i="16"/>
  <c r="BL41" i="16"/>
  <c r="BL15" i="16" l="1"/>
  <c r="BL36" i="35"/>
  <c r="BL40" i="35" l="1"/>
  <c r="AR36" i="34" l="1"/>
  <c r="BL42" i="35"/>
  <c r="BL26" i="16" l="1"/>
  <c r="BL43" i="35"/>
  <c r="AR42" i="34" l="1"/>
  <c r="AR43" i="34" l="1"/>
  <c r="BL51" i="16"/>
  <c r="BP122" i="32" l="1"/>
  <c r="BP56" i="32" l="1"/>
  <c r="BP124" i="32"/>
  <c r="BP68" i="32"/>
  <c r="BP8" i="32"/>
  <c r="BP50" i="32"/>
  <c r="BP152" i="32"/>
  <c r="BP110" i="32"/>
  <c r="BP86" i="32"/>
  <c r="BP98" i="32"/>
  <c r="BP173" i="32"/>
  <c r="BP126" i="32"/>
  <c r="BP29" i="32"/>
  <c r="BP131" i="32"/>
  <c r="BP127" i="32"/>
  <c r="BP118" i="32"/>
  <c r="BP132" i="32"/>
  <c r="BP38" i="32"/>
  <c r="BP121" i="32"/>
  <c r="BP114" i="32"/>
  <c r="BP129" i="32"/>
  <c r="BP182" i="32"/>
  <c r="BP135" i="32"/>
  <c r="BP115" i="32"/>
  <c r="BP130" i="32"/>
  <c r="BP20" i="32"/>
  <c r="BP147" i="32"/>
  <c r="BP194" i="32"/>
  <c r="BP77" i="32"/>
  <c r="BP120" i="32"/>
  <c r="BP117" i="32"/>
  <c r="BP164" i="32"/>
  <c r="BP134" i="32" l="1"/>
  <c r="BP116" i="32"/>
  <c r="BP55" i="32"/>
  <c r="BP100" i="32" s="1"/>
  <c r="BP7" i="32"/>
  <c r="BP52" i="32" s="1"/>
  <c r="BP125" i="32"/>
  <c r="BP104" i="32"/>
  <c r="BP151" i="32"/>
  <c r="BP146" i="32"/>
  <c r="BP103" i="32" l="1"/>
  <c r="BP196" i="32"/>
  <c r="BP148" i="32" s="1"/>
  <c r="BL24" i="16" l="1"/>
</calcChain>
</file>

<file path=xl/sharedStrings.xml><?xml version="1.0" encoding="utf-8"?>
<sst xmlns="http://schemas.openxmlformats.org/spreadsheetml/2006/main" count="2591" uniqueCount="331">
  <si>
    <t>Faria Lima Financial Center</t>
  </si>
  <si>
    <t>Faria Lima Square</t>
  </si>
  <si>
    <t>JK Financial Center</t>
  </si>
  <si>
    <t>Corporate Park</t>
  </si>
  <si>
    <t>JK1455</t>
  </si>
  <si>
    <t>Londres Financial Center</t>
  </si>
  <si>
    <t>Nova São Paulo</t>
  </si>
  <si>
    <t>Verbo Divino</t>
  </si>
  <si>
    <t>Cenesp</t>
  </si>
  <si>
    <t>Brasilio Machado</t>
  </si>
  <si>
    <t>Leblon Corporate</t>
  </si>
  <si>
    <t>Suarez Trade</t>
  </si>
  <si>
    <t>Shopping D</t>
  </si>
  <si>
    <t>Parque Shopping Belém</t>
  </si>
  <si>
    <t>Total</t>
  </si>
  <si>
    <t>Shopping Centers</t>
  </si>
  <si>
    <t>Shopping Metropolitano Barra</t>
  </si>
  <si>
    <t>Tietê Plaza Shopping</t>
  </si>
  <si>
    <t>-</t>
  </si>
  <si>
    <t>Thera Corporate</t>
  </si>
  <si>
    <t>Shopping Cidade São Paulo</t>
  </si>
  <si>
    <t>Parque Industrial Cajamar III</t>
  </si>
  <si>
    <t>Parque Industrial Caxias</t>
  </si>
  <si>
    <t>Shopping Cerrado</t>
  </si>
  <si>
    <t>Parque Industrial Castelo 46</t>
  </si>
  <si>
    <t>ITM</t>
  </si>
  <si>
    <t xml:space="preserve"> </t>
  </si>
  <si>
    <t>Miss Silvia Morizono</t>
  </si>
  <si>
    <t>CEO - Torre Norte</t>
  </si>
  <si>
    <t>Centro Empresarial Faria Lima</t>
  </si>
  <si>
    <t>Grand Plaza Shopping</t>
  </si>
  <si>
    <t>Shopping Estação BH</t>
  </si>
  <si>
    <t>Parque Industrial Tamboré</t>
  </si>
  <si>
    <t>JK 1455</t>
  </si>
  <si>
    <t>Parque Industrial Cajamar</t>
  </si>
  <si>
    <t>Parque Industrial Jordanesia</t>
  </si>
  <si>
    <t>Parque Industrial Tonolli</t>
  </si>
  <si>
    <t>Parque Industrial Rio Guandú</t>
  </si>
  <si>
    <t>Parque Industrial Cajamar II</t>
  </si>
  <si>
    <t>Parque Industrial Dutra</t>
  </si>
  <si>
    <t>X</t>
  </si>
  <si>
    <t>English</t>
  </si>
  <si>
    <t>Portuguese</t>
  </si>
  <si>
    <t>1T19</t>
  </si>
  <si>
    <t>2T19</t>
  </si>
  <si>
    <t>Birmann 10</t>
  </si>
  <si>
    <t>3T19</t>
  </si>
  <si>
    <t>4T19</t>
  </si>
  <si>
    <t>JK Torre D</t>
  </si>
  <si>
    <t>JK Torre E</t>
  </si>
  <si>
    <t>1T20</t>
  </si>
  <si>
    <t>4T18</t>
  </si>
  <si>
    <t>3T18</t>
  </si>
  <si>
    <t>2T18</t>
  </si>
  <si>
    <t>1T18</t>
  </si>
  <si>
    <t>1T17</t>
  </si>
  <si>
    <t>2T17</t>
  </si>
  <si>
    <t>3T17</t>
  </si>
  <si>
    <t>4T17</t>
  </si>
  <si>
    <t>1T16</t>
  </si>
  <si>
    <t>2T16</t>
  </si>
  <si>
    <t>3T16</t>
  </si>
  <si>
    <t>4T16</t>
  </si>
  <si>
    <t>2T20</t>
  </si>
  <si>
    <t>3T20</t>
  </si>
  <si>
    <t>4T20</t>
  </si>
  <si>
    <t>4T15</t>
  </si>
  <si>
    <t>3T15</t>
  </si>
  <si>
    <t>2T15</t>
  </si>
  <si>
    <t>1T15</t>
  </si>
  <si>
    <t>4T14</t>
  </si>
  <si>
    <t>3T14</t>
  </si>
  <si>
    <t>2T14</t>
  </si>
  <si>
    <t>1T14</t>
  </si>
  <si>
    <t>4T13</t>
  </si>
  <si>
    <t>3T13</t>
  </si>
  <si>
    <t>2T13</t>
  </si>
  <si>
    <t>1T13</t>
  </si>
  <si>
    <t>1T12</t>
  </si>
  <si>
    <t>2T12</t>
  </si>
  <si>
    <t>3T12</t>
  </si>
  <si>
    <t>4T12</t>
  </si>
  <si>
    <t>1T08</t>
  </si>
  <si>
    <t>2T08</t>
  </si>
  <si>
    <t>3T08</t>
  </si>
  <si>
    <t>4T08</t>
  </si>
  <si>
    <t>1T09</t>
  </si>
  <si>
    <t>2T09</t>
  </si>
  <si>
    <t>3T09</t>
  </si>
  <si>
    <t>4T09</t>
  </si>
  <si>
    <t>1T10</t>
  </si>
  <si>
    <t>2T10</t>
  </si>
  <si>
    <t>3T10</t>
  </si>
  <si>
    <t>4T10</t>
  </si>
  <si>
    <t>1T11</t>
  </si>
  <si>
    <t>2T11</t>
  </si>
  <si>
    <t>3T11</t>
  </si>
  <si>
    <t>4T11</t>
  </si>
  <si>
    <t>1T21</t>
  </si>
  <si>
    <t>2T21</t>
  </si>
  <si>
    <t>Receita Líquida</t>
  </si>
  <si>
    <t>Custo de Galpões Logísticos</t>
  </si>
  <si>
    <t>Custo de locação, vendas e serviços prestados</t>
  </si>
  <si>
    <t>Lucro Bruto</t>
  </si>
  <si>
    <t>Margem Bruta</t>
  </si>
  <si>
    <t>Despesas/ Receitas Operacionais</t>
  </si>
  <si>
    <t>Plano de Opções</t>
  </si>
  <si>
    <t>Amortização de Ágios e outros resultados em investimentos</t>
  </si>
  <si>
    <t>Outras receitas (despesas) operacionais líquidas</t>
  </si>
  <si>
    <t>Lucro antes do Resultado Financeiro</t>
  </si>
  <si>
    <t>Diferidos</t>
  </si>
  <si>
    <t>Correntes</t>
  </si>
  <si>
    <t>Margem Líquida</t>
  </si>
  <si>
    <t>Lucro Líquido por ação</t>
  </si>
  <si>
    <t>3T21</t>
  </si>
  <si>
    <t>4T21</t>
  </si>
  <si>
    <t>ATIVOS</t>
  </si>
  <si>
    <t>Total Circulante</t>
  </si>
  <si>
    <t>Realizável a longo prazo</t>
  </si>
  <si>
    <t>Passivo Circulante</t>
  </si>
  <si>
    <t>CDU a apropriar</t>
  </si>
  <si>
    <t>Exigível a longo prazo</t>
  </si>
  <si>
    <t>Participação de não controladores</t>
  </si>
  <si>
    <t>Patrimônio Líquido</t>
  </si>
  <si>
    <t>Total de Passivos e Patrimônio Líquido</t>
  </si>
  <si>
    <t>Instrumento Financeiro Derivativo</t>
  </si>
  <si>
    <t>1T22</t>
  </si>
  <si>
    <t>Receita Bruta</t>
  </si>
  <si>
    <t>Prestação de Serviços + Estacionamento</t>
  </si>
  <si>
    <t>Vendas e Incorporação</t>
  </si>
  <si>
    <t>Deduções da Receita Bruta</t>
  </si>
  <si>
    <t>Custo Edifícios Corporativos</t>
  </si>
  <si>
    <t>Custo Shopping Centers</t>
  </si>
  <si>
    <t>Custo Estacionamento</t>
  </si>
  <si>
    <t>Custo de Vendas de Propriedades</t>
  </si>
  <si>
    <t>Despesas Comerciais</t>
  </si>
  <si>
    <t>Despesas Gerais e Administrativas</t>
  </si>
  <si>
    <t>Despesas com Remuneração da administração</t>
  </si>
  <si>
    <t>Despesas com Participação de empregados e administradores</t>
  </si>
  <si>
    <t>Resultados de Equivalência patrimonial</t>
  </si>
  <si>
    <t>Despesas Financeiras</t>
  </si>
  <si>
    <t>Receita Financeira</t>
  </si>
  <si>
    <t>Lucro/ Prejuízo do Período</t>
  </si>
  <si>
    <t>(+) IRPJ e CSSL</t>
  </si>
  <si>
    <t>EBITDA</t>
  </si>
  <si>
    <t>EBITDA Ajustado</t>
  </si>
  <si>
    <t>FFO</t>
  </si>
  <si>
    <t>FFO Ajustado</t>
  </si>
  <si>
    <t>Financiamentos e Empréstimos</t>
  </si>
  <si>
    <t>Debêntures e Notas Promissórias</t>
  </si>
  <si>
    <t>Caixa, Investimento e Valores Imobiliários</t>
  </si>
  <si>
    <t>Dívida Líquida Total/ EBITDA UDM</t>
  </si>
  <si>
    <t>Área Privativa SPE - Edifícios</t>
  </si>
  <si>
    <t>Área Privativa SYN - Edifícios</t>
  </si>
  <si>
    <t>Área Privativa SPE - Shoppings</t>
  </si>
  <si>
    <t>Área Privativa SYN - Shoppings</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</si>
  <si>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</si>
  <si>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</si>
  <si>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</si>
  <si>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</si>
  <si>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</si>
  <si>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</si>
  <si>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</si>
  <si>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</si>
  <si>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Demais contas a receber</t>
  </si>
  <si>
    <t>Ativo circulante - Instrumento Financeiro Derivativo</t>
  </si>
  <si>
    <t>Ativo não circulante - Contas a receber</t>
  </si>
  <si>
    <t>Ativo não circulante - Estoques</t>
  </si>
  <si>
    <t>Ativo não circulante - Adiantamento para futuro aumento de capital</t>
  </si>
  <si>
    <t>Ativo não circulante - Conta corrente com parceiros nos empreendimentos</t>
  </si>
  <si>
    <t>Ativo não circulante - Impostos a compensar</t>
  </si>
  <si>
    <t>Ativo não circulante - Depósitos judiciais</t>
  </si>
  <si>
    <t>Ativo não circulante - Demais contas a receber</t>
  </si>
  <si>
    <t>Ativo não circulante - Investimentos</t>
  </si>
  <si>
    <t>Ativo não circulante - Propriedades para investimento</t>
  </si>
  <si>
    <t>Ativo não circulante - Imobilizado</t>
  </si>
  <si>
    <t>Ativo não circulante - Intangíveis</t>
  </si>
  <si>
    <t>Ativo não circulante - Mútuo a receber</t>
  </si>
  <si>
    <t>Ativo não circulante - Títulos e valores imobiliários</t>
  </si>
  <si>
    <t>Ativo não circulante - Outros</t>
  </si>
  <si>
    <t>Passivo circulante - Empréstimos e financiamentos</t>
  </si>
  <si>
    <t>Passivo circulante - Debêntures</t>
  </si>
  <si>
    <t>Passivo circulante - Fornecedores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</si>
  <si>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</si>
  <si>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</si>
  <si>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</si>
  <si>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</si>
  <si>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</si>
  <si>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</si>
  <si>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</si>
  <si>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</si>
  <si>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Passivo circulante - Demais contas a pagar</t>
  </si>
  <si>
    <t>Passivo circulante - Notas promissórias</t>
  </si>
  <si>
    <t>Passivo circulante - Aquisição de imóveis</t>
  </si>
  <si>
    <t>Passivo não circulante - Empréstimos e financiamentos</t>
  </si>
  <si>
    <t>Passivo não circulante - Debêntures</t>
  </si>
  <si>
    <t>Passivo não circulante - Obrigações por aquisição de imóvel</t>
  </si>
  <si>
    <t>Passivo não circulante - Impostos e contribuições diferidos</t>
  </si>
  <si>
    <t>Passivo não circulante - Receita res-sperata a apropriar</t>
  </si>
  <si>
    <t>Passivo não circulante - Demais contas a pagar</t>
  </si>
  <si>
    <t>Passivo não circulante - Provisões para riscos trabalhistas, fiscais e cíveis</t>
  </si>
  <si>
    <t>Passivo não circulante - Adiantamento de clientes</t>
  </si>
  <si>
    <t>Passivo não circulante - Notas promissórias</t>
  </si>
  <si>
    <t>Área Privativa Total - CEO</t>
  </si>
  <si>
    <t>Área Privativa Total - JKD</t>
  </si>
  <si>
    <t>Área Privativa Total - JKE</t>
  </si>
  <si>
    <t>Área Privativa Total - NSP</t>
  </si>
  <si>
    <t>Área Privativa Total - VBD</t>
  </si>
  <si>
    <t>Área Privativa Total - ITM</t>
  </si>
  <si>
    <t>Área Privativa Total - BRM</t>
  </si>
  <si>
    <t>Área Privativa Total - LBL</t>
  </si>
  <si>
    <t>Área Privativa Total - SRT</t>
  </si>
  <si>
    <t>Área Privativa Total - B10</t>
  </si>
  <si>
    <t>Área Privativa Total - SHD</t>
  </si>
  <si>
    <t>Área Privativa Total - GPS</t>
  </si>
  <si>
    <t>Área Privativa Total - SMB</t>
  </si>
  <si>
    <t>Área Privativa Total - TPS</t>
  </si>
  <si>
    <t>Área Privativa Total - CSP</t>
  </si>
  <si>
    <t>Área Privativa Total - SCR</t>
  </si>
  <si>
    <t>Área Privativa SPE - CEO</t>
  </si>
  <si>
    <t>Área Privativa SPE - JKD</t>
  </si>
  <si>
    <t>Área Privativa SPE - JKE</t>
  </si>
  <si>
    <t>Área Privativa SPE - NSP</t>
  </si>
  <si>
    <t>Área Privativa SPE - VBD</t>
  </si>
  <si>
    <t>Área Privativa SPE - ITM</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</si>
  <si>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</si>
  <si>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</si>
  <si>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</si>
  <si>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</si>
  <si>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</si>
  <si>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</si>
  <si>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</si>
  <si>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</si>
  <si>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</si>
  <si>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</si>
  <si>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Participação SYN - CEO</t>
  </si>
  <si>
    <t>Participação SYN - JKD</t>
  </si>
  <si>
    <t>Participação SYN - JKE</t>
  </si>
  <si>
    <t>Participação SYN - NSP</t>
  </si>
  <si>
    <t>Participação SYN - VBD</t>
  </si>
  <si>
    <t>Participação SYN - ITM</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</si>
  <si>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</si>
  <si>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</si>
  <si>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</si>
  <si>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</si>
  <si>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</si>
  <si>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</si>
  <si>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</si>
  <si>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</si>
  <si>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</si>
  <si>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</si>
  <si>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Área Privativa SYN - CEO</t>
  </si>
  <si>
    <t>Área Privativa SYN - JKD</t>
  </si>
  <si>
    <t>Área Privativa SYN - JKE</t>
  </si>
  <si>
    <t>Área Privativa SYN - NSP</t>
  </si>
  <si>
    <t>Área Privativa SYN - VBD</t>
  </si>
  <si>
    <t>Área Privativa SYN - ITM</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</si>
  <si>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</si>
  <si>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</si>
  <si>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</si>
  <si>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</si>
  <si>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</si>
  <si>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</si>
  <si>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</si>
  <si>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</si>
  <si>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</si>
  <si>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</si>
  <si>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2T22</t>
  </si>
  <si>
    <t>3T22</t>
  </si>
  <si>
    <t>Receita Edifícios Corporativos</t>
  </si>
  <si>
    <t>Receita Shopping Centers</t>
  </si>
  <si>
    <t>Receita Centros de Distribução</t>
  </si>
  <si>
    <t>Receita de Outros Empreendimentos</t>
  </si>
  <si>
    <t>Lucro Líquido do Exercício</t>
  </si>
  <si>
    <t>4T22</t>
  </si>
  <si>
    <t>2022</t>
  </si>
  <si>
    <t>Vendas Total</t>
  </si>
  <si>
    <t>SSS (%)</t>
  </si>
  <si>
    <t>Passivo circulante - Passivo de arrendamento</t>
  </si>
  <si>
    <t>Passivo não circulante - Passivo de arrendamento</t>
  </si>
  <si>
    <t>Lucro Antes da Participação de Minoritários</t>
  </si>
  <si>
    <t>Participação dos não controladores</t>
  </si>
  <si>
    <t>2021</t>
  </si>
  <si>
    <t>2020</t>
  </si>
  <si>
    <t>2019</t>
  </si>
  <si>
    <t>Custo Prestação de Serviços (ex Estacionamento)</t>
  </si>
  <si>
    <t>1T23</t>
  </si>
  <si>
    <t>Passivo circulante - Contas a pagar por aquisição de imóveis</t>
  </si>
  <si>
    <t>Total (ex ITM)</t>
  </si>
  <si>
    <t>2T23</t>
  </si>
  <si>
    <t>NOI TOTAL</t>
  </si>
  <si>
    <t>3T23</t>
  </si>
  <si>
    <t>Margem NOI (%)</t>
  </si>
  <si>
    <t>Margem EBITDA (%)</t>
  </si>
  <si>
    <t>Margem FFO (%)</t>
  </si>
  <si>
    <t>Margem Líquida (%)</t>
  </si>
  <si>
    <t>EBITDA (R mil)</t>
  </si>
  <si>
    <t>EBITDA Ajustado (R mil)</t>
  </si>
  <si>
    <t>Lucro/Prejuízo do Período (R mil)</t>
  </si>
  <si>
    <t>FFO (R mil)</t>
  </si>
  <si>
    <t>FFO Ajustado (R mil)</t>
  </si>
  <si>
    <t>Receita Bruta (R mil)</t>
  </si>
  <si>
    <t>Receita Líquida (R mil)</t>
  </si>
  <si>
    <t>NOI (R mil) ¹</t>
  </si>
  <si>
    <t>Grand Plaza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</si>
  <si>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</si>
  <si>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</si>
  <si>
    <t>X ¹</t>
  </si>
  <si>
    <t xml:space="preserve">X </t>
  </si>
  <si>
    <t>SSR (%)</t>
  </si>
  <si>
    <t>Custo de Ocupação / Vendas (%)</t>
  </si>
  <si>
    <t>Ocupação Física Shopping Centers</t>
  </si>
  <si>
    <t>Ocupação Financeira Shoppings</t>
  </si>
  <si>
    <t>Inadimplência Líquida (%)</t>
  </si>
  <si>
    <t>Turnover (%)</t>
  </si>
  <si>
    <t>4T23</t>
  </si>
  <si>
    <t>2023</t>
  </si>
  <si>
    <t>CLD</t>
  </si>
  <si>
    <t>Área Privativa Total - CLD</t>
  </si>
  <si>
    <t>Área Privativa SPE - CLD</t>
  </si>
  <si>
    <t>Área Privativa SYN - CLD</t>
  </si>
  <si>
    <t>1T24</t>
  </si>
  <si>
    <t>Ativo não circulante - Ativos disponíveis para venda</t>
  </si>
  <si>
    <t>2T24</t>
  </si>
  <si>
    <t/>
  </si>
  <si>
    <t>Brasílio Machado</t>
  </si>
  <si>
    <t>Endividamento</t>
  </si>
  <si>
    <t>Disponibilidades</t>
  </si>
  <si>
    <t>Dívida Líquida Total</t>
  </si>
  <si>
    <t>Ocupação Física Edifícios Ex-ITM</t>
  </si>
  <si>
    <t>Ocupação Financeira Edifícios Ex-ITM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</si>
</sst>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1" formatCode="_-* #,##0_-;\-* #,##0_-;_-* &quot;-&quot;_-;_-@_-"/>
    <numFmt numFmtId="44" formatCode="_-&quot;R$&quot;\ * #,##0.00_-;\-&quot;R$&quot;\ * #,##0.00_-;_-&quot;R$&quot;\ * &quot;-&quot;??_-;_-@_-"/>
    <numFmt numFmtId="43" formatCode="_-* #,##0.00_-;\-* #,##0.00_-;_-* &quot;-&quot;??_-;_-@_-"/>
    <numFmt numFmtId="164" formatCode="_(* #,##0.0_);_(* \(#,##0.0\);_(* &quot;-&quot;?_);_(@_)"/>
    <numFmt numFmtId="165" formatCode="_(* #,##0.00_);_(* \(#,##0.00\);_(* &quot;-&quot;??_);_(@_)"/>
    <numFmt numFmtId="166" formatCode="0.0%"/>
    <numFmt numFmtId="167" formatCode="_(&quot;R$ &quot;* #,##0.00_);_(&quot;R$ &quot;* \(#,##0.00\);_(&quot;R$ &quot;* &quot;-&quot;??_);_(@_)"/>
    <numFmt numFmtId="168" formatCode="#,##0_);\(#,##0\);0_)"/>
    <numFmt numFmtId="169" formatCode="#,##0_);\(#,##0\);0_);@"/>
    <numFmt numFmtId="170" formatCode="_([$€]* #,##0.0_);_([$€]* \(#,##0.0\);_([$€]* &quot;-&quot;??_);_(@_)"/>
    <numFmt numFmtId="171" formatCode="\£\ #,##0_);[Red]\(\£\ #,##0\)"/>
    <numFmt numFmtId="172" formatCode="\¥\ #,##0_);[Red]\(\¥\ #,##0\)"/>
    <numFmt numFmtId="173" formatCode="\•\ \ @"/>
    <numFmt numFmtId="174" formatCode="0.000_)"/>
    <numFmt numFmtId="175" formatCode="#,##0_%_);\(#,##0\)_%;#,##0_%_);@_%_)"/>
    <numFmt numFmtId="176" formatCode="#,##0_%_);\(#,##0\)_%;**;@_%_)"/>
    <numFmt numFmtId="177" formatCode="#,##0.00_%_);\(#,##0.00\)_%;#,##0.00_%_);@_%_)"/>
    <numFmt numFmtId="178" formatCode="#,##0.00_%_);\(#,##0.00\)_%;**;@_%_)"/>
    <numFmt numFmtId="179" formatCode="&quot;R$ &quot;#,##0_%_);\(&quot;R$ &quot;#,##0\)_%;&quot;R$ &quot;#,##0_%_);@_%_)"/>
    <numFmt numFmtId="180" formatCode="&quot;R$ &quot;#,##0.00_%_);\(&quot;R$ &quot;#,##0.00\)_%;&quot;R$ &quot;#,##0.00_%_);@_%_)"/>
    <numFmt numFmtId="181" formatCode="&quot;R$ &quot;#,##0.00_%_);\(&quot;R$ &quot;#,##0.00\)_%;**;@_%_)"/>
    <numFmt numFmtId="182" formatCode="\ \ _•\–\ \ \ \ @"/>
    <numFmt numFmtId="183" formatCode="m/d/yy_%_)"/>
    <numFmt numFmtId="184" formatCode="m/d/yy_%_);;**"/>
    <numFmt numFmtId="185" formatCode="0_%_);\(0\)_%;0_%_);@_%_)"/>
    <numFmt numFmtId="186" formatCode="0.0\%_);\(0.0\%\);0.0\%_);@_%_)"/>
    <numFmt numFmtId="187" formatCode="_(&quot;R$&quot;* #,##0.00_);_(&quot;R$&quot;* \(#,##0.00\);_(&quot;R$&quot;* &quot;-&quot;??_);_(@_)"/>
    <numFmt numFmtId="188" formatCode="0.0\x_)_);&quot;NM&quot;_x_)_);0.0\x_)_);@_%_)"/>
    <numFmt numFmtId="189" formatCode="0.00_)"/>
    <numFmt numFmtId="190" formatCode="#\ #/#"/>
    <numFmt numFmtId="191" formatCode="0.0"/>
    <numFmt numFmtId="192" formatCode="0.0000"/>
    <numFmt numFmtId="193" formatCode="0.00000"/>
    <numFmt numFmtId="194" formatCode="_(* #,##0_);_(* \(#,##0\);_(* &quot;-&quot;?_);_(@_)"/>
    <numFmt numFmtId="195" formatCode="_([$€]* #,##0.00_);_([$€]* \(#,##0.00\);_([$€]* &quot;-&quot;??_);_(@_)"/>
    <numFmt numFmtId="196" formatCode="_(&quot;$&quot;* #,##0.00_);_(&quot;$&quot;* \(#,##0.00\);_(&quot;$&quot;* &quot;-&quot;??_);_(@_)"/>
    <numFmt numFmtId="197" formatCode="_(* #,##0.000_);_(* \(#,##0.000\);_(* &quot;-&quot;?_);_(@_)"/>
    <numFmt numFmtId="198" formatCode="_(* #,##0_);_(* \(#,##0\);_(* &quot;-&quot;_);_(@_)"/>
    <numFmt numFmtId="199" formatCode="General_)"/>
    <numFmt numFmtId="200" formatCode="#,##0.00\ &quot;m³/d&quot;"/>
    <numFmt numFmtId="201" formatCode="dd/mm/yy;@"/>
    <numFmt numFmtId="202" formatCode="_-* #,##0.0_-;\-* #,##0.0_-;_-* &quot;-&quot;??_-;_-@_-"/>
    <numFmt numFmtId="203" formatCode="&quot;$&quot;#,##0_%_);\(&quot;$&quot;#,##0\)_%;&quot;$&quot;#,##0_%_);@_%_)"/>
    <numFmt numFmtId="204" formatCode="&quot;$&quot;#,##0.00_%_);\(&quot;$&quot;#,##0.00\)_%;&quot;$&quot;#,##0.00_%_);@_%_)"/>
    <numFmt numFmtId="205" formatCode="&quot;$&quot;#,##0.00_%_);\(&quot;$&quot;#,##0.00\)_%;**;@_%_)"/>
    <numFmt numFmtId="206" formatCode="#."/>
    <numFmt numFmtId="207" formatCode="m\o\n\th\ d\,\ \y\y\y\y"/>
    <numFmt numFmtId="208" formatCode="_ [$€]\ * #,##0.00_ ;_ [$€]\ * \-#,##0.00_ ;_ [$€]\ * &quot;-&quot;??_ ;_ @_ "/>
    <numFmt numFmtId="209" formatCode="_-[$€]\ * #,##0.00_-;\-[$€]\ * #,##0.00_-;_-[$€]\ * &quot;-&quot;??_-;_-@_-"/>
    <numFmt numFmtId="210" formatCode="_([$€-2]* #,##0.00_);_([$€-2]* \(#,##0.00\);_([$€-2]* &quot;-&quot;??_)"/>
    <numFmt numFmtId="211" formatCode="_-[$€]\ * #,##0.00_-;\-[$€]\ * #,##0.00_-;_-[$€]\ * \-??_-;_-@_-"/>
    <numFmt numFmtId="212" formatCode="#,#00"/>
    <numFmt numFmtId="213" formatCode="#,"/>
    <numFmt numFmtId="214" formatCode="_-* #,##0.0000_-;\-* #,##0.0000_-;_-* &quot;-&quot;??_-;_-@_-"/>
    <numFmt numFmtId="215" formatCode="_-* #,##0.00\ &quot;Kč&quot;_-;\-* #,##0.00\ &quot;Kč&quot;_-;_-* &quot;-&quot;??\ &quot;Kč&quot;_-;_-@_-"/>
    <numFmt numFmtId="216" formatCode="_-* #,##0.00\ _€_-;\-* #,##0.00\ _€_-;_-* &quot;-&quot;??\ _€_-;_-@_-"/>
    <numFmt numFmtId="217" formatCode="#,##0&quot; m3&quot;"/>
    <numFmt numFmtId="218" formatCode="#,##0&quot; tonne&quot;"/>
    <numFmt numFmtId="219" formatCode="0.000%"/>
    <numFmt numFmtId="220" formatCode="\$#,##0\ ;\(\$#,##0\)"/>
    <numFmt numFmtId="221" formatCode="#,##0.0&quot; m3&quot;"/>
    <numFmt numFmtId="222" formatCode="#,##0.0&quot; MJ/kg&quot;"/>
    <numFmt numFmtId="223" formatCode="_(* #,##0\x_);_(* \(#,##0\x\);_(* &quot;0x&quot;_);_(@_)"/>
    <numFmt numFmtId="224" formatCode="_(* #,##0.0\x_);_(* \(#,##0.0\x\);_(* &quot;0,0x&quot;_);_(@_)"/>
    <numFmt numFmtId="225" formatCode="_(* #,##0.00\x_);_(* \(#,##0.00\x\);_(* &quot;0,00x&quot;_);_(@_)"/>
    <numFmt numFmtId="226" formatCode="#.##000"/>
    <numFmt numFmtId="227" formatCode="_(* #,##0_);_(* \(#,##0\);_(* &quot;0&quot;_);_(@_)"/>
    <numFmt numFmtId="228" formatCode="_(* #,##0.0_);_(* \(#,##0.0\);_(* &quot;0,0&quot;_);_(@_)"/>
    <numFmt numFmtId="229" formatCode="_(* #,##0.00_);_(* \(#,##0.00\);_(* &quot;0,00&quot;_);_(@_)"/>
    <numFmt numFmtId="230" formatCode="_(* #,##0%_);_(* \(#,##0%\);_(* &quot;0%&quot;??_);_(@_)"/>
    <numFmt numFmtId="231" formatCode="_(* #,##0.0%_);_(* \(#,##0.0%\);_(* &quot;0,0%&quot;_);_(@_)"/>
    <numFmt numFmtId="232" formatCode="_(* #,##0.00000_);_(* \(#,##0.00000\);_(* &quot;-&quot;??_);_(@_)"/>
    <numFmt numFmtId="233" formatCode="_-* #,##0_-;\-* #,##0_-;_-* &quot;-&quot;??_-;_-@_-"/>
    <numFmt numFmtId="234" formatCode="_ * #,##0.00_ ;_ * \-#,##0.00_ ;_ * &quot;-&quot;??_ ;_ @_ "/>
    <numFmt numFmtId="235" formatCode="#.##0,"/>
    <numFmt numFmtId="236" formatCode="[$-416]mmm\-yy;@"/>
    <numFmt numFmtId="237" formatCode="0.00\x_)_);&quot;NM&quot;_x_)_);0.00\x_)_);@_%_)"/>
    <numFmt numFmtId="238" formatCode="_(* #,##0.000000_);_(* \(#,##0.000000\);_(* &quot;-&quot;?_);_(@_)"/>
    <numFmt numFmtId="239" formatCode="_-* #,##0.0_-;\-* #,##0.0_-;_-* &quot;-&quot;?_-;_-@_-"/>
    <numFmt numFmtId="240" formatCode="_(* #,##0.00_);_(* \(#,##0.00\);_(* &quot;-&quot;?_);_(@_)"/>
    <numFmt numFmtId="241" formatCode="_-* #,##0.0000_-;\-* #,##0.0000_-;_-* &quot;-&quot;?_-;_-@_-"/>
    <numFmt numFmtId="242" formatCode="0.00\x"/>
  </numFmts>
  <fonts count="161">
    <font>
      <sz val="11"/>
      <color theme="1"/>
      <name val="Calibri"/>
      <family val="2"/>
      <scheme val="minor"/>
    </font>
    <font>
      <sz val="11"/>
      <color indexed="8"/>
      <name val="Calibri"/>
      <family val="2"/>
    </font>
    <font>
      <sz val="11"/>
      <color indexed="8"/>
      <name val="Calibri"/>
      <family val="2"/>
    </font>
    <font>
      <sz val="10"/>
      <name val="Arial"/>
      <family val="2"/>
    </font>
    <font>
      <sz val="10"/>
      <name val="Verdana"/>
      <family val="2"/>
    </font>
    <font>
      <sz val="8"/>
      <name val="Arial"/>
      <family val="2"/>
    </font>
    <font>
      <sz val="10"/>
      <name val="Times New Roman"/>
      <family val="1"/>
    </font>
    <font>
      <sz val="9"/>
      <name val="Times New Roman"/>
      <family val="1"/>
    </font>
    <font>
      <sz val="11"/>
      <color indexed="9"/>
      <name val="Calibri"/>
      <family val="2"/>
    </font>
    <font>
      <sz val="11"/>
      <color indexed="17"/>
      <name val="Calibri"/>
      <family val="2"/>
    </font>
    <font>
      <b/>
      <sz val="11"/>
      <color indexed="9"/>
      <name val="Calibri"/>
      <family val="2"/>
    </font>
    <font>
      <sz val="11"/>
      <color indexed="5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name val="Calibri"/>
      <family val="2"/>
    </font>
    <font>
      <sz val="10"/>
      <name val="Arial"/>
      <family val="2"/>
    </font>
    <font>
      <sz val="12"/>
      <name val="Times New Roman"/>
      <family val="1"/>
    </font>
    <font>
      <b/>
      <sz val="12"/>
      <name val="Times New Roman"/>
      <family val="1"/>
    </font>
    <font>
      <sz val="11"/>
      <name val="Times"/>
      <family val="1"/>
    </font>
    <font>
      <sz val="8"/>
      <name val="Palatino"/>
      <family val="1"/>
    </font>
    <font>
      <sz val="8"/>
      <color indexed="16"/>
      <name val="Palatino"/>
      <family val="1"/>
    </font>
    <font>
      <u/>
      <sz val="10"/>
      <color indexed="14"/>
      <name val="MS Sans Serif"/>
      <family val="2"/>
    </font>
    <font>
      <sz val="7"/>
      <name val="Palatino"/>
      <family val="1"/>
    </font>
    <font>
      <sz val="6"/>
      <color indexed="16"/>
      <name val="Palatino"/>
      <family val="1"/>
    </font>
    <font>
      <sz val="18"/>
      <name val="Helvetica-Black"/>
    </font>
    <font>
      <i/>
      <sz val="14"/>
      <name val="Palatino"/>
      <family val="1"/>
    </font>
    <font>
      <sz val="12"/>
      <name val="Arial"/>
      <family val="2"/>
    </font>
    <font>
      <b/>
      <i/>
      <sz val="16"/>
      <name val="Helv"/>
    </font>
    <font>
      <sz val="10"/>
      <color indexed="16"/>
      <name val="Helvetica-Black"/>
    </font>
    <font>
      <sz val="10"/>
      <name val="SansSerif"/>
      <charset val="2"/>
    </font>
    <font>
      <sz val="8"/>
      <name val="Times New Roman"/>
      <family val="1"/>
    </font>
    <font>
      <sz val="10"/>
      <name val="MS Sans Serif"/>
      <family val="2"/>
    </font>
    <font>
      <b/>
      <sz val="9"/>
      <name val="Palatino"/>
      <family val="1"/>
    </font>
    <font>
      <sz val="9"/>
      <color indexed="21"/>
      <name val="Helvetica-Black"/>
    </font>
    <font>
      <sz val="9"/>
      <name val="Helvetica-Black"/>
    </font>
    <font>
      <sz val="11"/>
      <name val="Times New Roman"/>
      <family val="1"/>
    </font>
    <font>
      <sz val="11"/>
      <color indexed="16"/>
      <name val="Calibri"/>
      <family val="2"/>
    </font>
    <font>
      <b/>
      <sz val="11"/>
      <color indexed="53"/>
      <name val="Calibri"/>
      <family val="2"/>
    </font>
    <font>
      <b/>
      <sz val="15"/>
      <color indexed="62"/>
      <name val="Calibri"/>
      <family val="2"/>
    </font>
    <font>
      <b/>
      <sz val="11"/>
      <color indexed="62"/>
      <name val="Calibri"/>
      <family val="2"/>
    </font>
    <font>
      <sz val="11"/>
      <color indexed="53"/>
      <name val="Calibri"/>
      <family val="2"/>
    </font>
    <font>
      <sz val="11"/>
      <color indexed="19"/>
      <name val="Calibri"/>
      <family val="2"/>
    </font>
    <font>
      <b/>
      <sz val="18"/>
      <color indexed="62"/>
      <name val="Cambria"/>
      <family val="1"/>
    </font>
    <font>
      <sz val="11"/>
      <color indexed="8"/>
      <name val="Calibri"/>
      <family val="2"/>
    </font>
    <font>
      <b/>
      <sz val="11"/>
      <color indexed="9"/>
      <name val="Calibri"/>
      <family val="2"/>
    </font>
    <font>
      <sz val="10"/>
      <color indexed="8"/>
      <name val="Calibri"/>
      <family val="2"/>
    </font>
    <font>
      <b/>
      <sz val="11"/>
      <color indexed="8"/>
      <name val="Calibri"/>
      <family val="2"/>
    </font>
    <font>
      <sz val="11"/>
      <name val="Calibri"/>
      <family val="2"/>
    </font>
    <font>
      <b/>
      <sz val="11"/>
      <name val="Calibri"/>
      <family val="2"/>
    </font>
    <font>
      <sz val="11"/>
      <color indexed="62"/>
      <name val="Calibri"/>
      <family val="2"/>
    </font>
    <font>
      <b/>
      <sz val="13"/>
      <color indexed="62"/>
      <name val="Calibri"/>
      <family val="2"/>
    </font>
    <font>
      <sz val="11"/>
      <color indexed="8"/>
      <name val="Calibri"/>
      <family val="2"/>
    </font>
    <font>
      <sz val="11"/>
      <name val="Calibri"/>
      <family val="2"/>
    </font>
    <font>
      <i/>
      <sz val="11"/>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name val="Arial"/>
      <family val="2"/>
    </font>
    <font>
      <sz val="10"/>
      <name val="Arial"/>
      <family val="2"/>
    </font>
    <font>
      <b/>
      <sz val="12"/>
      <name val="Arial"/>
      <family val="2"/>
    </font>
    <font>
      <i/>
      <sz val="8"/>
      <name val="Arial"/>
      <family val="2"/>
    </font>
    <font>
      <sz val="11"/>
      <name val="Century Gothic"/>
      <family val="2"/>
    </font>
    <font>
      <sz val="12"/>
      <name val="Helv"/>
    </font>
    <font>
      <sz val="10"/>
      <name val="Geneva"/>
    </font>
    <font>
      <b/>
      <sz val="10"/>
      <color indexed="18"/>
      <name val="Arial"/>
      <family val="2"/>
    </font>
    <font>
      <sz val="8"/>
      <color indexed="12"/>
      <name val="Helv"/>
    </font>
    <font>
      <sz val="10"/>
      <color indexed="8"/>
      <name val="Arial"/>
      <family val="2"/>
    </font>
    <font>
      <sz val="10"/>
      <color indexed="12"/>
      <name val="Arial"/>
      <family val="2"/>
    </font>
    <font>
      <sz val="7"/>
      <name val="Times New Roman"/>
      <family val="1"/>
    </font>
    <font>
      <b/>
      <sz val="1"/>
      <color indexed="8"/>
      <name val="Courier"/>
      <family val="3"/>
    </font>
    <font>
      <b/>
      <sz val="18"/>
      <color indexed="24"/>
      <name val="Arial"/>
      <family val="2"/>
    </font>
    <font>
      <b/>
      <sz val="12"/>
      <color indexed="24"/>
      <name val="Arial"/>
      <family val="2"/>
    </font>
    <font>
      <b/>
      <sz val="11"/>
      <color indexed="52"/>
      <name val="Calibri"/>
      <family val="2"/>
    </font>
    <font>
      <b/>
      <sz val="9"/>
      <color indexed="52"/>
      <name val="Arial"/>
      <family val="2"/>
    </font>
    <font>
      <b/>
      <sz val="11"/>
      <color indexed="51"/>
      <name val="Calibri"/>
      <family val="2"/>
    </font>
    <font>
      <sz val="11"/>
      <color indexed="51"/>
      <name val="Calibri"/>
      <family val="2"/>
    </font>
    <font>
      <sz val="11"/>
      <name val="Tms Rmn"/>
      <family val="1"/>
    </font>
    <font>
      <sz val="10"/>
      <color theme="1"/>
      <name val="Calibri"/>
      <family val="2"/>
      <scheme val="minor"/>
    </font>
    <font>
      <sz val="10"/>
      <color indexed="22"/>
      <name val="MS Sans Serif"/>
      <family val="2"/>
    </font>
    <font>
      <sz val="1"/>
      <color indexed="16"/>
      <name val="Courier"/>
      <family val="3"/>
    </font>
    <font>
      <sz val="1"/>
      <color indexed="8"/>
      <name val="Courier"/>
      <family val="3"/>
    </font>
    <font>
      <sz val="11"/>
      <color indexed="61"/>
      <name val="Calibri"/>
      <family val="2"/>
    </font>
    <font>
      <sz val="10"/>
      <color theme="1"/>
      <name val="Verdana"/>
      <family val="2"/>
    </font>
    <font>
      <sz val="10"/>
      <color indexed="17"/>
      <name val="Arial"/>
      <family val="2"/>
    </font>
    <font>
      <b/>
      <sz val="11"/>
      <color indexed="56"/>
      <name val="Arial"/>
      <family val="2"/>
    </font>
    <font>
      <u/>
      <sz val="7.5"/>
      <color indexed="12"/>
      <name val="Arial"/>
      <family val="2"/>
    </font>
    <font>
      <u/>
      <sz val="10"/>
      <color indexed="12"/>
      <name val="Arial"/>
      <family val="2"/>
    </font>
    <font>
      <u/>
      <sz val="7.5"/>
      <color theme="10"/>
      <name val="Arial"/>
      <family val="2"/>
    </font>
    <font>
      <i/>
      <sz val="9"/>
      <color indexed="54"/>
      <name val="Arial Narrow"/>
      <family val="2"/>
    </font>
    <font>
      <sz val="10"/>
      <name val="Courier"/>
      <family val="3"/>
    </font>
    <font>
      <sz val="9"/>
      <color indexed="62"/>
      <name val="Arial"/>
      <family val="2"/>
    </font>
    <font>
      <sz val="8"/>
      <color indexed="8"/>
      <name val="Helv"/>
    </font>
    <font>
      <sz val="10"/>
      <name val="Arial CE"/>
      <charset val="238"/>
    </font>
    <font>
      <sz val="10"/>
      <color indexed="20"/>
      <name val="Times New Roman"/>
      <family val="1"/>
    </font>
    <font>
      <sz val="10"/>
      <color indexed="8"/>
      <name val="MS Sans Serif"/>
      <family val="2"/>
    </font>
    <font>
      <sz val="10"/>
      <color indexed="8"/>
      <name val="Verdana"/>
      <family val="2"/>
    </font>
    <font>
      <sz val="7.9"/>
      <color indexed="8"/>
      <name val="Courier New"/>
      <family val="3"/>
    </font>
    <font>
      <sz val="10"/>
      <color indexed="24"/>
      <name val="Arial"/>
      <family val="2"/>
    </font>
    <font>
      <sz val="11"/>
      <color indexed="59"/>
      <name val="Calibri"/>
      <family val="2"/>
    </font>
    <font>
      <sz val="12"/>
      <name val="SWISS"/>
    </font>
    <font>
      <sz val="11"/>
      <color rgb="FF000000"/>
      <name val="Calibri"/>
      <family val="2"/>
    </font>
    <font>
      <sz val="10"/>
      <color indexed="0"/>
      <name val="Arial"/>
      <family val="2"/>
    </font>
    <font>
      <sz val="11"/>
      <color indexed="8"/>
      <name val="Calibri"/>
      <family val="2"/>
      <scheme val="minor"/>
    </font>
    <font>
      <sz val="10"/>
      <color theme="1"/>
      <name val="Arial"/>
      <family val="2"/>
    </font>
    <font>
      <sz val="11"/>
      <color theme="1"/>
      <name val="Arial"/>
      <family val="2"/>
    </font>
    <font>
      <sz val="11"/>
      <color rgb="FF000000"/>
      <name val="Calibri"/>
      <family val="2"/>
      <scheme val="minor"/>
    </font>
    <font>
      <sz val="10"/>
      <name val="굴림"/>
      <family val="3"/>
      <charset val="129"/>
    </font>
    <font>
      <sz val="9"/>
      <color indexed="8"/>
      <name val="Arial"/>
      <family val="2"/>
    </font>
    <font>
      <b/>
      <sz val="9"/>
      <color indexed="63"/>
      <name val="Arial"/>
      <family val="2"/>
    </font>
    <font>
      <sz val="10"/>
      <color indexed="10"/>
      <name val="Arial"/>
      <family val="2"/>
    </font>
    <font>
      <sz val="10"/>
      <color indexed="10"/>
      <name val="MS Sans Serif"/>
      <family val="2"/>
    </font>
    <font>
      <b/>
      <sz val="8"/>
      <color indexed="8"/>
      <name val="Arial"/>
      <family val="2"/>
    </font>
    <font>
      <sz val="7"/>
      <color indexed="8"/>
      <name val="Arial"/>
      <family val="2"/>
    </font>
    <font>
      <sz val="8"/>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
      <color indexed="18"/>
      <name val="Courier"/>
      <family val="3"/>
    </font>
    <font>
      <b/>
      <sz val="18"/>
      <color indexed="56"/>
      <name val="Cambria"/>
      <family val="2"/>
    </font>
    <font>
      <b/>
      <sz val="15"/>
      <color indexed="61"/>
      <name val="Calibri"/>
      <family val="2"/>
    </font>
    <font>
      <b/>
      <sz val="13"/>
      <color indexed="61"/>
      <name val="Calibri"/>
      <family val="2"/>
    </font>
    <font>
      <b/>
      <sz val="11"/>
      <color indexed="61"/>
      <name val="Calibri"/>
      <family val="2"/>
    </font>
    <font>
      <b/>
      <sz val="18"/>
      <color indexed="61"/>
      <name val="Cambria"/>
      <family val="2"/>
    </font>
    <font>
      <b/>
      <sz val="1"/>
      <color indexed="16"/>
      <name val="Courier"/>
      <family val="3"/>
    </font>
    <font>
      <b/>
      <sz val="12"/>
      <color indexed="10"/>
      <name val="Arial"/>
      <family val="2"/>
    </font>
    <font>
      <sz val="8"/>
      <name val="Helv"/>
    </font>
    <font>
      <sz val="10"/>
      <name val="Arial"/>
      <family val="2"/>
    </font>
    <font>
      <sz val="10"/>
      <color indexed="49"/>
      <name val="Calibri"/>
      <family val="2"/>
    </font>
    <font>
      <b/>
      <sz val="11"/>
      <color indexed="22"/>
      <name val="Calibri"/>
      <family val="2"/>
    </font>
    <font>
      <b/>
      <sz val="18"/>
      <color indexed="62"/>
      <name val="Cambria"/>
      <family val="2"/>
    </font>
    <font>
      <sz val="10"/>
      <color theme="3" tint="0.34998626667073579"/>
      <name val="Calibri"/>
      <family val="2"/>
      <scheme val="minor"/>
    </font>
    <font>
      <sz val="14"/>
      <color theme="1" tint="0.499984740745262"/>
      <name val="Calibri"/>
      <family val="2"/>
      <scheme val="minor"/>
    </font>
    <font>
      <sz val="10"/>
      <name val="Arial"/>
      <family val="2"/>
    </font>
    <font>
      <sz val="8"/>
      <name val="Calibri"/>
      <family val="2"/>
    </font>
    <font>
      <sz val="10"/>
      <name val="Arial"/>
      <family val="2"/>
    </font>
    <font>
      <sz val="8"/>
      <name val="Calibri"/>
      <family val="2"/>
      <scheme val="minor"/>
    </font>
    <font>
      <b/>
      <sz val="11"/>
      <color theme="0"/>
      <name val="Calibri"/>
      <family val="2"/>
    </font>
    <font>
      <sz val="8"/>
      <color rgb="FF000000"/>
      <name val="Segoe UI"/>
      <family val="2"/>
    </font>
  </fonts>
  <fills count="8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bgColor indexed="64"/>
      </patternFill>
    </fill>
    <fill>
      <patternFill patternType="solid">
        <fgColor indexed="26"/>
      </patternFill>
    </fill>
    <fill>
      <patternFill patternType="solid">
        <fgColor indexed="22"/>
      </patternFill>
    </fill>
    <fill>
      <patternFill patternType="solid">
        <fgColor indexed="48"/>
      </patternFill>
    </fill>
    <fill>
      <patternFill patternType="solid">
        <fgColor indexed="9"/>
      </patternFill>
    </fill>
    <fill>
      <patternFill patternType="solid">
        <fgColor indexed="63"/>
      </patternFill>
    </fill>
    <fill>
      <patternFill patternType="gray0625"/>
    </fill>
    <fill>
      <patternFill patternType="solid">
        <fgColor indexed="56"/>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54"/>
      </patternFill>
    </fill>
    <fill>
      <patternFill patternType="solid">
        <fgColor theme="1" tint="4.9989318521683403E-2"/>
        <bgColor indexed="64"/>
      </patternFill>
    </fill>
  </fills>
  <borders count="68">
    <border>
      <left/>
      <right/>
      <top/>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medium">
        <color indexed="64"/>
      </right>
      <top/>
      <bottom/>
      <diagonal/>
    </border>
    <border>
      <left/>
      <right/>
      <top/>
      <bottom style="thick">
        <color indexed="54"/>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indexed="48"/>
      </bottom>
      <diagonal/>
    </border>
    <border>
      <left/>
      <right/>
      <top/>
      <bottom style="medium">
        <color indexed="48"/>
      </bottom>
      <diagonal/>
    </border>
    <border>
      <left style="medium">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style="double">
        <color indexed="22"/>
      </left>
      <right style="double">
        <color indexed="22"/>
      </right>
      <top style="double">
        <color indexed="22"/>
      </top>
      <bottom style="double">
        <color indexed="22"/>
      </bottom>
      <diagonal/>
    </border>
    <border>
      <left/>
      <right/>
      <top/>
      <bottom style="thick">
        <color indexed="49"/>
      </bottom>
      <diagonal/>
    </border>
    <border>
      <left/>
      <right/>
      <top/>
      <bottom style="thick">
        <color indexed="63"/>
      </bottom>
      <diagonal/>
    </border>
    <border>
      <left/>
      <right/>
      <top/>
      <bottom style="medium">
        <color indexed="49"/>
      </bottom>
      <diagonal/>
    </border>
    <border>
      <left/>
      <right/>
      <top style="thin">
        <color indexed="49"/>
      </top>
      <bottom style="double">
        <color indexed="49"/>
      </bottom>
      <diagonal/>
    </border>
    <border>
      <left/>
      <right/>
      <top style="thin">
        <color indexed="54"/>
      </top>
      <bottom style="double">
        <color indexed="5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theme="0" tint="-0.34998626667073579"/>
      </bottom>
      <diagonal/>
    </border>
  </borders>
  <cellStyleXfs count="33646">
    <xf numFmtId="0" fontId="0" fillId="0" borderId="0"/>
    <xf numFmtId="171" fontId="22" fillId="0" borderId="0" applyFont="0" applyFill="0" applyBorder="0" applyAlignment="0" applyProtection="0"/>
    <xf numFmtId="172" fontId="22"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170" fontId="8" fillId="20" borderId="0" applyNumberFormat="0" applyBorder="0" applyAlignment="0" applyProtection="0"/>
    <xf numFmtId="170" fontId="8" fillId="15" borderId="0" applyNumberFormat="0" applyBorder="0" applyAlignment="0" applyProtection="0"/>
    <xf numFmtId="170" fontId="8" fillId="16"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23"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42" fillId="13" borderId="0" applyNumberFormat="0" applyBorder="0" applyAlignment="0" applyProtection="0"/>
    <xf numFmtId="170" fontId="23" fillId="0" borderId="1" applyNumberFormat="0" applyFill="0" applyAlignment="0" applyProtection="0"/>
    <xf numFmtId="0" fontId="62" fillId="56" borderId="0" applyNumberFormat="0" applyBorder="0" applyAlignment="0" applyProtection="0"/>
    <xf numFmtId="173" fontId="22" fillId="0" borderId="0" applyFont="0" applyFill="0" applyBorder="0" applyAlignment="0" applyProtection="0"/>
    <xf numFmtId="170" fontId="17" fillId="0" borderId="2" applyNumberFormat="0" applyFill="0" applyAlignment="0" applyProtection="0"/>
    <xf numFmtId="170" fontId="18" fillId="0" borderId="3" applyNumberFormat="0" applyFill="0" applyAlignment="0" applyProtection="0"/>
    <xf numFmtId="170" fontId="19" fillId="0" borderId="4" applyNumberFormat="0" applyFill="0" applyAlignment="0" applyProtection="0"/>
    <xf numFmtId="170" fontId="19" fillId="0" borderId="0" applyNumberFormat="0" applyFill="0" applyBorder="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63" fillId="57" borderId="18" applyNumberFormat="0" applyAlignment="0" applyProtection="0"/>
    <xf numFmtId="0" fontId="64" fillId="58" borderId="19" applyNumberFormat="0" applyAlignment="0" applyProtection="0"/>
    <xf numFmtId="170" fontId="11" fillId="0" borderId="7" applyNumberFormat="0" applyFill="0" applyAlignment="0" applyProtection="0"/>
    <xf numFmtId="0" fontId="65" fillId="0" borderId="20" applyNumberFormat="0" applyFill="0" applyAlignment="0" applyProtection="0"/>
    <xf numFmtId="0" fontId="10" fillId="26" borderId="6" applyNumberFormat="0" applyAlignment="0" applyProtection="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92" fontId="3" fillId="0" borderId="0" applyFont="0" applyFill="0" applyBorder="0" applyAlignment="0" applyProtection="0"/>
    <xf numFmtId="175" fontId="25" fillId="0" borderId="0" applyFont="0" applyFill="0" applyBorder="0" applyAlignment="0" applyProtection="0">
      <alignment horizontal="right"/>
    </xf>
    <xf numFmtId="176" fontId="25" fillId="0" borderId="0" applyFont="0" applyFill="0" applyBorder="0" applyAlignment="0" applyProtection="0"/>
    <xf numFmtId="177" fontId="25" fillId="0" borderId="0" applyFont="0" applyFill="0" applyBorder="0" applyAlignment="0" applyProtection="0">
      <alignment horizontal="right"/>
    </xf>
    <xf numFmtId="178" fontId="25" fillId="0" borderId="0" applyFont="0" applyFill="0" applyBorder="0" applyAlignment="0" applyProtection="0"/>
    <xf numFmtId="165" fontId="3" fillId="0" borderId="0" applyFont="0" applyFill="0" applyBorder="0" applyAlignment="0" applyProtection="0"/>
    <xf numFmtId="193" fontId="3" fillId="0" borderId="0" applyFont="0" applyFill="0" applyBorder="0" applyAlignment="0" applyProtection="0"/>
    <xf numFmtId="170" fontId="8" fillId="30" borderId="0" applyNumberFormat="0" applyBorder="0" applyAlignment="0" applyProtection="0"/>
    <xf numFmtId="170" fontId="8" fillId="31" borderId="0" applyNumberFormat="0" applyBorder="0" applyAlignment="0" applyProtection="0"/>
    <xf numFmtId="170" fontId="8" fillId="32"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33" borderId="0" applyNumberFormat="0" applyBorder="0" applyAlignment="0" applyProtection="0"/>
    <xf numFmtId="170" fontId="9" fillId="7" borderId="0" applyNumberFormat="0" applyBorder="0" applyAlignment="0" applyProtection="0"/>
    <xf numFmtId="9" fontId="32" fillId="0" borderId="0" applyFont="0" applyFill="0" applyBorder="0" applyAlignment="0" applyProtection="0"/>
    <xf numFmtId="179" fontId="25" fillId="0" borderId="0" applyFont="0" applyFill="0" applyBorder="0" applyAlignment="0" applyProtection="0">
      <alignment horizontal="right"/>
    </xf>
    <xf numFmtId="180" fontId="25" fillId="0" borderId="0" applyFont="0" applyFill="0" applyBorder="0" applyAlignment="0" applyProtection="0">
      <alignment horizontal="right"/>
    </xf>
    <xf numFmtId="181" fontId="26" fillId="0" borderId="0" applyFont="0" applyFill="0" applyBorder="0" applyAlignment="0" applyProtection="0"/>
    <xf numFmtId="167" fontId="32" fillId="0" borderId="0" applyFont="0" applyFill="0" applyBorder="0" applyAlignment="0" applyProtection="0"/>
    <xf numFmtId="182" fontId="22"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8" applyNumberFormat="0" applyFont="0" applyFill="0" applyAlignment="0" applyProtection="0"/>
    <xf numFmtId="166" fontId="6" fillId="0" borderId="9" applyFill="0" applyBorder="0" applyAlignment="0">
      <alignment horizontal="centerContinuous"/>
    </xf>
    <xf numFmtId="0" fontId="61" fillId="59"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170"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16" fillId="0" borderId="0" applyNumberFormat="0" applyFill="0" applyBorder="0" applyAlignment="0" applyProtection="0"/>
    <xf numFmtId="170" fontId="27" fillId="0" borderId="0" applyNumberFormat="0" applyFill="0" applyBorder="0" applyAlignment="0" applyProtection="0"/>
    <xf numFmtId="170" fontId="28" fillId="0" borderId="0" applyFill="0" applyBorder="0" applyProtection="0">
      <alignment horizontal="left"/>
    </xf>
    <xf numFmtId="0" fontId="9" fillId="12" borderId="0" applyNumberFormat="0" applyBorder="0" applyAlignment="0" applyProtection="0"/>
    <xf numFmtId="186" fontId="25" fillId="0" borderId="0" applyFont="0" applyFill="0" applyBorder="0" applyAlignment="0" applyProtection="0">
      <alignment horizontal="right"/>
    </xf>
    <xf numFmtId="170" fontId="29" fillId="0" borderId="0" applyProtection="0">
      <alignment horizontal="right"/>
    </xf>
    <xf numFmtId="0" fontId="44" fillId="0" borderId="10" applyNumberFormat="0" applyFill="0" applyAlignment="0" applyProtection="0"/>
    <xf numFmtId="170" fontId="30" fillId="0" borderId="0" applyProtection="0">
      <alignment horizontal="left"/>
    </xf>
    <xf numFmtId="0" fontId="56" fillId="0" borderId="11" applyNumberFormat="0" applyFill="0" applyAlignment="0" applyProtection="0"/>
    <xf numFmtId="170" fontId="31" fillId="0" borderId="0" applyProtection="0">
      <alignment horizontal="left"/>
    </xf>
    <xf numFmtId="0" fontId="45" fillId="0" borderId="12" applyNumberFormat="0" applyFill="0" applyAlignment="0" applyProtection="0"/>
    <xf numFmtId="0" fontId="45" fillId="0" borderId="0" applyNumberFormat="0" applyFill="0" applyBorder="0" applyAlignment="0" applyProtection="0"/>
    <xf numFmtId="170" fontId="12" fillId="6" borderId="0" applyNumberFormat="0" applyBorder="0" applyAlignment="0" applyProtection="0"/>
    <xf numFmtId="0" fontId="67" fillId="66" borderId="0" applyNumberFormat="0" applyBorder="0" applyAlignment="0" applyProtection="0"/>
    <xf numFmtId="170" fontId="32" fillId="14" borderId="0" applyNumberFormat="0" applyFont="0" applyBorder="0" applyAlignment="0">
      <protection locked="0"/>
    </xf>
    <xf numFmtId="0" fontId="55" fillId="13" borderId="5" applyNumberFormat="0" applyAlignment="0" applyProtection="0"/>
    <xf numFmtId="0" fontId="46" fillId="0" borderId="7" applyNumberFormat="0" applyFill="0" applyAlignment="0" applyProtection="0"/>
    <xf numFmtId="167" fontId="3" fillId="0" borderId="0" applyFont="0" applyFill="0" applyBorder="0" applyAlignment="0" applyProtection="0"/>
    <xf numFmtId="187" fontId="1" fillId="0" borderId="0" applyFont="0" applyFill="0" applyBorder="0" applyAlignment="0" applyProtection="0"/>
    <xf numFmtId="167" fontId="3" fillId="0" borderId="0" applyFont="0" applyFill="0" applyBorder="0" applyAlignment="0" applyProtection="0"/>
    <xf numFmtId="188" fontId="25" fillId="0" borderId="0" applyFont="0" applyFill="0" applyBorder="0" applyAlignment="0" applyProtection="0">
      <alignment horizontal="right"/>
    </xf>
    <xf numFmtId="0" fontId="47" fillId="35" borderId="0" applyNumberFormat="0" applyBorder="0" applyAlignment="0" applyProtection="0"/>
    <xf numFmtId="170" fontId="13" fillId="34" borderId="0" applyNumberFormat="0" applyBorder="0" applyAlignment="0" applyProtection="0"/>
    <xf numFmtId="189" fontId="3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3" fillId="0" borderId="0"/>
    <xf numFmtId="0" fontId="60" fillId="0" borderId="0"/>
    <xf numFmtId="0" fontId="60" fillId="0" borderId="0"/>
    <xf numFmtId="0" fontId="60" fillId="0" borderId="0"/>
    <xf numFmtId="0" fontId="60" fillId="0" borderId="0"/>
    <xf numFmtId="170" fontId="3"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1" fillId="0" borderId="0"/>
    <xf numFmtId="0" fontId="1" fillId="0" borderId="0"/>
    <xf numFmtId="0" fontId="60" fillId="0" borderId="0"/>
    <xf numFmtId="0" fontId="60"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170" fontId="3" fillId="0" borderId="0"/>
    <xf numFmtId="0" fontId="3" fillId="0" borderId="0"/>
    <xf numFmtId="170" fontId="3" fillId="0" borderId="0"/>
    <xf numFmtId="0" fontId="4" fillId="0" borderId="0"/>
    <xf numFmtId="170" fontId="3" fillId="0" borderId="0"/>
    <xf numFmtId="0" fontId="3" fillId="0" borderId="0"/>
    <xf numFmtId="0" fontId="6" fillId="0" borderId="0"/>
    <xf numFmtId="170" fontId="3"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2" fillId="0" borderId="0"/>
    <xf numFmtId="0" fontId="2"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0" fontId="3" fillId="0" borderId="0"/>
    <xf numFmtId="0" fontId="1" fillId="0" borderId="0"/>
    <xf numFmtId="0" fontId="1"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170" fontId="1"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 fillId="0" borderId="0"/>
    <xf numFmtId="0" fontId="60" fillId="0" borderId="0"/>
    <xf numFmtId="0" fontId="60" fillId="0" borderId="0"/>
    <xf numFmtId="0" fontId="69" fillId="0" borderId="0"/>
    <xf numFmtId="0" fontId="60"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170" fontId="3" fillId="0" borderId="0"/>
    <xf numFmtId="0" fontId="1" fillId="0" borderId="0"/>
    <xf numFmtId="0" fontId="1"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68" borderId="21" applyNumberFormat="0" applyFont="0" applyAlignment="0" applyProtection="0"/>
    <xf numFmtId="0" fontId="49"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1" fontId="34" fillId="0" borderId="0" applyProtection="0">
      <alignment horizontal="right" vertical="center"/>
    </xf>
    <xf numFmtId="9" fontId="3" fillId="0" borderId="0" applyFont="0" applyFill="0" applyBorder="0" applyAlignment="0" applyProtection="0"/>
    <xf numFmtId="168" fontId="7" fillId="0" borderId="0" applyFill="0" applyBorder="0" applyAlignment="0">
      <alignment horizontal="left"/>
    </xf>
    <xf numFmtId="169" fontId="7" fillId="0" borderId="0" applyBorder="0" applyAlignment="0">
      <alignment horizontal="right"/>
    </xf>
    <xf numFmtId="9" fontId="4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36" fillId="0" borderId="0">
      <alignment horizontal="right"/>
    </xf>
    <xf numFmtId="0" fontId="70" fillId="57" borderId="22" applyNumberFormat="0" applyAlignment="0" applyProtection="0"/>
    <xf numFmtId="38"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5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8" fillId="0" borderId="0" applyBorder="0" applyProtection="0">
      <alignment vertical="center"/>
    </xf>
    <xf numFmtId="185" fontId="38" fillId="0" borderId="1" applyBorder="0" applyProtection="0">
      <alignment horizontal="right" vertical="center"/>
    </xf>
    <xf numFmtId="170" fontId="39" fillId="36" borderId="0" applyBorder="0" applyProtection="0">
      <alignment horizontal="centerContinuous" vertical="center"/>
    </xf>
    <xf numFmtId="170" fontId="39" fillId="37" borderId="1" applyBorder="0" applyProtection="0">
      <alignment horizontal="centerContinuous" vertical="center"/>
    </xf>
    <xf numFmtId="170" fontId="40" fillId="0" borderId="0" applyFill="0" applyBorder="0" applyProtection="0">
      <alignment horizontal="left"/>
    </xf>
    <xf numFmtId="170" fontId="28" fillId="0" borderId="15" applyFill="0" applyBorder="0" applyProtection="0">
      <alignment horizontal="left" vertical="top"/>
    </xf>
    <xf numFmtId="0" fontId="7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4" fillId="0" borderId="2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77" fillId="0" borderId="26" applyNumberFormat="0" applyFill="0" applyAlignment="0" applyProtection="0"/>
    <xf numFmtId="170" fontId="10" fillId="29" borderId="6" applyNumberFormat="0" applyAlignment="0" applyProtection="0"/>
    <xf numFmtId="43" fontId="5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6" fontId="3" fillId="0" borderId="0" applyFont="0" applyFill="0" applyBorder="0" applyAlignment="0" applyProtection="0"/>
    <xf numFmtId="43" fontId="49" fillId="0" borderId="0" applyFont="0" applyFill="0" applyBorder="0" applyAlignment="0" applyProtection="0"/>
    <xf numFmtId="43" fontId="3" fillId="0" borderId="0" quotePrefix="1" applyFont="0" applyFill="0" applyBorder="0" applyAlignment="0">
      <protection locked="0"/>
    </xf>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0" fontId="79" fillId="0" borderId="0"/>
    <xf numFmtId="0" fontId="3" fillId="0" borderId="0"/>
    <xf numFmtId="0" fontId="81" fillId="0" borderId="0"/>
    <xf numFmtId="0" fontId="81" fillId="0" borderId="0"/>
    <xf numFmtId="0" fontId="81" fillId="0" borderId="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 fontId="82" fillId="0" borderId="28" applyNumberFormat="0" applyBorder="0" applyAlignment="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37" fontId="83" fillId="0" borderId="0"/>
    <xf numFmtId="37" fontId="3" fillId="0" borderId="0"/>
    <xf numFmtId="37" fontId="3" fillId="0" borderId="0"/>
    <xf numFmtId="37" fontId="3" fillId="0" borderId="0"/>
    <xf numFmtId="0" fontId="8" fillId="3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 fillId="0" borderId="0"/>
    <xf numFmtId="0" fontId="3" fillId="0" borderId="0"/>
    <xf numFmtId="0" fontId="84" fillId="0" borderId="0"/>
    <xf numFmtId="14" fontId="85" fillId="12" borderId="29" applyNumberFormat="0" applyFont="0" applyBorder="0" applyAlignment="0" applyProtection="0">
      <alignment horizontal="center" vertical="center"/>
    </xf>
    <xf numFmtId="0" fontId="86" fillId="0" borderId="30">
      <protection hidden="1"/>
    </xf>
    <xf numFmtId="0" fontId="84" fillId="72" borderId="30" applyNumberFormat="0" applyFont="0" applyBorder="0" applyAlignment="0" applyProtection="0">
      <protection hidden="1"/>
    </xf>
    <xf numFmtId="0" fontId="86" fillId="0" borderId="30">
      <protection hidden="1"/>
    </xf>
    <xf numFmtId="0" fontId="12" fillId="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3" fillId="0" borderId="1" applyNumberFormat="0" applyFill="0" applyAlignment="0" applyProtection="0"/>
    <xf numFmtId="199" fontId="6" fillId="0" borderId="0">
      <alignment vertical="top"/>
    </xf>
    <xf numFmtId="199" fontId="89" fillId="0" borderId="0">
      <alignment horizontal="right"/>
    </xf>
    <xf numFmtId="199" fontId="89" fillId="0" borderId="0">
      <alignment horizontal="left"/>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0" fillId="0" borderId="0">
      <protection locked="0"/>
    </xf>
    <xf numFmtId="0" fontId="90" fillId="0" borderId="0">
      <protection locked="0"/>
    </xf>
    <xf numFmtId="0" fontId="91" fillId="0" borderId="0" applyNumberFormat="0" applyFill="0" applyBorder="0" applyAlignment="0" applyProtection="0"/>
    <xf numFmtId="0" fontId="92" fillId="0" borderId="0" applyNumberFormat="0" applyFill="0" applyBorder="0" applyAlignment="0" applyProtection="0"/>
    <xf numFmtId="3" fontId="88" fillId="0" borderId="31">
      <alignment horizontal="center"/>
    </xf>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164" fontId="3" fillId="0" borderId="0" applyFont="0" applyFill="0" applyBorder="0" applyAlignment="0" applyProtection="0"/>
    <xf numFmtId="200" fontId="3" fillId="0" borderId="0" applyFont="0" applyFill="0" applyBorder="0" applyAlignment="0" applyProtection="0"/>
    <xf numFmtId="0" fontId="5" fillId="0" borderId="0">
      <alignment vertical="center"/>
    </xf>
    <xf numFmtId="0" fontId="10" fillId="29" borderId="6" applyNumberFormat="0" applyAlignment="0" applyProtection="0"/>
    <xf numFmtId="0" fontId="11" fillId="0" borderId="7" applyNumberFormat="0" applyFill="0" applyAlignment="0" applyProtection="0"/>
    <xf numFmtId="0" fontId="10" fillId="75" borderId="33" applyNumberFormat="0" applyAlignment="0" applyProtection="0"/>
    <xf numFmtId="0" fontId="10" fillId="75" borderId="33" applyNumberFormat="0" applyAlignment="0" applyProtection="0"/>
    <xf numFmtId="0" fontId="10" fillId="75" borderId="33"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96" fillId="0" borderId="34"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0" fillId="29" borderId="6" applyNumberFormat="0" applyAlignment="0" applyProtection="0"/>
    <xf numFmtId="0" fontId="10" fillId="26" borderId="6" applyNumberFormat="0" applyAlignment="0" applyProtection="0"/>
    <xf numFmtId="0" fontId="10" fillId="26" borderId="6" applyNumberFormat="0" applyAlignment="0" applyProtection="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0" fontId="6"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6"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3" fontId="99" fillId="0" borderId="0" applyFont="0" applyFill="0" applyBorder="0" applyAlignment="0" applyProtection="0"/>
    <xf numFmtId="203" fontId="25" fillId="0" borderId="0" applyFont="0" applyFill="0" applyBorder="0" applyAlignment="0" applyProtection="0">
      <alignment horizontal="right"/>
    </xf>
    <xf numFmtId="204" fontId="25" fillId="0" borderId="0" applyFont="0" applyFill="0" applyBorder="0" applyAlignment="0" applyProtection="0">
      <alignment horizontal="right"/>
    </xf>
    <xf numFmtId="205" fontId="26" fillId="0" borderId="0" applyFont="0" applyFill="0" applyBorder="0" applyAlignment="0" applyProtection="0"/>
    <xf numFmtId="180" fontId="25" fillId="0" borderId="0" applyFont="0" applyFill="0" applyBorder="0" applyAlignment="0" applyProtection="0">
      <alignment horizontal="right"/>
    </xf>
    <xf numFmtId="1" fontId="99" fillId="0" borderId="0" applyFont="0" applyFill="0" applyBorder="0" applyAlignment="0" applyProtection="0"/>
    <xf numFmtId="206" fontId="100" fillId="0" borderId="0">
      <protection locked="0"/>
    </xf>
    <xf numFmtId="207" fontId="101" fillId="0" borderId="0">
      <protection locked="0"/>
    </xf>
    <xf numFmtId="37" fontId="23" fillId="76" borderId="35" applyNumberFormat="0" applyAlignment="0">
      <alignment horizontal="left"/>
    </xf>
    <xf numFmtId="0" fontId="19" fillId="0" borderId="0" applyNumberFormat="0" applyFill="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87" fillId="0" borderId="0">
      <alignment vertical="top"/>
    </xf>
    <xf numFmtId="41" fontId="103" fillId="0" borderId="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10"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1" fontId="3" fillId="0" borderId="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212" fontId="101" fillId="0" borderId="0">
      <protection locked="0"/>
    </xf>
    <xf numFmtId="206" fontId="100" fillId="0" borderId="0">
      <protection locked="0"/>
    </xf>
    <xf numFmtId="0" fontId="28" fillId="0" borderId="0" applyFill="0" applyBorder="0" applyProtection="0">
      <alignment horizontal="left"/>
    </xf>
    <xf numFmtId="10" fontId="3" fillId="3" borderId="0" applyNumberFormat="0" applyFont="0" applyBorder="0" applyAlignment="0"/>
    <xf numFmtId="0" fontId="9" fillId="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0" borderId="0" applyNumberFormat="0" applyFill="0" applyBorder="0" applyAlignment="0" applyProtection="0"/>
    <xf numFmtId="38" fontId="5" fillId="11" borderId="0" applyNumberFormat="0" applyBorder="0" applyAlignment="0" applyProtection="0"/>
    <xf numFmtId="0" fontId="29" fillId="0" borderId="0" applyProtection="0">
      <alignment horizontal="right"/>
    </xf>
    <xf numFmtId="0" fontId="80" fillId="0" borderId="36" applyNumberFormat="0" applyAlignment="0" applyProtection="0">
      <alignment horizontal="left" vertical="center"/>
    </xf>
    <xf numFmtId="0" fontId="80" fillId="0" borderId="27">
      <alignment horizontal="left" vertical="center"/>
    </xf>
    <xf numFmtId="37" fontId="78" fillId="2" borderId="37">
      <alignment horizontal="center" vertical="center" wrapText="1"/>
    </xf>
    <xf numFmtId="0" fontId="17" fillId="0" borderId="2"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105" fillId="0" borderId="4" applyNumberFormat="0" applyFill="0" applyAlignment="0" applyProtection="0"/>
    <xf numFmtId="0" fontId="105" fillId="0" borderId="4"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13" fontId="90" fillId="0" borderId="0">
      <protection locked="0"/>
    </xf>
    <xf numFmtId="213" fontId="90"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214" fontId="109" fillId="0" borderId="0">
      <alignment horizontal="left"/>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0" fillId="0" borderId="0"/>
    <xf numFmtId="0" fontId="55" fillId="10" borderId="32" applyNumberFormat="0" applyAlignment="0" applyProtection="0"/>
    <xf numFmtId="10" fontId="5" fillId="3" borderId="38" applyNumberFormat="0" applyBorder="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0" fontId="11"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112" fillId="0" borderId="30">
      <alignment horizontal="left"/>
      <protection locked="0"/>
    </xf>
    <xf numFmtId="215" fontId="113" fillId="0" borderId="0" applyFont="0" applyFill="0" applyBorder="0" applyAlignment="0" applyProtection="0"/>
    <xf numFmtId="0" fontId="114" fillId="0" borderId="0" applyBorder="0"/>
    <xf numFmtId="216" fontId="3" fillId="0" borderId="0" applyFont="0" applyFill="0" applyBorder="0" applyAlignment="0" applyProtection="0"/>
    <xf numFmtId="217" fontId="3" fillId="0" borderId="0" applyFont="0" applyFill="0" applyBorder="0" applyAlignment="0" applyProtection="0"/>
    <xf numFmtId="218" fontId="3" fillId="0" borderId="0" applyFont="0" applyFill="0" applyBorder="0" applyAlignment="0" applyProtection="0"/>
    <xf numFmtId="187" fontId="60"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5"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118"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20" fillId="0" borderId="0"/>
    <xf numFmtId="0" fontId="1" fillId="0" borderId="0"/>
    <xf numFmtId="0" fontId="121" fillId="0" borderId="0"/>
    <xf numFmtId="0" fontId="121" fillId="0" borderId="0"/>
    <xf numFmtId="195" fontId="83" fillId="0" borderId="0"/>
    <xf numFmtId="0" fontId="60" fillId="0" borderId="0"/>
    <xf numFmtId="0" fontId="60" fillId="0" borderId="0"/>
    <xf numFmtId="0" fontId="3" fillId="0" borderId="0"/>
    <xf numFmtId="0" fontId="115" fillId="0" borderId="0"/>
    <xf numFmtId="0" fontId="3" fillId="0" borderId="0"/>
    <xf numFmtId="0" fontId="115" fillId="0" borderId="0"/>
    <xf numFmtId="0" fontId="60" fillId="0" borderId="0"/>
    <xf numFmtId="0" fontId="115" fillId="0" borderId="0"/>
    <xf numFmtId="0" fontId="3" fillId="0" borderId="0"/>
    <xf numFmtId="0" fontId="115" fillId="0" borderId="0"/>
    <xf numFmtId="0" fontId="115"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3" fillId="0" borderId="0"/>
    <xf numFmtId="0" fontId="60" fillId="0" borderId="0"/>
    <xf numFmtId="0" fontId="3" fillId="0" borderId="0"/>
    <xf numFmtId="0" fontId="60" fillId="0" borderId="0"/>
    <xf numFmtId="0" fontId="60" fillId="0" borderId="0"/>
    <xf numFmtId="0" fontId="3" fillId="0" borderId="0"/>
    <xf numFmtId="0" fontId="122" fillId="0" borderId="0" applyNumberFormat="0" applyFill="0" applyBorder="0" applyAlignment="0" applyProtection="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xf numFmtId="0" fontId="60"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3" fillId="0" borderId="0"/>
    <xf numFmtId="0" fontId="4"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60" fillId="0" borderId="0"/>
    <xf numFmtId="0" fontId="60" fillId="0" borderId="0"/>
    <xf numFmtId="0" fontId="60"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60" fillId="0" borderId="0"/>
    <xf numFmtId="0" fontId="1" fillId="0" borderId="0"/>
    <xf numFmtId="0" fontId="1" fillId="0" borderId="0"/>
    <xf numFmtId="0" fontId="60"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7"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60" fillId="0" borderId="0"/>
    <xf numFmtId="0" fontId="1"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12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applyNumberFormat="0" applyFont="0" applyFill="0" applyBorder="0" applyAlignment="0" applyProtection="0">
      <alignment vertical="top"/>
    </xf>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226" fontId="11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 fillId="0" borderId="0"/>
    <xf numFmtId="0" fontId="3" fillId="0" borderId="0"/>
    <xf numFmtId="0" fontId="60" fillId="0" borderId="0"/>
    <xf numFmtId="0" fontId="98" fillId="0" borderId="0"/>
    <xf numFmtId="0" fontId="98" fillId="0" borderId="0"/>
    <xf numFmtId="37" fontId="3" fillId="0" borderId="0"/>
    <xf numFmtId="0" fontId="87" fillId="0" borderId="0">
      <alignment vertical="top"/>
    </xf>
    <xf numFmtId="0" fontId="60" fillId="0" borderId="0"/>
    <xf numFmtId="0" fontId="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3" fillId="0" borderId="0" applyNumberFormat="0" applyFont="0" applyFill="0" applyBorder="0" applyAlignment="0" applyProtection="0">
      <alignment vertical="top"/>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124"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124" fillId="0" borderId="0"/>
    <xf numFmtId="0" fontId="126"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7" fillId="0" borderId="0"/>
    <xf numFmtId="0" fontId="127"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124"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6" fillId="0" borderId="0"/>
    <xf numFmtId="0" fontId="126" fillId="0" borderId="0"/>
    <xf numFmtId="0" fontId="12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24" fillId="0" borderId="0"/>
    <xf numFmtId="0" fontId="60" fillId="0" borderId="0"/>
    <xf numFmtId="0" fontId="60" fillId="0" borderId="0"/>
    <xf numFmtId="0" fontId="124"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87"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7"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121"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1"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113"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227" fontId="3" fillId="0" borderId="0" applyFont="0" applyFill="0" applyBorder="0" applyAlignment="0" applyProtection="0"/>
    <xf numFmtId="228" fontId="3" fillId="0" borderId="0" applyFont="0" applyFill="0" applyBorder="0" applyAlignment="0" applyProtection="0"/>
    <xf numFmtId="229" fontId="3" fillId="0" borderId="0" applyFont="0" applyFill="0" applyBorder="0" applyAlignment="0" applyProtection="0"/>
    <xf numFmtId="0" fontId="37" fillId="0" borderId="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230" fontId="3" fillId="0" borderId="0" applyFont="0" applyFill="0" applyBorder="0" applyAlignment="0" applyProtection="0"/>
    <xf numFmtId="23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87" fillId="0" borderId="0" applyFont="0" applyFill="0" applyBorder="0" applyAlignment="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0" fillId="0" borderId="0" applyFont="0" applyFill="0" applyBorder="0" applyAlignment="0" applyProtection="0"/>
    <xf numFmtId="2" fontId="3" fillId="0" borderId="0" applyFont="0" applyFill="0" applyAlignment="0" applyProtection="0"/>
    <xf numFmtId="9" fontId="37" fillId="0" borderId="41" applyNumberFormat="0" applyBorder="0"/>
    <xf numFmtId="206" fontId="100" fillId="0" borderId="0">
      <protection locked="0"/>
    </xf>
    <xf numFmtId="206" fontId="100" fillId="0" borderId="0">
      <protection locked="0"/>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NumberFormat="0" applyFill="0" applyBorder="0" applyAlignment="0" applyProtection="0"/>
    <xf numFmtId="0" fontId="131" fillId="0" borderId="30" applyNumberFormat="0" applyFill="0" applyBorder="0" applyAlignment="0" applyProtection="0">
      <protection hidden="1"/>
    </xf>
    <xf numFmtId="0" fontId="87" fillId="74" borderId="0">
      <alignment horizontal="left" vertical="top"/>
    </xf>
    <xf numFmtId="0" fontId="132" fillId="74" borderId="0">
      <alignment horizontal="left" vertical="top"/>
    </xf>
    <xf numFmtId="0" fontId="133" fillId="74" borderId="0">
      <alignment horizontal="left" vertical="top"/>
    </xf>
    <xf numFmtId="0" fontId="134" fillId="74" borderId="0">
      <alignment horizontal="left" vertical="top"/>
    </xf>
    <xf numFmtId="0" fontId="45" fillId="74" borderId="42" applyNumberFormat="0" applyAlignment="0" applyProtection="0"/>
    <xf numFmtId="0" fontId="45" fillId="74" borderId="42" applyNumberFormat="0" applyAlignment="0" applyProtection="0"/>
    <xf numFmtId="0" fontId="60" fillId="0" borderId="0"/>
    <xf numFmtId="0" fontId="45" fillId="74" borderId="42"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60" fillId="0" borderId="0"/>
    <xf numFmtId="0" fontId="60" fillId="0" borderId="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 fontId="135" fillId="34" borderId="43" applyNumberFormat="0" applyProtection="0">
      <alignment vertical="center"/>
    </xf>
    <xf numFmtId="4" fontId="136" fillId="35" borderId="43" applyNumberFormat="0" applyProtection="0">
      <alignment vertical="center"/>
    </xf>
    <xf numFmtId="4" fontId="135" fillId="35" borderId="43" applyNumberFormat="0" applyProtection="0">
      <alignment horizontal="left" vertical="center" indent="1"/>
    </xf>
    <xf numFmtId="0" fontId="135" fillId="35" borderId="43" applyNumberFormat="0" applyProtection="0">
      <alignment horizontal="left" vertical="top" indent="1"/>
    </xf>
    <xf numFmtId="4" fontId="135" fillId="78" borderId="0" applyNumberFormat="0" applyProtection="0">
      <alignment horizontal="left" vertical="center" indent="1"/>
    </xf>
    <xf numFmtId="4" fontId="87" fillId="6" borderId="43" applyNumberFormat="0" applyProtection="0">
      <alignment horizontal="right" vertical="center"/>
    </xf>
    <xf numFmtId="4" fontId="87" fillId="15" borderId="43" applyNumberFormat="0" applyProtection="0">
      <alignment horizontal="right" vertical="center"/>
    </xf>
    <xf numFmtId="4" fontId="87" fillId="31" borderId="43" applyNumberFormat="0" applyProtection="0">
      <alignment horizontal="right" vertical="center"/>
    </xf>
    <xf numFmtId="4" fontId="87" fillId="17" borderId="43" applyNumberFormat="0" applyProtection="0">
      <alignment horizontal="right" vertical="center"/>
    </xf>
    <xf numFmtId="4" fontId="87" fillId="17" borderId="43" applyNumberFormat="0" applyProtection="0">
      <alignment horizontal="right" vertical="center"/>
    </xf>
    <xf numFmtId="4" fontId="87" fillId="23" borderId="43" applyNumberFormat="0" applyProtection="0">
      <alignment horizontal="right" vertical="center"/>
    </xf>
    <xf numFmtId="4" fontId="87" fillId="33" borderId="43" applyNumberFormat="0" applyProtection="0">
      <alignment horizontal="right" vertical="center"/>
    </xf>
    <xf numFmtId="4" fontId="87" fillId="32" borderId="43" applyNumberFormat="0" applyProtection="0">
      <alignment horizontal="right" vertical="center"/>
    </xf>
    <xf numFmtId="4" fontId="87" fillId="79" borderId="43" applyNumberFormat="0" applyProtection="0">
      <alignment horizontal="right" vertical="center"/>
    </xf>
    <xf numFmtId="4" fontId="87" fillId="16" borderId="43" applyNumberFormat="0" applyProtection="0">
      <alignment horizontal="right" vertical="center"/>
    </xf>
    <xf numFmtId="4" fontId="135" fillId="80" borderId="44" applyNumberFormat="0" applyProtection="0">
      <alignment horizontal="left" vertical="center" indent="1"/>
    </xf>
    <xf numFmtId="4" fontId="87" fillId="81" borderId="0" applyNumberFormat="0" applyProtection="0">
      <alignment horizontal="left" vertical="center" indent="1"/>
    </xf>
    <xf numFmtId="4" fontId="137" fillId="24" borderId="0" applyNumberFormat="0" applyProtection="0">
      <alignment horizontal="left" vertical="center" indent="1"/>
    </xf>
    <xf numFmtId="4" fontId="87" fillId="82" borderId="43" applyNumberFormat="0" applyProtection="0">
      <alignment horizontal="right" vertical="center"/>
    </xf>
    <xf numFmtId="4" fontId="87" fillId="81" borderId="0" applyNumberFormat="0" applyProtection="0">
      <alignment horizontal="left" vertical="center" indent="1"/>
    </xf>
    <xf numFmtId="4" fontId="87" fillId="78" borderId="0"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4" fontId="87" fillId="3" borderId="43" applyNumberFormat="0" applyProtection="0">
      <alignment vertical="center"/>
    </xf>
    <xf numFmtId="4" fontId="138" fillId="3" borderId="43" applyNumberFormat="0" applyProtection="0">
      <alignment vertical="center"/>
    </xf>
    <xf numFmtId="4" fontId="87" fillId="3" borderId="43" applyNumberFormat="0" applyProtection="0">
      <alignment horizontal="left" vertical="center" indent="1"/>
    </xf>
    <xf numFmtId="0" fontId="87" fillId="3" borderId="43" applyNumberFormat="0" applyProtection="0">
      <alignment horizontal="left" vertical="top" indent="1"/>
    </xf>
    <xf numFmtId="4" fontId="87" fillId="81" borderId="43" applyNumberFormat="0" applyProtection="0">
      <alignment horizontal="right" vertical="center"/>
    </xf>
    <xf numFmtId="4" fontId="138" fillId="81" borderId="43" applyNumberFormat="0" applyProtection="0">
      <alignment horizontal="right" vertical="center"/>
    </xf>
    <xf numFmtId="4" fontId="87" fillId="82" borderId="43" applyNumberFormat="0" applyProtection="0">
      <alignment horizontal="left" vertical="center" indent="1"/>
    </xf>
    <xf numFmtId="0" fontId="87" fillId="78" borderId="43" applyNumberFormat="0" applyProtection="0">
      <alignment horizontal="left" vertical="top" indent="1"/>
    </xf>
    <xf numFmtId="4" fontId="139" fillId="84" borderId="0" applyNumberFormat="0" applyProtection="0">
      <alignment horizontal="left" vertical="center" indent="1"/>
    </xf>
    <xf numFmtId="4" fontId="130" fillId="81" borderId="43" applyNumberFormat="0" applyProtection="0">
      <alignment horizontal="right" vertical="center"/>
    </xf>
    <xf numFmtId="0" fontId="3" fillId="71" borderId="0" applyNumberFormat="0" applyFont="0" applyBorder="0" applyAlignment="0" applyProtection="0"/>
    <xf numFmtId="0" fontId="3" fillId="74" borderId="0" applyNumberFormat="0" applyFont="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7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6" fontId="140" fillId="0" borderId="0">
      <protection locked="0"/>
    </xf>
    <xf numFmtId="198"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32"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2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124" fillId="0" borderId="0" applyFont="0" applyFill="0" applyBorder="0" applyAlignment="0" applyProtection="0"/>
    <xf numFmtId="172" fontId="124" fillId="0" borderId="0" applyFont="0" applyFill="0" applyBorder="0" applyAlignment="0" applyProtection="0"/>
    <xf numFmtId="0" fontId="60" fillId="0" borderId="0" applyNumberFormat="0" applyFill="0" applyBorder="0" applyAlignment="0" applyProtection="0"/>
    <xf numFmtId="0"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96"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4" fontId="6"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Border="0" applyProtection="0">
      <alignment vertical="center"/>
    </xf>
    <xf numFmtId="0" fontId="39" fillId="36" borderId="0" applyBorder="0" applyProtection="0">
      <alignment horizontal="centerContinuous" vertical="center"/>
    </xf>
    <xf numFmtId="0" fontId="39" fillId="37" borderId="1" applyBorder="0" applyProtection="0">
      <alignment horizontal="centerContinuous" vertical="center"/>
    </xf>
    <xf numFmtId="0" fontId="40" fillId="0" borderId="0" applyFill="0" applyBorder="0" applyProtection="0">
      <alignment horizontal="left"/>
    </xf>
    <xf numFmtId="0" fontId="28" fillId="0" borderId="15" applyFill="0" applyBorder="0" applyProtection="0">
      <alignment horizontal="lef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142" fillId="0" borderId="4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41" fillId="0" borderId="0" applyNumberFormat="0" applyFill="0" applyBorder="0" applyAlignment="0" applyProtection="0"/>
    <xf numFmtId="0" fontId="143" fillId="0" borderId="3" applyNumberFormat="0" applyFill="0" applyAlignment="0" applyProtection="0"/>
    <xf numFmtId="0" fontId="143"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3" fillId="0" borderId="3" applyNumberFormat="0" applyFill="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46" applyNumberFormat="0" applyFill="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06" fontId="146" fillId="0" borderId="0">
      <protection locked="0"/>
    </xf>
    <xf numFmtId="206" fontId="146" fillId="0" borderId="0">
      <protection locked="0"/>
    </xf>
    <xf numFmtId="49" fontId="147" fillId="3" borderId="47">
      <alignment horizontal="left" vertical="center" indent="1"/>
    </xf>
    <xf numFmtId="0" fontId="148" fillId="72" borderId="3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26" fontId="101" fillId="0" borderId="0">
      <protection locked="0"/>
    </xf>
    <xf numFmtId="235" fontId="101"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2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3" fontId="1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9" fillId="0" borderId="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198" fontId="3" fillId="0" borderId="0" applyFont="0" applyFill="0" applyBorder="0" applyAlignment="0" applyProtection="0"/>
    <xf numFmtId="0" fontId="3" fillId="0" borderId="0"/>
    <xf numFmtId="3" fontId="88" fillId="0" borderId="38">
      <alignment horizontal="center"/>
    </xf>
    <xf numFmtId="0" fontId="93"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5" fillId="74" borderId="5" applyNumberFormat="0" applyAlignment="0" applyProtection="0"/>
    <xf numFmtId="0" fontId="95" fillId="74" borderId="5" applyNumberFormat="0" applyAlignment="0" applyProtection="0"/>
    <xf numFmtId="0" fontId="93" fillId="72" borderId="5" applyNumberFormat="0" applyAlignment="0" applyProtection="0"/>
    <xf numFmtId="0" fontId="95" fillId="74"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102" fillId="34" borderId="5" applyNumberFormat="0" applyAlignment="0" applyProtection="0"/>
    <xf numFmtId="0" fontId="102" fillId="34" borderId="5" applyNumberFormat="0" applyAlignment="0" applyProtection="0"/>
    <xf numFmtId="0" fontId="55" fillId="10" borderId="5" applyNumberFormat="0" applyAlignment="0" applyProtection="0"/>
    <xf numFmtId="0" fontId="102" fillId="34"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1"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4"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45" fillId="74" borderId="51" applyNumberFormat="0" applyAlignment="0" applyProtection="0"/>
    <xf numFmtId="0" fontId="45" fillId="74" borderId="51" applyNumberFormat="0" applyAlignment="0" applyProtection="0"/>
    <xf numFmtId="0" fontId="45" fillId="74" borderId="51"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4" fontId="135" fillId="34" borderId="52" applyNumberFormat="0" applyProtection="0">
      <alignment vertical="center"/>
    </xf>
    <xf numFmtId="4" fontId="136" fillId="35" borderId="52" applyNumberFormat="0" applyProtection="0">
      <alignment vertical="center"/>
    </xf>
    <xf numFmtId="4" fontId="135" fillId="35" borderId="52" applyNumberFormat="0" applyProtection="0">
      <alignment horizontal="left" vertical="center" indent="1"/>
    </xf>
    <xf numFmtId="0" fontId="135" fillId="35" borderId="52" applyNumberFormat="0" applyProtection="0">
      <alignment horizontal="left" vertical="top" indent="1"/>
    </xf>
    <xf numFmtId="4" fontId="87" fillId="6" borderId="52" applyNumberFormat="0" applyProtection="0">
      <alignment horizontal="right" vertical="center"/>
    </xf>
    <xf numFmtId="4" fontId="87" fillId="15" borderId="52" applyNumberFormat="0" applyProtection="0">
      <alignment horizontal="right" vertical="center"/>
    </xf>
    <xf numFmtId="4" fontId="87" fillId="31" borderId="52" applyNumberFormat="0" applyProtection="0">
      <alignment horizontal="right" vertical="center"/>
    </xf>
    <xf numFmtId="4" fontId="87" fillId="17" borderId="52" applyNumberFormat="0" applyProtection="0">
      <alignment horizontal="right" vertical="center"/>
    </xf>
    <xf numFmtId="4" fontId="87" fillId="17" borderId="52" applyNumberFormat="0" applyProtection="0">
      <alignment horizontal="right" vertical="center"/>
    </xf>
    <xf numFmtId="4" fontId="87" fillId="23" borderId="52" applyNumberFormat="0" applyProtection="0">
      <alignment horizontal="right" vertical="center"/>
    </xf>
    <xf numFmtId="4" fontId="87" fillId="33" borderId="52" applyNumberFormat="0" applyProtection="0">
      <alignment horizontal="right" vertical="center"/>
    </xf>
    <xf numFmtId="4" fontId="87" fillId="32" borderId="52" applyNumberFormat="0" applyProtection="0">
      <alignment horizontal="right" vertical="center"/>
    </xf>
    <xf numFmtId="4" fontId="87" fillId="79" borderId="52" applyNumberFormat="0" applyProtection="0">
      <alignment horizontal="right" vertical="center"/>
    </xf>
    <xf numFmtId="4" fontId="87" fillId="16" borderId="52" applyNumberFormat="0" applyProtection="0">
      <alignment horizontal="right" vertical="center"/>
    </xf>
    <xf numFmtId="4" fontId="87" fillId="82" borderId="52" applyNumberFormat="0" applyProtection="0">
      <alignment horizontal="right" vertical="center"/>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4" fontId="87" fillId="3" borderId="52" applyNumberFormat="0" applyProtection="0">
      <alignment vertical="center"/>
    </xf>
    <xf numFmtId="4" fontId="138" fillId="3" borderId="52" applyNumberFormat="0" applyProtection="0">
      <alignment vertical="center"/>
    </xf>
    <xf numFmtId="4" fontId="87" fillId="3" borderId="52" applyNumberFormat="0" applyProtection="0">
      <alignment horizontal="left" vertical="center" indent="1"/>
    </xf>
    <xf numFmtId="0" fontId="87" fillId="3" borderId="52" applyNumberFormat="0" applyProtection="0">
      <alignment horizontal="left" vertical="top" indent="1"/>
    </xf>
    <xf numFmtId="4" fontId="87" fillId="81" borderId="52" applyNumberFormat="0" applyProtection="0">
      <alignment horizontal="right" vertical="center"/>
    </xf>
    <xf numFmtId="4" fontId="138" fillId="81" borderId="52" applyNumberFormat="0" applyProtection="0">
      <alignment horizontal="right" vertical="center"/>
    </xf>
    <xf numFmtId="4" fontId="87" fillId="82" borderId="52" applyNumberFormat="0" applyProtection="0">
      <alignment horizontal="left" vertical="center" indent="1"/>
    </xf>
    <xf numFmtId="0" fontId="87" fillId="78" borderId="52" applyNumberFormat="0" applyProtection="0">
      <alignment horizontal="left" vertical="top" indent="1"/>
    </xf>
    <xf numFmtId="4" fontId="130" fillId="81" borderId="52" applyNumberFormat="0" applyProtection="0">
      <alignment horizontal="right" vertical="center"/>
    </xf>
    <xf numFmtId="165" fontId="1" fillId="0" borderId="0" applyFont="0" applyFill="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0" fillId="0" borderId="56">
      <alignment horizontal="left" vertical="center"/>
    </xf>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149" fillId="0" borderId="0"/>
    <xf numFmtId="0" fontId="1" fillId="5"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1" fillId="5"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8"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8"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61" fillId="50" borderId="0" applyNumberFormat="0" applyBorder="0" applyAlignment="0" applyProtection="0"/>
    <xf numFmtId="0" fontId="8" fillId="22"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8" fillId="75"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8" fillId="22"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1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8" fillId="30"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12" fillId="6" borderId="0" applyNumberFormat="0" applyBorder="0" applyAlignment="0" applyProtection="0"/>
    <xf numFmtId="0" fontId="42" fillId="1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3" fillId="28" borderId="32" applyNumberFormat="0" applyAlignment="0" applyProtection="0"/>
    <xf numFmtId="0" fontId="93" fillId="72" borderId="32" applyNumberFormat="0" applyAlignment="0" applyProtection="0"/>
    <xf numFmtId="0" fontId="43" fillId="28" borderId="32" applyNumberFormat="0" applyAlignment="0" applyProtection="0"/>
    <xf numFmtId="0" fontId="43" fillId="28" borderId="32" applyNumberFormat="0" applyAlignment="0" applyProtection="0"/>
    <xf numFmtId="0" fontId="63" fillId="57" borderId="18" applyNumberFormat="0" applyAlignment="0" applyProtection="0"/>
    <xf numFmtId="0" fontId="93" fillId="74" borderId="32" applyNumberFormat="0" applyAlignment="0" applyProtection="0"/>
    <xf numFmtId="0" fontId="63" fillId="57" borderId="18" applyNumberFormat="0" applyAlignment="0" applyProtection="0"/>
    <xf numFmtId="0" fontId="63" fillId="57" borderId="18" applyNumberFormat="0" applyAlignment="0" applyProtection="0"/>
    <xf numFmtId="0" fontId="63" fillId="57" borderId="18" applyNumberFormat="0" applyAlignment="0" applyProtection="0"/>
    <xf numFmtId="0" fontId="64" fillId="58" borderId="19" applyNumberFormat="0" applyAlignment="0" applyProtection="0"/>
    <xf numFmtId="0" fontId="10" fillId="29" borderId="57" applyNumberFormat="0" applyAlignment="0" applyProtection="0"/>
    <xf numFmtId="0" fontId="64" fillId="58" borderId="19" applyNumberFormat="0" applyAlignment="0" applyProtection="0"/>
    <xf numFmtId="0" fontId="64" fillId="58" borderId="19" applyNumberFormat="0" applyAlignment="0" applyProtection="0"/>
    <xf numFmtId="0" fontId="64" fillId="58" borderId="19" applyNumberFormat="0" applyAlignment="0" applyProtection="0"/>
    <xf numFmtId="0" fontId="65" fillId="0" borderId="20" applyNumberFormat="0" applyFill="0" applyAlignment="0" applyProtection="0"/>
    <xf numFmtId="0" fontId="11" fillId="0" borderId="7"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10" fillId="29" borderId="6" applyNumberFormat="0" applyAlignment="0" applyProtection="0"/>
    <xf numFmtId="0" fontId="10" fillId="26" borderId="6" applyNumberFormat="0" applyAlignment="0" applyProtection="0"/>
    <xf numFmtId="0" fontId="61" fillId="59" borderId="0" applyNumberFormat="0" applyBorder="0" applyAlignment="0" applyProtection="0"/>
    <xf numFmtId="0" fontId="8" fillId="22"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8" fillId="32"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8" fillId="85"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8" fillId="2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8" fillId="33"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9" fillId="7" borderId="0" applyNumberFormat="0" applyBorder="0" applyAlignment="0" applyProtection="0"/>
    <xf numFmtId="0" fontId="9" fillId="12" borderId="0" applyNumberFormat="0" applyBorder="0" applyAlignment="0" applyProtection="0"/>
    <xf numFmtId="0" fontId="17" fillId="0" borderId="2"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55" fillId="10" borderId="32" applyNumberFormat="0" applyAlignment="0" applyProtection="0"/>
    <xf numFmtId="0" fontId="55" fillId="13" borderId="32" applyNumberFormat="0" applyAlignment="0" applyProtection="0"/>
    <xf numFmtId="0" fontId="55" fillId="13" borderId="32" applyNumberFormat="0" applyAlignment="0" applyProtection="0"/>
    <xf numFmtId="0" fontId="11" fillId="0" borderId="7" applyNumberFormat="0" applyFill="0" applyAlignment="0" applyProtection="0"/>
    <xf numFmtId="0" fontId="46" fillId="0" borderId="7" applyNumberFormat="0" applyFill="0" applyAlignment="0" applyProtection="0"/>
    <xf numFmtId="44" fontId="1" fillId="0" borderId="0" applyFont="0" applyFill="0" applyBorder="0" applyAlignment="0" applyProtection="0"/>
    <xf numFmtId="167" fontId="3" fillId="0" borderId="0" applyFont="0" applyFill="0" applyBorder="0" applyAlignment="0" applyProtection="0"/>
    <xf numFmtId="0" fontId="68" fillId="67" borderId="0" applyNumberFormat="0" applyBorder="0" applyAlignment="0" applyProtection="0"/>
    <xf numFmtId="0" fontId="13" fillId="3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170" fontId="3" fillId="0" borderId="0"/>
    <xf numFmtId="170" fontId="3" fillId="0" borderId="0"/>
    <xf numFmtId="0" fontId="20" fillId="0" borderId="0"/>
    <xf numFmtId="0" fontId="15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40"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40"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72" borderId="40" applyNumberFormat="0" applyAlignment="0" applyProtection="0"/>
    <xf numFmtId="0" fontId="14" fillId="28" borderId="40" applyNumberFormat="0" applyAlignment="0" applyProtection="0"/>
    <xf numFmtId="0" fontId="14" fillId="28" borderId="40" applyNumberFormat="0" applyAlignment="0" applyProtection="0"/>
    <xf numFmtId="9" fontId="3" fillId="0" borderId="0" applyFont="0" applyFill="0" applyBorder="0" applyAlignment="0" applyProtection="0"/>
    <xf numFmtId="0" fontId="70" fillId="57" borderId="22" applyNumberFormat="0" applyAlignment="0" applyProtection="0"/>
    <xf numFmtId="0" fontId="151" fillId="74" borderId="39" applyNumberFormat="0" applyAlignment="0" applyProtection="0"/>
    <xf numFmtId="0" fontId="70" fillId="57" borderId="22" applyNumberFormat="0" applyAlignment="0" applyProtection="0"/>
    <xf numFmtId="0" fontId="70" fillId="57" borderId="22" applyNumberFormat="0" applyAlignment="0" applyProtection="0"/>
    <xf numFmtId="0" fontId="70" fillId="57" borderId="2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74" fillId="0" borderId="0" applyNumberFormat="0" applyFill="0" applyAlignment="0" applyProtection="0"/>
    <xf numFmtId="0" fontId="44" fillId="0" borderId="58"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7" fillId="0" borderId="2" applyNumberFormat="0" applyFill="0" applyAlignment="0" applyProtection="0"/>
    <xf numFmtId="0" fontId="74" fillId="0" borderId="23" applyNumberFormat="0" applyFill="0" applyAlignment="0" applyProtection="0"/>
    <xf numFmtId="0" fontId="154" fillId="0" borderId="0" applyNumberFormat="0" applyFill="0" applyBorder="0" applyAlignment="0" applyProtection="0"/>
    <xf numFmtId="0" fontId="56" fillId="0" borderId="59"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18" fillId="0" borderId="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45" fillId="0" borderId="60"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9" fillId="0" borderId="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4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73" fillId="0" borderId="0" applyNumberFormat="0" applyFill="0" applyBorder="0" applyAlignment="0" applyProtection="0"/>
    <xf numFmtId="0" fontId="15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77" fillId="0" borderId="26" applyNumberFormat="0" applyFill="0" applyAlignment="0" applyProtection="0"/>
    <xf numFmtId="0" fontId="52" fillId="0" borderId="61"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60" fillId="68" borderId="21" applyNumberFormat="0" applyFont="0" applyAlignment="0" applyProtection="0"/>
    <xf numFmtId="0" fontId="3" fillId="0" borderId="0"/>
    <xf numFmtId="170" fontId="3" fillId="0" borderId="0"/>
    <xf numFmtId="0" fontId="20" fillId="2" borderId="0" applyNumberFormat="0" applyBorder="0" applyAlignment="0" applyProtection="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170" fontId="23"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1" fillId="0" borderId="0" applyFont="0" applyFill="0" applyBorder="0" applyAlignment="0" applyProtection="0"/>
    <xf numFmtId="170" fontId="3" fillId="0" borderId="0"/>
    <xf numFmtId="0" fontId="20" fillId="0" borderId="0"/>
    <xf numFmtId="170" fontId="3" fillId="0" borderId="0"/>
    <xf numFmtId="0" fontId="20" fillId="0" borderId="0"/>
    <xf numFmtId="170" fontId="3" fillId="0" borderId="0"/>
    <xf numFmtId="0" fontId="20" fillId="0" borderId="0"/>
    <xf numFmtId="0" fontId="60" fillId="0" borderId="0"/>
    <xf numFmtId="0" fontId="60" fillId="0" borderId="0"/>
    <xf numFmtId="0" fontId="60" fillId="0" borderId="0"/>
    <xf numFmtId="0" fontId="60" fillId="0" borderId="0"/>
    <xf numFmtId="17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20" fillId="0" borderId="0"/>
    <xf numFmtId="170" fontId="3" fillId="0" borderId="0"/>
    <xf numFmtId="170" fontId="3" fillId="0" borderId="0"/>
    <xf numFmtId="0" fontId="1" fillId="68" borderId="21"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8" fillId="0" borderId="1" applyBorder="0" applyProtection="0">
      <alignment horizontal="right" vertical="center"/>
    </xf>
    <xf numFmtId="170" fontId="39" fillId="37" borderId="1" applyBorder="0" applyProtection="0">
      <alignment horizontal="centerContinuous" vertical="center"/>
    </xf>
    <xf numFmtId="0" fontId="52" fillId="0" borderId="61" applyNumberFormat="0" applyFill="0" applyAlignment="0" applyProtection="0"/>
    <xf numFmtId="0" fontId="52" fillId="0" borderId="54" applyNumberFormat="0" applyFill="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95" fontId="3" fillId="0" borderId="0" applyFont="0" applyFill="0" applyBorder="0" applyAlignment="0" applyProtection="0"/>
    <xf numFmtId="0" fontId="60" fillId="0" borderId="0"/>
    <xf numFmtId="9" fontId="60" fillId="0" borderId="0" applyFont="0" applyFill="0" applyBorder="0" applyAlignment="0" applyProtection="0"/>
    <xf numFmtId="43" fontId="60" fillId="0" borderId="0" applyFont="0" applyFill="0" applyBorder="0" applyAlignment="0" applyProtection="0"/>
    <xf numFmtId="0" fontId="155" fillId="0" borderId="0"/>
    <xf numFmtId="0" fontId="155" fillId="0" borderId="0"/>
    <xf numFmtId="170" fontId="3" fillId="0" borderId="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0" fontId="3" fillId="71" borderId="13" applyNumberFormat="0" applyFon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3"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4" fontId="1" fillId="0" borderId="0" applyFont="0" applyFill="0" applyBorder="0" applyAlignment="0" applyProtection="0"/>
    <xf numFmtId="170" fontId="3"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6"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0" fontId="151" fillId="74" borderId="13" applyNumberForma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1"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44" fontId="1" fillId="0" borderId="0" applyFont="0" applyFill="0" applyBorder="0" applyAlignment="0" applyProtection="0"/>
    <xf numFmtId="17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44" fontId="1" fillId="0" borderId="0" applyFont="0" applyFill="0" applyBorder="0" applyAlignment="0" applyProtection="0"/>
    <xf numFmtId="170" fontId="157" fillId="0" borderId="0"/>
    <xf numFmtId="170" fontId="157"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9"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170" fontId="157"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1" fontId="103" fillId="0" borderId="0"/>
    <xf numFmtId="44" fontId="60"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3"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1" fillId="74" borderId="39" applyNumberForma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1"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44" fontId="1" fillId="0" borderId="0" applyFont="0" applyFill="0" applyBorder="0" applyAlignment="0" applyProtection="0"/>
    <xf numFmtId="170" fontId="3" fillId="0" borderId="0"/>
    <xf numFmtId="17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248">
    <xf numFmtId="0" fontId="0" fillId="0" borderId="0" xfId="0"/>
    <xf numFmtId="0" fontId="53" fillId="28" borderId="0" xfId="0" applyFont="1" applyFill="1"/>
    <xf numFmtId="0" fontId="0" fillId="0" borderId="0" xfId="0" applyAlignment="1">
      <alignment horizontal="right"/>
    </xf>
    <xf numFmtId="164" fontId="54" fillId="28" borderId="16" xfId="0" applyNumberFormat="1" applyFont="1" applyFill="1" applyBorder="1"/>
    <xf numFmtId="164" fontId="53" fillId="28" borderId="16" xfId="0" applyNumberFormat="1" applyFont="1" applyFill="1" applyBorder="1"/>
    <xf numFmtId="164" fontId="53" fillId="28" borderId="16" xfId="0" applyNumberFormat="1" applyFont="1" applyFill="1" applyBorder="1" applyAlignment="1">
      <alignment horizontal="left" indent="4"/>
    </xf>
    <xf numFmtId="164" fontId="54" fillId="28" borderId="16" xfId="0" applyNumberFormat="1" applyFont="1" applyFill="1" applyBorder="1" applyAlignment="1">
      <alignment horizontal="left" indent="4"/>
    </xf>
    <xf numFmtId="0" fontId="0" fillId="0" borderId="0" xfId="0" applyAlignment="1">
      <alignment vertical="center"/>
    </xf>
    <xf numFmtId="0" fontId="54" fillId="0" borderId="16" xfId="0" applyFont="1" applyBorder="1" applyAlignment="1">
      <alignment horizontal="left" indent="1"/>
    </xf>
    <xf numFmtId="0" fontId="53" fillId="0" borderId="16" xfId="0" applyFont="1" applyBorder="1" applyAlignment="1">
      <alignment horizontal="left" indent="2"/>
    </xf>
    <xf numFmtId="164" fontId="53" fillId="0" borderId="16" xfId="0" applyNumberFormat="1" applyFont="1" applyBorder="1"/>
    <xf numFmtId="0" fontId="54" fillId="0" borderId="16" xfId="0" applyFont="1" applyBorder="1" applyAlignment="1">
      <alignment horizontal="left" wrapText="1" indent="1"/>
    </xf>
    <xf numFmtId="0" fontId="52" fillId="0" borderId="17" xfId="0" applyFont="1" applyBorder="1" applyAlignment="1">
      <alignment wrapText="1"/>
    </xf>
    <xf numFmtId="0" fontId="53" fillId="0" borderId="16" xfId="0" applyFont="1" applyBorder="1" applyAlignment="1">
      <alignment horizontal="left" wrapText="1" indent="2"/>
    </xf>
    <xf numFmtId="0" fontId="0" fillId="0" borderId="16" xfId="0" applyBorder="1" applyAlignment="1">
      <alignment horizontal="left" wrapText="1"/>
    </xf>
    <xf numFmtId="0" fontId="52" fillId="0" borderId="0" xfId="0" applyFont="1"/>
    <xf numFmtId="0" fontId="52" fillId="0" borderId="17" xfId="0" applyFont="1" applyBorder="1" applyAlignment="1">
      <alignment horizontal="right" wrapText="1"/>
    </xf>
    <xf numFmtId="166" fontId="54" fillId="28" borderId="16" xfId="559" applyNumberFormat="1" applyFont="1" applyFill="1" applyBorder="1" applyAlignment="1">
      <alignment horizontal="right"/>
    </xf>
    <xf numFmtId="164" fontId="20" fillId="28" borderId="16" xfId="0" applyNumberFormat="1" applyFont="1" applyFill="1" applyBorder="1" applyAlignment="1">
      <alignment horizontal="left" indent="4"/>
    </xf>
    <xf numFmtId="0" fontId="58" fillId="0" borderId="16" xfId="0" applyFont="1" applyBorder="1" applyAlignment="1">
      <alignment horizontal="left" wrapText="1"/>
    </xf>
    <xf numFmtId="0" fontId="54" fillId="0" borderId="16" xfId="0" applyFont="1" applyBorder="1" applyAlignment="1">
      <alignment horizontal="left" wrapText="1"/>
    </xf>
    <xf numFmtId="0" fontId="58" fillId="0" borderId="16" xfId="0" applyFont="1" applyBorder="1" applyAlignment="1">
      <alignment horizontal="left" wrapText="1" indent="1"/>
    </xf>
    <xf numFmtId="0" fontId="54" fillId="0" borderId="16" xfId="0" applyFont="1" applyBorder="1" applyAlignment="1">
      <alignment wrapText="1"/>
    </xf>
    <xf numFmtId="0" fontId="20" fillId="0" borderId="16" xfId="0" applyFont="1" applyBorder="1" applyAlignment="1">
      <alignment horizontal="left" wrapText="1"/>
    </xf>
    <xf numFmtId="0" fontId="59" fillId="28" borderId="16" xfId="0" applyFont="1" applyFill="1" applyBorder="1" applyAlignment="1">
      <alignment horizontal="left" wrapText="1" indent="2"/>
    </xf>
    <xf numFmtId="197" fontId="59" fillId="28" borderId="16" xfId="0" applyNumberFormat="1" applyFont="1" applyFill="1" applyBorder="1" applyAlignment="1">
      <alignment horizontal="right" wrapText="1"/>
    </xf>
    <xf numFmtId="0" fontId="50" fillId="69" borderId="16" xfId="0" applyFont="1" applyFill="1" applyBorder="1" applyAlignment="1">
      <alignment horizontal="right" vertical="center" wrapText="1"/>
    </xf>
    <xf numFmtId="166" fontId="54" fillId="28" borderId="16" xfId="559" applyNumberFormat="1" applyFont="1" applyFill="1" applyBorder="1"/>
    <xf numFmtId="0" fontId="20" fillId="0" borderId="16" xfId="0" applyFont="1" applyBorder="1" applyAlignment="1">
      <alignment horizontal="left" wrapText="1" indent="1"/>
    </xf>
    <xf numFmtId="0" fontId="52" fillId="0" borderId="16" xfId="0" applyFont="1" applyBorder="1" applyAlignment="1">
      <alignment wrapText="1"/>
    </xf>
    <xf numFmtId="0" fontId="77" fillId="0" borderId="0" xfId="0" applyFont="1"/>
    <xf numFmtId="164" fontId="20" fillId="28" borderId="16" xfId="0" applyNumberFormat="1" applyFont="1" applyFill="1" applyBorder="1" applyAlignment="1">
      <alignment horizontal="right" indent="4"/>
    </xf>
    <xf numFmtId="164" fontId="20" fillId="28" borderId="16" xfId="0" applyNumberFormat="1" applyFont="1" applyFill="1" applyBorder="1"/>
    <xf numFmtId="164" fontId="54" fillId="28" borderId="16" xfId="0" applyNumberFormat="1" applyFont="1" applyFill="1" applyBorder="1" applyAlignment="1">
      <alignment horizontal="right" indent="4"/>
    </xf>
    <xf numFmtId="164" fontId="53" fillId="28" borderId="16" xfId="0" applyNumberFormat="1" applyFont="1" applyFill="1" applyBorder="1" applyAlignment="1">
      <alignment horizontal="right" indent="4"/>
    </xf>
    <xf numFmtId="164" fontId="54" fillId="28" borderId="55" xfId="0" applyNumberFormat="1" applyFont="1" applyFill="1" applyBorder="1"/>
    <xf numFmtId="164" fontId="20" fillId="28" borderId="55" xfId="0" applyNumberFormat="1" applyFont="1" applyFill="1" applyBorder="1"/>
    <xf numFmtId="166" fontId="53" fillId="28" borderId="55" xfId="559" applyNumberFormat="1" applyFont="1" applyFill="1" applyBorder="1" applyAlignment="1">
      <alignment horizontal="right"/>
    </xf>
    <xf numFmtId="0" fontId="20" fillId="0" borderId="55" xfId="0" applyFont="1" applyBorder="1" applyAlignment="1">
      <alignment horizontal="left" wrapText="1"/>
    </xf>
    <xf numFmtId="0" fontId="20" fillId="0" borderId="55" xfId="0" applyFont="1" applyBorder="1" applyAlignment="1">
      <alignment horizontal="left" wrapText="1" indent="1"/>
    </xf>
    <xf numFmtId="164" fontId="20" fillId="28" borderId="55" xfId="0" applyNumberFormat="1" applyFont="1" applyFill="1" applyBorder="1" applyAlignment="1">
      <alignment horizontal="left" indent="4"/>
    </xf>
    <xf numFmtId="166" fontId="54" fillId="28" borderId="55" xfId="15755" applyNumberFormat="1" applyFont="1" applyFill="1" applyBorder="1" applyAlignment="1">
      <alignment horizontal="right"/>
    </xf>
    <xf numFmtId="197" fontId="59" fillId="70" borderId="16" xfId="0" applyNumberFormat="1" applyFont="1" applyFill="1" applyBorder="1" applyAlignment="1">
      <alignment horizontal="right" wrapText="1"/>
    </xf>
    <xf numFmtId="164" fontId="53" fillId="28" borderId="55" xfId="0" applyNumberFormat="1" applyFont="1" applyFill="1" applyBorder="1"/>
    <xf numFmtId="197" fontId="59" fillId="70" borderId="55" xfId="0" applyNumberFormat="1" applyFont="1" applyFill="1" applyBorder="1" applyAlignment="1">
      <alignment horizontal="right" wrapText="1"/>
    </xf>
    <xf numFmtId="197" fontId="59" fillId="0" borderId="16" xfId="0" applyNumberFormat="1" applyFont="1" applyBorder="1" applyAlignment="1">
      <alignment horizontal="right" wrapText="1"/>
    </xf>
    <xf numFmtId="166" fontId="54" fillId="0" borderId="16" xfId="559" applyNumberFormat="1" applyFont="1" applyFill="1" applyBorder="1" applyAlignment="1">
      <alignment horizontal="right"/>
    </xf>
    <xf numFmtId="164" fontId="54" fillId="0" borderId="16" xfId="0" applyNumberFormat="1" applyFont="1" applyBorder="1"/>
    <xf numFmtId="164" fontId="20" fillId="28" borderId="63" xfId="0" applyNumberFormat="1" applyFont="1" applyFill="1" applyBorder="1" applyAlignment="1">
      <alignment horizontal="left" indent="4"/>
    </xf>
    <xf numFmtId="166" fontId="20" fillId="0" borderId="55" xfId="559" applyNumberFormat="1" applyFont="1" applyFill="1" applyBorder="1" applyAlignment="1">
      <alignment horizontal="right"/>
    </xf>
    <xf numFmtId="166" fontId="54" fillId="0" borderId="55" xfId="559" applyNumberFormat="1" applyFont="1" applyFill="1" applyBorder="1" applyAlignment="1">
      <alignment horizontal="right"/>
    </xf>
    <xf numFmtId="166" fontId="20" fillId="28" borderId="55" xfId="15755" applyNumberFormat="1" applyFont="1" applyFill="1" applyBorder="1" applyAlignment="1">
      <alignment horizontal="right"/>
    </xf>
    <xf numFmtId="164" fontId="20" fillId="0" borderId="16" xfId="0" applyNumberFormat="1" applyFont="1" applyBorder="1"/>
    <xf numFmtId="164" fontId="20" fillId="0" borderId="16" xfId="0" applyNumberFormat="1" applyFont="1" applyBorder="1" applyAlignment="1">
      <alignment horizontal="left" indent="4"/>
    </xf>
    <xf numFmtId="164" fontId="20" fillId="0" borderId="16" xfId="0" applyNumberFormat="1" applyFont="1" applyBorder="1" applyAlignment="1">
      <alignment horizontal="right" indent="4"/>
    </xf>
    <xf numFmtId="164" fontId="53" fillId="0" borderId="16" xfId="0" applyNumberFormat="1" applyFont="1" applyBorder="1" applyAlignment="1">
      <alignment horizontal="right" indent="4"/>
    </xf>
    <xf numFmtId="166" fontId="53" fillId="0" borderId="55" xfId="559" applyNumberFormat="1" applyFont="1" applyFill="1" applyBorder="1" applyAlignment="1">
      <alignment horizontal="right"/>
    </xf>
    <xf numFmtId="164" fontId="20" fillId="28" borderId="55" xfId="0" applyNumberFormat="1" applyFont="1" applyFill="1" applyBorder="1" applyAlignment="1">
      <alignment horizontal="right" indent="4"/>
    </xf>
    <xf numFmtId="164" fontId="0" fillId="0" borderId="0" xfId="0" applyNumberFormat="1" applyAlignment="1">
      <alignment horizontal="right" vertical="center"/>
    </xf>
    <xf numFmtId="164" fontId="0" fillId="0" borderId="0" xfId="0" applyNumberFormat="1" applyAlignment="1">
      <alignment horizontal="right"/>
    </xf>
    <xf numFmtId="0" fontId="10" fillId="69" borderId="16" xfId="0" applyFont="1" applyFill="1" applyBorder="1" applyAlignment="1">
      <alignment vertical="center" wrapText="1"/>
    </xf>
    <xf numFmtId="0" fontId="10" fillId="69" borderId="55" xfId="0" applyFont="1" applyFill="1" applyBorder="1" applyAlignment="1">
      <alignment horizontal="right" vertical="center" wrapText="1"/>
    </xf>
    <xf numFmtId="194" fontId="20" fillId="28" borderId="55" xfId="0" applyNumberFormat="1" applyFont="1" applyFill="1" applyBorder="1" applyAlignment="1">
      <alignment horizontal="right" indent="4"/>
    </xf>
    <xf numFmtId="194" fontId="20" fillId="0" borderId="55" xfId="0" applyNumberFormat="1" applyFont="1" applyBorder="1" applyAlignment="1">
      <alignment horizontal="right" indent="4"/>
    </xf>
    <xf numFmtId="194" fontId="0" fillId="0" borderId="0" xfId="0" applyNumberFormat="1" applyAlignment="1">
      <alignment horizontal="right"/>
    </xf>
    <xf numFmtId="0" fontId="10" fillId="69" borderId="64" xfId="0" applyFont="1" applyFill="1" applyBorder="1" applyAlignment="1">
      <alignment vertical="center" wrapText="1"/>
    </xf>
    <xf numFmtId="0" fontId="50" fillId="69" borderId="64" xfId="0" applyFont="1" applyFill="1" applyBorder="1" applyAlignment="1">
      <alignment horizontal="right" vertical="center" wrapText="1"/>
    </xf>
    <xf numFmtId="0" fontId="20" fillId="0" borderId="0" xfId="0" applyFont="1" applyAlignment="1">
      <alignment horizontal="left"/>
    </xf>
    <xf numFmtId="164" fontId="54" fillId="28" borderId="0" xfId="0" applyNumberFormat="1" applyFont="1" applyFill="1"/>
    <xf numFmtId="164" fontId="54" fillId="0" borderId="0" xfId="0" applyNumberFormat="1" applyFont="1"/>
    <xf numFmtId="166" fontId="53" fillId="28" borderId="16" xfId="559" applyNumberFormat="1" applyFont="1" applyFill="1" applyBorder="1" applyAlignment="1"/>
    <xf numFmtId="166" fontId="20" fillId="0" borderId="16" xfId="559" applyNumberFormat="1" applyFont="1" applyFill="1" applyBorder="1" applyAlignment="1"/>
    <xf numFmtId="0" fontId="54" fillId="28" borderId="0" xfId="0" applyFont="1" applyFill="1"/>
    <xf numFmtId="194" fontId="54" fillId="28" borderId="16" xfId="0" applyNumberFormat="1" applyFont="1" applyFill="1" applyBorder="1"/>
    <xf numFmtId="194" fontId="54" fillId="0" borderId="16" xfId="0" applyNumberFormat="1" applyFont="1" applyBorder="1"/>
    <xf numFmtId="194" fontId="54" fillId="28" borderId="55" xfId="0" applyNumberFormat="1" applyFont="1" applyFill="1" applyBorder="1"/>
    <xf numFmtId="194" fontId="53" fillId="28" borderId="16" xfId="0" applyNumberFormat="1" applyFont="1" applyFill="1" applyBorder="1"/>
    <xf numFmtId="194" fontId="20" fillId="28" borderId="16" xfId="0" applyNumberFormat="1" applyFont="1" applyFill="1" applyBorder="1"/>
    <xf numFmtId="194" fontId="20" fillId="0" borderId="16" xfId="0" applyNumberFormat="1" applyFont="1" applyBorder="1"/>
    <xf numFmtId="194" fontId="20" fillId="28" borderId="55" xfId="0" applyNumberFormat="1" applyFont="1" applyFill="1" applyBorder="1"/>
    <xf numFmtId="194" fontId="54" fillId="28" borderId="67" xfId="0" applyNumberFormat="1" applyFont="1" applyFill="1" applyBorder="1"/>
    <xf numFmtId="237" fontId="20" fillId="28" borderId="16" xfId="0" applyNumberFormat="1" applyFont="1" applyFill="1" applyBorder="1"/>
    <xf numFmtId="0" fontId="52" fillId="0" borderId="55" xfId="0" applyFont="1" applyBorder="1" applyAlignment="1">
      <alignment horizontal="left" indent="1"/>
    </xf>
    <xf numFmtId="166" fontId="54" fillId="28" borderId="55" xfId="15639" applyNumberFormat="1" applyFont="1" applyFill="1" applyBorder="1" applyAlignment="1">
      <alignment horizontal="right"/>
    </xf>
    <xf numFmtId="166" fontId="54" fillId="0" borderId="55" xfId="15639" applyNumberFormat="1" applyFont="1" applyFill="1" applyBorder="1" applyAlignment="1">
      <alignment horizontal="right"/>
    </xf>
    <xf numFmtId="0" fontId="52" fillId="0" borderId="55" xfId="0" applyFont="1" applyBorder="1" applyAlignment="1">
      <alignment horizontal="left" indent="2"/>
    </xf>
    <xf numFmtId="0" fontId="0" fillId="0" borderId="55" xfId="0" applyBorder="1" applyAlignment="1">
      <alignment horizontal="left"/>
    </xf>
    <xf numFmtId="166" fontId="20" fillId="28" borderId="55" xfId="15639" applyNumberFormat="1" applyFont="1" applyFill="1" applyBorder="1" applyAlignment="1">
      <alignment horizontal="right"/>
    </xf>
    <xf numFmtId="166" fontId="20" fillId="0" borderId="55" xfId="15639" applyNumberFormat="1" applyFont="1" applyFill="1" applyBorder="1" applyAlignment="1">
      <alignment horizontal="right"/>
    </xf>
    <xf numFmtId="0" fontId="52" fillId="0" borderId="55" xfId="0" applyFont="1" applyBorder="1" applyAlignment="1">
      <alignment horizontal="left" wrapText="1" indent="1"/>
    </xf>
    <xf numFmtId="0" fontId="20" fillId="0" borderId="55" xfId="0" applyFont="1" applyBorder="1" applyAlignment="1">
      <alignment horizontal="left" wrapText="1" indent="2"/>
    </xf>
    <xf numFmtId="0" fontId="20" fillId="28" borderId="0" xfId="0" applyFont="1" applyFill="1"/>
    <xf numFmtId="0" fontId="20" fillId="28" borderId="55" xfId="0" applyFont="1" applyFill="1" applyBorder="1" applyAlignment="1">
      <alignment horizontal="left" indent="2"/>
    </xf>
    <xf numFmtId="164" fontId="20" fillId="0" borderId="55" xfId="0" applyNumberFormat="1" applyFont="1" applyBorder="1"/>
    <xf numFmtId="0" fontId="20" fillId="0" borderId="0" xfId="0" applyFont="1"/>
    <xf numFmtId="0" fontId="20" fillId="28" borderId="55" xfId="0" applyFont="1" applyFill="1" applyBorder="1" applyAlignment="1">
      <alignment horizontal="left" wrapText="1" indent="2"/>
    </xf>
    <xf numFmtId="0" fontId="20" fillId="0" borderId="16" xfId="0" applyFont="1" applyBorder="1" applyAlignment="1">
      <alignment horizontal="left" indent="2"/>
    </xf>
    <xf numFmtId="166" fontId="53" fillId="28" borderId="0" xfId="559" applyNumberFormat="1" applyFont="1" applyFill="1"/>
    <xf numFmtId="166" fontId="53" fillId="0" borderId="16" xfId="559" applyNumberFormat="1" applyFont="1" applyFill="1" applyBorder="1" applyAlignment="1"/>
    <xf numFmtId="166" fontId="20" fillId="0" borderId="0" xfId="559" applyNumberFormat="1" applyFont="1" applyFill="1" applyBorder="1" applyAlignment="1">
      <alignment horizontal="left"/>
    </xf>
    <xf numFmtId="166" fontId="54" fillId="28" borderId="0" xfId="559" applyNumberFormat="1" applyFont="1" applyFill="1" applyBorder="1" applyAlignment="1"/>
    <xf numFmtId="166" fontId="53" fillId="28" borderId="0" xfId="559" applyNumberFormat="1" applyFont="1" applyFill="1" applyBorder="1"/>
    <xf numFmtId="166" fontId="20" fillId="0" borderId="0" xfId="559" applyNumberFormat="1" applyFont="1" applyFill="1"/>
    <xf numFmtId="194" fontId="20" fillId="0" borderId="55" xfId="0" applyNumberFormat="1" applyFont="1" applyBorder="1"/>
    <xf numFmtId="0" fontId="54" fillId="28" borderId="0" xfId="559" applyNumberFormat="1" applyFont="1" applyFill="1" applyBorder="1" applyAlignment="1"/>
    <xf numFmtId="166" fontId="20" fillId="0" borderId="55" xfId="559" applyNumberFormat="1" applyFont="1" applyFill="1" applyBorder="1" applyAlignment="1"/>
    <xf numFmtId="0" fontId="54" fillId="0" borderId="0" xfId="0" applyFont="1"/>
    <xf numFmtId="166" fontId="20" fillId="0" borderId="16" xfId="559" applyNumberFormat="1" applyFont="1" applyFill="1" applyBorder="1" applyAlignment="1">
      <alignment horizontal="right"/>
    </xf>
    <xf numFmtId="194" fontId="54" fillId="28" borderId="55" xfId="0" applyNumberFormat="1" applyFont="1" applyFill="1" applyBorder="1" applyAlignment="1">
      <alignment horizontal="right" indent="4"/>
    </xf>
    <xf numFmtId="194" fontId="20" fillId="0" borderId="16" xfId="0" applyNumberFormat="1" applyFont="1" applyBorder="1" applyAlignment="1">
      <alignment horizontal="center"/>
    </xf>
    <xf numFmtId="0" fontId="0" fillId="0" borderId="0" xfId="0" applyAlignment="1">
      <alignment horizontal="center"/>
    </xf>
    <xf numFmtId="0" fontId="52" fillId="0" borderId="17" xfId="0" applyFont="1" applyBorder="1" applyAlignment="1">
      <alignment horizontal="center" wrapText="1"/>
    </xf>
    <xf numFmtId="194" fontId="53" fillId="0" borderId="16" xfId="0" applyNumberFormat="1" applyFont="1" applyBorder="1" applyAlignment="1">
      <alignment horizontal="center"/>
    </xf>
    <xf numFmtId="194" fontId="20" fillId="0" borderId="55" xfId="0" applyNumberFormat="1" applyFont="1" applyBorder="1" applyAlignment="1">
      <alignment horizontal="center"/>
    </xf>
    <xf numFmtId="194" fontId="53" fillId="0" borderId="55" xfId="0" applyNumberFormat="1" applyFont="1" applyBorder="1" applyAlignment="1">
      <alignment horizontal="center"/>
    </xf>
    <xf numFmtId="0" fontId="61" fillId="0" borderId="0" xfId="0" applyFont="1" applyAlignment="1">
      <alignment horizontal="right"/>
    </xf>
    <xf numFmtId="0" fontId="61" fillId="0" borderId="0" xfId="0" applyFont="1"/>
    <xf numFmtId="164" fontId="20" fillId="28" borderId="16" xfId="0" applyNumberFormat="1" applyFont="1" applyFill="1" applyBorder="1" applyAlignment="1">
      <alignment wrapText="1"/>
    </xf>
    <xf numFmtId="191" fontId="20" fillId="28" borderId="16" xfId="559" applyNumberFormat="1" applyFont="1" applyFill="1" applyBorder="1" applyAlignment="1">
      <alignment wrapText="1"/>
    </xf>
    <xf numFmtId="0" fontId="20" fillId="0" borderId="16" xfId="0" applyFont="1" applyBorder="1" applyAlignment="1">
      <alignment horizontal="left" wrapText="1" indent="2"/>
    </xf>
    <xf numFmtId="0" fontId="52" fillId="0" borderId="0" xfId="0" applyFont="1" applyAlignment="1">
      <alignment wrapText="1"/>
    </xf>
    <xf numFmtId="0" fontId="50" fillId="69" borderId="55" xfId="0" applyFont="1" applyFill="1" applyBorder="1" applyAlignment="1">
      <alignment horizontal="right" vertical="center" wrapText="1"/>
    </xf>
    <xf numFmtId="194" fontId="53" fillId="28" borderId="55" xfId="0" applyNumberFormat="1" applyFont="1" applyFill="1" applyBorder="1"/>
    <xf numFmtId="166" fontId="53" fillId="28" borderId="55" xfId="559" applyNumberFormat="1" applyFont="1" applyFill="1" applyBorder="1" applyAlignment="1"/>
    <xf numFmtId="194" fontId="54" fillId="0" borderId="55" xfId="0" applyNumberFormat="1" applyFont="1" applyBorder="1"/>
    <xf numFmtId="237" fontId="20" fillId="28" borderId="55" xfId="0" applyNumberFormat="1" applyFont="1" applyFill="1" applyBorder="1"/>
    <xf numFmtId="166" fontId="20" fillId="0" borderId="55" xfId="15639" applyNumberFormat="1" applyFont="1" applyFill="1" applyBorder="1" applyAlignment="1"/>
    <xf numFmtId="166" fontId="20" fillId="28" borderId="55" xfId="15639" applyNumberFormat="1" applyFont="1" applyFill="1" applyBorder="1" applyAlignment="1"/>
    <xf numFmtId="0" fontId="10" fillId="69" borderId="64" xfId="0" applyFont="1" applyFill="1" applyBorder="1" applyAlignment="1">
      <alignment horizontal="right" vertical="center" wrapText="1"/>
    </xf>
    <xf numFmtId="166" fontId="54" fillId="28" borderId="0" xfId="15639" applyNumberFormat="1" applyFont="1" applyFill="1" applyBorder="1" applyAlignment="1"/>
    <xf numFmtId="164" fontId="20" fillId="28" borderId="16" xfId="0" applyNumberFormat="1" applyFont="1" applyFill="1" applyBorder="1" applyAlignment="1">
      <alignment horizontal="center"/>
    </xf>
    <xf numFmtId="0" fontId="53" fillId="0" borderId="55" xfId="0" applyFont="1" applyBorder="1" applyAlignment="1">
      <alignment horizontal="left" indent="2"/>
    </xf>
    <xf numFmtId="164" fontId="20" fillId="28" borderId="55" xfId="0" applyNumberFormat="1" applyFont="1" applyFill="1" applyBorder="1" applyAlignment="1">
      <alignment horizontal="center"/>
    </xf>
    <xf numFmtId="194" fontId="54" fillId="70" borderId="16" xfId="0" applyNumberFormat="1" applyFont="1" applyFill="1" applyBorder="1"/>
    <xf numFmtId="166" fontId="53" fillId="70" borderId="16" xfId="559" applyNumberFormat="1" applyFont="1" applyFill="1" applyBorder="1" applyAlignment="1"/>
    <xf numFmtId="166" fontId="20" fillId="70" borderId="16" xfId="559" applyNumberFormat="1" applyFont="1" applyFill="1" applyBorder="1" applyAlignment="1"/>
    <xf numFmtId="194" fontId="54" fillId="70" borderId="55" xfId="0" applyNumberFormat="1" applyFont="1" applyFill="1" applyBorder="1"/>
    <xf numFmtId="166" fontId="20" fillId="70" borderId="55" xfId="15639" applyNumberFormat="1" applyFont="1" applyFill="1" applyBorder="1" applyAlignment="1"/>
    <xf numFmtId="164" fontId="54" fillId="0" borderId="55" xfId="0" applyNumberFormat="1" applyFont="1" applyBorder="1"/>
    <xf numFmtId="164" fontId="54" fillId="28" borderId="55" xfId="0" applyNumberFormat="1" applyFont="1" applyFill="1" applyBorder="1" applyAlignment="1">
      <alignment horizontal="left" indent="4"/>
    </xf>
    <xf numFmtId="194" fontId="54" fillId="0" borderId="55" xfId="0" applyNumberFormat="1" applyFont="1" applyBorder="1" applyAlignment="1">
      <alignment horizontal="right" indent="4"/>
    </xf>
    <xf numFmtId="194" fontId="54" fillId="0" borderId="65" xfId="0" applyNumberFormat="1" applyFont="1" applyBorder="1" applyAlignment="1">
      <alignment horizontal="right" wrapText="1" indent="1"/>
    </xf>
    <xf numFmtId="166" fontId="54" fillId="0" borderId="55" xfId="15639" applyNumberFormat="1" applyFont="1" applyFill="1" applyBorder="1" applyAlignment="1">
      <alignment horizontal="right" indent="1"/>
    </xf>
    <xf numFmtId="166" fontId="20" fillId="0" borderId="55" xfId="15639" applyNumberFormat="1" applyFont="1" applyFill="1" applyBorder="1" applyAlignment="1">
      <alignment horizontal="right" indent="1"/>
    </xf>
    <xf numFmtId="166" fontId="54" fillId="0" borderId="65" xfId="15639" applyNumberFormat="1" applyFont="1" applyFill="1" applyBorder="1" applyAlignment="1">
      <alignment horizontal="right" wrapText="1" indent="1"/>
    </xf>
    <xf numFmtId="0" fontId="10" fillId="86" borderId="16" xfId="0" applyFont="1" applyFill="1" applyBorder="1" applyAlignment="1">
      <alignment vertical="center" wrapText="1"/>
    </xf>
    <xf numFmtId="236" fontId="10" fillId="86" borderId="16" xfId="0" applyNumberFormat="1" applyFont="1" applyFill="1" applyBorder="1" applyAlignment="1">
      <alignment horizontal="center" vertical="center" wrapText="1"/>
    </xf>
    <xf numFmtId="0" fontId="10" fillId="69" borderId="55" xfId="0" applyFont="1" applyFill="1" applyBorder="1" applyAlignment="1">
      <alignment vertical="center" wrapText="1"/>
    </xf>
    <xf numFmtId="0" fontId="54" fillId="0" borderId="55" xfId="0" applyFont="1" applyBorder="1" applyAlignment="1">
      <alignment horizontal="left" wrapText="1" indent="1"/>
    </xf>
    <xf numFmtId="194" fontId="20" fillId="70" borderId="55" xfId="0" applyNumberFormat="1" applyFont="1" applyFill="1" applyBorder="1" applyAlignment="1">
      <alignment horizontal="right" indent="4"/>
    </xf>
    <xf numFmtId="0" fontId="54" fillId="0" borderId="66" xfId="0" applyFont="1" applyBorder="1" applyAlignment="1">
      <alignment horizontal="left" wrapText="1" indent="1"/>
    </xf>
    <xf numFmtId="0" fontId="54" fillId="0" borderId="65" xfId="0" applyFont="1" applyBorder="1" applyAlignment="1">
      <alignment horizontal="left" wrapText="1"/>
    </xf>
    <xf numFmtId="0" fontId="156" fillId="0" borderId="63" xfId="0" applyFont="1" applyBorder="1" applyAlignment="1">
      <alignment horizontal="left"/>
    </xf>
    <xf numFmtId="166" fontId="54" fillId="0" borderId="55" xfId="15639" applyNumberFormat="1" applyFont="1" applyFill="1" applyBorder="1" applyAlignment="1">
      <alignment horizontal="left" wrapText="1" indent="1"/>
    </xf>
    <xf numFmtId="166" fontId="20" fillId="0" borderId="55" xfId="15639" applyNumberFormat="1" applyFont="1" applyFill="1" applyBorder="1" applyAlignment="1">
      <alignment horizontal="left" wrapText="1"/>
    </xf>
    <xf numFmtId="10" fontId="20" fillId="0" borderId="55" xfId="15639" applyNumberFormat="1" applyFont="1" applyFill="1" applyBorder="1" applyAlignment="1">
      <alignment horizontal="right" indent="1"/>
    </xf>
    <xf numFmtId="166" fontId="54" fillId="0" borderId="66" xfId="15639" applyNumberFormat="1" applyFont="1" applyFill="1" applyBorder="1" applyAlignment="1">
      <alignment horizontal="left" wrapText="1" indent="1"/>
    </xf>
    <xf numFmtId="166" fontId="54" fillId="0" borderId="65" xfId="15639" applyNumberFormat="1" applyFont="1" applyFill="1" applyBorder="1" applyAlignment="1">
      <alignment horizontal="left" wrapText="1"/>
    </xf>
    <xf numFmtId="166" fontId="52" fillId="0" borderId="0" xfId="15639" applyNumberFormat="1" applyFont="1"/>
    <xf numFmtId="166" fontId="0" fillId="0" borderId="0" xfId="15639" applyNumberFormat="1" applyFont="1"/>
    <xf numFmtId="166" fontId="0" fillId="0" borderId="0" xfId="15639" applyNumberFormat="1" applyFont="1" applyFill="1"/>
    <xf numFmtId="166" fontId="77" fillId="0" borderId="0" xfId="15639" applyNumberFormat="1" applyFont="1"/>
    <xf numFmtId="194" fontId="20" fillId="28" borderId="55" xfId="0" applyNumberFormat="1" applyFont="1" applyFill="1" applyBorder="1" applyAlignment="1">
      <alignment horizontal="right"/>
    </xf>
    <xf numFmtId="197" fontId="0" fillId="0" borderId="0" xfId="0" applyNumberFormat="1"/>
    <xf numFmtId="197" fontId="52" fillId="0" borderId="17" xfId="0" applyNumberFormat="1" applyFont="1" applyBorder="1" applyAlignment="1">
      <alignment wrapText="1"/>
    </xf>
    <xf numFmtId="238" fontId="0" fillId="0" borderId="0" xfId="0" applyNumberFormat="1"/>
    <xf numFmtId="238" fontId="52" fillId="0" borderId="17" xfId="0" applyNumberFormat="1" applyFont="1" applyBorder="1" applyAlignment="1">
      <alignment wrapText="1"/>
    </xf>
    <xf numFmtId="238" fontId="0" fillId="0" borderId="0" xfId="0" applyNumberFormat="1" applyAlignment="1">
      <alignment horizontal="right" vertical="center"/>
    </xf>
    <xf numFmtId="164" fontId="20" fillId="0" borderId="55" xfId="0" applyNumberFormat="1" applyFont="1" applyBorder="1" applyAlignment="1">
      <alignment horizontal="left" indent="4"/>
    </xf>
    <xf numFmtId="166" fontId="54" fillId="28" borderId="55" xfId="15639" applyNumberFormat="1" applyFont="1" applyFill="1" applyBorder="1"/>
    <xf numFmtId="197" fontId="59" fillId="0" borderId="55" xfId="0" applyNumberFormat="1" applyFont="1" applyBorder="1" applyAlignment="1">
      <alignment horizontal="right" wrapText="1"/>
    </xf>
    <xf numFmtId="194" fontId="20" fillId="28" borderId="55" xfId="0" applyNumberFormat="1" applyFont="1" applyFill="1" applyBorder="1" applyAlignment="1">
      <alignment vertical="center"/>
    </xf>
    <xf numFmtId="194" fontId="20" fillId="0" borderId="55" xfId="0" applyNumberFormat="1" applyFont="1" applyBorder="1" applyAlignment="1">
      <alignment vertical="center"/>
    </xf>
    <xf numFmtId="194" fontId="54" fillId="28" borderId="55" xfId="0" applyNumberFormat="1" applyFont="1" applyFill="1" applyBorder="1" applyAlignment="1">
      <alignment vertical="center"/>
    </xf>
    <xf numFmtId="166" fontId="20" fillId="28" borderId="55" xfId="15639" applyNumberFormat="1" applyFont="1" applyFill="1" applyBorder="1" applyAlignment="1">
      <alignment vertical="center"/>
    </xf>
    <xf numFmtId="166" fontId="20" fillId="0" borderId="55" xfId="15639" applyNumberFormat="1" applyFont="1" applyFill="1" applyBorder="1" applyAlignment="1">
      <alignment vertical="center"/>
    </xf>
    <xf numFmtId="194" fontId="54" fillId="0" borderId="55" xfId="0" applyNumberFormat="1" applyFont="1" applyBorder="1" applyAlignment="1">
      <alignment vertical="center"/>
    </xf>
    <xf numFmtId="0" fontId="20" fillId="28" borderId="0" xfId="0" applyFont="1" applyFill="1" applyAlignment="1">
      <alignment vertical="center"/>
    </xf>
    <xf numFmtId="194" fontId="54" fillId="28" borderId="67" xfId="0" applyNumberFormat="1" applyFont="1" applyFill="1" applyBorder="1" applyAlignment="1">
      <alignment vertical="center"/>
    </xf>
    <xf numFmtId="237" fontId="20" fillId="28" borderId="55" xfId="0" applyNumberFormat="1" applyFont="1" applyFill="1" applyBorder="1" applyAlignment="1">
      <alignment vertical="center"/>
    </xf>
    <xf numFmtId="237" fontId="20" fillId="0" borderId="55" xfId="0" applyNumberFormat="1" applyFont="1" applyBorder="1" applyAlignment="1">
      <alignment vertical="center"/>
    </xf>
    <xf numFmtId="164" fontId="20" fillId="0" borderId="55" xfId="0" applyNumberFormat="1" applyFont="1" applyBorder="1" applyAlignment="1">
      <alignment vertical="center"/>
    </xf>
    <xf numFmtId="166" fontId="20" fillId="28" borderId="0" xfId="15639" applyNumberFormat="1" applyFont="1" applyFill="1" applyBorder="1" applyAlignment="1">
      <alignment vertical="center"/>
    </xf>
    <xf numFmtId="0" fontId="0" fillId="0" borderId="0" xfId="0" applyAlignment="1">
      <alignment horizontal="center" vertical="center"/>
    </xf>
    <xf numFmtId="0" fontId="20" fillId="70" borderId="55" xfId="0" applyFont="1" applyFill="1" applyBorder="1" applyAlignment="1">
      <alignment horizontal="left" wrapText="1"/>
    </xf>
    <xf numFmtId="194" fontId="20" fillId="70" borderId="55" xfId="0" applyNumberFormat="1" applyFont="1" applyFill="1" applyBorder="1" applyAlignment="1">
      <alignment vertical="center"/>
    </xf>
    <xf numFmtId="166" fontId="20" fillId="70" borderId="55" xfId="15639" applyNumberFormat="1" applyFont="1" applyFill="1" applyBorder="1" applyAlignment="1">
      <alignment vertical="center"/>
    </xf>
    <xf numFmtId="0" fontId="53" fillId="0" borderId="0" xfId="0" applyFont="1"/>
    <xf numFmtId="164" fontId="20" fillId="28" borderId="55" xfId="0" applyNumberFormat="1" applyFont="1" applyFill="1" applyBorder="1" applyAlignment="1">
      <alignment vertical="center"/>
    </xf>
    <xf numFmtId="194" fontId="54" fillId="0" borderId="67" xfId="0" applyNumberFormat="1" applyFont="1" applyBorder="1" applyAlignment="1">
      <alignment vertical="center"/>
    </xf>
    <xf numFmtId="164" fontId="54" fillId="0" borderId="55" xfId="0" applyNumberFormat="1" applyFont="1" applyBorder="1" applyAlignment="1">
      <alignment horizontal="left" indent="4"/>
    </xf>
    <xf numFmtId="164" fontId="20" fillId="0" borderId="55" xfId="0" applyNumberFormat="1" applyFont="1" applyBorder="1" applyAlignment="1">
      <alignment horizontal="right" indent="4"/>
    </xf>
    <xf numFmtId="239" fontId="0" fillId="0" borderId="0" xfId="0" applyNumberFormat="1"/>
    <xf numFmtId="164" fontId="20" fillId="70" borderId="55" xfId="0" applyNumberFormat="1" applyFont="1" applyFill="1" applyBorder="1" applyAlignment="1">
      <alignment horizontal="left" indent="4"/>
    </xf>
    <xf numFmtId="0" fontId="159" fillId="86" borderId="55" xfId="0" applyFont="1" applyFill="1" applyBorder="1" applyAlignment="1">
      <alignment horizontal="right" vertical="center" wrapText="1"/>
    </xf>
    <xf numFmtId="0" fontId="159" fillId="86" borderId="16" xfId="0" applyFont="1" applyFill="1" applyBorder="1" applyAlignment="1">
      <alignment vertical="center" wrapText="1"/>
    </xf>
    <xf numFmtId="0" fontId="159" fillId="86" borderId="16" xfId="0" applyFont="1" applyFill="1" applyBorder="1" applyAlignment="1">
      <alignment horizontal="right" vertical="center" wrapText="1"/>
    </xf>
    <xf numFmtId="238" fontId="159" fillId="86" borderId="55" xfId="0" applyNumberFormat="1" applyFont="1" applyFill="1" applyBorder="1" applyAlignment="1">
      <alignment horizontal="right" vertical="center" wrapText="1"/>
    </xf>
    <xf numFmtId="0" fontId="159" fillId="86" borderId="16" xfId="0" applyFont="1" applyFill="1" applyBorder="1" applyAlignment="1">
      <alignment horizontal="center" vertical="center" wrapText="1"/>
    </xf>
    <xf numFmtId="0" fontId="159" fillId="86" borderId="55" xfId="0" applyFont="1" applyFill="1" applyBorder="1" applyAlignment="1">
      <alignment horizontal="center" vertical="center" wrapText="1"/>
    </xf>
    <xf numFmtId="0" fontId="159" fillId="86" borderId="55" xfId="0" applyFont="1" applyFill="1" applyBorder="1" applyAlignment="1">
      <alignment vertical="center" wrapText="1"/>
    </xf>
    <xf numFmtId="236" fontId="159" fillId="86" borderId="55" xfId="0" applyNumberFormat="1" applyFont="1" applyFill="1" applyBorder="1" applyAlignment="1">
      <alignment horizontal="right" vertical="center" wrapText="1"/>
    </xf>
    <xf numFmtId="0" fontId="159" fillId="69" borderId="55" xfId="0" applyFont="1" applyFill="1" applyBorder="1" applyAlignment="1">
      <alignment vertical="center" wrapText="1"/>
    </xf>
    <xf numFmtId="0" fontId="159" fillId="69" borderId="55" xfId="0" applyFont="1" applyFill="1" applyBorder="1" applyAlignment="1">
      <alignment horizontal="right" vertical="center" wrapText="1"/>
    </xf>
    <xf numFmtId="236" fontId="159" fillId="86" borderId="16" xfId="0" applyNumberFormat="1" applyFont="1" applyFill="1" applyBorder="1" applyAlignment="1">
      <alignment horizontal="right" vertical="center" wrapText="1"/>
    </xf>
    <xf numFmtId="0" fontId="159" fillId="86" borderId="55" xfId="0" applyFont="1" applyFill="1" applyBorder="1" applyAlignment="1">
      <alignment vertical="center"/>
    </xf>
    <xf numFmtId="0" fontId="159" fillId="86" borderId="55" xfId="0" quotePrefix="1" applyFont="1" applyFill="1" applyBorder="1" applyAlignment="1">
      <alignment horizontal="right" vertical="center" wrapText="1"/>
    </xf>
    <xf numFmtId="0" fontId="159" fillId="86" borderId="55" xfId="0" quotePrefix="1" applyFont="1" applyFill="1" applyBorder="1" applyAlignment="1">
      <alignment horizontal="center" vertical="center" wrapText="1"/>
    </xf>
    <xf numFmtId="0" fontId="61" fillId="0" borderId="0" xfId="0" applyFont="1" applyAlignment="1">
      <alignment vertical="center"/>
    </xf>
    <xf numFmtId="197" fontId="20" fillId="0" borderId="55" xfId="0" applyNumberFormat="1" applyFont="1" applyBorder="1"/>
    <xf numFmtId="197" fontId="159" fillId="86" borderId="55" xfId="0" applyNumberFormat="1" applyFont="1" applyFill="1" applyBorder="1" applyAlignment="1">
      <alignment horizontal="right" vertical="center" wrapText="1"/>
    </xf>
    <xf numFmtId="197" fontId="0" fillId="0" borderId="0" xfId="0" applyNumberFormat="1" applyAlignment="1">
      <alignment horizontal="right" vertical="center"/>
    </xf>
    <xf numFmtId="0" fontId="10" fillId="86" borderId="55" xfId="0" applyFont="1" applyFill="1" applyBorder="1" applyAlignment="1">
      <alignment horizontal="right" vertical="center" wrapText="1"/>
    </xf>
    <xf numFmtId="197" fontId="10" fillId="86" borderId="55" xfId="0" applyNumberFormat="1" applyFont="1" applyFill="1" applyBorder="1" applyAlignment="1">
      <alignment horizontal="right" vertical="center" wrapText="1"/>
    </xf>
    <xf numFmtId="43" fontId="0" fillId="0" borderId="0" xfId="0" applyNumberFormat="1"/>
    <xf numFmtId="166" fontId="54" fillId="0" borderId="55" xfId="15755" applyNumberFormat="1" applyFont="1" applyFill="1" applyBorder="1" applyAlignment="1">
      <alignment horizontal="right"/>
    </xf>
    <xf numFmtId="166" fontId="20" fillId="0" borderId="55" xfId="15755" applyNumberFormat="1" applyFont="1" applyFill="1" applyBorder="1" applyAlignment="1">
      <alignment horizontal="right"/>
    </xf>
    <xf numFmtId="240" fontId="20" fillId="0" borderId="55" xfId="0" applyNumberFormat="1" applyFont="1" applyBorder="1"/>
    <xf numFmtId="164" fontId="54" fillId="28" borderId="16" xfId="0" applyNumberFormat="1" applyFont="1" applyFill="1" applyBorder="1" applyAlignment="1">
      <alignment wrapText="1"/>
    </xf>
    <xf numFmtId="194" fontId="54" fillId="0" borderId="0" xfId="0" applyNumberFormat="1" applyFont="1"/>
    <xf numFmtId="194" fontId="54" fillId="70" borderId="0" xfId="0" applyNumberFormat="1" applyFont="1" applyFill="1"/>
    <xf numFmtId="194" fontId="54" fillId="0" borderId="0" xfId="0" applyNumberFormat="1" applyFont="1" applyAlignment="1">
      <alignment vertical="center"/>
    </xf>
    <xf numFmtId="194" fontId="0" fillId="0" borderId="0" xfId="0" applyNumberFormat="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top" wrapText="1"/>
    </xf>
    <xf numFmtId="166" fontId="20" fillId="0" borderId="0" xfId="15639" applyNumberFormat="1" applyFont="1" applyFill="1"/>
    <xf numFmtId="201" fontId="0" fillId="0" borderId="0" xfId="0" applyNumberFormat="1"/>
    <xf numFmtId="164" fontId="54" fillId="0" borderId="16" xfId="0" applyNumberFormat="1" applyFont="1" applyBorder="1" applyAlignment="1">
      <alignment horizontal="left" wrapText="1"/>
    </xf>
    <xf numFmtId="166" fontId="54" fillId="0" borderId="55" xfId="15639" applyNumberFormat="1" applyFont="1" applyFill="1" applyBorder="1"/>
    <xf numFmtId="166" fontId="52" fillId="0" borderId="0" xfId="15639" applyNumberFormat="1" applyFont="1" applyBorder="1"/>
    <xf numFmtId="166" fontId="0" fillId="0" borderId="0" xfId="15639" applyNumberFormat="1" applyFont="1" applyBorder="1"/>
    <xf numFmtId="166" fontId="0" fillId="0" borderId="0" xfId="15639" applyNumberFormat="1" applyFont="1" applyFill="1" applyBorder="1"/>
    <xf numFmtId="166" fontId="77" fillId="0" borderId="0" xfId="15639" applyNumberFormat="1" applyFont="1" applyBorder="1"/>
    <xf numFmtId="240" fontId="10" fillId="69" borderId="55" xfId="0" applyNumberFormat="1" applyFont="1" applyFill="1" applyBorder="1" applyAlignment="1">
      <alignment vertical="center" wrapText="1"/>
    </xf>
    <xf numFmtId="3" fontId="0" fillId="0" borderId="0" xfId="0" applyNumberFormat="1"/>
    <xf numFmtId="0" fontId="156" fillId="0" borderId="0" xfId="0" applyFont="1" applyAlignment="1">
      <alignment horizontal="left"/>
    </xf>
    <xf numFmtId="238" fontId="0" fillId="0" borderId="0" xfId="0" applyNumberFormat="1" applyAlignment="1">
      <alignment horizontal="center"/>
    </xf>
    <xf numFmtId="238" fontId="77" fillId="0" borderId="0" xfId="0" applyNumberFormat="1" applyFont="1" applyAlignment="1">
      <alignment horizontal="center"/>
    </xf>
    <xf numFmtId="0" fontId="77" fillId="0" borderId="0" xfId="0" applyFont="1" applyAlignment="1">
      <alignment horizontal="center"/>
    </xf>
    <xf numFmtId="0" fontId="64" fillId="0" borderId="0" xfId="0" applyFont="1" applyAlignment="1">
      <alignment horizontal="center"/>
    </xf>
    <xf numFmtId="0" fontId="77" fillId="0" borderId="0" xfId="0" applyFont="1" applyAlignment="1">
      <alignment horizontal="center" vertical="center"/>
    </xf>
    <xf numFmtId="0" fontId="71" fillId="0" borderId="0" xfId="0" applyFont="1"/>
    <xf numFmtId="241" fontId="0" fillId="0" borderId="0" xfId="0" applyNumberFormat="1"/>
    <xf numFmtId="197" fontId="54" fillId="0" borderId="16" xfId="0" applyNumberFormat="1" applyFont="1" applyBorder="1" applyAlignment="1">
      <alignment horizontal="left" wrapText="1"/>
    </xf>
    <xf numFmtId="3" fontId="0" fillId="0" borderId="0" xfId="0" applyNumberFormat="1" applyAlignment="1">
      <alignment vertical="center"/>
    </xf>
    <xf numFmtId="0" fontId="0" fillId="0" borderId="0" xfId="0" applyAlignment="1">
      <alignment horizontal="right" vertical="center"/>
    </xf>
    <xf numFmtId="242" fontId="20" fillId="0" borderId="55" xfId="0" applyNumberFormat="1" applyFont="1" applyBorder="1" applyAlignment="1">
      <alignment vertical="center"/>
    </xf>
  </cellXfs>
  <cellStyles count="33646">
    <cellStyle name="_x000a_386grabber=M" xfId="976" xr:uid="{00000000-0005-0000-0000-000000000000}"/>
    <cellStyle name="_$ / ton" xfId="977" xr:uid="{00000000-0005-0000-0000-000001000000}"/>
    <cellStyle name="_Mt" xfId="978" xr:uid="{00000000-0005-0000-0000-000002000000}"/>
    <cellStyle name="_R$ milhões" xfId="979" xr:uid="{00000000-0005-0000-0000-000003000000}"/>
    <cellStyle name="£ BP" xfId="1" xr:uid="{00000000-0005-0000-0000-000004000000}"/>
    <cellStyle name="¥ JY" xfId="2" xr:uid="{00000000-0005-0000-0000-000005000000}"/>
    <cellStyle name="20% - Accent1" xfId="3" xr:uid="{00000000-0005-0000-0000-000006000000}"/>
    <cellStyle name="20% - Accent1 2" xfId="981" xr:uid="{00000000-0005-0000-0000-000007000000}"/>
    <cellStyle name="20% - Accent1 2 2" xfId="25055" xr:uid="{00000000-0005-0000-0000-000008000000}"/>
    <cellStyle name="20% - Accent1 2 2 2" xfId="26115" xr:uid="{00000000-0005-0000-0000-000009000000}"/>
    <cellStyle name="20% - Accent1 2 3" xfId="26114" xr:uid="{00000000-0005-0000-0000-00000A000000}"/>
    <cellStyle name="20% - Accent1 2 4" xfId="25054" xr:uid="{00000000-0005-0000-0000-00000B000000}"/>
    <cellStyle name="20% - Accent1 3" xfId="982" xr:uid="{00000000-0005-0000-0000-00000C000000}"/>
    <cellStyle name="20% - Accent1 3 2" xfId="26116" xr:uid="{00000000-0005-0000-0000-00000D000000}"/>
    <cellStyle name="20% - Accent1 4" xfId="980" xr:uid="{00000000-0005-0000-0000-00000E000000}"/>
    <cellStyle name="20% - Accent1 4 2" xfId="26113" xr:uid="{00000000-0005-0000-0000-00000F000000}"/>
    <cellStyle name="20% - Accent2" xfId="4" xr:uid="{00000000-0005-0000-0000-000010000000}"/>
    <cellStyle name="20% - Accent2 2" xfId="984" xr:uid="{00000000-0005-0000-0000-000011000000}"/>
    <cellStyle name="20% - Accent2 2 2" xfId="25057" xr:uid="{00000000-0005-0000-0000-000012000000}"/>
    <cellStyle name="20% - Accent2 2 2 2" xfId="26119" xr:uid="{00000000-0005-0000-0000-000013000000}"/>
    <cellStyle name="20% - Accent2 2 3" xfId="26118" xr:uid="{00000000-0005-0000-0000-000014000000}"/>
    <cellStyle name="20% - Accent2 2 4" xfId="25056" xr:uid="{00000000-0005-0000-0000-000015000000}"/>
    <cellStyle name="20% - Accent2 3" xfId="985" xr:uid="{00000000-0005-0000-0000-000016000000}"/>
    <cellStyle name="20% - Accent2 3 2" xfId="26120" xr:uid="{00000000-0005-0000-0000-000017000000}"/>
    <cellStyle name="20% - Accent2 4" xfId="983" xr:uid="{00000000-0005-0000-0000-000018000000}"/>
    <cellStyle name="20% - Accent2 4 2" xfId="26117" xr:uid="{00000000-0005-0000-0000-000019000000}"/>
    <cellStyle name="20% - Accent3" xfId="5" xr:uid="{00000000-0005-0000-0000-00001A000000}"/>
    <cellStyle name="20% - Accent3 2" xfId="987" xr:uid="{00000000-0005-0000-0000-00001B000000}"/>
    <cellStyle name="20% - Accent3 2 2" xfId="25059" xr:uid="{00000000-0005-0000-0000-00001C000000}"/>
    <cellStyle name="20% - Accent3 2 2 2" xfId="26123" xr:uid="{00000000-0005-0000-0000-00001D000000}"/>
    <cellStyle name="20% - Accent3 2 3" xfId="26122" xr:uid="{00000000-0005-0000-0000-00001E000000}"/>
    <cellStyle name="20% - Accent3 2 4" xfId="25058" xr:uid="{00000000-0005-0000-0000-00001F000000}"/>
    <cellStyle name="20% - Accent3 3" xfId="988" xr:uid="{00000000-0005-0000-0000-000020000000}"/>
    <cellStyle name="20% - Accent3 3 2" xfId="26124" xr:uid="{00000000-0005-0000-0000-000021000000}"/>
    <cellStyle name="20% - Accent3 4" xfId="986" xr:uid="{00000000-0005-0000-0000-000022000000}"/>
    <cellStyle name="20% - Accent3 4 2" xfId="26121" xr:uid="{00000000-0005-0000-0000-000023000000}"/>
    <cellStyle name="20% - Accent4" xfId="6" xr:uid="{00000000-0005-0000-0000-000024000000}"/>
    <cellStyle name="20% - Accent4 2" xfId="990" xr:uid="{00000000-0005-0000-0000-000025000000}"/>
    <cellStyle name="20% - Accent4 2 2" xfId="25061" xr:uid="{00000000-0005-0000-0000-000026000000}"/>
    <cellStyle name="20% - Accent4 2 2 2" xfId="26127" xr:uid="{00000000-0005-0000-0000-000027000000}"/>
    <cellStyle name="20% - Accent4 2 3" xfId="26126" xr:uid="{00000000-0005-0000-0000-000028000000}"/>
    <cellStyle name="20% - Accent4 2 4" xfId="25060" xr:uid="{00000000-0005-0000-0000-000029000000}"/>
    <cellStyle name="20% - Accent4 3" xfId="991" xr:uid="{00000000-0005-0000-0000-00002A000000}"/>
    <cellStyle name="20% - Accent4 3 2" xfId="26128" xr:uid="{00000000-0005-0000-0000-00002B000000}"/>
    <cellStyle name="20% - Accent4 4" xfId="989" xr:uid="{00000000-0005-0000-0000-00002C000000}"/>
    <cellStyle name="20% - Accent4 4 2" xfId="26125" xr:uid="{00000000-0005-0000-0000-00002D000000}"/>
    <cellStyle name="20% - Accent5" xfId="7" xr:uid="{00000000-0005-0000-0000-00002E000000}"/>
    <cellStyle name="20% - Accent5 2" xfId="993" xr:uid="{00000000-0005-0000-0000-00002F000000}"/>
    <cellStyle name="20% - Accent5 2 2" xfId="25063" xr:uid="{00000000-0005-0000-0000-000030000000}"/>
    <cellStyle name="20% - Accent5 2 2 2" xfId="26131" xr:uid="{00000000-0005-0000-0000-000031000000}"/>
    <cellStyle name="20% - Accent5 2 3" xfId="26130" xr:uid="{00000000-0005-0000-0000-000032000000}"/>
    <cellStyle name="20% - Accent5 2 4" xfId="25062" xr:uid="{00000000-0005-0000-0000-000033000000}"/>
    <cellStyle name="20% - Accent5 3" xfId="994" xr:uid="{00000000-0005-0000-0000-000034000000}"/>
    <cellStyle name="20% - Accent5 3 2" xfId="26132" xr:uid="{00000000-0005-0000-0000-000035000000}"/>
    <cellStyle name="20% - Accent5 4" xfId="992" xr:uid="{00000000-0005-0000-0000-000036000000}"/>
    <cellStyle name="20% - Accent5 4 2" xfId="26129" xr:uid="{00000000-0005-0000-0000-000037000000}"/>
    <cellStyle name="20% - Accent6" xfId="8" xr:uid="{00000000-0005-0000-0000-000038000000}"/>
    <cellStyle name="20% - Accent6 2" xfId="996" xr:uid="{00000000-0005-0000-0000-000039000000}"/>
    <cellStyle name="20% - Accent6 2 2" xfId="25065" xr:uid="{00000000-0005-0000-0000-00003A000000}"/>
    <cellStyle name="20% - Accent6 2 2 2" xfId="26135" xr:uid="{00000000-0005-0000-0000-00003B000000}"/>
    <cellStyle name="20% - Accent6 2 3" xfId="26134" xr:uid="{00000000-0005-0000-0000-00003C000000}"/>
    <cellStyle name="20% - Accent6 2 4" xfId="25064" xr:uid="{00000000-0005-0000-0000-00003D000000}"/>
    <cellStyle name="20% - Accent6 3" xfId="997" xr:uid="{00000000-0005-0000-0000-00003E000000}"/>
    <cellStyle name="20% - Accent6 3 2" xfId="26136" xr:uid="{00000000-0005-0000-0000-00003F000000}"/>
    <cellStyle name="20% - Accent6 4" xfId="995" xr:uid="{00000000-0005-0000-0000-000040000000}"/>
    <cellStyle name="20% - Accent6 4 2" xfId="26133" xr:uid="{00000000-0005-0000-0000-000041000000}"/>
    <cellStyle name="20% - Cor1" xfId="9" xr:uid="{00000000-0005-0000-0000-000042000000}"/>
    <cellStyle name="20% - Cor1 2" xfId="26137" xr:uid="{00000000-0005-0000-0000-000043000000}"/>
    <cellStyle name="20% - Cor2" xfId="10" xr:uid="{00000000-0005-0000-0000-000044000000}"/>
    <cellStyle name="20% - Cor2 2" xfId="26138" xr:uid="{00000000-0005-0000-0000-000045000000}"/>
    <cellStyle name="20% - Cor3" xfId="11" xr:uid="{00000000-0005-0000-0000-000046000000}"/>
    <cellStyle name="20% - Cor3 2" xfId="26139" xr:uid="{00000000-0005-0000-0000-000047000000}"/>
    <cellStyle name="20% - Cor4" xfId="12" xr:uid="{00000000-0005-0000-0000-000048000000}"/>
    <cellStyle name="20% - Cor4 2" xfId="26140" xr:uid="{00000000-0005-0000-0000-000049000000}"/>
    <cellStyle name="20% - Cor5" xfId="13" xr:uid="{00000000-0005-0000-0000-00004A000000}"/>
    <cellStyle name="20% - Cor5 2" xfId="26141" xr:uid="{00000000-0005-0000-0000-00004B000000}"/>
    <cellStyle name="20% - Cor6" xfId="14" xr:uid="{00000000-0005-0000-0000-00004C000000}"/>
    <cellStyle name="20% - Cor6 2" xfId="26142" xr:uid="{00000000-0005-0000-0000-00004D000000}"/>
    <cellStyle name="20% - Ênfase1" xfId="15" builtinId="30" customBuiltin="1"/>
    <cellStyle name="20% - Ênfase1 10" xfId="998" xr:uid="{00000000-0005-0000-0000-00004F000000}"/>
    <cellStyle name="20% - Ênfase1 10 2" xfId="999" xr:uid="{00000000-0005-0000-0000-000050000000}"/>
    <cellStyle name="20% - Ênfase1 10 2 2" xfId="1000" xr:uid="{00000000-0005-0000-0000-000051000000}"/>
    <cellStyle name="20% - Ênfase1 10 2 2 2" xfId="26144" xr:uid="{00000000-0005-0000-0000-000052000000}"/>
    <cellStyle name="20% - Ênfase1 10 2 3" xfId="26143" xr:uid="{00000000-0005-0000-0000-000053000000}"/>
    <cellStyle name="20% - Ênfase1 10 3" xfId="1001" xr:uid="{00000000-0005-0000-0000-000054000000}"/>
    <cellStyle name="20% - Ênfase1 10 3 2" xfId="1002" xr:uid="{00000000-0005-0000-0000-000055000000}"/>
    <cellStyle name="20% - Ênfase1 10 4" xfId="1003" xr:uid="{00000000-0005-0000-0000-000056000000}"/>
    <cellStyle name="20% - Ênfase1 10 4 2" xfId="1004" xr:uid="{00000000-0005-0000-0000-000057000000}"/>
    <cellStyle name="20% - Ênfase1 10 5" xfId="1005" xr:uid="{00000000-0005-0000-0000-000058000000}"/>
    <cellStyle name="20% - Ênfase1 10 5 2" xfId="1006" xr:uid="{00000000-0005-0000-0000-000059000000}"/>
    <cellStyle name="20% - Ênfase1 10 6" xfId="1007" xr:uid="{00000000-0005-0000-0000-00005A000000}"/>
    <cellStyle name="20% - Ênfase1 11" xfId="1008" xr:uid="{00000000-0005-0000-0000-00005B000000}"/>
    <cellStyle name="20% - Ênfase1 11 2" xfId="1009" xr:uid="{00000000-0005-0000-0000-00005C000000}"/>
    <cellStyle name="20% - Ênfase1 11 2 2" xfId="1010" xr:uid="{00000000-0005-0000-0000-00005D000000}"/>
    <cellStyle name="20% - Ênfase1 11 2 3" xfId="26145" xr:uid="{00000000-0005-0000-0000-00005E000000}"/>
    <cellStyle name="20% - Ênfase1 11 3" xfId="1011" xr:uid="{00000000-0005-0000-0000-00005F000000}"/>
    <cellStyle name="20% - Ênfase1 11 3 2" xfId="1012" xr:uid="{00000000-0005-0000-0000-000060000000}"/>
    <cellStyle name="20% - Ênfase1 11 4" xfId="1013" xr:uid="{00000000-0005-0000-0000-000061000000}"/>
    <cellStyle name="20% - Ênfase1 11 4 2" xfId="1014" xr:uid="{00000000-0005-0000-0000-000062000000}"/>
    <cellStyle name="20% - Ênfase1 11 5" xfId="1015" xr:uid="{00000000-0005-0000-0000-000063000000}"/>
    <cellStyle name="20% - Ênfase1 11 5 2" xfId="1016" xr:uid="{00000000-0005-0000-0000-000064000000}"/>
    <cellStyle name="20% - Ênfase1 11 6" xfId="1017" xr:uid="{00000000-0005-0000-0000-000065000000}"/>
    <cellStyle name="20% - Ênfase1 11 7" xfId="25066" xr:uid="{00000000-0005-0000-0000-000066000000}"/>
    <cellStyle name="20% - Ênfase1 12" xfId="1018" xr:uid="{00000000-0005-0000-0000-000067000000}"/>
    <cellStyle name="20% - Ênfase1 12 2" xfId="1019" xr:uid="{00000000-0005-0000-0000-000068000000}"/>
    <cellStyle name="20% - Ênfase1 12 2 2" xfId="1020" xr:uid="{00000000-0005-0000-0000-000069000000}"/>
    <cellStyle name="20% - Ênfase1 12 2 2 2" xfId="26147" xr:uid="{00000000-0005-0000-0000-00006A000000}"/>
    <cellStyle name="20% - Ênfase1 12 2 3" xfId="26146" xr:uid="{00000000-0005-0000-0000-00006B000000}"/>
    <cellStyle name="20% - Ênfase1 12 3" xfId="1021" xr:uid="{00000000-0005-0000-0000-00006C000000}"/>
    <cellStyle name="20% - Ênfase1 12 3 2" xfId="1022" xr:uid="{00000000-0005-0000-0000-00006D000000}"/>
    <cellStyle name="20% - Ênfase1 12 4" xfId="1023" xr:uid="{00000000-0005-0000-0000-00006E000000}"/>
    <cellStyle name="20% - Ênfase1 12 4 2" xfId="1024" xr:uid="{00000000-0005-0000-0000-00006F000000}"/>
    <cellStyle name="20% - Ênfase1 12 5" xfId="1025" xr:uid="{00000000-0005-0000-0000-000070000000}"/>
    <cellStyle name="20% - Ênfase1 12 5 2" xfId="1026" xr:uid="{00000000-0005-0000-0000-000071000000}"/>
    <cellStyle name="20% - Ênfase1 12 6" xfId="1027" xr:uid="{00000000-0005-0000-0000-000072000000}"/>
    <cellStyle name="20% - Ênfase1 13" xfId="1028" xr:uid="{00000000-0005-0000-0000-000073000000}"/>
    <cellStyle name="20% - Ênfase1 13 2" xfId="1029" xr:uid="{00000000-0005-0000-0000-000074000000}"/>
    <cellStyle name="20% - Ênfase1 14" xfId="1030" xr:uid="{00000000-0005-0000-0000-000075000000}"/>
    <cellStyle name="20% - Ênfase1 14 2" xfId="1031" xr:uid="{00000000-0005-0000-0000-000076000000}"/>
    <cellStyle name="20% - Ênfase1 15" xfId="1032" xr:uid="{00000000-0005-0000-0000-000077000000}"/>
    <cellStyle name="20% - Ênfase1 15 2" xfId="1033" xr:uid="{00000000-0005-0000-0000-000078000000}"/>
    <cellStyle name="20% - Ênfase1 16" xfId="1034" xr:uid="{00000000-0005-0000-0000-000079000000}"/>
    <cellStyle name="20% - Ênfase1 16 2" xfId="1035" xr:uid="{00000000-0005-0000-0000-00007A000000}"/>
    <cellStyle name="20% - Ênfase1 17" xfId="1036" xr:uid="{00000000-0005-0000-0000-00007B000000}"/>
    <cellStyle name="20% - Ênfase1 17 2" xfId="1037" xr:uid="{00000000-0005-0000-0000-00007C000000}"/>
    <cellStyle name="20% - Ênfase1 18" xfId="1038" xr:uid="{00000000-0005-0000-0000-00007D000000}"/>
    <cellStyle name="20% - Ênfase1 18 2" xfId="1039" xr:uid="{00000000-0005-0000-0000-00007E000000}"/>
    <cellStyle name="20% - Ênfase1 19" xfId="1040" xr:uid="{00000000-0005-0000-0000-00007F000000}"/>
    <cellStyle name="20% - Ênfase1 19 2" xfId="1041" xr:uid="{00000000-0005-0000-0000-000080000000}"/>
    <cellStyle name="20% - Ênfase1 2" xfId="1042" xr:uid="{00000000-0005-0000-0000-000081000000}"/>
    <cellStyle name="20% - Ênfase1 2 2" xfId="1043" xr:uid="{00000000-0005-0000-0000-000082000000}"/>
    <cellStyle name="20% - Ênfase1 2 2 10" xfId="1044" xr:uid="{00000000-0005-0000-0000-000083000000}"/>
    <cellStyle name="20% - Ênfase1 2 2 10 2" xfId="1045" xr:uid="{00000000-0005-0000-0000-000084000000}"/>
    <cellStyle name="20% - Ênfase1 2 2 11" xfId="1046" xr:uid="{00000000-0005-0000-0000-000085000000}"/>
    <cellStyle name="20% - Ênfase1 2 2 11 2" xfId="1047" xr:uid="{00000000-0005-0000-0000-000086000000}"/>
    <cellStyle name="20% - Ênfase1 2 2 12" xfId="1048" xr:uid="{00000000-0005-0000-0000-000087000000}"/>
    <cellStyle name="20% - Ênfase1 2 2 12 2" xfId="1049" xr:uid="{00000000-0005-0000-0000-000088000000}"/>
    <cellStyle name="20% - Ênfase1 2 2 13" xfId="25067" xr:uid="{00000000-0005-0000-0000-000089000000}"/>
    <cellStyle name="20% - Ênfase1 2 2 2" xfId="1050" xr:uid="{00000000-0005-0000-0000-00008A000000}"/>
    <cellStyle name="20% - Ênfase1 2 2 2 10" xfId="1051" xr:uid="{00000000-0005-0000-0000-00008B000000}"/>
    <cellStyle name="20% - Ênfase1 2 2 2 11" xfId="1052" xr:uid="{00000000-0005-0000-0000-00008C000000}"/>
    <cellStyle name="20% - Ênfase1 2 2 2 2" xfId="1053" xr:uid="{00000000-0005-0000-0000-00008D000000}"/>
    <cellStyle name="20% - Ênfase1 2 2 2 2 2" xfId="25069" xr:uid="{00000000-0005-0000-0000-00008E000000}"/>
    <cellStyle name="20% - Ênfase1 2 2 2 2 2 2" xfId="26152" xr:uid="{00000000-0005-0000-0000-00008F000000}"/>
    <cellStyle name="20% - Ênfase1 2 2 2 2 3" xfId="26151" xr:uid="{00000000-0005-0000-0000-000090000000}"/>
    <cellStyle name="20% - Ênfase1 2 2 2 2 4" xfId="25068" xr:uid="{00000000-0005-0000-0000-000091000000}"/>
    <cellStyle name="20% - Ênfase1 2 2 2 3" xfId="1054" xr:uid="{00000000-0005-0000-0000-000092000000}"/>
    <cellStyle name="20% - Ênfase1 2 2 2 3 2" xfId="26153" xr:uid="{00000000-0005-0000-0000-000093000000}"/>
    <cellStyle name="20% - Ênfase1 2 2 2 3 3" xfId="25070" xr:uid="{00000000-0005-0000-0000-000094000000}"/>
    <cellStyle name="20% - Ênfase1 2 2 2 4" xfId="1055" xr:uid="{00000000-0005-0000-0000-000095000000}"/>
    <cellStyle name="20% - Ênfase1 2 2 2 4 2" xfId="26150" xr:uid="{00000000-0005-0000-0000-000096000000}"/>
    <cellStyle name="20% - Ênfase1 2 2 2 5" xfId="1056" xr:uid="{00000000-0005-0000-0000-000097000000}"/>
    <cellStyle name="20% - Ênfase1 2 2 2 6" xfId="1057" xr:uid="{00000000-0005-0000-0000-000098000000}"/>
    <cellStyle name="20% - Ênfase1 2 2 2 7" xfId="1058" xr:uid="{00000000-0005-0000-0000-000099000000}"/>
    <cellStyle name="20% - Ênfase1 2 2 2 8" xfId="1059" xr:uid="{00000000-0005-0000-0000-00009A000000}"/>
    <cellStyle name="20% - Ênfase1 2 2 2 9" xfId="1060" xr:uid="{00000000-0005-0000-0000-00009B000000}"/>
    <cellStyle name="20% - Ênfase1 2 2 3" xfId="1061" xr:uid="{00000000-0005-0000-0000-00009C000000}"/>
    <cellStyle name="20% - Ênfase1 2 2 3 2" xfId="25072" xr:uid="{00000000-0005-0000-0000-00009D000000}"/>
    <cellStyle name="20% - Ênfase1 2 2 3 2 2" xfId="25073" xr:uid="{00000000-0005-0000-0000-00009E000000}"/>
    <cellStyle name="20% - Ênfase1 2 2 3 2 2 2" xfId="26156" xr:uid="{00000000-0005-0000-0000-00009F000000}"/>
    <cellStyle name="20% - Ênfase1 2 2 3 2 3" xfId="26155" xr:uid="{00000000-0005-0000-0000-0000A0000000}"/>
    <cellStyle name="20% - Ênfase1 2 2 3 3" xfId="25074" xr:uid="{00000000-0005-0000-0000-0000A1000000}"/>
    <cellStyle name="20% - Ênfase1 2 2 3 3 2" xfId="26157" xr:uid="{00000000-0005-0000-0000-0000A2000000}"/>
    <cellStyle name="20% - Ênfase1 2 2 3 4" xfId="26154" xr:uid="{00000000-0005-0000-0000-0000A3000000}"/>
    <cellStyle name="20% - Ênfase1 2 2 3 5" xfId="25071" xr:uid="{00000000-0005-0000-0000-0000A4000000}"/>
    <cellStyle name="20% - Ênfase1 2 2 4" xfId="1062" xr:uid="{00000000-0005-0000-0000-0000A5000000}"/>
    <cellStyle name="20% - Ênfase1 2 2 4 2" xfId="26158" xr:uid="{00000000-0005-0000-0000-0000A6000000}"/>
    <cellStyle name="20% - Ênfase1 2 2 4 3" xfId="25075" xr:uid="{00000000-0005-0000-0000-0000A7000000}"/>
    <cellStyle name="20% - Ênfase1 2 2 5" xfId="1063" xr:uid="{00000000-0005-0000-0000-0000A8000000}"/>
    <cellStyle name="20% - Ênfase1 2 2 5 2" xfId="1064" xr:uid="{00000000-0005-0000-0000-0000A9000000}"/>
    <cellStyle name="20% - Ênfase1 2 2 5 3" xfId="26149" xr:uid="{00000000-0005-0000-0000-0000AA000000}"/>
    <cellStyle name="20% - Ênfase1 2 2 6" xfId="1065" xr:uid="{00000000-0005-0000-0000-0000AB000000}"/>
    <cellStyle name="20% - Ênfase1 2 2 6 2" xfId="1066" xr:uid="{00000000-0005-0000-0000-0000AC000000}"/>
    <cellStyle name="20% - Ênfase1 2 2 7" xfId="1067" xr:uid="{00000000-0005-0000-0000-0000AD000000}"/>
    <cellStyle name="20% - Ênfase1 2 2 7 2" xfId="1068" xr:uid="{00000000-0005-0000-0000-0000AE000000}"/>
    <cellStyle name="20% - Ênfase1 2 2 8" xfId="1069" xr:uid="{00000000-0005-0000-0000-0000AF000000}"/>
    <cellStyle name="20% - Ênfase1 2 2 8 2" xfId="1070" xr:uid="{00000000-0005-0000-0000-0000B0000000}"/>
    <cellStyle name="20% - Ênfase1 2 2 9" xfId="1071" xr:uid="{00000000-0005-0000-0000-0000B1000000}"/>
    <cellStyle name="20% - Ênfase1 2 2 9 2" xfId="1072" xr:uid="{00000000-0005-0000-0000-0000B2000000}"/>
    <cellStyle name="20% - Ênfase1 2 3" xfId="1073" xr:uid="{00000000-0005-0000-0000-0000B3000000}"/>
    <cellStyle name="20% - Ênfase1 2 3 2" xfId="25077" xr:uid="{00000000-0005-0000-0000-0000B4000000}"/>
    <cellStyle name="20% - Ênfase1 2 3 2 2" xfId="25078" xr:uid="{00000000-0005-0000-0000-0000B5000000}"/>
    <cellStyle name="20% - Ênfase1 2 3 2 2 2" xfId="26161" xr:uid="{00000000-0005-0000-0000-0000B6000000}"/>
    <cellStyle name="20% - Ênfase1 2 3 2 3" xfId="26160" xr:uid="{00000000-0005-0000-0000-0000B7000000}"/>
    <cellStyle name="20% - Ênfase1 2 3 3" xfId="25079" xr:uid="{00000000-0005-0000-0000-0000B8000000}"/>
    <cellStyle name="20% - Ênfase1 2 3 3 2" xfId="26162" xr:uid="{00000000-0005-0000-0000-0000B9000000}"/>
    <cellStyle name="20% - Ênfase1 2 3 4" xfId="26159" xr:uid="{00000000-0005-0000-0000-0000BA000000}"/>
    <cellStyle name="20% - Ênfase1 2 3 5" xfId="25076" xr:uid="{00000000-0005-0000-0000-0000BB000000}"/>
    <cellStyle name="20% - Ênfase1 2 4" xfId="1074" xr:uid="{00000000-0005-0000-0000-0000BC000000}"/>
    <cellStyle name="20% - Ênfase1 2 4 2" xfId="25081" xr:uid="{00000000-0005-0000-0000-0000BD000000}"/>
    <cellStyle name="20% - Ênfase1 2 4 2 2" xfId="25082" xr:uid="{00000000-0005-0000-0000-0000BE000000}"/>
    <cellStyle name="20% - Ênfase1 2 4 2 2 2" xfId="26165" xr:uid="{00000000-0005-0000-0000-0000BF000000}"/>
    <cellStyle name="20% - Ênfase1 2 4 2 3" xfId="26164" xr:uid="{00000000-0005-0000-0000-0000C0000000}"/>
    <cellStyle name="20% - Ênfase1 2 4 3" xfId="25083" xr:uid="{00000000-0005-0000-0000-0000C1000000}"/>
    <cellStyle name="20% - Ênfase1 2 4 3 2" xfId="26166" xr:uid="{00000000-0005-0000-0000-0000C2000000}"/>
    <cellStyle name="20% - Ênfase1 2 4 4" xfId="26163" xr:uid="{00000000-0005-0000-0000-0000C3000000}"/>
    <cellStyle name="20% - Ênfase1 2 4 5" xfId="25080" xr:uid="{00000000-0005-0000-0000-0000C4000000}"/>
    <cellStyle name="20% - Ênfase1 2 5" xfId="1075" xr:uid="{00000000-0005-0000-0000-0000C5000000}"/>
    <cellStyle name="20% - Ênfase1 2 5 10" xfId="1076" xr:uid="{00000000-0005-0000-0000-0000C6000000}"/>
    <cellStyle name="20% - Ênfase1 2 5 10 2" xfId="1077" xr:uid="{00000000-0005-0000-0000-0000C7000000}"/>
    <cellStyle name="20% - Ênfase1 2 5 2" xfId="1078" xr:uid="{00000000-0005-0000-0000-0000C8000000}"/>
    <cellStyle name="20% - Ênfase1 2 5 2 2" xfId="1079" xr:uid="{00000000-0005-0000-0000-0000C9000000}"/>
    <cellStyle name="20% - Ênfase1 2 5 3" xfId="1080" xr:uid="{00000000-0005-0000-0000-0000CA000000}"/>
    <cellStyle name="20% - Ênfase1 2 5 3 2" xfId="1081" xr:uid="{00000000-0005-0000-0000-0000CB000000}"/>
    <cellStyle name="20% - Ênfase1 2 5 4" xfId="1082" xr:uid="{00000000-0005-0000-0000-0000CC000000}"/>
    <cellStyle name="20% - Ênfase1 2 5 4 2" xfId="1083" xr:uid="{00000000-0005-0000-0000-0000CD000000}"/>
    <cellStyle name="20% - Ênfase1 2 5 5" xfId="1084" xr:uid="{00000000-0005-0000-0000-0000CE000000}"/>
    <cellStyle name="20% - Ênfase1 2 5 5 2" xfId="1085" xr:uid="{00000000-0005-0000-0000-0000CF000000}"/>
    <cellStyle name="20% - Ênfase1 2 5 6" xfId="1086" xr:uid="{00000000-0005-0000-0000-0000D0000000}"/>
    <cellStyle name="20% - Ênfase1 2 5 6 2" xfId="1087" xr:uid="{00000000-0005-0000-0000-0000D1000000}"/>
    <cellStyle name="20% - Ênfase1 2 5 7" xfId="1088" xr:uid="{00000000-0005-0000-0000-0000D2000000}"/>
    <cellStyle name="20% - Ênfase1 2 5 7 2" xfId="1089" xr:uid="{00000000-0005-0000-0000-0000D3000000}"/>
    <cellStyle name="20% - Ênfase1 2 5 8" xfId="1090" xr:uid="{00000000-0005-0000-0000-0000D4000000}"/>
    <cellStyle name="20% - Ênfase1 2 5 8 2" xfId="1091" xr:uid="{00000000-0005-0000-0000-0000D5000000}"/>
    <cellStyle name="20% - Ênfase1 2 5 9" xfId="1092" xr:uid="{00000000-0005-0000-0000-0000D6000000}"/>
    <cellStyle name="20% - Ênfase1 2 5 9 2" xfId="1093" xr:uid="{00000000-0005-0000-0000-0000D7000000}"/>
    <cellStyle name="20% - Ênfase1 2 6" xfId="1094" xr:uid="{00000000-0005-0000-0000-0000D8000000}"/>
    <cellStyle name="20% - Ênfase1 2 6 2" xfId="1095" xr:uid="{00000000-0005-0000-0000-0000D9000000}"/>
    <cellStyle name="20% - Ênfase1 2 6 2 2" xfId="1096" xr:uid="{00000000-0005-0000-0000-0000DA000000}"/>
    <cellStyle name="20% - Ênfase1 2 6 3" xfId="1097" xr:uid="{00000000-0005-0000-0000-0000DB000000}"/>
    <cellStyle name="20% - Ênfase1 2 6 3 2" xfId="1098" xr:uid="{00000000-0005-0000-0000-0000DC000000}"/>
    <cellStyle name="20% - Ênfase1 2 6 4" xfId="1099" xr:uid="{00000000-0005-0000-0000-0000DD000000}"/>
    <cellStyle name="20% - Ênfase1 2 6 4 2" xfId="1100" xr:uid="{00000000-0005-0000-0000-0000DE000000}"/>
    <cellStyle name="20% - Ênfase1 2 6 5" xfId="1101" xr:uid="{00000000-0005-0000-0000-0000DF000000}"/>
    <cellStyle name="20% - Ênfase1 2 6 5 2" xfId="1102" xr:uid="{00000000-0005-0000-0000-0000E0000000}"/>
    <cellStyle name="20% - Ênfase1 2 6 6" xfId="1103" xr:uid="{00000000-0005-0000-0000-0000E1000000}"/>
    <cellStyle name="20% - Ênfase1 2 7" xfId="26148" xr:uid="{00000000-0005-0000-0000-0000E2000000}"/>
    <cellStyle name="20% - Ênfase1 20" xfId="1104" xr:uid="{00000000-0005-0000-0000-0000E3000000}"/>
    <cellStyle name="20% - Ênfase1 20 2" xfId="1105" xr:uid="{00000000-0005-0000-0000-0000E4000000}"/>
    <cellStyle name="20% - Ênfase1 21" xfId="1106" xr:uid="{00000000-0005-0000-0000-0000E5000000}"/>
    <cellStyle name="20% - Ênfase1 21 2" xfId="1107" xr:uid="{00000000-0005-0000-0000-0000E6000000}"/>
    <cellStyle name="20% - Ênfase1 22" xfId="1108" xr:uid="{00000000-0005-0000-0000-0000E7000000}"/>
    <cellStyle name="20% - Ênfase1 22 2" xfId="1109" xr:uid="{00000000-0005-0000-0000-0000E8000000}"/>
    <cellStyle name="20% - Ênfase1 23" xfId="1110" xr:uid="{00000000-0005-0000-0000-0000E9000000}"/>
    <cellStyle name="20% - Ênfase1 23 2" xfId="1111" xr:uid="{00000000-0005-0000-0000-0000EA000000}"/>
    <cellStyle name="20% - Ênfase1 24" xfId="1112" xr:uid="{00000000-0005-0000-0000-0000EB000000}"/>
    <cellStyle name="20% - Ênfase1 24 2" xfId="1113" xr:uid="{00000000-0005-0000-0000-0000EC000000}"/>
    <cellStyle name="20% - Ênfase1 25" xfId="1114" xr:uid="{00000000-0005-0000-0000-0000ED000000}"/>
    <cellStyle name="20% - Ênfase1 25 2" xfId="1115" xr:uid="{00000000-0005-0000-0000-0000EE000000}"/>
    <cellStyle name="20% - Ênfase1 26" xfId="1116" xr:uid="{00000000-0005-0000-0000-0000EF000000}"/>
    <cellStyle name="20% - Ênfase1 26 2" xfId="1117" xr:uid="{00000000-0005-0000-0000-0000F0000000}"/>
    <cellStyle name="20% - Ênfase1 27" xfId="1118" xr:uid="{00000000-0005-0000-0000-0000F1000000}"/>
    <cellStyle name="20% - Ênfase1 27 2" xfId="1119" xr:uid="{00000000-0005-0000-0000-0000F2000000}"/>
    <cellStyle name="20% - Ênfase1 28" xfId="1120" xr:uid="{00000000-0005-0000-0000-0000F3000000}"/>
    <cellStyle name="20% - Ênfase1 28 2" xfId="1121" xr:uid="{00000000-0005-0000-0000-0000F4000000}"/>
    <cellStyle name="20% - Ênfase1 29" xfId="1122" xr:uid="{00000000-0005-0000-0000-0000F5000000}"/>
    <cellStyle name="20% - Ênfase1 29 2" xfId="1123" xr:uid="{00000000-0005-0000-0000-0000F6000000}"/>
    <cellStyle name="20% - Ênfase1 3" xfId="1124" xr:uid="{00000000-0005-0000-0000-0000F7000000}"/>
    <cellStyle name="20% - Ênfase1 3 2" xfId="1125" xr:uid="{00000000-0005-0000-0000-0000F8000000}"/>
    <cellStyle name="20% - Ênfase1 3 2 10" xfId="1126" xr:uid="{00000000-0005-0000-0000-0000F9000000}"/>
    <cellStyle name="20% - Ênfase1 3 2 10 2" xfId="1127" xr:uid="{00000000-0005-0000-0000-0000FA000000}"/>
    <cellStyle name="20% - Ênfase1 3 2 11" xfId="1128" xr:uid="{00000000-0005-0000-0000-0000FB000000}"/>
    <cellStyle name="20% - Ênfase1 3 2 11 2" xfId="1129" xr:uid="{00000000-0005-0000-0000-0000FC000000}"/>
    <cellStyle name="20% - Ênfase1 3 2 12" xfId="1130" xr:uid="{00000000-0005-0000-0000-0000FD000000}"/>
    <cellStyle name="20% - Ênfase1 3 2 12 2" xfId="1131" xr:uid="{00000000-0005-0000-0000-0000FE000000}"/>
    <cellStyle name="20% - Ênfase1 3 2 2" xfId="1132" xr:uid="{00000000-0005-0000-0000-0000FF000000}"/>
    <cellStyle name="20% - Ênfase1 3 2 2 10" xfId="1133" xr:uid="{00000000-0005-0000-0000-000000010000}"/>
    <cellStyle name="20% - Ênfase1 3 2 2 11" xfId="1134" xr:uid="{00000000-0005-0000-0000-000001010000}"/>
    <cellStyle name="20% - Ênfase1 3 2 2 2" xfId="1135" xr:uid="{00000000-0005-0000-0000-000002010000}"/>
    <cellStyle name="20% - Ênfase1 3 2 2 2 2" xfId="25085" xr:uid="{00000000-0005-0000-0000-000003010000}"/>
    <cellStyle name="20% - Ênfase1 3 2 2 2 2 2" xfId="26170" xr:uid="{00000000-0005-0000-0000-000004010000}"/>
    <cellStyle name="20% - Ênfase1 3 2 2 2 3" xfId="26169" xr:uid="{00000000-0005-0000-0000-000005010000}"/>
    <cellStyle name="20% - Ênfase1 3 2 2 2 4" xfId="25084" xr:uid="{00000000-0005-0000-0000-000006010000}"/>
    <cellStyle name="20% - Ênfase1 3 2 2 3" xfId="1136" xr:uid="{00000000-0005-0000-0000-000007010000}"/>
    <cellStyle name="20% - Ênfase1 3 2 2 3 2" xfId="26171" xr:uid="{00000000-0005-0000-0000-000008010000}"/>
    <cellStyle name="20% - Ênfase1 3 2 2 3 3" xfId="25086" xr:uid="{00000000-0005-0000-0000-000009010000}"/>
    <cellStyle name="20% - Ênfase1 3 2 2 4" xfId="1137" xr:uid="{00000000-0005-0000-0000-00000A010000}"/>
    <cellStyle name="20% - Ênfase1 3 2 2 4 2" xfId="26168" xr:uid="{00000000-0005-0000-0000-00000B010000}"/>
    <cellStyle name="20% - Ênfase1 3 2 2 5" xfId="1138" xr:uid="{00000000-0005-0000-0000-00000C010000}"/>
    <cellStyle name="20% - Ênfase1 3 2 2 6" xfId="1139" xr:uid="{00000000-0005-0000-0000-00000D010000}"/>
    <cellStyle name="20% - Ênfase1 3 2 2 7" xfId="1140" xr:uid="{00000000-0005-0000-0000-00000E010000}"/>
    <cellStyle name="20% - Ênfase1 3 2 2 8" xfId="1141" xr:uid="{00000000-0005-0000-0000-00000F010000}"/>
    <cellStyle name="20% - Ênfase1 3 2 2 9" xfId="1142" xr:uid="{00000000-0005-0000-0000-000010010000}"/>
    <cellStyle name="20% - Ênfase1 3 2 3" xfId="1143" xr:uid="{00000000-0005-0000-0000-000011010000}"/>
    <cellStyle name="20% - Ênfase1 3 2 3 2" xfId="25088" xr:uid="{00000000-0005-0000-0000-000012010000}"/>
    <cellStyle name="20% - Ênfase1 3 2 3 2 2" xfId="26173" xr:uid="{00000000-0005-0000-0000-000013010000}"/>
    <cellStyle name="20% - Ênfase1 3 2 3 3" xfId="26172" xr:uid="{00000000-0005-0000-0000-000014010000}"/>
    <cellStyle name="20% - Ênfase1 3 2 3 4" xfId="25087" xr:uid="{00000000-0005-0000-0000-000015010000}"/>
    <cellStyle name="20% - Ênfase1 3 2 4" xfId="1144" xr:uid="{00000000-0005-0000-0000-000016010000}"/>
    <cellStyle name="20% - Ênfase1 3 2 4 2" xfId="26174" xr:uid="{00000000-0005-0000-0000-000017010000}"/>
    <cellStyle name="20% - Ênfase1 3 2 4 3" xfId="25089" xr:uid="{00000000-0005-0000-0000-000018010000}"/>
    <cellStyle name="20% - Ênfase1 3 2 5" xfId="1145" xr:uid="{00000000-0005-0000-0000-000019010000}"/>
    <cellStyle name="20% - Ênfase1 3 2 5 2" xfId="1146" xr:uid="{00000000-0005-0000-0000-00001A010000}"/>
    <cellStyle name="20% - Ênfase1 3 2 6" xfId="1147" xr:uid="{00000000-0005-0000-0000-00001B010000}"/>
    <cellStyle name="20% - Ênfase1 3 2 6 2" xfId="1148" xr:uid="{00000000-0005-0000-0000-00001C010000}"/>
    <cellStyle name="20% - Ênfase1 3 2 7" xfId="1149" xr:uid="{00000000-0005-0000-0000-00001D010000}"/>
    <cellStyle name="20% - Ênfase1 3 2 7 2" xfId="1150" xr:uid="{00000000-0005-0000-0000-00001E010000}"/>
    <cellStyle name="20% - Ênfase1 3 2 8" xfId="1151" xr:uid="{00000000-0005-0000-0000-00001F010000}"/>
    <cellStyle name="20% - Ênfase1 3 2 8 2" xfId="1152" xr:uid="{00000000-0005-0000-0000-000020010000}"/>
    <cellStyle name="20% - Ênfase1 3 2 9" xfId="1153" xr:uid="{00000000-0005-0000-0000-000021010000}"/>
    <cellStyle name="20% - Ênfase1 3 2 9 2" xfId="1154" xr:uid="{00000000-0005-0000-0000-000022010000}"/>
    <cellStyle name="20% - Ênfase1 3 3" xfId="1155" xr:uid="{00000000-0005-0000-0000-000023010000}"/>
    <cellStyle name="20% - Ênfase1 3 3 2" xfId="25091" xr:uid="{00000000-0005-0000-0000-000024010000}"/>
    <cellStyle name="20% - Ênfase1 3 3 2 2" xfId="25092" xr:uid="{00000000-0005-0000-0000-000025010000}"/>
    <cellStyle name="20% - Ênfase1 3 3 2 2 2" xfId="26177" xr:uid="{00000000-0005-0000-0000-000026010000}"/>
    <cellStyle name="20% - Ênfase1 3 3 2 3" xfId="26176" xr:uid="{00000000-0005-0000-0000-000027010000}"/>
    <cellStyle name="20% - Ênfase1 3 3 3" xfId="25093" xr:uid="{00000000-0005-0000-0000-000028010000}"/>
    <cellStyle name="20% - Ênfase1 3 3 3 2" xfId="26178" xr:uid="{00000000-0005-0000-0000-000029010000}"/>
    <cellStyle name="20% - Ênfase1 3 3 4" xfId="26175" xr:uid="{00000000-0005-0000-0000-00002A010000}"/>
    <cellStyle name="20% - Ênfase1 3 3 5" xfId="25090" xr:uid="{00000000-0005-0000-0000-00002B010000}"/>
    <cellStyle name="20% - Ênfase1 3 4" xfId="1156" xr:uid="{00000000-0005-0000-0000-00002C010000}"/>
    <cellStyle name="20% - Ênfase1 3 4 2" xfId="26179" xr:uid="{00000000-0005-0000-0000-00002D010000}"/>
    <cellStyle name="20% - Ênfase1 3 5" xfId="1157" xr:uid="{00000000-0005-0000-0000-00002E010000}"/>
    <cellStyle name="20% - Ênfase1 3 5 10" xfId="1158" xr:uid="{00000000-0005-0000-0000-00002F010000}"/>
    <cellStyle name="20% - Ênfase1 3 5 10 2" xfId="1159" xr:uid="{00000000-0005-0000-0000-000030010000}"/>
    <cellStyle name="20% - Ênfase1 3 5 2" xfId="1160" xr:uid="{00000000-0005-0000-0000-000031010000}"/>
    <cellStyle name="20% - Ênfase1 3 5 2 2" xfId="1161" xr:uid="{00000000-0005-0000-0000-000032010000}"/>
    <cellStyle name="20% - Ênfase1 3 5 3" xfId="1162" xr:uid="{00000000-0005-0000-0000-000033010000}"/>
    <cellStyle name="20% - Ênfase1 3 5 3 2" xfId="1163" xr:uid="{00000000-0005-0000-0000-000034010000}"/>
    <cellStyle name="20% - Ênfase1 3 5 4" xfId="1164" xr:uid="{00000000-0005-0000-0000-000035010000}"/>
    <cellStyle name="20% - Ênfase1 3 5 4 2" xfId="1165" xr:uid="{00000000-0005-0000-0000-000036010000}"/>
    <cellStyle name="20% - Ênfase1 3 5 5" xfId="1166" xr:uid="{00000000-0005-0000-0000-000037010000}"/>
    <cellStyle name="20% - Ênfase1 3 5 5 2" xfId="1167" xr:uid="{00000000-0005-0000-0000-000038010000}"/>
    <cellStyle name="20% - Ênfase1 3 5 6" xfId="1168" xr:uid="{00000000-0005-0000-0000-000039010000}"/>
    <cellStyle name="20% - Ênfase1 3 5 6 2" xfId="1169" xr:uid="{00000000-0005-0000-0000-00003A010000}"/>
    <cellStyle name="20% - Ênfase1 3 5 7" xfId="1170" xr:uid="{00000000-0005-0000-0000-00003B010000}"/>
    <cellStyle name="20% - Ênfase1 3 5 7 2" xfId="1171" xr:uid="{00000000-0005-0000-0000-00003C010000}"/>
    <cellStyle name="20% - Ênfase1 3 5 8" xfId="1172" xr:uid="{00000000-0005-0000-0000-00003D010000}"/>
    <cellStyle name="20% - Ênfase1 3 5 8 2" xfId="1173" xr:uid="{00000000-0005-0000-0000-00003E010000}"/>
    <cellStyle name="20% - Ênfase1 3 5 9" xfId="1174" xr:uid="{00000000-0005-0000-0000-00003F010000}"/>
    <cellStyle name="20% - Ênfase1 3 5 9 2" xfId="1175" xr:uid="{00000000-0005-0000-0000-000040010000}"/>
    <cellStyle name="20% - Ênfase1 3 6" xfId="1176" xr:uid="{00000000-0005-0000-0000-000041010000}"/>
    <cellStyle name="20% - Ênfase1 3 6 2" xfId="1177" xr:uid="{00000000-0005-0000-0000-000042010000}"/>
    <cellStyle name="20% - Ênfase1 3 6 2 2" xfId="1178" xr:uid="{00000000-0005-0000-0000-000043010000}"/>
    <cellStyle name="20% - Ênfase1 3 6 3" xfId="1179" xr:uid="{00000000-0005-0000-0000-000044010000}"/>
    <cellStyle name="20% - Ênfase1 3 6 3 2" xfId="1180" xr:uid="{00000000-0005-0000-0000-000045010000}"/>
    <cellStyle name="20% - Ênfase1 3 6 4" xfId="1181" xr:uid="{00000000-0005-0000-0000-000046010000}"/>
    <cellStyle name="20% - Ênfase1 3 6 4 2" xfId="1182" xr:uid="{00000000-0005-0000-0000-000047010000}"/>
    <cellStyle name="20% - Ênfase1 3 6 5" xfId="1183" xr:uid="{00000000-0005-0000-0000-000048010000}"/>
    <cellStyle name="20% - Ênfase1 3 6 5 2" xfId="1184" xr:uid="{00000000-0005-0000-0000-000049010000}"/>
    <cellStyle name="20% - Ênfase1 3 6 6" xfId="1185" xr:uid="{00000000-0005-0000-0000-00004A010000}"/>
    <cellStyle name="20% - Ênfase1 3 7" xfId="25094" xr:uid="{00000000-0005-0000-0000-00004B010000}"/>
    <cellStyle name="20% - Ênfase1 3 7 2" xfId="26180" xr:uid="{00000000-0005-0000-0000-00004C010000}"/>
    <cellStyle name="20% - Ênfase1 3 8" xfId="26167" xr:uid="{00000000-0005-0000-0000-00004D010000}"/>
    <cellStyle name="20% - Ênfase1 30" xfId="1186" xr:uid="{00000000-0005-0000-0000-00004E010000}"/>
    <cellStyle name="20% - Ênfase1 30 2" xfId="1187" xr:uid="{00000000-0005-0000-0000-00004F010000}"/>
    <cellStyle name="20% - Ênfase1 31" xfId="1188" xr:uid="{00000000-0005-0000-0000-000050010000}"/>
    <cellStyle name="20% - Ênfase1 31 2" xfId="1189" xr:uid="{00000000-0005-0000-0000-000051010000}"/>
    <cellStyle name="20% - Ênfase1 32" xfId="1190" xr:uid="{00000000-0005-0000-0000-000052010000}"/>
    <cellStyle name="20% - Ênfase1 32 2" xfId="1191" xr:uid="{00000000-0005-0000-0000-000053010000}"/>
    <cellStyle name="20% - Ênfase1 33" xfId="1192" xr:uid="{00000000-0005-0000-0000-000054010000}"/>
    <cellStyle name="20% - Ênfase1 33 2" xfId="1193" xr:uid="{00000000-0005-0000-0000-000055010000}"/>
    <cellStyle name="20% - Ênfase1 34" xfId="1194" xr:uid="{00000000-0005-0000-0000-000056010000}"/>
    <cellStyle name="20% - Ênfase1 34 2" xfId="1195" xr:uid="{00000000-0005-0000-0000-000057010000}"/>
    <cellStyle name="20% - Ênfase1 35" xfId="1196" xr:uid="{00000000-0005-0000-0000-000058010000}"/>
    <cellStyle name="20% - Ênfase1 35 2" xfId="1197" xr:uid="{00000000-0005-0000-0000-000059010000}"/>
    <cellStyle name="20% - Ênfase1 36" xfId="1198" xr:uid="{00000000-0005-0000-0000-00005A010000}"/>
    <cellStyle name="20% - Ênfase1 36 2" xfId="1199" xr:uid="{00000000-0005-0000-0000-00005B010000}"/>
    <cellStyle name="20% - Ênfase1 37" xfId="1200" xr:uid="{00000000-0005-0000-0000-00005C010000}"/>
    <cellStyle name="20% - Ênfase1 37 2" xfId="1201" xr:uid="{00000000-0005-0000-0000-00005D010000}"/>
    <cellStyle name="20% - Ênfase1 38" xfId="1202" xr:uid="{00000000-0005-0000-0000-00005E010000}"/>
    <cellStyle name="20% - Ênfase1 38 2" xfId="1203" xr:uid="{00000000-0005-0000-0000-00005F010000}"/>
    <cellStyle name="20% - Ênfase1 39" xfId="1204" xr:uid="{00000000-0005-0000-0000-000060010000}"/>
    <cellStyle name="20% - Ênfase1 39 2" xfId="1205" xr:uid="{00000000-0005-0000-0000-000061010000}"/>
    <cellStyle name="20% - Ênfase1 4" xfId="1206" xr:uid="{00000000-0005-0000-0000-000062010000}"/>
    <cellStyle name="20% - Ênfase1 4 2" xfId="1207" xr:uid="{00000000-0005-0000-0000-000063010000}"/>
    <cellStyle name="20% - Ênfase1 4 2 10" xfId="1208" xr:uid="{00000000-0005-0000-0000-000064010000}"/>
    <cellStyle name="20% - Ênfase1 4 2 10 2" xfId="1209" xr:uid="{00000000-0005-0000-0000-000065010000}"/>
    <cellStyle name="20% - Ênfase1 4 2 11" xfId="1210" xr:uid="{00000000-0005-0000-0000-000066010000}"/>
    <cellStyle name="20% - Ênfase1 4 2 11 2" xfId="1211" xr:uid="{00000000-0005-0000-0000-000067010000}"/>
    <cellStyle name="20% - Ênfase1 4 2 12" xfId="1212" xr:uid="{00000000-0005-0000-0000-000068010000}"/>
    <cellStyle name="20% - Ênfase1 4 2 12 2" xfId="1213" xr:uid="{00000000-0005-0000-0000-000069010000}"/>
    <cellStyle name="20% - Ênfase1 4 2 2" xfId="1214" xr:uid="{00000000-0005-0000-0000-00006A010000}"/>
    <cellStyle name="20% - Ênfase1 4 2 2 10" xfId="1215" xr:uid="{00000000-0005-0000-0000-00006B010000}"/>
    <cellStyle name="20% - Ênfase1 4 2 2 11" xfId="1216" xr:uid="{00000000-0005-0000-0000-00006C010000}"/>
    <cellStyle name="20% - Ênfase1 4 2 2 2" xfId="1217" xr:uid="{00000000-0005-0000-0000-00006D010000}"/>
    <cellStyle name="20% - Ênfase1 4 2 2 2 2" xfId="25096" xr:uid="{00000000-0005-0000-0000-00006E010000}"/>
    <cellStyle name="20% - Ênfase1 4 2 2 2 2 2" xfId="26184" xr:uid="{00000000-0005-0000-0000-00006F010000}"/>
    <cellStyle name="20% - Ênfase1 4 2 2 2 3" xfId="26183" xr:uid="{00000000-0005-0000-0000-000070010000}"/>
    <cellStyle name="20% - Ênfase1 4 2 2 2 4" xfId="25095" xr:uid="{00000000-0005-0000-0000-000071010000}"/>
    <cellStyle name="20% - Ênfase1 4 2 2 3" xfId="1218" xr:uid="{00000000-0005-0000-0000-000072010000}"/>
    <cellStyle name="20% - Ênfase1 4 2 2 3 2" xfId="26185" xr:uid="{00000000-0005-0000-0000-000073010000}"/>
    <cellStyle name="20% - Ênfase1 4 2 2 3 3" xfId="25097" xr:uid="{00000000-0005-0000-0000-000074010000}"/>
    <cellStyle name="20% - Ênfase1 4 2 2 4" xfId="1219" xr:uid="{00000000-0005-0000-0000-000075010000}"/>
    <cellStyle name="20% - Ênfase1 4 2 2 4 2" xfId="26182" xr:uid="{00000000-0005-0000-0000-000076010000}"/>
    <cellStyle name="20% - Ênfase1 4 2 2 5" xfId="1220" xr:uid="{00000000-0005-0000-0000-000077010000}"/>
    <cellStyle name="20% - Ênfase1 4 2 2 6" xfId="1221" xr:uid="{00000000-0005-0000-0000-000078010000}"/>
    <cellStyle name="20% - Ênfase1 4 2 2 7" xfId="1222" xr:uid="{00000000-0005-0000-0000-000079010000}"/>
    <cellStyle name="20% - Ênfase1 4 2 2 8" xfId="1223" xr:uid="{00000000-0005-0000-0000-00007A010000}"/>
    <cellStyle name="20% - Ênfase1 4 2 2 9" xfId="1224" xr:uid="{00000000-0005-0000-0000-00007B010000}"/>
    <cellStyle name="20% - Ênfase1 4 2 3" xfId="1225" xr:uid="{00000000-0005-0000-0000-00007C010000}"/>
    <cellStyle name="20% - Ênfase1 4 2 3 2" xfId="25099" xr:uid="{00000000-0005-0000-0000-00007D010000}"/>
    <cellStyle name="20% - Ênfase1 4 2 3 2 2" xfId="26187" xr:uid="{00000000-0005-0000-0000-00007E010000}"/>
    <cellStyle name="20% - Ênfase1 4 2 3 3" xfId="26186" xr:uid="{00000000-0005-0000-0000-00007F010000}"/>
    <cellStyle name="20% - Ênfase1 4 2 3 4" xfId="25098" xr:uid="{00000000-0005-0000-0000-000080010000}"/>
    <cellStyle name="20% - Ênfase1 4 2 4" xfId="1226" xr:uid="{00000000-0005-0000-0000-000081010000}"/>
    <cellStyle name="20% - Ênfase1 4 2 4 2" xfId="26188" xr:uid="{00000000-0005-0000-0000-000082010000}"/>
    <cellStyle name="20% - Ênfase1 4 2 4 3" xfId="25100" xr:uid="{00000000-0005-0000-0000-000083010000}"/>
    <cellStyle name="20% - Ênfase1 4 2 5" xfId="1227" xr:uid="{00000000-0005-0000-0000-000084010000}"/>
    <cellStyle name="20% - Ênfase1 4 2 5 2" xfId="1228" xr:uid="{00000000-0005-0000-0000-000085010000}"/>
    <cellStyle name="20% - Ênfase1 4 2 6" xfId="1229" xr:uid="{00000000-0005-0000-0000-000086010000}"/>
    <cellStyle name="20% - Ênfase1 4 2 6 2" xfId="1230" xr:uid="{00000000-0005-0000-0000-000087010000}"/>
    <cellStyle name="20% - Ênfase1 4 2 7" xfId="1231" xr:uid="{00000000-0005-0000-0000-000088010000}"/>
    <cellStyle name="20% - Ênfase1 4 2 7 2" xfId="1232" xr:uid="{00000000-0005-0000-0000-000089010000}"/>
    <cellStyle name="20% - Ênfase1 4 2 8" xfId="1233" xr:uid="{00000000-0005-0000-0000-00008A010000}"/>
    <cellStyle name="20% - Ênfase1 4 2 8 2" xfId="1234" xr:uid="{00000000-0005-0000-0000-00008B010000}"/>
    <cellStyle name="20% - Ênfase1 4 2 9" xfId="1235" xr:uid="{00000000-0005-0000-0000-00008C010000}"/>
    <cellStyle name="20% - Ênfase1 4 2 9 2" xfId="1236" xr:uid="{00000000-0005-0000-0000-00008D010000}"/>
    <cellStyle name="20% - Ênfase1 4 3" xfId="1237" xr:uid="{00000000-0005-0000-0000-00008E010000}"/>
    <cellStyle name="20% - Ênfase1 4 3 2" xfId="25102" xr:uid="{00000000-0005-0000-0000-00008F010000}"/>
    <cellStyle name="20% - Ênfase1 4 3 2 2" xfId="25103" xr:uid="{00000000-0005-0000-0000-000090010000}"/>
    <cellStyle name="20% - Ênfase1 4 3 2 2 2" xfId="26191" xr:uid="{00000000-0005-0000-0000-000091010000}"/>
    <cellStyle name="20% - Ênfase1 4 3 2 3" xfId="26190" xr:uid="{00000000-0005-0000-0000-000092010000}"/>
    <cellStyle name="20% - Ênfase1 4 3 3" xfId="25104" xr:uid="{00000000-0005-0000-0000-000093010000}"/>
    <cellStyle name="20% - Ênfase1 4 3 3 2" xfId="26192" xr:uid="{00000000-0005-0000-0000-000094010000}"/>
    <cellStyle name="20% - Ênfase1 4 3 4" xfId="26189" xr:uid="{00000000-0005-0000-0000-000095010000}"/>
    <cellStyle name="20% - Ênfase1 4 3 5" xfId="25101" xr:uid="{00000000-0005-0000-0000-000096010000}"/>
    <cellStyle name="20% - Ênfase1 4 4" xfId="1238" xr:uid="{00000000-0005-0000-0000-000097010000}"/>
    <cellStyle name="20% - Ênfase1 4 4 2" xfId="26193" xr:uid="{00000000-0005-0000-0000-000098010000}"/>
    <cellStyle name="20% - Ênfase1 4 5" xfId="1239" xr:uid="{00000000-0005-0000-0000-000099010000}"/>
    <cellStyle name="20% - Ênfase1 4 5 10" xfId="1240" xr:uid="{00000000-0005-0000-0000-00009A010000}"/>
    <cellStyle name="20% - Ênfase1 4 5 10 2" xfId="1241" xr:uid="{00000000-0005-0000-0000-00009B010000}"/>
    <cellStyle name="20% - Ênfase1 4 5 2" xfId="1242" xr:uid="{00000000-0005-0000-0000-00009C010000}"/>
    <cellStyle name="20% - Ênfase1 4 5 2 2" xfId="1243" xr:uid="{00000000-0005-0000-0000-00009D010000}"/>
    <cellStyle name="20% - Ênfase1 4 5 3" xfId="1244" xr:uid="{00000000-0005-0000-0000-00009E010000}"/>
    <cellStyle name="20% - Ênfase1 4 5 3 2" xfId="1245" xr:uid="{00000000-0005-0000-0000-00009F010000}"/>
    <cellStyle name="20% - Ênfase1 4 5 4" xfId="1246" xr:uid="{00000000-0005-0000-0000-0000A0010000}"/>
    <cellStyle name="20% - Ênfase1 4 5 4 2" xfId="1247" xr:uid="{00000000-0005-0000-0000-0000A1010000}"/>
    <cellStyle name="20% - Ênfase1 4 5 5" xfId="1248" xr:uid="{00000000-0005-0000-0000-0000A2010000}"/>
    <cellStyle name="20% - Ênfase1 4 5 5 2" xfId="1249" xr:uid="{00000000-0005-0000-0000-0000A3010000}"/>
    <cellStyle name="20% - Ênfase1 4 5 6" xfId="1250" xr:uid="{00000000-0005-0000-0000-0000A4010000}"/>
    <cellStyle name="20% - Ênfase1 4 5 6 2" xfId="1251" xr:uid="{00000000-0005-0000-0000-0000A5010000}"/>
    <cellStyle name="20% - Ênfase1 4 5 7" xfId="1252" xr:uid="{00000000-0005-0000-0000-0000A6010000}"/>
    <cellStyle name="20% - Ênfase1 4 5 7 2" xfId="1253" xr:uid="{00000000-0005-0000-0000-0000A7010000}"/>
    <cellStyle name="20% - Ênfase1 4 5 8" xfId="1254" xr:uid="{00000000-0005-0000-0000-0000A8010000}"/>
    <cellStyle name="20% - Ênfase1 4 5 8 2" xfId="1255" xr:uid="{00000000-0005-0000-0000-0000A9010000}"/>
    <cellStyle name="20% - Ênfase1 4 5 9" xfId="1256" xr:uid="{00000000-0005-0000-0000-0000AA010000}"/>
    <cellStyle name="20% - Ênfase1 4 5 9 2" xfId="1257" xr:uid="{00000000-0005-0000-0000-0000AB010000}"/>
    <cellStyle name="20% - Ênfase1 4 6" xfId="1258" xr:uid="{00000000-0005-0000-0000-0000AC010000}"/>
    <cellStyle name="20% - Ênfase1 4 6 2" xfId="1259" xr:uid="{00000000-0005-0000-0000-0000AD010000}"/>
    <cellStyle name="20% - Ênfase1 4 6 2 2" xfId="1260" xr:uid="{00000000-0005-0000-0000-0000AE010000}"/>
    <cellStyle name="20% - Ênfase1 4 6 3" xfId="1261" xr:uid="{00000000-0005-0000-0000-0000AF010000}"/>
    <cellStyle name="20% - Ênfase1 4 6 3 2" xfId="1262" xr:uid="{00000000-0005-0000-0000-0000B0010000}"/>
    <cellStyle name="20% - Ênfase1 4 6 4" xfId="1263" xr:uid="{00000000-0005-0000-0000-0000B1010000}"/>
    <cellStyle name="20% - Ênfase1 4 6 4 2" xfId="1264" xr:uid="{00000000-0005-0000-0000-0000B2010000}"/>
    <cellStyle name="20% - Ênfase1 4 6 5" xfId="1265" xr:uid="{00000000-0005-0000-0000-0000B3010000}"/>
    <cellStyle name="20% - Ênfase1 4 6 5 2" xfId="1266" xr:uid="{00000000-0005-0000-0000-0000B4010000}"/>
    <cellStyle name="20% - Ênfase1 4 6 6" xfId="1267" xr:uid="{00000000-0005-0000-0000-0000B5010000}"/>
    <cellStyle name="20% - Ênfase1 4 7" xfId="26181" xr:uid="{00000000-0005-0000-0000-0000B6010000}"/>
    <cellStyle name="20% - Ênfase1 40" xfId="1268" xr:uid="{00000000-0005-0000-0000-0000B7010000}"/>
    <cellStyle name="20% - Ênfase1 40 2" xfId="1269" xr:uid="{00000000-0005-0000-0000-0000B8010000}"/>
    <cellStyle name="20% - Ênfase1 41" xfId="1270" xr:uid="{00000000-0005-0000-0000-0000B9010000}"/>
    <cellStyle name="20% - Ênfase1 41 2" xfId="1271" xr:uid="{00000000-0005-0000-0000-0000BA010000}"/>
    <cellStyle name="20% - Ênfase1 42" xfId="1272" xr:uid="{00000000-0005-0000-0000-0000BB010000}"/>
    <cellStyle name="20% - Ênfase1 42 2" xfId="1273" xr:uid="{00000000-0005-0000-0000-0000BC010000}"/>
    <cellStyle name="20% - Ênfase1 43" xfId="1274" xr:uid="{00000000-0005-0000-0000-0000BD010000}"/>
    <cellStyle name="20% - Ênfase1 43 2" xfId="1275" xr:uid="{00000000-0005-0000-0000-0000BE010000}"/>
    <cellStyle name="20% - Ênfase1 44" xfId="1276" xr:uid="{00000000-0005-0000-0000-0000BF010000}"/>
    <cellStyle name="20% - Ênfase1 44 2" xfId="1277" xr:uid="{00000000-0005-0000-0000-0000C0010000}"/>
    <cellStyle name="20% - Ênfase1 45" xfId="1278" xr:uid="{00000000-0005-0000-0000-0000C1010000}"/>
    <cellStyle name="20% - Ênfase1 45 2" xfId="1279" xr:uid="{00000000-0005-0000-0000-0000C2010000}"/>
    <cellStyle name="20% - Ênfase1 46" xfId="1280" xr:uid="{00000000-0005-0000-0000-0000C3010000}"/>
    <cellStyle name="20% - Ênfase1 46 2" xfId="1281" xr:uid="{00000000-0005-0000-0000-0000C4010000}"/>
    <cellStyle name="20% - Ênfase1 47" xfId="1282" xr:uid="{00000000-0005-0000-0000-0000C5010000}"/>
    <cellStyle name="20% - Ênfase1 47 2" xfId="1283" xr:uid="{00000000-0005-0000-0000-0000C6010000}"/>
    <cellStyle name="20% - Ênfase1 48" xfId="1284" xr:uid="{00000000-0005-0000-0000-0000C7010000}"/>
    <cellStyle name="20% - Ênfase1 48 2" xfId="1285" xr:uid="{00000000-0005-0000-0000-0000C8010000}"/>
    <cellStyle name="20% - Ênfase1 49" xfId="1286" xr:uid="{00000000-0005-0000-0000-0000C9010000}"/>
    <cellStyle name="20% - Ênfase1 49 2" xfId="1287" xr:uid="{00000000-0005-0000-0000-0000CA010000}"/>
    <cellStyle name="20% - Ênfase1 5" xfId="1288" xr:uid="{00000000-0005-0000-0000-0000CB010000}"/>
    <cellStyle name="20% - Ênfase1 5 2" xfId="1289" xr:uid="{00000000-0005-0000-0000-0000CC010000}"/>
    <cellStyle name="20% - Ênfase1 5 2 2" xfId="1290" xr:uid="{00000000-0005-0000-0000-0000CD010000}"/>
    <cellStyle name="20% - Ênfase1 5 2 2 2" xfId="25106" xr:uid="{00000000-0005-0000-0000-0000CE010000}"/>
    <cellStyle name="20% - Ênfase1 5 2 2 2 2" xfId="25107" xr:uid="{00000000-0005-0000-0000-0000CF010000}"/>
    <cellStyle name="20% - Ênfase1 5 2 2 2 2 2" xfId="26196" xr:uid="{00000000-0005-0000-0000-0000D0010000}"/>
    <cellStyle name="20% - Ênfase1 5 2 2 2 3" xfId="26195" xr:uid="{00000000-0005-0000-0000-0000D1010000}"/>
    <cellStyle name="20% - Ênfase1 5 2 2 3" xfId="25108" xr:uid="{00000000-0005-0000-0000-0000D2010000}"/>
    <cellStyle name="20% - Ênfase1 5 2 2 3 2" xfId="26197" xr:uid="{00000000-0005-0000-0000-0000D3010000}"/>
    <cellStyle name="20% - Ênfase1 5 2 2 4" xfId="26194" xr:uid="{00000000-0005-0000-0000-0000D4010000}"/>
    <cellStyle name="20% - Ênfase1 5 2 2 5" xfId="25105" xr:uid="{00000000-0005-0000-0000-0000D5010000}"/>
    <cellStyle name="20% - Ênfase1 5 2 3" xfId="1291" xr:uid="{00000000-0005-0000-0000-0000D6010000}"/>
    <cellStyle name="20% - Ênfase1 5 2 3 2" xfId="25110" xr:uid="{00000000-0005-0000-0000-0000D7010000}"/>
    <cellStyle name="20% - Ênfase1 5 2 3 2 2" xfId="26199" xr:uid="{00000000-0005-0000-0000-0000D8010000}"/>
    <cellStyle name="20% - Ênfase1 5 2 3 3" xfId="26198" xr:uid="{00000000-0005-0000-0000-0000D9010000}"/>
    <cellStyle name="20% - Ênfase1 5 2 3 4" xfId="25109" xr:uid="{00000000-0005-0000-0000-0000DA010000}"/>
    <cellStyle name="20% - Ênfase1 5 2 4" xfId="1292" xr:uid="{00000000-0005-0000-0000-0000DB010000}"/>
    <cellStyle name="20% - Ênfase1 5 2 4 2" xfId="26200" xr:uid="{00000000-0005-0000-0000-0000DC010000}"/>
    <cellStyle name="20% - Ênfase1 5 2 4 3" xfId="25111" xr:uid="{00000000-0005-0000-0000-0000DD010000}"/>
    <cellStyle name="20% - Ênfase1 5 2 5" xfId="1293" xr:uid="{00000000-0005-0000-0000-0000DE010000}"/>
    <cellStyle name="20% - Ênfase1 5 2 5 2" xfId="1294" xr:uid="{00000000-0005-0000-0000-0000DF010000}"/>
    <cellStyle name="20% - Ênfase1 5 2 6" xfId="1295" xr:uid="{00000000-0005-0000-0000-0000E0010000}"/>
    <cellStyle name="20% - Ênfase1 5 2 6 2" xfId="1296" xr:uid="{00000000-0005-0000-0000-0000E1010000}"/>
    <cellStyle name="20% - Ênfase1 5 2 7" xfId="1297" xr:uid="{00000000-0005-0000-0000-0000E2010000}"/>
    <cellStyle name="20% - Ênfase1 5 2 7 2" xfId="1298" xr:uid="{00000000-0005-0000-0000-0000E3010000}"/>
    <cellStyle name="20% - Ênfase1 5 2 8" xfId="1299" xr:uid="{00000000-0005-0000-0000-0000E4010000}"/>
    <cellStyle name="20% - Ênfase1 5 2 8 2" xfId="1300" xr:uid="{00000000-0005-0000-0000-0000E5010000}"/>
    <cellStyle name="20% - Ênfase1 5 2 9" xfId="1301" xr:uid="{00000000-0005-0000-0000-0000E6010000}"/>
    <cellStyle name="20% - Ênfase1 5 3" xfId="1302" xr:uid="{00000000-0005-0000-0000-0000E7010000}"/>
    <cellStyle name="20% - Ênfase1 5 3 2" xfId="25113" xr:uid="{00000000-0005-0000-0000-0000E8010000}"/>
    <cellStyle name="20% - Ênfase1 5 3 2 2" xfId="25114" xr:uid="{00000000-0005-0000-0000-0000E9010000}"/>
    <cellStyle name="20% - Ênfase1 5 3 2 2 2" xfId="26203" xr:uid="{00000000-0005-0000-0000-0000EA010000}"/>
    <cellStyle name="20% - Ênfase1 5 3 2 3" xfId="26202" xr:uid="{00000000-0005-0000-0000-0000EB010000}"/>
    <cellStyle name="20% - Ênfase1 5 3 3" xfId="25115" xr:uid="{00000000-0005-0000-0000-0000EC010000}"/>
    <cellStyle name="20% - Ênfase1 5 3 3 2" xfId="26204" xr:uid="{00000000-0005-0000-0000-0000ED010000}"/>
    <cellStyle name="20% - Ênfase1 5 3 4" xfId="26201" xr:uid="{00000000-0005-0000-0000-0000EE010000}"/>
    <cellStyle name="20% - Ênfase1 5 3 5" xfId="25112" xr:uid="{00000000-0005-0000-0000-0000EF010000}"/>
    <cellStyle name="20% - Ênfase1 5 4" xfId="1303" xr:uid="{00000000-0005-0000-0000-0000F0010000}"/>
    <cellStyle name="20% - Ênfase1 5 4 2" xfId="25117" xr:uid="{00000000-0005-0000-0000-0000F1010000}"/>
    <cellStyle name="20% - Ênfase1 5 4 2 2" xfId="26206" xr:uid="{00000000-0005-0000-0000-0000F2010000}"/>
    <cellStyle name="20% - Ênfase1 5 4 3" xfId="26205" xr:uid="{00000000-0005-0000-0000-0000F3010000}"/>
    <cellStyle name="20% - Ênfase1 5 4 4" xfId="25116" xr:uid="{00000000-0005-0000-0000-0000F4010000}"/>
    <cellStyle name="20% - Ênfase1 5 5" xfId="1304" xr:uid="{00000000-0005-0000-0000-0000F5010000}"/>
    <cellStyle name="20% - Ênfase1 5 5 2" xfId="1305" xr:uid="{00000000-0005-0000-0000-0000F6010000}"/>
    <cellStyle name="20% - Ênfase1 5 5 2 2" xfId="1306" xr:uid="{00000000-0005-0000-0000-0000F7010000}"/>
    <cellStyle name="20% - Ênfase1 5 5 3" xfId="1307" xr:uid="{00000000-0005-0000-0000-0000F8010000}"/>
    <cellStyle name="20% - Ênfase1 5 5 3 2" xfId="1308" xr:uid="{00000000-0005-0000-0000-0000F9010000}"/>
    <cellStyle name="20% - Ênfase1 5 5 4" xfId="1309" xr:uid="{00000000-0005-0000-0000-0000FA010000}"/>
    <cellStyle name="20% - Ênfase1 5 5 4 2" xfId="1310" xr:uid="{00000000-0005-0000-0000-0000FB010000}"/>
    <cellStyle name="20% - Ênfase1 5 5 5" xfId="1311" xr:uid="{00000000-0005-0000-0000-0000FC010000}"/>
    <cellStyle name="20% - Ênfase1 5 5 5 2" xfId="1312" xr:uid="{00000000-0005-0000-0000-0000FD010000}"/>
    <cellStyle name="20% - Ênfase1 5 5 6" xfId="1313" xr:uid="{00000000-0005-0000-0000-0000FE010000}"/>
    <cellStyle name="20% - Ênfase1 5 6" xfId="1314" xr:uid="{00000000-0005-0000-0000-0000FF010000}"/>
    <cellStyle name="20% - Ênfase1 5 6 2" xfId="1315" xr:uid="{00000000-0005-0000-0000-000000020000}"/>
    <cellStyle name="20% - Ênfase1 5 6 2 2" xfId="1316" xr:uid="{00000000-0005-0000-0000-000001020000}"/>
    <cellStyle name="20% - Ênfase1 5 6 3" xfId="1317" xr:uid="{00000000-0005-0000-0000-000002020000}"/>
    <cellStyle name="20% - Ênfase1 5 6 3 2" xfId="1318" xr:uid="{00000000-0005-0000-0000-000003020000}"/>
    <cellStyle name="20% - Ênfase1 5 6 4" xfId="1319" xr:uid="{00000000-0005-0000-0000-000004020000}"/>
    <cellStyle name="20% - Ênfase1 5 6 4 2" xfId="1320" xr:uid="{00000000-0005-0000-0000-000005020000}"/>
    <cellStyle name="20% - Ênfase1 5 6 5" xfId="1321" xr:uid="{00000000-0005-0000-0000-000006020000}"/>
    <cellStyle name="20% - Ênfase1 5 6 5 2" xfId="1322" xr:uid="{00000000-0005-0000-0000-000007020000}"/>
    <cellStyle name="20% - Ênfase1 5 6 6" xfId="1323" xr:uid="{00000000-0005-0000-0000-000008020000}"/>
    <cellStyle name="20% - Ênfase1 50" xfId="1324" xr:uid="{00000000-0005-0000-0000-000009020000}"/>
    <cellStyle name="20% - Ênfase1 50 2" xfId="1325" xr:uid="{00000000-0005-0000-0000-00000A020000}"/>
    <cellStyle name="20% - Ênfase1 51" xfId="1326" xr:uid="{00000000-0005-0000-0000-00000B020000}"/>
    <cellStyle name="20% - Ênfase1 51 2" xfId="1327" xr:uid="{00000000-0005-0000-0000-00000C020000}"/>
    <cellStyle name="20% - Ênfase1 52" xfId="1328" xr:uid="{00000000-0005-0000-0000-00000D020000}"/>
    <cellStyle name="20% - Ênfase1 52 2" xfId="1329" xr:uid="{00000000-0005-0000-0000-00000E020000}"/>
    <cellStyle name="20% - Ênfase1 53" xfId="1330" xr:uid="{00000000-0005-0000-0000-00000F020000}"/>
    <cellStyle name="20% - Ênfase1 53 2" xfId="1331" xr:uid="{00000000-0005-0000-0000-000010020000}"/>
    <cellStyle name="20% - Ênfase1 54" xfId="1332" xr:uid="{00000000-0005-0000-0000-000011020000}"/>
    <cellStyle name="20% - Ênfase1 54 2" xfId="1333" xr:uid="{00000000-0005-0000-0000-000012020000}"/>
    <cellStyle name="20% - Ênfase1 55" xfId="1334" xr:uid="{00000000-0005-0000-0000-000013020000}"/>
    <cellStyle name="20% - Ênfase1 55 2" xfId="1335" xr:uid="{00000000-0005-0000-0000-000014020000}"/>
    <cellStyle name="20% - Ênfase1 6" xfId="1336" xr:uid="{00000000-0005-0000-0000-000015020000}"/>
    <cellStyle name="20% - Ênfase1 6 10" xfId="1337" xr:uid="{00000000-0005-0000-0000-000016020000}"/>
    <cellStyle name="20% - Ênfase1 6 10 2" xfId="1338" xr:uid="{00000000-0005-0000-0000-000017020000}"/>
    <cellStyle name="20% - Ênfase1 6 11" xfId="1339" xr:uid="{00000000-0005-0000-0000-000018020000}"/>
    <cellStyle name="20% - Ênfase1 6 11 2" xfId="1340" xr:uid="{00000000-0005-0000-0000-000019020000}"/>
    <cellStyle name="20% - Ênfase1 6 12" xfId="1341" xr:uid="{00000000-0005-0000-0000-00001A020000}"/>
    <cellStyle name="20% - Ênfase1 6 12 2" xfId="1342" xr:uid="{00000000-0005-0000-0000-00001B020000}"/>
    <cellStyle name="20% - Ênfase1 6 13" xfId="1343" xr:uid="{00000000-0005-0000-0000-00001C020000}"/>
    <cellStyle name="20% - Ênfase1 6 13 2" xfId="1344" xr:uid="{00000000-0005-0000-0000-00001D020000}"/>
    <cellStyle name="20% - Ênfase1 6 14" xfId="1345" xr:uid="{00000000-0005-0000-0000-00001E020000}"/>
    <cellStyle name="20% - Ênfase1 6 14 2" xfId="1346" xr:uid="{00000000-0005-0000-0000-00001F020000}"/>
    <cellStyle name="20% - Ênfase1 6 15" xfId="1347" xr:uid="{00000000-0005-0000-0000-000020020000}"/>
    <cellStyle name="20% - Ênfase1 6 15 2" xfId="1348" xr:uid="{00000000-0005-0000-0000-000021020000}"/>
    <cellStyle name="20% - Ênfase1 6 16" xfId="1349" xr:uid="{00000000-0005-0000-0000-000022020000}"/>
    <cellStyle name="20% - Ênfase1 6 16 2" xfId="1350" xr:uid="{00000000-0005-0000-0000-000023020000}"/>
    <cellStyle name="20% - Ênfase1 6 17" xfId="1351" xr:uid="{00000000-0005-0000-0000-000024020000}"/>
    <cellStyle name="20% - Ênfase1 6 17 2" xfId="1352" xr:uid="{00000000-0005-0000-0000-000025020000}"/>
    <cellStyle name="20% - Ênfase1 6 18" xfId="1353" xr:uid="{00000000-0005-0000-0000-000026020000}"/>
    <cellStyle name="20% - Ênfase1 6 18 2" xfId="1354" xr:uid="{00000000-0005-0000-0000-000027020000}"/>
    <cellStyle name="20% - Ênfase1 6 19" xfId="1355" xr:uid="{00000000-0005-0000-0000-000028020000}"/>
    <cellStyle name="20% - Ênfase1 6 19 2" xfId="1356" xr:uid="{00000000-0005-0000-0000-000029020000}"/>
    <cellStyle name="20% - Ênfase1 6 2" xfId="1357" xr:uid="{00000000-0005-0000-0000-00002A020000}"/>
    <cellStyle name="20% - Ênfase1 6 2 2" xfId="1358" xr:uid="{00000000-0005-0000-0000-00002B020000}"/>
    <cellStyle name="20% - Ênfase1 6 2 2 2" xfId="1359" xr:uid="{00000000-0005-0000-0000-00002C020000}"/>
    <cellStyle name="20% - Ênfase1 6 2 2 2 2" xfId="26208" xr:uid="{00000000-0005-0000-0000-00002D020000}"/>
    <cellStyle name="20% - Ênfase1 6 2 2 3" xfId="26207" xr:uid="{00000000-0005-0000-0000-00002E020000}"/>
    <cellStyle name="20% - Ênfase1 6 2 3" xfId="1360" xr:uid="{00000000-0005-0000-0000-00002F020000}"/>
    <cellStyle name="20% - Ênfase1 6 2 3 2" xfId="1361" xr:uid="{00000000-0005-0000-0000-000030020000}"/>
    <cellStyle name="20% - Ênfase1 6 2 4" xfId="1362" xr:uid="{00000000-0005-0000-0000-000031020000}"/>
    <cellStyle name="20% - Ênfase1 6 2 4 2" xfId="1363" xr:uid="{00000000-0005-0000-0000-000032020000}"/>
    <cellStyle name="20% - Ênfase1 6 2 5" xfId="1364" xr:uid="{00000000-0005-0000-0000-000033020000}"/>
    <cellStyle name="20% - Ênfase1 6 2 5 2" xfId="1365" xr:uid="{00000000-0005-0000-0000-000034020000}"/>
    <cellStyle name="20% - Ênfase1 6 2 6" xfId="1366" xr:uid="{00000000-0005-0000-0000-000035020000}"/>
    <cellStyle name="20% - Ênfase1 6 20" xfId="1367" xr:uid="{00000000-0005-0000-0000-000036020000}"/>
    <cellStyle name="20% - Ênfase1 6 20 2" xfId="1368" xr:uid="{00000000-0005-0000-0000-000037020000}"/>
    <cellStyle name="20% - Ênfase1 6 21" xfId="1369" xr:uid="{00000000-0005-0000-0000-000038020000}"/>
    <cellStyle name="20% - Ênfase1 6 21 2" xfId="1370" xr:uid="{00000000-0005-0000-0000-000039020000}"/>
    <cellStyle name="20% - Ênfase1 6 22" xfId="1371" xr:uid="{00000000-0005-0000-0000-00003A020000}"/>
    <cellStyle name="20% - Ênfase1 6 22 2" xfId="1372" xr:uid="{00000000-0005-0000-0000-00003B020000}"/>
    <cellStyle name="20% - Ênfase1 6 23" xfId="1373" xr:uid="{00000000-0005-0000-0000-00003C020000}"/>
    <cellStyle name="20% - Ênfase1 6 23 2" xfId="1374" xr:uid="{00000000-0005-0000-0000-00003D020000}"/>
    <cellStyle name="20% - Ênfase1 6 24" xfId="1375" xr:uid="{00000000-0005-0000-0000-00003E020000}"/>
    <cellStyle name="20% - Ênfase1 6 24 2" xfId="1376" xr:uid="{00000000-0005-0000-0000-00003F020000}"/>
    <cellStyle name="20% - Ênfase1 6 25" xfId="1377" xr:uid="{00000000-0005-0000-0000-000040020000}"/>
    <cellStyle name="20% - Ênfase1 6 25 2" xfId="1378" xr:uid="{00000000-0005-0000-0000-000041020000}"/>
    <cellStyle name="20% - Ênfase1 6 26" xfId="1379" xr:uid="{00000000-0005-0000-0000-000042020000}"/>
    <cellStyle name="20% - Ênfase1 6 26 2" xfId="1380" xr:uid="{00000000-0005-0000-0000-000043020000}"/>
    <cellStyle name="20% - Ênfase1 6 27" xfId="1381" xr:uid="{00000000-0005-0000-0000-000044020000}"/>
    <cellStyle name="20% - Ênfase1 6 27 2" xfId="1382" xr:uid="{00000000-0005-0000-0000-000045020000}"/>
    <cellStyle name="20% - Ênfase1 6 28" xfId="1383" xr:uid="{00000000-0005-0000-0000-000046020000}"/>
    <cellStyle name="20% - Ênfase1 6 28 2" xfId="1384" xr:uid="{00000000-0005-0000-0000-000047020000}"/>
    <cellStyle name="20% - Ênfase1 6 29" xfId="1385" xr:uid="{00000000-0005-0000-0000-000048020000}"/>
    <cellStyle name="20% - Ênfase1 6 29 2" xfId="1386" xr:uid="{00000000-0005-0000-0000-000049020000}"/>
    <cellStyle name="20% - Ênfase1 6 3" xfId="1387" xr:uid="{00000000-0005-0000-0000-00004A020000}"/>
    <cellStyle name="20% - Ênfase1 6 3 2" xfId="1388" xr:uid="{00000000-0005-0000-0000-00004B020000}"/>
    <cellStyle name="20% - Ênfase1 6 3 2 2" xfId="1389" xr:uid="{00000000-0005-0000-0000-00004C020000}"/>
    <cellStyle name="20% - Ênfase1 6 3 3" xfId="1390" xr:uid="{00000000-0005-0000-0000-00004D020000}"/>
    <cellStyle name="20% - Ênfase1 6 3 3 2" xfId="1391" xr:uid="{00000000-0005-0000-0000-00004E020000}"/>
    <cellStyle name="20% - Ênfase1 6 3 4" xfId="1392" xr:uid="{00000000-0005-0000-0000-00004F020000}"/>
    <cellStyle name="20% - Ênfase1 6 3 4 2" xfId="1393" xr:uid="{00000000-0005-0000-0000-000050020000}"/>
    <cellStyle name="20% - Ênfase1 6 3 5" xfId="1394" xr:uid="{00000000-0005-0000-0000-000051020000}"/>
    <cellStyle name="20% - Ênfase1 6 3 5 2" xfId="1395" xr:uid="{00000000-0005-0000-0000-000052020000}"/>
    <cellStyle name="20% - Ênfase1 6 3 6" xfId="1396" xr:uid="{00000000-0005-0000-0000-000053020000}"/>
    <cellStyle name="20% - Ênfase1 6 30" xfId="1397" xr:uid="{00000000-0005-0000-0000-000054020000}"/>
    <cellStyle name="20% - Ênfase1 6 30 2" xfId="1398" xr:uid="{00000000-0005-0000-0000-000055020000}"/>
    <cellStyle name="20% - Ênfase1 6 31" xfId="1399" xr:uid="{00000000-0005-0000-0000-000056020000}"/>
    <cellStyle name="20% - Ênfase1 6 31 2" xfId="1400" xr:uid="{00000000-0005-0000-0000-000057020000}"/>
    <cellStyle name="20% - Ênfase1 6 32" xfId="1401" xr:uid="{00000000-0005-0000-0000-000058020000}"/>
    <cellStyle name="20% - Ênfase1 6 32 2" xfId="1402" xr:uid="{00000000-0005-0000-0000-000059020000}"/>
    <cellStyle name="20% - Ênfase1 6 33" xfId="1403" xr:uid="{00000000-0005-0000-0000-00005A020000}"/>
    <cellStyle name="20% - Ênfase1 6 33 2" xfId="1404" xr:uid="{00000000-0005-0000-0000-00005B020000}"/>
    <cellStyle name="20% - Ênfase1 6 34" xfId="1405" xr:uid="{00000000-0005-0000-0000-00005C020000}"/>
    <cellStyle name="20% - Ênfase1 6 34 2" xfId="1406" xr:uid="{00000000-0005-0000-0000-00005D020000}"/>
    <cellStyle name="20% - Ênfase1 6 35" xfId="1407" xr:uid="{00000000-0005-0000-0000-00005E020000}"/>
    <cellStyle name="20% - Ênfase1 6 35 2" xfId="1408" xr:uid="{00000000-0005-0000-0000-00005F020000}"/>
    <cellStyle name="20% - Ênfase1 6 36" xfId="1409" xr:uid="{00000000-0005-0000-0000-000060020000}"/>
    <cellStyle name="20% - Ênfase1 6 36 2" xfId="1410" xr:uid="{00000000-0005-0000-0000-000061020000}"/>
    <cellStyle name="20% - Ênfase1 6 37" xfId="1411" xr:uid="{00000000-0005-0000-0000-000062020000}"/>
    <cellStyle name="20% - Ênfase1 6 4" xfId="1412" xr:uid="{00000000-0005-0000-0000-000063020000}"/>
    <cellStyle name="20% - Ênfase1 6 4 2" xfId="1413" xr:uid="{00000000-0005-0000-0000-000064020000}"/>
    <cellStyle name="20% - Ênfase1 6 4 2 2" xfId="1414" xr:uid="{00000000-0005-0000-0000-000065020000}"/>
    <cellStyle name="20% - Ênfase1 6 4 3" xfId="1415" xr:uid="{00000000-0005-0000-0000-000066020000}"/>
    <cellStyle name="20% - Ênfase1 6 4 3 2" xfId="1416" xr:uid="{00000000-0005-0000-0000-000067020000}"/>
    <cellStyle name="20% - Ênfase1 6 4 4" xfId="1417" xr:uid="{00000000-0005-0000-0000-000068020000}"/>
    <cellStyle name="20% - Ênfase1 6 4 4 2" xfId="1418" xr:uid="{00000000-0005-0000-0000-000069020000}"/>
    <cellStyle name="20% - Ênfase1 6 4 5" xfId="1419" xr:uid="{00000000-0005-0000-0000-00006A020000}"/>
    <cellStyle name="20% - Ênfase1 6 4 5 2" xfId="1420" xr:uid="{00000000-0005-0000-0000-00006B020000}"/>
    <cellStyle name="20% - Ênfase1 6 4 6" xfId="1421" xr:uid="{00000000-0005-0000-0000-00006C020000}"/>
    <cellStyle name="20% - Ênfase1 6 5" xfId="1422" xr:uid="{00000000-0005-0000-0000-00006D020000}"/>
    <cellStyle name="20% - Ênfase1 6 5 2" xfId="1423" xr:uid="{00000000-0005-0000-0000-00006E020000}"/>
    <cellStyle name="20% - Ênfase1 6 6" xfId="1424" xr:uid="{00000000-0005-0000-0000-00006F020000}"/>
    <cellStyle name="20% - Ênfase1 6 6 2" xfId="1425" xr:uid="{00000000-0005-0000-0000-000070020000}"/>
    <cellStyle name="20% - Ênfase1 6 7" xfId="1426" xr:uid="{00000000-0005-0000-0000-000071020000}"/>
    <cellStyle name="20% - Ênfase1 6 7 2" xfId="1427" xr:uid="{00000000-0005-0000-0000-000072020000}"/>
    <cellStyle name="20% - Ênfase1 6 8" xfId="1428" xr:uid="{00000000-0005-0000-0000-000073020000}"/>
    <cellStyle name="20% - Ênfase1 6 8 2" xfId="1429" xr:uid="{00000000-0005-0000-0000-000074020000}"/>
    <cellStyle name="20% - Ênfase1 6 9" xfId="1430" xr:uid="{00000000-0005-0000-0000-000075020000}"/>
    <cellStyle name="20% - Ênfase1 6 9 2" xfId="1431" xr:uid="{00000000-0005-0000-0000-000076020000}"/>
    <cellStyle name="20% - Ênfase1 7" xfId="1432" xr:uid="{00000000-0005-0000-0000-000077020000}"/>
    <cellStyle name="20% - Ênfase1 7 10" xfId="1433" xr:uid="{00000000-0005-0000-0000-000078020000}"/>
    <cellStyle name="20% - Ênfase1 7 10 2" xfId="1434" xr:uid="{00000000-0005-0000-0000-000079020000}"/>
    <cellStyle name="20% - Ênfase1 7 11" xfId="1435" xr:uid="{00000000-0005-0000-0000-00007A020000}"/>
    <cellStyle name="20% - Ênfase1 7 11 2" xfId="1436" xr:uid="{00000000-0005-0000-0000-00007B020000}"/>
    <cellStyle name="20% - Ênfase1 7 12" xfId="1437" xr:uid="{00000000-0005-0000-0000-00007C020000}"/>
    <cellStyle name="20% - Ênfase1 7 12 2" xfId="1438" xr:uid="{00000000-0005-0000-0000-00007D020000}"/>
    <cellStyle name="20% - Ênfase1 7 13" xfId="1439" xr:uid="{00000000-0005-0000-0000-00007E020000}"/>
    <cellStyle name="20% - Ênfase1 7 13 2" xfId="1440" xr:uid="{00000000-0005-0000-0000-00007F020000}"/>
    <cellStyle name="20% - Ênfase1 7 14" xfId="1441" xr:uid="{00000000-0005-0000-0000-000080020000}"/>
    <cellStyle name="20% - Ênfase1 7 14 2" xfId="1442" xr:uid="{00000000-0005-0000-0000-000081020000}"/>
    <cellStyle name="20% - Ênfase1 7 15" xfId="1443" xr:uid="{00000000-0005-0000-0000-000082020000}"/>
    <cellStyle name="20% - Ênfase1 7 15 2" xfId="1444" xr:uid="{00000000-0005-0000-0000-000083020000}"/>
    <cellStyle name="20% - Ênfase1 7 16" xfId="1445" xr:uid="{00000000-0005-0000-0000-000084020000}"/>
    <cellStyle name="20% - Ênfase1 7 16 2" xfId="1446" xr:uid="{00000000-0005-0000-0000-000085020000}"/>
    <cellStyle name="20% - Ênfase1 7 17" xfId="1447" xr:uid="{00000000-0005-0000-0000-000086020000}"/>
    <cellStyle name="20% - Ênfase1 7 17 2" xfId="1448" xr:uid="{00000000-0005-0000-0000-000087020000}"/>
    <cellStyle name="20% - Ênfase1 7 18" xfId="1449" xr:uid="{00000000-0005-0000-0000-000088020000}"/>
    <cellStyle name="20% - Ênfase1 7 18 2" xfId="1450" xr:uid="{00000000-0005-0000-0000-000089020000}"/>
    <cellStyle name="20% - Ênfase1 7 19" xfId="1451" xr:uid="{00000000-0005-0000-0000-00008A020000}"/>
    <cellStyle name="20% - Ênfase1 7 19 2" xfId="1452" xr:uid="{00000000-0005-0000-0000-00008B020000}"/>
    <cellStyle name="20% - Ênfase1 7 2" xfId="1453" xr:uid="{00000000-0005-0000-0000-00008C020000}"/>
    <cellStyle name="20% - Ênfase1 7 2 2" xfId="1454" xr:uid="{00000000-0005-0000-0000-00008D020000}"/>
    <cellStyle name="20% - Ênfase1 7 2 2 2" xfId="1455" xr:uid="{00000000-0005-0000-0000-00008E020000}"/>
    <cellStyle name="20% - Ênfase1 7 2 2 2 2" xfId="26210" xr:uid="{00000000-0005-0000-0000-00008F020000}"/>
    <cellStyle name="20% - Ênfase1 7 2 2 3" xfId="26209" xr:uid="{00000000-0005-0000-0000-000090020000}"/>
    <cellStyle name="20% - Ênfase1 7 2 3" xfId="1456" xr:uid="{00000000-0005-0000-0000-000091020000}"/>
    <cellStyle name="20% - Ênfase1 7 2 3 2" xfId="1457" xr:uid="{00000000-0005-0000-0000-000092020000}"/>
    <cellStyle name="20% - Ênfase1 7 2 4" xfId="1458" xr:uid="{00000000-0005-0000-0000-000093020000}"/>
    <cellStyle name="20% - Ênfase1 7 2 4 2" xfId="1459" xr:uid="{00000000-0005-0000-0000-000094020000}"/>
    <cellStyle name="20% - Ênfase1 7 2 5" xfId="1460" xr:uid="{00000000-0005-0000-0000-000095020000}"/>
    <cellStyle name="20% - Ênfase1 7 2 5 2" xfId="1461" xr:uid="{00000000-0005-0000-0000-000096020000}"/>
    <cellStyle name="20% - Ênfase1 7 2 6" xfId="1462" xr:uid="{00000000-0005-0000-0000-000097020000}"/>
    <cellStyle name="20% - Ênfase1 7 20" xfId="1463" xr:uid="{00000000-0005-0000-0000-000098020000}"/>
    <cellStyle name="20% - Ênfase1 7 20 2" xfId="1464" xr:uid="{00000000-0005-0000-0000-000099020000}"/>
    <cellStyle name="20% - Ênfase1 7 21" xfId="1465" xr:uid="{00000000-0005-0000-0000-00009A020000}"/>
    <cellStyle name="20% - Ênfase1 7 21 2" xfId="1466" xr:uid="{00000000-0005-0000-0000-00009B020000}"/>
    <cellStyle name="20% - Ênfase1 7 22" xfId="1467" xr:uid="{00000000-0005-0000-0000-00009C020000}"/>
    <cellStyle name="20% - Ênfase1 7 22 2" xfId="1468" xr:uid="{00000000-0005-0000-0000-00009D020000}"/>
    <cellStyle name="20% - Ênfase1 7 23" xfId="1469" xr:uid="{00000000-0005-0000-0000-00009E020000}"/>
    <cellStyle name="20% - Ênfase1 7 23 2" xfId="1470" xr:uid="{00000000-0005-0000-0000-00009F020000}"/>
    <cellStyle name="20% - Ênfase1 7 24" xfId="1471" xr:uid="{00000000-0005-0000-0000-0000A0020000}"/>
    <cellStyle name="20% - Ênfase1 7 24 2" xfId="1472" xr:uid="{00000000-0005-0000-0000-0000A1020000}"/>
    <cellStyle name="20% - Ênfase1 7 25" xfId="1473" xr:uid="{00000000-0005-0000-0000-0000A2020000}"/>
    <cellStyle name="20% - Ênfase1 7 25 2" xfId="1474" xr:uid="{00000000-0005-0000-0000-0000A3020000}"/>
    <cellStyle name="20% - Ênfase1 7 26" xfId="1475" xr:uid="{00000000-0005-0000-0000-0000A4020000}"/>
    <cellStyle name="20% - Ênfase1 7 26 2" xfId="1476" xr:uid="{00000000-0005-0000-0000-0000A5020000}"/>
    <cellStyle name="20% - Ênfase1 7 27" xfId="1477" xr:uid="{00000000-0005-0000-0000-0000A6020000}"/>
    <cellStyle name="20% - Ênfase1 7 27 2" xfId="1478" xr:uid="{00000000-0005-0000-0000-0000A7020000}"/>
    <cellStyle name="20% - Ênfase1 7 28" xfId="1479" xr:uid="{00000000-0005-0000-0000-0000A8020000}"/>
    <cellStyle name="20% - Ênfase1 7 28 2" xfId="1480" xr:uid="{00000000-0005-0000-0000-0000A9020000}"/>
    <cellStyle name="20% - Ênfase1 7 29" xfId="1481" xr:uid="{00000000-0005-0000-0000-0000AA020000}"/>
    <cellStyle name="20% - Ênfase1 7 29 2" xfId="1482" xr:uid="{00000000-0005-0000-0000-0000AB020000}"/>
    <cellStyle name="20% - Ênfase1 7 3" xfId="1483" xr:uid="{00000000-0005-0000-0000-0000AC020000}"/>
    <cellStyle name="20% - Ênfase1 7 3 2" xfId="1484" xr:uid="{00000000-0005-0000-0000-0000AD020000}"/>
    <cellStyle name="20% - Ênfase1 7 3 2 2" xfId="1485" xr:uid="{00000000-0005-0000-0000-0000AE020000}"/>
    <cellStyle name="20% - Ênfase1 7 3 3" xfId="1486" xr:uid="{00000000-0005-0000-0000-0000AF020000}"/>
    <cellStyle name="20% - Ênfase1 7 3 3 2" xfId="1487" xr:uid="{00000000-0005-0000-0000-0000B0020000}"/>
    <cellStyle name="20% - Ênfase1 7 3 4" xfId="1488" xr:uid="{00000000-0005-0000-0000-0000B1020000}"/>
    <cellStyle name="20% - Ênfase1 7 3 4 2" xfId="1489" xr:uid="{00000000-0005-0000-0000-0000B2020000}"/>
    <cellStyle name="20% - Ênfase1 7 3 5" xfId="1490" xr:uid="{00000000-0005-0000-0000-0000B3020000}"/>
    <cellStyle name="20% - Ênfase1 7 3 5 2" xfId="1491" xr:uid="{00000000-0005-0000-0000-0000B4020000}"/>
    <cellStyle name="20% - Ênfase1 7 3 6" xfId="1492" xr:uid="{00000000-0005-0000-0000-0000B5020000}"/>
    <cellStyle name="20% - Ênfase1 7 30" xfId="1493" xr:uid="{00000000-0005-0000-0000-0000B6020000}"/>
    <cellStyle name="20% - Ênfase1 7 30 2" xfId="1494" xr:uid="{00000000-0005-0000-0000-0000B7020000}"/>
    <cellStyle name="20% - Ênfase1 7 31" xfId="1495" xr:uid="{00000000-0005-0000-0000-0000B8020000}"/>
    <cellStyle name="20% - Ênfase1 7 31 2" xfId="1496" xr:uid="{00000000-0005-0000-0000-0000B9020000}"/>
    <cellStyle name="20% - Ênfase1 7 32" xfId="1497" xr:uid="{00000000-0005-0000-0000-0000BA020000}"/>
    <cellStyle name="20% - Ênfase1 7 32 2" xfId="1498" xr:uid="{00000000-0005-0000-0000-0000BB020000}"/>
    <cellStyle name="20% - Ênfase1 7 33" xfId="1499" xr:uid="{00000000-0005-0000-0000-0000BC020000}"/>
    <cellStyle name="20% - Ênfase1 7 33 2" xfId="1500" xr:uid="{00000000-0005-0000-0000-0000BD020000}"/>
    <cellStyle name="20% - Ênfase1 7 34" xfId="1501" xr:uid="{00000000-0005-0000-0000-0000BE020000}"/>
    <cellStyle name="20% - Ênfase1 7 34 2" xfId="1502" xr:uid="{00000000-0005-0000-0000-0000BF020000}"/>
    <cellStyle name="20% - Ênfase1 7 35" xfId="1503" xr:uid="{00000000-0005-0000-0000-0000C0020000}"/>
    <cellStyle name="20% - Ênfase1 7 35 2" xfId="1504" xr:uid="{00000000-0005-0000-0000-0000C1020000}"/>
    <cellStyle name="20% - Ênfase1 7 36" xfId="1505" xr:uid="{00000000-0005-0000-0000-0000C2020000}"/>
    <cellStyle name="20% - Ênfase1 7 36 2" xfId="1506" xr:uid="{00000000-0005-0000-0000-0000C3020000}"/>
    <cellStyle name="20% - Ênfase1 7 37" xfId="1507" xr:uid="{00000000-0005-0000-0000-0000C4020000}"/>
    <cellStyle name="20% - Ênfase1 7 4" xfId="1508" xr:uid="{00000000-0005-0000-0000-0000C5020000}"/>
    <cellStyle name="20% - Ênfase1 7 4 2" xfId="1509" xr:uid="{00000000-0005-0000-0000-0000C6020000}"/>
    <cellStyle name="20% - Ênfase1 7 4 2 2" xfId="1510" xr:uid="{00000000-0005-0000-0000-0000C7020000}"/>
    <cellStyle name="20% - Ênfase1 7 4 3" xfId="1511" xr:uid="{00000000-0005-0000-0000-0000C8020000}"/>
    <cellStyle name="20% - Ênfase1 7 4 3 2" xfId="1512" xr:uid="{00000000-0005-0000-0000-0000C9020000}"/>
    <cellStyle name="20% - Ênfase1 7 4 4" xfId="1513" xr:uid="{00000000-0005-0000-0000-0000CA020000}"/>
    <cellStyle name="20% - Ênfase1 7 4 4 2" xfId="1514" xr:uid="{00000000-0005-0000-0000-0000CB020000}"/>
    <cellStyle name="20% - Ênfase1 7 4 5" xfId="1515" xr:uid="{00000000-0005-0000-0000-0000CC020000}"/>
    <cellStyle name="20% - Ênfase1 7 4 5 2" xfId="1516" xr:uid="{00000000-0005-0000-0000-0000CD020000}"/>
    <cellStyle name="20% - Ênfase1 7 4 6" xfId="1517" xr:uid="{00000000-0005-0000-0000-0000CE020000}"/>
    <cellStyle name="20% - Ênfase1 7 5" xfId="1518" xr:uid="{00000000-0005-0000-0000-0000CF020000}"/>
    <cellStyle name="20% - Ênfase1 7 5 2" xfId="1519" xr:uid="{00000000-0005-0000-0000-0000D0020000}"/>
    <cellStyle name="20% - Ênfase1 7 6" xfId="1520" xr:uid="{00000000-0005-0000-0000-0000D1020000}"/>
    <cellStyle name="20% - Ênfase1 7 6 2" xfId="1521" xr:uid="{00000000-0005-0000-0000-0000D2020000}"/>
    <cellStyle name="20% - Ênfase1 7 7" xfId="1522" xr:uid="{00000000-0005-0000-0000-0000D3020000}"/>
    <cellStyle name="20% - Ênfase1 7 7 2" xfId="1523" xr:uid="{00000000-0005-0000-0000-0000D4020000}"/>
    <cellStyle name="20% - Ênfase1 7 8" xfId="1524" xr:uid="{00000000-0005-0000-0000-0000D5020000}"/>
    <cellStyle name="20% - Ênfase1 7 8 2" xfId="1525" xr:uid="{00000000-0005-0000-0000-0000D6020000}"/>
    <cellStyle name="20% - Ênfase1 7 9" xfId="1526" xr:uid="{00000000-0005-0000-0000-0000D7020000}"/>
    <cellStyle name="20% - Ênfase1 7 9 2" xfId="1527" xr:uid="{00000000-0005-0000-0000-0000D8020000}"/>
    <cellStyle name="20% - Ênfase1 8" xfId="1528" xr:uid="{00000000-0005-0000-0000-0000D9020000}"/>
    <cellStyle name="20% - Ênfase1 8 10" xfId="1529" xr:uid="{00000000-0005-0000-0000-0000DA020000}"/>
    <cellStyle name="20% - Ênfase1 8 10 2" xfId="1530" xr:uid="{00000000-0005-0000-0000-0000DB020000}"/>
    <cellStyle name="20% - Ênfase1 8 2" xfId="1531" xr:uid="{00000000-0005-0000-0000-0000DC020000}"/>
    <cellStyle name="20% - Ênfase1 8 2 2" xfId="1532" xr:uid="{00000000-0005-0000-0000-0000DD020000}"/>
    <cellStyle name="20% - Ênfase1 8 2 2 2" xfId="25118" xr:uid="{00000000-0005-0000-0000-0000DE020000}"/>
    <cellStyle name="20% - Ênfase1 8 2 2 2 2" xfId="26213" xr:uid="{00000000-0005-0000-0000-0000DF020000}"/>
    <cellStyle name="20% - Ênfase1 8 2 2 3" xfId="26212" xr:uid="{00000000-0005-0000-0000-0000E0020000}"/>
    <cellStyle name="20% - Ênfase1 8 2 3" xfId="25119" xr:uid="{00000000-0005-0000-0000-0000E1020000}"/>
    <cellStyle name="20% - Ênfase1 8 2 3 2" xfId="26214" xr:uid="{00000000-0005-0000-0000-0000E2020000}"/>
    <cellStyle name="20% - Ênfase1 8 2 4" xfId="26211" xr:uid="{00000000-0005-0000-0000-0000E3020000}"/>
    <cellStyle name="20% - Ênfase1 8 3" xfId="1533" xr:uid="{00000000-0005-0000-0000-0000E4020000}"/>
    <cellStyle name="20% - Ênfase1 8 3 2" xfId="1534" xr:uid="{00000000-0005-0000-0000-0000E5020000}"/>
    <cellStyle name="20% - Ênfase1 8 3 2 2" xfId="26216" xr:uid="{00000000-0005-0000-0000-0000E6020000}"/>
    <cellStyle name="20% - Ênfase1 8 3 3" xfId="26215" xr:uid="{00000000-0005-0000-0000-0000E7020000}"/>
    <cellStyle name="20% - Ênfase1 8 4" xfId="1535" xr:uid="{00000000-0005-0000-0000-0000E8020000}"/>
    <cellStyle name="20% - Ênfase1 8 4 2" xfId="1536" xr:uid="{00000000-0005-0000-0000-0000E9020000}"/>
    <cellStyle name="20% - Ênfase1 8 5" xfId="1537" xr:uid="{00000000-0005-0000-0000-0000EA020000}"/>
    <cellStyle name="20% - Ênfase1 8 5 2" xfId="1538" xr:uid="{00000000-0005-0000-0000-0000EB020000}"/>
    <cellStyle name="20% - Ênfase1 8 6" xfId="1539" xr:uid="{00000000-0005-0000-0000-0000EC020000}"/>
    <cellStyle name="20% - Ênfase1 8 6 2" xfId="1540" xr:uid="{00000000-0005-0000-0000-0000ED020000}"/>
    <cellStyle name="20% - Ênfase1 8 7" xfId="1541" xr:uid="{00000000-0005-0000-0000-0000EE020000}"/>
    <cellStyle name="20% - Ênfase1 8 7 2" xfId="1542" xr:uid="{00000000-0005-0000-0000-0000EF020000}"/>
    <cellStyle name="20% - Ênfase1 8 8" xfId="1543" xr:uid="{00000000-0005-0000-0000-0000F0020000}"/>
    <cellStyle name="20% - Ênfase1 8 8 2" xfId="1544" xr:uid="{00000000-0005-0000-0000-0000F1020000}"/>
    <cellStyle name="20% - Ênfase1 8 9" xfId="1545" xr:uid="{00000000-0005-0000-0000-0000F2020000}"/>
    <cellStyle name="20% - Ênfase1 8 9 2" xfId="1546" xr:uid="{00000000-0005-0000-0000-0000F3020000}"/>
    <cellStyle name="20% - Ênfase1 9" xfId="1547" xr:uid="{00000000-0005-0000-0000-0000F4020000}"/>
    <cellStyle name="20% - Ênfase1 9 10" xfId="1548" xr:uid="{00000000-0005-0000-0000-0000F5020000}"/>
    <cellStyle name="20% - Ênfase1 9 10 2" xfId="1549" xr:uid="{00000000-0005-0000-0000-0000F6020000}"/>
    <cellStyle name="20% - Ênfase1 9 11" xfId="1550" xr:uid="{00000000-0005-0000-0000-0000F7020000}"/>
    <cellStyle name="20% - Ênfase1 9 12" xfId="1551" xr:uid="{00000000-0005-0000-0000-0000F8020000}"/>
    <cellStyle name="20% - Ênfase1 9 2" xfId="1552" xr:uid="{00000000-0005-0000-0000-0000F9020000}"/>
    <cellStyle name="20% - Ênfase1 9 2 2" xfId="1553" xr:uid="{00000000-0005-0000-0000-0000FA020000}"/>
    <cellStyle name="20% - Ênfase1 9 2 2 2" xfId="26218" xr:uid="{00000000-0005-0000-0000-0000FB020000}"/>
    <cellStyle name="20% - Ênfase1 9 2 3" xfId="26217" xr:uid="{00000000-0005-0000-0000-0000FC020000}"/>
    <cellStyle name="20% - Ênfase1 9 3" xfId="1554" xr:uid="{00000000-0005-0000-0000-0000FD020000}"/>
    <cellStyle name="20% - Ênfase1 9 3 2" xfId="1555" xr:uid="{00000000-0005-0000-0000-0000FE020000}"/>
    <cellStyle name="20% - Ênfase1 9 4" xfId="1556" xr:uid="{00000000-0005-0000-0000-0000FF020000}"/>
    <cellStyle name="20% - Ênfase1 9 4 2" xfId="1557" xr:uid="{00000000-0005-0000-0000-000000030000}"/>
    <cellStyle name="20% - Ênfase1 9 5" xfId="1558" xr:uid="{00000000-0005-0000-0000-000001030000}"/>
    <cellStyle name="20% - Ênfase1 9 5 2" xfId="1559" xr:uid="{00000000-0005-0000-0000-000002030000}"/>
    <cellStyle name="20% - Ênfase1 9 6" xfId="1560" xr:uid="{00000000-0005-0000-0000-000003030000}"/>
    <cellStyle name="20% - Ênfase1 9 6 2" xfId="1561" xr:uid="{00000000-0005-0000-0000-000004030000}"/>
    <cellStyle name="20% - Ênfase1 9 7" xfId="1562" xr:uid="{00000000-0005-0000-0000-000005030000}"/>
    <cellStyle name="20% - Ênfase1 9 7 2" xfId="1563" xr:uid="{00000000-0005-0000-0000-000006030000}"/>
    <cellStyle name="20% - Ênfase1 9 8" xfId="1564" xr:uid="{00000000-0005-0000-0000-000007030000}"/>
    <cellStyle name="20% - Ênfase1 9 8 2" xfId="1565" xr:uid="{00000000-0005-0000-0000-000008030000}"/>
    <cellStyle name="20% - Ênfase1 9 9" xfId="1566" xr:uid="{00000000-0005-0000-0000-000009030000}"/>
    <cellStyle name="20% - Ênfase1 9 9 2" xfId="1567" xr:uid="{00000000-0005-0000-0000-00000A030000}"/>
    <cellStyle name="20% - Ênfase2" xfId="16" builtinId="34" customBuiltin="1"/>
    <cellStyle name="20% - Ênfase2 10" xfId="1568" xr:uid="{00000000-0005-0000-0000-00000C030000}"/>
    <cellStyle name="20% - Ênfase2 10 2" xfId="1569" xr:uid="{00000000-0005-0000-0000-00000D030000}"/>
    <cellStyle name="20% - Ênfase2 10 2 2" xfId="1570" xr:uid="{00000000-0005-0000-0000-00000E030000}"/>
    <cellStyle name="20% - Ênfase2 10 2 2 2" xfId="26220" xr:uid="{00000000-0005-0000-0000-00000F030000}"/>
    <cellStyle name="20% - Ênfase2 10 2 3" xfId="26219" xr:uid="{00000000-0005-0000-0000-000010030000}"/>
    <cellStyle name="20% - Ênfase2 10 3" xfId="1571" xr:uid="{00000000-0005-0000-0000-000011030000}"/>
    <cellStyle name="20% - Ênfase2 10 3 2" xfId="1572" xr:uid="{00000000-0005-0000-0000-000012030000}"/>
    <cellStyle name="20% - Ênfase2 10 4" xfId="1573" xr:uid="{00000000-0005-0000-0000-000013030000}"/>
    <cellStyle name="20% - Ênfase2 10 4 2" xfId="1574" xr:uid="{00000000-0005-0000-0000-000014030000}"/>
    <cellStyle name="20% - Ênfase2 10 5" xfId="1575" xr:uid="{00000000-0005-0000-0000-000015030000}"/>
    <cellStyle name="20% - Ênfase2 10 5 2" xfId="1576" xr:uid="{00000000-0005-0000-0000-000016030000}"/>
    <cellStyle name="20% - Ênfase2 10 6" xfId="1577" xr:uid="{00000000-0005-0000-0000-000017030000}"/>
    <cellStyle name="20% - Ênfase2 11" xfId="1578" xr:uid="{00000000-0005-0000-0000-000018030000}"/>
    <cellStyle name="20% - Ênfase2 11 2" xfId="1579" xr:uid="{00000000-0005-0000-0000-000019030000}"/>
    <cellStyle name="20% - Ênfase2 11 2 2" xfId="1580" xr:uid="{00000000-0005-0000-0000-00001A030000}"/>
    <cellStyle name="20% - Ênfase2 11 2 3" xfId="26221" xr:uid="{00000000-0005-0000-0000-00001B030000}"/>
    <cellStyle name="20% - Ênfase2 11 3" xfId="1581" xr:uid="{00000000-0005-0000-0000-00001C030000}"/>
    <cellStyle name="20% - Ênfase2 11 3 2" xfId="1582" xr:uid="{00000000-0005-0000-0000-00001D030000}"/>
    <cellStyle name="20% - Ênfase2 11 4" xfId="1583" xr:uid="{00000000-0005-0000-0000-00001E030000}"/>
    <cellStyle name="20% - Ênfase2 11 4 2" xfId="1584" xr:uid="{00000000-0005-0000-0000-00001F030000}"/>
    <cellStyle name="20% - Ênfase2 11 5" xfId="1585" xr:uid="{00000000-0005-0000-0000-000020030000}"/>
    <cellStyle name="20% - Ênfase2 11 5 2" xfId="1586" xr:uid="{00000000-0005-0000-0000-000021030000}"/>
    <cellStyle name="20% - Ênfase2 11 6" xfId="1587" xr:uid="{00000000-0005-0000-0000-000022030000}"/>
    <cellStyle name="20% - Ênfase2 11 7" xfId="25120" xr:uid="{00000000-0005-0000-0000-000023030000}"/>
    <cellStyle name="20% - Ênfase2 12" xfId="1588" xr:uid="{00000000-0005-0000-0000-000024030000}"/>
    <cellStyle name="20% - Ênfase2 12 2" xfId="1589" xr:uid="{00000000-0005-0000-0000-000025030000}"/>
    <cellStyle name="20% - Ênfase2 12 2 2" xfId="1590" xr:uid="{00000000-0005-0000-0000-000026030000}"/>
    <cellStyle name="20% - Ênfase2 12 2 2 2" xfId="26223" xr:uid="{00000000-0005-0000-0000-000027030000}"/>
    <cellStyle name="20% - Ênfase2 12 2 3" xfId="26222" xr:uid="{00000000-0005-0000-0000-000028030000}"/>
    <cellStyle name="20% - Ênfase2 12 3" xfId="1591" xr:uid="{00000000-0005-0000-0000-000029030000}"/>
    <cellStyle name="20% - Ênfase2 12 3 2" xfId="1592" xr:uid="{00000000-0005-0000-0000-00002A030000}"/>
    <cellStyle name="20% - Ênfase2 12 4" xfId="1593" xr:uid="{00000000-0005-0000-0000-00002B030000}"/>
    <cellStyle name="20% - Ênfase2 12 4 2" xfId="1594" xr:uid="{00000000-0005-0000-0000-00002C030000}"/>
    <cellStyle name="20% - Ênfase2 12 5" xfId="1595" xr:uid="{00000000-0005-0000-0000-00002D030000}"/>
    <cellStyle name="20% - Ênfase2 12 5 2" xfId="1596" xr:uid="{00000000-0005-0000-0000-00002E030000}"/>
    <cellStyle name="20% - Ênfase2 12 6" xfId="1597" xr:uid="{00000000-0005-0000-0000-00002F030000}"/>
    <cellStyle name="20% - Ênfase2 13" xfId="1598" xr:uid="{00000000-0005-0000-0000-000030030000}"/>
    <cellStyle name="20% - Ênfase2 13 2" xfId="1599" xr:uid="{00000000-0005-0000-0000-000031030000}"/>
    <cellStyle name="20% - Ênfase2 14" xfId="1600" xr:uid="{00000000-0005-0000-0000-000032030000}"/>
    <cellStyle name="20% - Ênfase2 14 2" xfId="1601" xr:uid="{00000000-0005-0000-0000-000033030000}"/>
    <cellStyle name="20% - Ênfase2 15" xfId="1602" xr:uid="{00000000-0005-0000-0000-000034030000}"/>
    <cellStyle name="20% - Ênfase2 15 2" xfId="1603" xr:uid="{00000000-0005-0000-0000-000035030000}"/>
    <cellStyle name="20% - Ênfase2 16" xfId="1604" xr:uid="{00000000-0005-0000-0000-000036030000}"/>
    <cellStyle name="20% - Ênfase2 16 2" xfId="1605" xr:uid="{00000000-0005-0000-0000-000037030000}"/>
    <cellStyle name="20% - Ênfase2 17" xfId="1606" xr:uid="{00000000-0005-0000-0000-000038030000}"/>
    <cellStyle name="20% - Ênfase2 17 2" xfId="1607" xr:uid="{00000000-0005-0000-0000-000039030000}"/>
    <cellStyle name="20% - Ênfase2 18" xfId="1608" xr:uid="{00000000-0005-0000-0000-00003A030000}"/>
    <cellStyle name="20% - Ênfase2 18 2" xfId="1609" xr:uid="{00000000-0005-0000-0000-00003B030000}"/>
    <cellStyle name="20% - Ênfase2 19" xfId="1610" xr:uid="{00000000-0005-0000-0000-00003C030000}"/>
    <cellStyle name="20% - Ênfase2 19 2" xfId="1611" xr:uid="{00000000-0005-0000-0000-00003D030000}"/>
    <cellStyle name="20% - Ênfase2 2" xfId="1612" xr:uid="{00000000-0005-0000-0000-00003E030000}"/>
    <cellStyle name="20% - Ênfase2 2 2" xfId="1613" xr:uid="{00000000-0005-0000-0000-00003F030000}"/>
    <cellStyle name="20% - Ênfase2 2 2 10" xfId="1614" xr:uid="{00000000-0005-0000-0000-000040030000}"/>
    <cellStyle name="20% - Ênfase2 2 2 10 2" xfId="1615" xr:uid="{00000000-0005-0000-0000-000041030000}"/>
    <cellStyle name="20% - Ênfase2 2 2 11" xfId="1616" xr:uid="{00000000-0005-0000-0000-000042030000}"/>
    <cellStyle name="20% - Ênfase2 2 2 11 2" xfId="1617" xr:uid="{00000000-0005-0000-0000-000043030000}"/>
    <cellStyle name="20% - Ênfase2 2 2 12" xfId="1618" xr:uid="{00000000-0005-0000-0000-000044030000}"/>
    <cellStyle name="20% - Ênfase2 2 2 12 2" xfId="1619" xr:uid="{00000000-0005-0000-0000-000045030000}"/>
    <cellStyle name="20% - Ênfase2 2 2 13" xfId="25121" xr:uid="{00000000-0005-0000-0000-000046030000}"/>
    <cellStyle name="20% - Ênfase2 2 2 2" xfId="1620" xr:uid="{00000000-0005-0000-0000-000047030000}"/>
    <cellStyle name="20% - Ênfase2 2 2 2 10" xfId="1621" xr:uid="{00000000-0005-0000-0000-000048030000}"/>
    <cellStyle name="20% - Ênfase2 2 2 2 11" xfId="1622" xr:uid="{00000000-0005-0000-0000-000049030000}"/>
    <cellStyle name="20% - Ênfase2 2 2 2 2" xfId="1623" xr:uid="{00000000-0005-0000-0000-00004A030000}"/>
    <cellStyle name="20% - Ênfase2 2 2 2 2 2" xfId="25123" xr:uid="{00000000-0005-0000-0000-00004B030000}"/>
    <cellStyle name="20% - Ênfase2 2 2 2 2 2 2" xfId="26228" xr:uid="{00000000-0005-0000-0000-00004C030000}"/>
    <cellStyle name="20% - Ênfase2 2 2 2 2 3" xfId="26227" xr:uid="{00000000-0005-0000-0000-00004D030000}"/>
    <cellStyle name="20% - Ênfase2 2 2 2 2 4" xfId="25122" xr:uid="{00000000-0005-0000-0000-00004E030000}"/>
    <cellStyle name="20% - Ênfase2 2 2 2 3" xfId="1624" xr:uid="{00000000-0005-0000-0000-00004F030000}"/>
    <cellStyle name="20% - Ênfase2 2 2 2 3 2" xfId="26229" xr:uid="{00000000-0005-0000-0000-000050030000}"/>
    <cellStyle name="20% - Ênfase2 2 2 2 3 3" xfId="25124" xr:uid="{00000000-0005-0000-0000-000051030000}"/>
    <cellStyle name="20% - Ênfase2 2 2 2 4" xfId="1625" xr:uid="{00000000-0005-0000-0000-000052030000}"/>
    <cellStyle name="20% - Ênfase2 2 2 2 4 2" xfId="26226" xr:uid="{00000000-0005-0000-0000-000053030000}"/>
    <cellStyle name="20% - Ênfase2 2 2 2 5" xfId="1626" xr:uid="{00000000-0005-0000-0000-000054030000}"/>
    <cellStyle name="20% - Ênfase2 2 2 2 6" xfId="1627" xr:uid="{00000000-0005-0000-0000-000055030000}"/>
    <cellStyle name="20% - Ênfase2 2 2 2 7" xfId="1628" xr:uid="{00000000-0005-0000-0000-000056030000}"/>
    <cellStyle name="20% - Ênfase2 2 2 2 8" xfId="1629" xr:uid="{00000000-0005-0000-0000-000057030000}"/>
    <cellStyle name="20% - Ênfase2 2 2 2 9" xfId="1630" xr:uid="{00000000-0005-0000-0000-000058030000}"/>
    <cellStyle name="20% - Ênfase2 2 2 3" xfId="1631" xr:uid="{00000000-0005-0000-0000-000059030000}"/>
    <cellStyle name="20% - Ênfase2 2 2 3 2" xfId="25126" xr:uid="{00000000-0005-0000-0000-00005A030000}"/>
    <cellStyle name="20% - Ênfase2 2 2 3 2 2" xfId="25127" xr:uid="{00000000-0005-0000-0000-00005B030000}"/>
    <cellStyle name="20% - Ênfase2 2 2 3 2 2 2" xfId="26232" xr:uid="{00000000-0005-0000-0000-00005C030000}"/>
    <cellStyle name="20% - Ênfase2 2 2 3 2 3" xfId="26231" xr:uid="{00000000-0005-0000-0000-00005D030000}"/>
    <cellStyle name="20% - Ênfase2 2 2 3 3" xfId="25128" xr:uid="{00000000-0005-0000-0000-00005E030000}"/>
    <cellStyle name="20% - Ênfase2 2 2 3 3 2" xfId="26233" xr:uid="{00000000-0005-0000-0000-00005F030000}"/>
    <cellStyle name="20% - Ênfase2 2 2 3 4" xfId="26230" xr:uid="{00000000-0005-0000-0000-000060030000}"/>
    <cellStyle name="20% - Ênfase2 2 2 3 5" xfId="25125" xr:uid="{00000000-0005-0000-0000-000061030000}"/>
    <cellStyle name="20% - Ênfase2 2 2 4" xfId="1632" xr:uid="{00000000-0005-0000-0000-000062030000}"/>
    <cellStyle name="20% - Ênfase2 2 2 4 2" xfId="26234" xr:uid="{00000000-0005-0000-0000-000063030000}"/>
    <cellStyle name="20% - Ênfase2 2 2 4 3" xfId="25129" xr:uid="{00000000-0005-0000-0000-000064030000}"/>
    <cellStyle name="20% - Ênfase2 2 2 5" xfId="1633" xr:uid="{00000000-0005-0000-0000-000065030000}"/>
    <cellStyle name="20% - Ênfase2 2 2 5 2" xfId="1634" xr:uid="{00000000-0005-0000-0000-000066030000}"/>
    <cellStyle name="20% - Ênfase2 2 2 5 3" xfId="26225" xr:uid="{00000000-0005-0000-0000-000067030000}"/>
    <cellStyle name="20% - Ênfase2 2 2 6" xfId="1635" xr:uid="{00000000-0005-0000-0000-000068030000}"/>
    <cellStyle name="20% - Ênfase2 2 2 6 2" xfId="1636" xr:uid="{00000000-0005-0000-0000-000069030000}"/>
    <cellStyle name="20% - Ênfase2 2 2 7" xfId="1637" xr:uid="{00000000-0005-0000-0000-00006A030000}"/>
    <cellStyle name="20% - Ênfase2 2 2 7 2" xfId="1638" xr:uid="{00000000-0005-0000-0000-00006B030000}"/>
    <cellStyle name="20% - Ênfase2 2 2 8" xfId="1639" xr:uid="{00000000-0005-0000-0000-00006C030000}"/>
    <cellStyle name="20% - Ênfase2 2 2 8 2" xfId="1640" xr:uid="{00000000-0005-0000-0000-00006D030000}"/>
    <cellStyle name="20% - Ênfase2 2 2 9" xfId="1641" xr:uid="{00000000-0005-0000-0000-00006E030000}"/>
    <cellStyle name="20% - Ênfase2 2 2 9 2" xfId="1642" xr:uid="{00000000-0005-0000-0000-00006F030000}"/>
    <cellStyle name="20% - Ênfase2 2 3" xfId="1643" xr:uid="{00000000-0005-0000-0000-000070030000}"/>
    <cellStyle name="20% - Ênfase2 2 3 2" xfId="25131" xr:uid="{00000000-0005-0000-0000-000071030000}"/>
    <cellStyle name="20% - Ênfase2 2 3 2 2" xfId="25132" xr:uid="{00000000-0005-0000-0000-000072030000}"/>
    <cellStyle name="20% - Ênfase2 2 3 2 2 2" xfId="26237" xr:uid="{00000000-0005-0000-0000-000073030000}"/>
    <cellStyle name="20% - Ênfase2 2 3 2 3" xfId="26236" xr:uid="{00000000-0005-0000-0000-000074030000}"/>
    <cellStyle name="20% - Ênfase2 2 3 3" xfId="25133" xr:uid="{00000000-0005-0000-0000-000075030000}"/>
    <cellStyle name="20% - Ênfase2 2 3 3 2" xfId="26238" xr:uid="{00000000-0005-0000-0000-000076030000}"/>
    <cellStyle name="20% - Ênfase2 2 3 4" xfId="26235" xr:uid="{00000000-0005-0000-0000-000077030000}"/>
    <cellStyle name="20% - Ênfase2 2 3 5" xfId="25130" xr:uid="{00000000-0005-0000-0000-000078030000}"/>
    <cellStyle name="20% - Ênfase2 2 4" xfId="1644" xr:uid="{00000000-0005-0000-0000-000079030000}"/>
    <cellStyle name="20% - Ênfase2 2 4 2" xfId="25135" xr:uid="{00000000-0005-0000-0000-00007A030000}"/>
    <cellStyle name="20% - Ênfase2 2 4 2 2" xfId="25136" xr:uid="{00000000-0005-0000-0000-00007B030000}"/>
    <cellStyle name="20% - Ênfase2 2 4 2 2 2" xfId="26241" xr:uid="{00000000-0005-0000-0000-00007C030000}"/>
    <cellStyle name="20% - Ênfase2 2 4 2 3" xfId="26240" xr:uid="{00000000-0005-0000-0000-00007D030000}"/>
    <cellStyle name="20% - Ênfase2 2 4 3" xfId="25137" xr:uid="{00000000-0005-0000-0000-00007E030000}"/>
    <cellStyle name="20% - Ênfase2 2 4 3 2" xfId="26242" xr:uid="{00000000-0005-0000-0000-00007F030000}"/>
    <cellStyle name="20% - Ênfase2 2 4 4" xfId="26239" xr:uid="{00000000-0005-0000-0000-000080030000}"/>
    <cellStyle name="20% - Ênfase2 2 4 5" xfId="25134" xr:uid="{00000000-0005-0000-0000-000081030000}"/>
    <cellStyle name="20% - Ênfase2 2 5" xfId="1645" xr:uid="{00000000-0005-0000-0000-000082030000}"/>
    <cellStyle name="20% - Ênfase2 2 5 10" xfId="1646" xr:uid="{00000000-0005-0000-0000-000083030000}"/>
    <cellStyle name="20% - Ênfase2 2 5 10 2" xfId="1647" xr:uid="{00000000-0005-0000-0000-000084030000}"/>
    <cellStyle name="20% - Ênfase2 2 5 2" xfId="1648" xr:uid="{00000000-0005-0000-0000-000085030000}"/>
    <cellStyle name="20% - Ênfase2 2 5 2 2" xfId="1649" xr:uid="{00000000-0005-0000-0000-000086030000}"/>
    <cellStyle name="20% - Ênfase2 2 5 3" xfId="1650" xr:uid="{00000000-0005-0000-0000-000087030000}"/>
    <cellStyle name="20% - Ênfase2 2 5 3 2" xfId="1651" xr:uid="{00000000-0005-0000-0000-000088030000}"/>
    <cellStyle name="20% - Ênfase2 2 5 4" xfId="1652" xr:uid="{00000000-0005-0000-0000-000089030000}"/>
    <cellStyle name="20% - Ênfase2 2 5 4 2" xfId="1653" xr:uid="{00000000-0005-0000-0000-00008A030000}"/>
    <cellStyle name="20% - Ênfase2 2 5 5" xfId="1654" xr:uid="{00000000-0005-0000-0000-00008B030000}"/>
    <cellStyle name="20% - Ênfase2 2 5 5 2" xfId="1655" xr:uid="{00000000-0005-0000-0000-00008C030000}"/>
    <cellStyle name="20% - Ênfase2 2 5 6" xfId="1656" xr:uid="{00000000-0005-0000-0000-00008D030000}"/>
    <cellStyle name="20% - Ênfase2 2 5 6 2" xfId="1657" xr:uid="{00000000-0005-0000-0000-00008E030000}"/>
    <cellStyle name="20% - Ênfase2 2 5 7" xfId="1658" xr:uid="{00000000-0005-0000-0000-00008F030000}"/>
    <cellStyle name="20% - Ênfase2 2 5 7 2" xfId="1659" xr:uid="{00000000-0005-0000-0000-000090030000}"/>
    <cellStyle name="20% - Ênfase2 2 5 8" xfId="1660" xr:uid="{00000000-0005-0000-0000-000091030000}"/>
    <cellStyle name="20% - Ênfase2 2 5 8 2" xfId="1661" xr:uid="{00000000-0005-0000-0000-000092030000}"/>
    <cellStyle name="20% - Ênfase2 2 5 9" xfId="1662" xr:uid="{00000000-0005-0000-0000-000093030000}"/>
    <cellStyle name="20% - Ênfase2 2 5 9 2" xfId="1663" xr:uid="{00000000-0005-0000-0000-000094030000}"/>
    <cellStyle name="20% - Ênfase2 2 6" xfId="1664" xr:uid="{00000000-0005-0000-0000-000095030000}"/>
    <cellStyle name="20% - Ênfase2 2 6 2" xfId="1665" xr:uid="{00000000-0005-0000-0000-000096030000}"/>
    <cellStyle name="20% - Ênfase2 2 6 2 2" xfId="1666" xr:uid="{00000000-0005-0000-0000-000097030000}"/>
    <cellStyle name="20% - Ênfase2 2 6 3" xfId="1667" xr:uid="{00000000-0005-0000-0000-000098030000}"/>
    <cellStyle name="20% - Ênfase2 2 6 3 2" xfId="1668" xr:uid="{00000000-0005-0000-0000-000099030000}"/>
    <cellStyle name="20% - Ênfase2 2 6 4" xfId="1669" xr:uid="{00000000-0005-0000-0000-00009A030000}"/>
    <cellStyle name="20% - Ênfase2 2 6 4 2" xfId="1670" xr:uid="{00000000-0005-0000-0000-00009B030000}"/>
    <cellStyle name="20% - Ênfase2 2 6 5" xfId="1671" xr:uid="{00000000-0005-0000-0000-00009C030000}"/>
    <cellStyle name="20% - Ênfase2 2 6 5 2" xfId="1672" xr:uid="{00000000-0005-0000-0000-00009D030000}"/>
    <cellStyle name="20% - Ênfase2 2 6 6" xfId="1673" xr:uid="{00000000-0005-0000-0000-00009E030000}"/>
    <cellStyle name="20% - Ênfase2 2 7" xfId="26224" xr:uid="{00000000-0005-0000-0000-00009F030000}"/>
    <cellStyle name="20% - Ênfase2 20" xfId="1674" xr:uid="{00000000-0005-0000-0000-0000A0030000}"/>
    <cellStyle name="20% - Ênfase2 20 2" xfId="1675" xr:uid="{00000000-0005-0000-0000-0000A1030000}"/>
    <cellStyle name="20% - Ênfase2 21" xfId="1676" xr:uid="{00000000-0005-0000-0000-0000A2030000}"/>
    <cellStyle name="20% - Ênfase2 21 2" xfId="1677" xr:uid="{00000000-0005-0000-0000-0000A3030000}"/>
    <cellStyle name="20% - Ênfase2 22" xfId="1678" xr:uid="{00000000-0005-0000-0000-0000A4030000}"/>
    <cellStyle name="20% - Ênfase2 22 2" xfId="1679" xr:uid="{00000000-0005-0000-0000-0000A5030000}"/>
    <cellStyle name="20% - Ênfase2 23" xfId="1680" xr:uid="{00000000-0005-0000-0000-0000A6030000}"/>
    <cellStyle name="20% - Ênfase2 23 2" xfId="1681" xr:uid="{00000000-0005-0000-0000-0000A7030000}"/>
    <cellStyle name="20% - Ênfase2 24" xfId="1682" xr:uid="{00000000-0005-0000-0000-0000A8030000}"/>
    <cellStyle name="20% - Ênfase2 24 2" xfId="1683" xr:uid="{00000000-0005-0000-0000-0000A9030000}"/>
    <cellStyle name="20% - Ênfase2 25" xfId="1684" xr:uid="{00000000-0005-0000-0000-0000AA030000}"/>
    <cellStyle name="20% - Ênfase2 25 2" xfId="1685" xr:uid="{00000000-0005-0000-0000-0000AB030000}"/>
    <cellStyle name="20% - Ênfase2 26" xfId="1686" xr:uid="{00000000-0005-0000-0000-0000AC030000}"/>
    <cellStyle name="20% - Ênfase2 26 2" xfId="1687" xr:uid="{00000000-0005-0000-0000-0000AD030000}"/>
    <cellStyle name="20% - Ênfase2 27" xfId="1688" xr:uid="{00000000-0005-0000-0000-0000AE030000}"/>
    <cellStyle name="20% - Ênfase2 27 2" xfId="1689" xr:uid="{00000000-0005-0000-0000-0000AF030000}"/>
    <cellStyle name="20% - Ênfase2 28" xfId="1690" xr:uid="{00000000-0005-0000-0000-0000B0030000}"/>
    <cellStyle name="20% - Ênfase2 28 2" xfId="1691" xr:uid="{00000000-0005-0000-0000-0000B1030000}"/>
    <cellStyle name="20% - Ênfase2 29" xfId="1692" xr:uid="{00000000-0005-0000-0000-0000B2030000}"/>
    <cellStyle name="20% - Ênfase2 29 2" xfId="1693" xr:uid="{00000000-0005-0000-0000-0000B3030000}"/>
    <cellStyle name="20% - Ênfase2 3" xfId="1694" xr:uid="{00000000-0005-0000-0000-0000B4030000}"/>
    <cellStyle name="20% - Ênfase2 3 2" xfId="1695" xr:uid="{00000000-0005-0000-0000-0000B5030000}"/>
    <cellStyle name="20% - Ênfase2 3 2 10" xfId="1696" xr:uid="{00000000-0005-0000-0000-0000B6030000}"/>
    <cellStyle name="20% - Ênfase2 3 2 10 2" xfId="1697" xr:uid="{00000000-0005-0000-0000-0000B7030000}"/>
    <cellStyle name="20% - Ênfase2 3 2 11" xfId="1698" xr:uid="{00000000-0005-0000-0000-0000B8030000}"/>
    <cellStyle name="20% - Ênfase2 3 2 11 2" xfId="1699" xr:uid="{00000000-0005-0000-0000-0000B9030000}"/>
    <cellStyle name="20% - Ênfase2 3 2 12" xfId="1700" xr:uid="{00000000-0005-0000-0000-0000BA030000}"/>
    <cellStyle name="20% - Ênfase2 3 2 12 2" xfId="1701" xr:uid="{00000000-0005-0000-0000-0000BB030000}"/>
    <cellStyle name="20% - Ênfase2 3 2 2" xfId="1702" xr:uid="{00000000-0005-0000-0000-0000BC030000}"/>
    <cellStyle name="20% - Ênfase2 3 2 2 10" xfId="1703" xr:uid="{00000000-0005-0000-0000-0000BD030000}"/>
    <cellStyle name="20% - Ênfase2 3 2 2 11" xfId="1704" xr:uid="{00000000-0005-0000-0000-0000BE030000}"/>
    <cellStyle name="20% - Ênfase2 3 2 2 2" xfId="1705" xr:uid="{00000000-0005-0000-0000-0000BF030000}"/>
    <cellStyle name="20% - Ênfase2 3 2 2 2 2" xfId="25139" xr:uid="{00000000-0005-0000-0000-0000C0030000}"/>
    <cellStyle name="20% - Ênfase2 3 2 2 2 2 2" xfId="26246" xr:uid="{00000000-0005-0000-0000-0000C1030000}"/>
    <cellStyle name="20% - Ênfase2 3 2 2 2 3" xfId="26245" xr:uid="{00000000-0005-0000-0000-0000C2030000}"/>
    <cellStyle name="20% - Ênfase2 3 2 2 2 4" xfId="25138" xr:uid="{00000000-0005-0000-0000-0000C3030000}"/>
    <cellStyle name="20% - Ênfase2 3 2 2 3" xfId="1706" xr:uid="{00000000-0005-0000-0000-0000C4030000}"/>
    <cellStyle name="20% - Ênfase2 3 2 2 3 2" xfId="26247" xr:uid="{00000000-0005-0000-0000-0000C5030000}"/>
    <cellStyle name="20% - Ênfase2 3 2 2 3 3" xfId="25140" xr:uid="{00000000-0005-0000-0000-0000C6030000}"/>
    <cellStyle name="20% - Ênfase2 3 2 2 4" xfId="1707" xr:uid="{00000000-0005-0000-0000-0000C7030000}"/>
    <cellStyle name="20% - Ênfase2 3 2 2 4 2" xfId="26244" xr:uid="{00000000-0005-0000-0000-0000C8030000}"/>
    <cellStyle name="20% - Ênfase2 3 2 2 5" xfId="1708" xr:uid="{00000000-0005-0000-0000-0000C9030000}"/>
    <cellStyle name="20% - Ênfase2 3 2 2 6" xfId="1709" xr:uid="{00000000-0005-0000-0000-0000CA030000}"/>
    <cellStyle name="20% - Ênfase2 3 2 2 7" xfId="1710" xr:uid="{00000000-0005-0000-0000-0000CB030000}"/>
    <cellStyle name="20% - Ênfase2 3 2 2 8" xfId="1711" xr:uid="{00000000-0005-0000-0000-0000CC030000}"/>
    <cellStyle name="20% - Ênfase2 3 2 2 9" xfId="1712" xr:uid="{00000000-0005-0000-0000-0000CD030000}"/>
    <cellStyle name="20% - Ênfase2 3 2 3" xfId="1713" xr:uid="{00000000-0005-0000-0000-0000CE030000}"/>
    <cellStyle name="20% - Ênfase2 3 2 3 2" xfId="25142" xr:uid="{00000000-0005-0000-0000-0000CF030000}"/>
    <cellStyle name="20% - Ênfase2 3 2 3 2 2" xfId="26249" xr:uid="{00000000-0005-0000-0000-0000D0030000}"/>
    <cellStyle name="20% - Ênfase2 3 2 3 3" xfId="26248" xr:uid="{00000000-0005-0000-0000-0000D1030000}"/>
    <cellStyle name="20% - Ênfase2 3 2 3 4" xfId="25141" xr:uid="{00000000-0005-0000-0000-0000D2030000}"/>
    <cellStyle name="20% - Ênfase2 3 2 4" xfId="1714" xr:uid="{00000000-0005-0000-0000-0000D3030000}"/>
    <cellStyle name="20% - Ênfase2 3 2 4 2" xfId="26250" xr:uid="{00000000-0005-0000-0000-0000D4030000}"/>
    <cellStyle name="20% - Ênfase2 3 2 4 3" xfId="25143" xr:uid="{00000000-0005-0000-0000-0000D5030000}"/>
    <cellStyle name="20% - Ênfase2 3 2 5" xfId="1715" xr:uid="{00000000-0005-0000-0000-0000D6030000}"/>
    <cellStyle name="20% - Ênfase2 3 2 5 2" xfId="1716" xr:uid="{00000000-0005-0000-0000-0000D7030000}"/>
    <cellStyle name="20% - Ênfase2 3 2 6" xfId="1717" xr:uid="{00000000-0005-0000-0000-0000D8030000}"/>
    <cellStyle name="20% - Ênfase2 3 2 6 2" xfId="1718" xr:uid="{00000000-0005-0000-0000-0000D9030000}"/>
    <cellStyle name="20% - Ênfase2 3 2 7" xfId="1719" xr:uid="{00000000-0005-0000-0000-0000DA030000}"/>
    <cellStyle name="20% - Ênfase2 3 2 7 2" xfId="1720" xr:uid="{00000000-0005-0000-0000-0000DB030000}"/>
    <cellStyle name="20% - Ênfase2 3 2 8" xfId="1721" xr:uid="{00000000-0005-0000-0000-0000DC030000}"/>
    <cellStyle name="20% - Ênfase2 3 2 8 2" xfId="1722" xr:uid="{00000000-0005-0000-0000-0000DD030000}"/>
    <cellStyle name="20% - Ênfase2 3 2 9" xfId="1723" xr:uid="{00000000-0005-0000-0000-0000DE030000}"/>
    <cellStyle name="20% - Ênfase2 3 2 9 2" xfId="1724" xr:uid="{00000000-0005-0000-0000-0000DF030000}"/>
    <cellStyle name="20% - Ênfase2 3 3" xfId="1725" xr:uid="{00000000-0005-0000-0000-0000E0030000}"/>
    <cellStyle name="20% - Ênfase2 3 3 2" xfId="25145" xr:uid="{00000000-0005-0000-0000-0000E1030000}"/>
    <cellStyle name="20% - Ênfase2 3 3 2 2" xfId="25146" xr:uid="{00000000-0005-0000-0000-0000E2030000}"/>
    <cellStyle name="20% - Ênfase2 3 3 2 2 2" xfId="26253" xr:uid="{00000000-0005-0000-0000-0000E3030000}"/>
    <cellStyle name="20% - Ênfase2 3 3 2 3" xfId="26252" xr:uid="{00000000-0005-0000-0000-0000E4030000}"/>
    <cellStyle name="20% - Ênfase2 3 3 3" xfId="25147" xr:uid="{00000000-0005-0000-0000-0000E5030000}"/>
    <cellStyle name="20% - Ênfase2 3 3 3 2" xfId="26254" xr:uid="{00000000-0005-0000-0000-0000E6030000}"/>
    <cellStyle name="20% - Ênfase2 3 3 4" xfId="26251" xr:uid="{00000000-0005-0000-0000-0000E7030000}"/>
    <cellStyle name="20% - Ênfase2 3 3 5" xfId="25144" xr:uid="{00000000-0005-0000-0000-0000E8030000}"/>
    <cellStyle name="20% - Ênfase2 3 4" xfId="1726" xr:uid="{00000000-0005-0000-0000-0000E9030000}"/>
    <cellStyle name="20% - Ênfase2 3 4 2" xfId="26255" xr:uid="{00000000-0005-0000-0000-0000EA030000}"/>
    <cellStyle name="20% - Ênfase2 3 5" xfId="1727" xr:uid="{00000000-0005-0000-0000-0000EB030000}"/>
    <cellStyle name="20% - Ênfase2 3 5 10" xfId="1728" xr:uid="{00000000-0005-0000-0000-0000EC030000}"/>
    <cellStyle name="20% - Ênfase2 3 5 10 2" xfId="1729" xr:uid="{00000000-0005-0000-0000-0000ED030000}"/>
    <cellStyle name="20% - Ênfase2 3 5 2" xfId="1730" xr:uid="{00000000-0005-0000-0000-0000EE030000}"/>
    <cellStyle name="20% - Ênfase2 3 5 2 2" xfId="1731" xr:uid="{00000000-0005-0000-0000-0000EF030000}"/>
    <cellStyle name="20% - Ênfase2 3 5 3" xfId="1732" xr:uid="{00000000-0005-0000-0000-0000F0030000}"/>
    <cellStyle name="20% - Ênfase2 3 5 3 2" xfId="1733" xr:uid="{00000000-0005-0000-0000-0000F1030000}"/>
    <cellStyle name="20% - Ênfase2 3 5 4" xfId="1734" xr:uid="{00000000-0005-0000-0000-0000F2030000}"/>
    <cellStyle name="20% - Ênfase2 3 5 4 2" xfId="1735" xr:uid="{00000000-0005-0000-0000-0000F3030000}"/>
    <cellStyle name="20% - Ênfase2 3 5 5" xfId="1736" xr:uid="{00000000-0005-0000-0000-0000F4030000}"/>
    <cellStyle name="20% - Ênfase2 3 5 5 2" xfId="1737" xr:uid="{00000000-0005-0000-0000-0000F5030000}"/>
    <cellStyle name="20% - Ênfase2 3 5 6" xfId="1738" xr:uid="{00000000-0005-0000-0000-0000F6030000}"/>
    <cellStyle name="20% - Ênfase2 3 5 6 2" xfId="1739" xr:uid="{00000000-0005-0000-0000-0000F7030000}"/>
    <cellStyle name="20% - Ênfase2 3 5 7" xfId="1740" xr:uid="{00000000-0005-0000-0000-0000F8030000}"/>
    <cellStyle name="20% - Ênfase2 3 5 7 2" xfId="1741" xr:uid="{00000000-0005-0000-0000-0000F9030000}"/>
    <cellStyle name="20% - Ênfase2 3 5 8" xfId="1742" xr:uid="{00000000-0005-0000-0000-0000FA030000}"/>
    <cellStyle name="20% - Ênfase2 3 5 8 2" xfId="1743" xr:uid="{00000000-0005-0000-0000-0000FB030000}"/>
    <cellStyle name="20% - Ênfase2 3 5 9" xfId="1744" xr:uid="{00000000-0005-0000-0000-0000FC030000}"/>
    <cellStyle name="20% - Ênfase2 3 5 9 2" xfId="1745" xr:uid="{00000000-0005-0000-0000-0000FD030000}"/>
    <cellStyle name="20% - Ênfase2 3 6" xfId="1746" xr:uid="{00000000-0005-0000-0000-0000FE030000}"/>
    <cellStyle name="20% - Ênfase2 3 6 2" xfId="1747" xr:uid="{00000000-0005-0000-0000-0000FF030000}"/>
    <cellStyle name="20% - Ênfase2 3 6 2 2" xfId="1748" xr:uid="{00000000-0005-0000-0000-000000040000}"/>
    <cellStyle name="20% - Ênfase2 3 6 3" xfId="1749" xr:uid="{00000000-0005-0000-0000-000001040000}"/>
    <cellStyle name="20% - Ênfase2 3 6 3 2" xfId="1750" xr:uid="{00000000-0005-0000-0000-000002040000}"/>
    <cellStyle name="20% - Ênfase2 3 6 4" xfId="1751" xr:uid="{00000000-0005-0000-0000-000003040000}"/>
    <cellStyle name="20% - Ênfase2 3 6 4 2" xfId="1752" xr:uid="{00000000-0005-0000-0000-000004040000}"/>
    <cellStyle name="20% - Ênfase2 3 6 5" xfId="1753" xr:uid="{00000000-0005-0000-0000-000005040000}"/>
    <cellStyle name="20% - Ênfase2 3 6 5 2" xfId="1754" xr:uid="{00000000-0005-0000-0000-000006040000}"/>
    <cellStyle name="20% - Ênfase2 3 6 6" xfId="1755" xr:uid="{00000000-0005-0000-0000-000007040000}"/>
    <cellStyle name="20% - Ênfase2 3 7" xfId="25148" xr:uid="{00000000-0005-0000-0000-000008040000}"/>
    <cellStyle name="20% - Ênfase2 3 7 2" xfId="26256" xr:uid="{00000000-0005-0000-0000-000009040000}"/>
    <cellStyle name="20% - Ênfase2 3 8" xfId="26243" xr:uid="{00000000-0005-0000-0000-00000A040000}"/>
    <cellStyle name="20% - Ênfase2 30" xfId="1756" xr:uid="{00000000-0005-0000-0000-00000B040000}"/>
    <cellStyle name="20% - Ênfase2 30 2" xfId="1757" xr:uid="{00000000-0005-0000-0000-00000C040000}"/>
    <cellStyle name="20% - Ênfase2 31" xfId="1758" xr:uid="{00000000-0005-0000-0000-00000D040000}"/>
    <cellStyle name="20% - Ênfase2 31 2" xfId="1759" xr:uid="{00000000-0005-0000-0000-00000E040000}"/>
    <cellStyle name="20% - Ênfase2 32" xfId="1760" xr:uid="{00000000-0005-0000-0000-00000F040000}"/>
    <cellStyle name="20% - Ênfase2 32 2" xfId="1761" xr:uid="{00000000-0005-0000-0000-000010040000}"/>
    <cellStyle name="20% - Ênfase2 33" xfId="1762" xr:uid="{00000000-0005-0000-0000-000011040000}"/>
    <cellStyle name="20% - Ênfase2 33 2" xfId="1763" xr:uid="{00000000-0005-0000-0000-000012040000}"/>
    <cellStyle name="20% - Ênfase2 34" xfId="1764" xr:uid="{00000000-0005-0000-0000-000013040000}"/>
    <cellStyle name="20% - Ênfase2 34 2" xfId="1765" xr:uid="{00000000-0005-0000-0000-000014040000}"/>
    <cellStyle name="20% - Ênfase2 35" xfId="1766" xr:uid="{00000000-0005-0000-0000-000015040000}"/>
    <cellStyle name="20% - Ênfase2 35 2" xfId="1767" xr:uid="{00000000-0005-0000-0000-000016040000}"/>
    <cellStyle name="20% - Ênfase2 36" xfId="1768" xr:uid="{00000000-0005-0000-0000-000017040000}"/>
    <cellStyle name="20% - Ênfase2 36 2" xfId="1769" xr:uid="{00000000-0005-0000-0000-000018040000}"/>
    <cellStyle name="20% - Ênfase2 37" xfId="1770" xr:uid="{00000000-0005-0000-0000-000019040000}"/>
    <cellStyle name="20% - Ênfase2 37 2" xfId="1771" xr:uid="{00000000-0005-0000-0000-00001A040000}"/>
    <cellStyle name="20% - Ênfase2 38" xfId="1772" xr:uid="{00000000-0005-0000-0000-00001B040000}"/>
    <cellStyle name="20% - Ênfase2 38 2" xfId="1773" xr:uid="{00000000-0005-0000-0000-00001C040000}"/>
    <cellStyle name="20% - Ênfase2 39" xfId="1774" xr:uid="{00000000-0005-0000-0000-00001D040000}"/>
    <cellStyle name="20% - Ênfase2 39 2" xfId="1775" xr:uid="{00000000-0005-0000-0000-00001E040000}"/>
    <cellStyle name="20% - Ênfase2 4" xfId="1776" xr:uid="{00000000-0005-0000-0000-00001F040000}"/>
    <cellStyle name="20% - Ênfase2 4 2" xfId="1777" xr:uid="{00000000-0005-0000-0000-000020040000}"/>
    <cellStyle name="20% - Ênfase2 4 2 10" xfId="1778" xr:uid="{00000000-0005-0000-0000-000021040000}"/>
    <cellStyle name="20% - Ênfase2 4 2 10 2" xfId="1779" xr:uid="{00000000-0005-0000-0000-000022040000}"/>
    <cellStyle name="20% - Ênfase2 4 2 11" xfId="1780" xr:uid="{00000000-0005-0000-0000-000023040000}"/>
    <cellStyle name="20% - Ênfase2 4 2 11 2" xfId="1781" xr:uid="{00000000-0005-0000-0000-000024040000}"/>
    <cellStyle name="20% - Ênfase2 4 2 12" xfId="1782" xr:uid="{00000000-0005-0000-0000-000025040000}"/>
    <cellStyle name="20% - Ênfase2 4 2 12 2" xfId="1783" xr:uid="{00000000-0005-0000-0000-000026040000}"/>
    <cellStyle name="20% - Ênfase2 4 2 2" xfId="1784" xr:uid="{00000000-0005-0000-0000-000027040000}"/>
    <cellStyle name="20% - Ênfase2 4 2 2 10" xfId="1785" xr:uid="{00000000-0005-0000-0000-000028040000}"/>
    <cellStyle name="20% - Ênfase2 4 2 2 11" xfId="1786" xr:uid="{00000000-0005-0000-0000-000029040000}"/>
    <cellStyle name="20% - Ênfase2 4 2 2 2" xfId="1787" xr:uid="{00000000-0005-0000-0000-00002A040000}"/>
    <cellStyle name="20% - Ênfase2 4 2 2 2 2" xfId="25150" xr:uid="{00000000-0005-0000-0000-00002B040000}"/>
    <cellStyle name="20% - Ênfase2 4 2 2 2 2 2" xfId="26260" xr:uid="{00000000-0005-0000-0000-00002C040000}"/>
    <cellStyle name="20% - Ênfase2 4 2 2 2 3" xfId="26259" xr:uid="{00000000-0005-0000-0000-00002D040000}"/>
    <cellStyle name="20% - Ênfase2 4 2 2 2 4" xfId="25149" xr:uid="{00000000-0005-0000-0000-00002E040000}"/>
    <cellStyle name="20% - Ênfase2 4 2 2 3" xfId="1788" xr:uid="{00000000-0005-0000-0000-00002F040000}"/>
    <cellStyle name="20% - Ênfase2 4 2 2 3 2" xfId="26261" xr:uid="{00000000-0005-0000-0000-000030040000}"/>
    <cellStyle name="20% - Ênfase2 4 2 2 3 3" xfId="25151" xr:uid="{00000000-0005-0000-0000-000031040000}"/>
    <cellStyle name="20% - Ênfase2 4 2 2 4" xfId="1789" xr:uid="{00000000-0005-0000-0000-000032040000}"/>
    <cellStyle name="20% - Ênfase2 4 2 2 4 2" xfId="26258" xr:uid="{00000000-0005-0000-0000-000033040000}"/>
    <cellStyle name="20% - Ênfase2 4 2 2 5" xfId="1790" xr:uid="{00000000-0005-0000-0000-000034040000}"/>
    <cellStyle name="20% - Ênfase2 4 2 2 6" xfId="1791" xr:uid="{00000000-0005-0000-0000-000035040000}"/>
    <cellStyle name="20% - Ênfase2 4 2 2 7" xfId="1792" xr:uid="{00000000-0005-0000-0000-000036040000}"/>
    <cellStyle name="20% - Ênfase2 4 2 2 8" xfId="1793" xr:uid="{00000000-0005-0000-0000-000037040000}"/>
    <cellStyle name="20% - Ênfase2 4 2 2 9" xfId="1794" xr:uid="{00000000-0005-0000-0000-000038040000}"/>
    <cellStyle name="20% - Ênfase2 4 2 3" xfId="1795" xr:uid="{00000000-0005-0000-0000-000039040000}"/>
    <cellStyle name="20% - Ênfase2 4 2 3 2" xfId="25153" xr:uid="{00000000-0005-0000-0000-00003A040000}"/>
    <cellStyle name="20% - Ênfase2 4 2 3 2 2" xfId="26263" xr:uid="{00000000-0005-0000-0000-00003B040000}"/>
    <cellStyle name="20% - Ênfase2 4 2 3 3" xfId="26262" xr:uid="{00000000-0005-0000-0000-00003C040000}"/>
    <cellStyle name="20% - Ênfase2 4 2 3 4" xfId="25152" xr:uid="{00000000-0005-0000-0000-00003D040000}"/>
    <cellStyle name="20% - Ênfase2 4 2 4" xfId="1796" xr:uid="{00000000-0005-0000-0000-00003E040000}"/>
    <cellStyle name="20% - Ênfase2 4 2 4 2" xfId="26264" xr:uid="{00000000-0005-0000-0000-00003F040000}"/>
    <cellStyle name="20% - Ênfase2 4 2 4 3" xfId="25154" xr:uid="{00000000-0005-0000-0000-000040040000}"/>
    <cellStyle name="20% - Ênfase2 4 2 5" xfId="1797" xr:uid="{00000000-0005-0000-0000-000041040000}"/>
    <cellStyle name="20% - Ênfase2 4 2 5 2" xfId="1798" xr:uid="{00000000-0005-0000-0000-000042040000}"/>
    <cellStyle name="20% - Ênfase2 4 2 6" xfId="1799" xr:uid="{00000000-0005-0000-0000-000043040000}"/>
    <cellStyle name="20% - Ênfase2 4 2 6 2" xfId="1800" xr:uid="{00000000-0005-0000-0000-000044040000}"/>
    <cellStyle name="20% - Ênfase2 4 2 7" xfId="1801" xr:uid="{00000000-0005-0000-0000-000045040000}"/>
    <cellStyle name="20% - Ênfase2 4 2 7 2" xfId="1802" xr:uid="{00000000-0005-0000-0000-000046040000}"/>
    <cellStyle name="20% - Ênfase2 4 2 8" xfId="1803" xr:uid="{00000000-0005-0000-0000-000047040000}"/>
    <cellStyle name="20% - Ênfase2 4 2 8 2" xfId="1804" xr:uid="{00000000-0005-0000-0000-000048040000}"/>
    <cellStyle name="20% - Ênfase2 4 2 9" xfId="1805" xr:uid="{00000000-0005-0000-0000-000049040000}"/>
    <cellStyle name="20% - Ênfase2 4 2 9 2" xfId="1806" xr:uid="{00000000-0005-0000-0000-00004A040000}"/>
    <cellStyle name="20% - Ênfase2 4 3" xfId="1807" xr:uid="{00000000-0005-0000-0000-00004B040000}"/>
    <cellStyle name="20% - Ênfase2 4 3 2" xfId="25156" xr:uid="{00000000-0005-0000-0000-00004C040000}"/>
    <cellStyle name="20% - Ênfase2 4 3 2 2" xfId="25157" xr:uid="{00000000-0005-0000-0000-00004D040000}"/>
    <cellStyle name="20% - Ênfase2 4 3 2 2 2" xfId="26267" xr:uid="{00000000-0005-0000-0000-00004E040000}"/>
    <cellStyle name="20% - Ênfase2 4 3 2 3" xfId="26266" xr:uid="{00000000-0005-0000-0000-00004F040000}"/>
    <cellStyle name="20% - Ênfase2 4 3 3" xfId="25158" xr:uid="{00000000-0005-0000-0000-000050040000}"/>
    <cellStyle name="20% - Ênfase2 4 3 3 2" xfId="26268" xr:uid="{00000000-0005-0000-0000-000051040000}"/>
    <cellStyle name="20% - Ênfase2 4 3 4" xfId="26265" xr:uid="{00000000-0005-0000-0000-000052040000}"/>
    <cellStyle name="20% - Ênfase2 4 3 5" xfId="25155" xr:uid="{00000000-0005-0000-0000-000053040000}"/>
    <cellStyle name="20% - Ênfase2 4 4" xfId="1808" xr:uid="{00000000-0005-0000-0000-000054040000}"/>
    <cellStyle name="20% - Ênfase2 4 4 2" xfId="26269" xr:uid="{00000000-0005-0000-0000-000055040000}"/>
    <cellStyle name="20% - Ênfase2 4 5" xfId="1809" xr:uid="{00000000-0005-0000-0000-000056040000}"/>
    <cellStyle name="20% - Ênfase2 4 5 10" xfId="1810" xr:uid="{00000000-0005-0000-0000-000057040000}"/>
    <cellStyle name="20% - Ênfase2 4 5 10 2" xfId="1811" xr:uid="{00000000-0005-0000-0000-000058040000}"/>
    <cellStyle name="20% - Ênfase2 4 5 2" xfId="1812" xr:uid="{00000000-0005-0000-0000-000059040000}"/>
    <cellStyle name="20% - Ênfase2 4 5 2 2" xfId="1813" xr:uid="{00000000-0005-0000-0000-00005A040000}"/>
    <cellStyle name="20% - Ênfase2 4 5 3" xfId="1814" xr:uid="{00000000-0005-0000-0000-00005B040000}"/>
    <cellStyle name="20% - Ênfase2 4 5 3 2" xfId="1815" xr:uid="{00000000-0005-0000-0000-00005C040000}"/>
    <cellStyle name="20% - Ênfase2 4 5 4" xfId="1816" xr:uid="{00000000-0005-0000-0000-00005D040000}"/>
    <cellStyle name="20% - Ênfase2 4 5 4 2" xfId="1817" xr:uid="{00000000-0005-0000-0000-00005E040000}"/>
    <cellStyle name="20% - Ênfase2 4 5 5" xfId="1818" xr:uid="{00000000-0005-0000-0000-00005F040000}"/>
    <cellStyle name="20% - Ênfase2 4 5 5 2" xfId="1819" xr:uid="{00000000-0005-0000-0000-000060040000}"/>
    <cellStyle name="20% - Ênfase2 4 5 6" xfId="1820" xr:uid="{00000000-0005-0000-0000-000061040000}"/>
    <cellStyle name="20% - Ênfase2 4 5 6 2" xfId="1821" xr:uid="{00000000-0005-0000-0000-000062040000}"/>
    <cellStyle name="20% - Ênfase2 4 5 7" xfId="1822" xr:uid="{00000000-0005-0000-0000-000063040000}"/>
    <cellStyle name="20% - Ênfase2 4 5 7 2" xfId="1823" xr:uid="{00000000-0005-0000-0000-000064040000}"/>
    <cellStyle name="20% - Ênfase2 4 5 8" xfId="1824" xr:uid="{00000000-0005-0000-0000-000065040000}"/>
    <cellStyle name="20% - Ênfase2 4 5 8 2" xfId="1825" xr:uid="{00000000-0005-0000-0000-000066040000}"/>
    <cellStyle name="20% - Ênfase2 4 5 9" xfId="1826" xr:uid="{00000000-0005-0000-0000-000067040000}"/>
    <cellStyle name="20% - Ênfase2 4 5 9 2" xfId="1827" xr:uid="{00000000-0005-0000-0000-000068040000}"/>
    <cellStyle name="20% - Ênfase2 4 6" xfId="1828" xr:uid="{00000000-0005-0000-0000-000069040000}"/>
    <cellStyle name="20% - Ênfase2 4 6 2" xfId="1829" xr:uid="{00000000-0005-0000-0000-00006A040000}"/>
    <cellStyle name="20% - Ênfase2 4 6 2 2" xfId="1830" xr:uid="{00000000-0005-0000-0000-00006B040000}"/>
    <cellStyle name="20% - Ênfase2 4 6 3" xfId="1831" xr:uid="{00000000-0005-0000-0000-00006C040000}"/>
    <cellStyle name="20% - Ênfase2 4 6 3 2" xfId="1832" xr:uid="{00000000-0005-0000-0000-00006D040000}"/>
    <cellStyle name="20% - Ênfase2 4 6 4" xfId="1833" xr:uid="{00000000-0005-0000-0000-00006E040000}"/>
    <cellStyle name="20% - Ênfase2 4 6 4 2" xfId="1834" xr:uid="{00000000-0005-0000-0000-00006F040000}"/>
    <cellStyle name="20% - Ênfase2 4 6 5" xfId="1835" xr:uid="{00000000-0005-0000-0000-000070040000}"/>
    <cellStyle name="20% - Ênfase2 4 6 5 2" xfId="1836" xr:uid="{00000000-0005-0000-0000-000071040000}"/>
    <cellStyle name="20% - Ênfase2 4 6 6" xfId="1837" xr:uid="{00000000-0005-0000-0000-000072040000}"/>
    <cellStyle name="20% - Ênfase2 4 7" xfId="26257" xr:uid="{00000000-0005-0000-0000-000073040000}"/>
    <cellStyle name="20% - Ênfase2 40" xfId="1838" xr:uid="{00000000-0005-0000-0000-000074040000}"/>
    <cellStyle name="20% - Ênfase2 40 2" xfId="1839" xr:uid="{00000000-0005-0000-0000-000075040000}"/>
    <cellStyle name="20% - Ênfase2 41" xfId="1840" xr:uid="{00000000-0005-0000-0000-000076040000}"/>
    <cellStyle name="20% - Ênfase2 41 2" xfId="1841" xr:uid="{00000000-0005-0000-0000-000077040000}"/>
    <cellStyle name="20% - Ênfase2 42" xfId="1842" xr:uid="{00000000-0005-0000-0000-000078040000}"/>
    <cellStyle name="20% - Ênfase2 42 2" xfId="1843" xr:uid="{00000000-0005-0000-0000-000079040000}"/>
    <cellStyle name="20% - Ênfase2 43" xfId="1844" xr:uid="{00000000-0005-0000-0000-00007A040000}"/>
    <cellStyle name="20% - Ênfase2 43 2" xfId="1845" xr:uid="{00000000-0005-0000-0000-00007B040000}"/>
    <cellStyle name="20% - Ênfase2 44" xfId="1846" xr:uid="{00000000-0005-0000-0000-00007C040000}"/>
    <cellStyle name="20% - Ênfase2 44 2" xfId="1847" xr:uid="{00000000-0005-0000-0000-00007D040000}"/>
    <cellStyle name="20% - Ênfase2 45" xfId="1848" xr:uid="{00000000-0005-0000-0000-00007E040000}"/>
    <cellStyle name="20% - Ênfase2 45 2" xfId="1849" xr:uid="{00000000-0005-0000-0000-00007F040000}"/>
    <cellStyle name="20% - Ênfase2 46" xfId="1850" xr:uid="{00000000-0005-0000-0000-000080040000}"/>
    <cellStyle name="20% - Ênfase2 46 2" xfId="1851" xr:uid="{00000000-0005-0000-0000-000081040000}"/>
    <cellStyle name="20% - Ênfase2 47" xfId="1852" xr:uid="{00000000-0005-0000-0000-000082040000}"/>
    <cellStyle name="20% - Ênfase2 47 2" xfId="1853" xr:uid="{00000000-0005-0000-0000-000083040000}"/>
    <cellStyle name="20% - Ênfase2 48" xfId="1854" xr:uid="{00000000-0005-0000-0000-000084040000}"/>
    <cellStyle name="20% - Ênfase2 48 2" xfId="1855" xr:uid="{00000000-0005-0000-0000-000085040000}"/>
    <cellStyle name="20% - Ênfase2 49" xfId="1856" xr:uid="{00000000-0005-0000-0000-000086040000}"/>
    <cellStyle name="20% - Ênfase2 49 2" xfId="1857" xr:uid="{00000000-0005-0000-0000-000087040000}"/>
    <cellStyle name="20% - Ênfase2 5" xfId="1858" xr:uid="{00000000-0005-0000-0000-000088040000}"/>
    <cellStyle name="20% - Ênfase2 5 2" xfId="1859" xr:uid="{00000000-0005-0000-0000-000089040000}"/>
    <cellStyle name="20% - Ênfase2 5 2 2" xfId="1860" xr:uid="{00000000-0005-0000-0000-00008A040000}"/>
    <cellStyle name="20% - Ênfase2 5 2 2 2" xfId="25160" xr:uid="{00000000-0005-0000-0000-00008B040000}"/>
    <cellStyle name="20% - Ênfase2 5 2 2 2 2" xfId="25161" xr:uid="{00000000-0005-0000-0000-00008C040000}"/>
    <cellStyle name="20% - Ênfase2 5 2 2 2 2 2" xfId="26272" xr:uid="{00000000-0005-0000-0000-00008D040000}"/>
    <cellStyle name="20% - Ênfase2 5 2 2 2 3" xfId="26271" xr:uid="{00000000-0005-0000-0000-00008E040000}"/>
    <cellStyle name="20% - Ênfase2 5 2 2 3" xfId="25162" xr:uid="{00000000-0005-0000-0000-00008F040000}"/>
    <cellStyle name="20% - Ênfase2 5 2 2 3 2" xfId="26273" xr:uid="{00000000-0005-0000-0000-000090040000}"/>
    <cellStyle name="20% - Ênfase2 5 2 2 4" xfId="26270" xr:uid="{00000000-0005-0000-0000-000091040000}"/>
    <cellStyle name="20% - Ênfase2 5 2 2 5" xfId="25159" xr:uid="{00000000-0005-0000-0000-000092040000}"/>
    <cellStyle name="20% - Ênfase2 5 2 3" xfId="1861" xr:uid="{00000000-0005-0000-0000-000093040000}"/>
    <cellStyle name="20% - Ênfase2 5 2 3 2" xfId="25164" xr:uid="{00000000-0005-0000-0000-000094040000}"/>
    <cellStyle name="20% - Ênfase2 5 2 3 2 2" xfId="26275" xr:uid="{00000000-0005-0000-0000-000095040000}"/>
    <cellStyle name="20% - Ênfase2 5 2 3 3" xfId="26274" xr:uid="{00000000-0005-0000-0000-000096040000}"/>
    <cellStyle name="20% - Ênfase2 5 2 3 4" xfId="25163" xr:uid="{00000000-0005-0000-0000-000097040000}"/>
    <cellStyle name="20% - Ênfase2 5 2 4" xfId="1862" xr:uid="{00000000-0005-0000-0000-000098040000}"/>
    <cellStyle name="20% - Ênfase2 5 2 4 2" xfId="26276" xr:uid="{00000000-0005-0000-0000-000099040000}"/>
    <cellStyle name="20% - Ênfase2 5 2 4 3" xfId="25165" xr:uid="{00000000-0005-0000-0000-00009A040000}"/>
    <cellStyle name="20% - Ênfase2 5 2 5" xfId="1863" xr:uid="{00000000-0005-0000-0000-00009B040000}"/>
    <cellStyle name="20% - Ênfase2 5 2 5 2" xfId="1864" xr:uid="{00000000-0005-0000-0000-00009C040000}"/>
    <cellStyle name="20% - Ênfase2 5 2 6" xfId="1865" xr:uid="{00000000-0005-0000-0000-00009D040000}"/>
    <cellStyle name="20% - Ênfase2 5 2 6 2" xfId="1866" xr:uid="{00000000-0005-0000-0000-00009E040000}"/>
    <cellStyle name="20% - Ênfase2 5 2 7" xfId="1867" xr:uid="{00000000-0005-0000-0000-00009F040000}"/>
    <cellStyle name="20% - Ênfase2 5 2 7 2" xfId="1868" xr:uid="{00000000-0005-0000-0000-0000A0040000}"/>
    <cellStyle name="20% - Ênfase2 5 2 8" xfId="1869" xr:uid="{00000000-0005-0000-0000-0000A1040000}"/>
    <cellStyle name="20% - Ênfase2 5 2 8 2" xfId="1870" xr:uid="{00000000-0005-0000-0000-0000A2040000}"/>
    <cellStyle name="20% - Ênfase2 5 2 9" xfId="1871" xr:uid="{00000000-0005-0000-0000-0000A3040000}"/>
    <cellStyle name="20% - Ênfase2 5 3" xfId="1872" xr:uid="{00000000-0005-0000-0000-0000A4040000}"/>
    <cellStyle name="20% - Ênfase2 5 3 2" xfId="25167" xr:uid="{00000000-0005-0000-0000-0000A5040000}"/>
    <cellStyle name="20% - Ênfase2 5 3 2 2" xfId="25168" xr:uid="{00000000-0005-0000-0000-0000A6040000}"/>
    <cellStyle name="20% - Ênfase2 5 3 2 2 2" xfId="26279" xr:uid="{00000000-0005-0000-0000-0000A7040000}"/>
    <cellStyle name="20% - Ênfase2 5 3 2 3" xfId="26278" xr:uid="{00000000-0005-0000-0000-0000A8040000}"/>
    <cellStyle name="20% - Ênfase2 5 3 3" xfId="25169" xr:uid="{00000000-0005-0000-0000-0000A9040000}"/>
    <cellStyle name="20% - Ênfase2 5 3 3 2" xfId="26280" xr:uid="{00000000-0005-0000-0000-0000AA040000}"/>
    <cellStyle name="20% - Ênfase2 5 3 4" xfId="26277" xr:uid="{00000000-0005-0000-0000-0000AB040000}"/>
    <cellStyle name="20% - Ênfase2 5 3 5" xfId="25166" xr:uid="{00000000-0005-0000-0000-0000AC040000}"/>
    <cellStyle name="20% - Ênfase2 5 4" xfId="1873" xr:uid="{00000000-0005-0000-0000-0000AD040000}"/>
    <cellStyle name="20% - Ênfase2 5 4 2" xfId="25171" xr:uid="{00000000-0005-0000-0000-0000AE040000}"/>
    <cellStyle name="20% - Ênfase2 5 4 2 2" xfId="26282" xr:uid="{00000000-0005-0000-0000-0000AF040000}"/>
    <cellStyle name="20% - Ênfase2 5 4 3" xfId="26281" xr:uid="{00000000-0005-0000-0000-0000B0040000}"/>
    <cellStyle name="20% - Ênfase2 5 4 4" xfId="25170" xr:uid="{00000000-0005-0000-0000-0000B1040000}"/>
    <cellStyle name="20% - Ênfase2 5 5" xfId="1874" xr:uid="{00000000-0005-0000-0000-0000B2040000}"/>
    <cellStyle name="20% - Ênfase2 5 5 2" xfId="1875" xr:uid="{00000000-0005-0000-0000-0000B3040000}"/>
    <cellStyle name="20% - Ênfase2 5 5 2 2" xfId="1876" xr:uid="{00000000-0005-0000-0000-0000B4040000}"/>
    <cellStyle name="20% - Ênfase2 5 5 3" xfId="1877" xr:uid="{00000000-0005-0000-0000-0000B5040000}"/>
    <cellStyle name="20% - Ênfase2 5 5 3 2" xfId="1878" xr:uid="{00000000-0005-0000-0000-0000B6040000}"/>
    <cellStyle name="20% - Ênfase2 5 5 4" xfId="1879" xr:uid="{00000000-0005-0000-0000-0000B7040000}"/>
    <cellStyle name="20% - Ênfase2 5 5 4 2" xfId="1880" xr:uid="{00000000-0005-0000-0000-0000B8040000}"/>
    <cellStyle name="20% - Ênfase2 5 5 5" xfId="1881" xr:uid="{00000000-0005-0000-0000-0000B9040000}"/>
    <cellStyle name="20% - Ênfase2 5 5 5 2" xfId="1882" xr:uid="{00000000-0005-0000-0000-0000BA040000}"/>
    <cellStyle name="20% - Ênfase2 5 5 6" xfId="1883" xr:uid="{00000000-0005-0000-0000-0000BB040000}"/>
    <cellStyle name="20% - Ênfase2 5 6" xfId="1884" xr:uid="{00000000-0005-0000-0000-0000BC040000}"/>
    <cellStyle name="20% - Ênfase2 5 6 2" xfId="1885" xr:uid="{00000000-0005-0000-0000-0000BD040000}"/>
    <cellStyle name="20% - Ênfase2 5 6 2 2" xfId="1886" xr:uid="{00000000-0005-0000-0000-0000BE040000}"/>
    <cellStyle name="20% - Ênfase2 5 6 3" xfId="1887" xr:uid="{00000000-0005-0000-0000-0000BF040000}"/>
    <cellStyle name="20% - Ênfase2 5 6 3 2" xfId="1888" xr:uid="{00000000-0005-0000-0000-0000C0040000}"/>
    <cellStyle name="20% - Ênfase2 5 6 4" xfId="1889" xr:uid="{00000000-0005-0000-0000-0000C1040000}"/>
    <cellStyle name="20% - Ênfase2 5 6 4 2" xfId="1890" xr:uid="{00000000-0005-0000-0000-0000C2040000}"/>
    <cellStyle name="20% - Ênfase2 5 6 5" xfId="1891" xr:uid="{00000000-0005-0000-0000-0000C3040000}"/>
    <cellStyle name="20% - Ênfase2 5 6 5 2" xfId="1892" xr:uid="{00000000-0005-0000-0000-0000C4040000}"/>
    <cellStyle name="20% - Ênfase2 5 6 6" xfId="1893" xr:uid="{00000000-0005-0000-0000-0000C5040000}"/>
    <cellStyle name="20% - Ênfase2 50" xfId="1894" xr:uid="{00000000-0005-0000-0000-0000C6040000}"/>
    <cellStyle name="20% - Ênfase2 50 2" xfId="1895" xr:uid="{00000000-0005-0000-0000-0000C7040000}"/>
    <cellStyle name="20% - Ênfase2 51" xfId="1896" xr:uid="{00000000-0005-0000-0000-0000C8040000}"/>
    <cellStyle name="20% - Ênfase2 51 2" xfId="1897" xr:uid="{00000000-0005-0000-0000-0000C9040000}"/>
    <cellStyle name="20% - Ênfase2 52" xfId="1898" xr:uid="{00000000-0005-0000-0000-0000CA040000}"/>
    <cellStyle name="20% - Ênfase2 52 2" xfId="1899" xr:uid="{00000000-0005-0000-0000-0000CB040000}"/>
    <cellStyle name="20% - Ênfase2 53" xfId="1900" xr:uid="{00000000-0005-0000-0000-0000CC040000}"/>
    <cellStyle name="20% - Ênfase2 53 2" xfId="1901" xr:uid="{00000000-0005-0000-0000-0000CD040000}"/>
    <cellStyle name="20% - Ênfase2 54" xfId="1902" xr:uid="{00000000-0005-0000-0000-0000CE040000}"/>
    <cellStyle name="20% - Ênfase2 54 2" xfId="1903" xr:uid="{00000000-0005-0000-0000-0000CF040000}"/>
    <cellStyle name="20% - Ênfase2 55" xfId="1904" xr:uid="{00000000-0005-0000-0000-0000D0040000}"/>
    <cellStyle name="20% - Ênfase2 55 2" xfId="1905" xr:uid="{00000000-0005-0000-0000-0000D1040000}"/>
    <cellStyle name="20% - Ênfase2 6" xfId="1906" xr:uid="{00000000-0005-0000-0000-0000D2040000}"/>
    <cellStyle name="20% - Ênfase2 6 10" xfId="1907" xr:uid="{00000000-0005-0000-0000-0000D3040000}"/>
    <cellStyle name="20% - Ênfase2 6 10 2" xfId="1908" xr:uid="{00000000-0005-0000-0000-0000D4040000}"/>
    <cellStyle name="20% - Ênfase2 6 11" xfId="1909" xr:uid="{00000000-0005-0000-0000-0000D5040000}"/>
    <cellStyle name="20% - Ênfase2 6 11 2" xfId="1910" xr:uid="{00000000-0005-0000-0000-0000D6040000}"/>
    <cellStyle name="20% - Ênfase2 6 12" xfId="1911" xr:uid="{00000000-0005-0000-0000-0000D7040000}"/>
    <cellStyle name="20% - Ênfase2 6 12 2" xfId="1912" xr:uid="{00000000-0005-0000-0000-0000D8040000}"/>
    <cellStyle name="20% - Ênfase2 6 13" xfId="1913" xr:uid="{00000000-0005-0000-0000-0000D9040000}"/>
    <cellStyle name="20% - Ênfase2 6 13 2" xfId="1914" xr:uid="{00000000-0005-0000-0000-0000DA040000}"/>
    <cellStyle name="20% - Ênfase2 6 14" xfId="1915" xr:uid="{00000000-0005-0000-0000-0000DB040000}"/>
    <cellStyle name="20% - Ênfase2 6 14 2" xfId="1916" xr:uid="{00000000-0005-0000-0000-0000DC040000}"/>
    <cellStyle name="20% - Ênfase2 6 15" xfId="1917" xr:uid="{00000000-0005-0000-0000-0000DD040000}"/>
    <cellStyle name="20% - Ênfase2 6 15 2" xfId="1918" xr:uid="{00000000-0005-0000-0000-0000DE040000}"/>
    <cellStyle name="20% - Ênfase2 6 16" xfId="1919" xr:uid="{00000000-0005-0000-0000-0000DF040000}"/>
    <cellStyle name="20% - Ênfase2 6 16 2" xfId="1920" xr:uid="{00000000-0005-0000-0000-0000E0040000}"/>
    <cellStyle name="20% - Ênfase2 6 17" xfId="1921" xr:uid="{00000000-0005-0000-0000-0000E1040000}"/>
    <cellStyle name="20% - Ênfase2 6 17 2" xfId="1922" xr:uid="{00000000-0005-0000-0000-0000E2040000}"/>
    <cellStyle name="20% - Ênfase2 6 18" xfId="1923" xr:uid="{00000000-0005-0000-0000-0000E3040000}"/>
    <cellStyle name="20% - Ênfase2 6 18 2" xfId="1924" xr:uid="{00000000-0005-0000-0000-0000E4040000}"/>
    <cellStyle name="20% - Ênfase2 6 19" xfId="1925" xr:uid="{00000000-0005-0000-0000-0000E5040000}"/>
    <cellStyle name="20% - Ênfase2 6 19 2" xfId="1926" xr:uid="{00000000-0005-0000-0000-0000E6040000}"/>
    <cellStyle name="20% - Ênfase2 6 2" xfId="1927" xr:uid="{00000000-0005-0000-0000-0000E7040000}"/>
    <cellStyle name="20% - Ênfase2 6 2 2" xfId="1928" xr:uid="{00000000-0005-0000-0000-0000E8040000}"/>
    <cellStyle name="20% - Ênfase2 6 2 2 2" xfId="1929" xr:uid="{00000000-0005-0000-0000-0000E9040000}"/>
    <cellStyle name="20% - Ênfase2 6 2 2 2 2" xfId="26284" xr:uid="{00000000-0005-0000-0000-0000EA040000}"/>
    <cellStyle name="20% - Ênfase2 6 2 2 3" xfId="26283" xr:uid="{00000000-0005-0000-0000-0000EB040000}"/>
    <cellStyle name="20% - Ênfase2 6 2 3" xfId="1930" xr:uid="{00000000-0005-0000-0000-0000EC040000}"/>
    <cellStyle name="20% - Ênfase2 6 2 3 2" xfId="1931" xr:uid="{00000000-0005-0000-0000-0000ED040000}"/>
    <cellStyle name="20% - Ênfase2 6 2 4" xfId="1932" xr:uid="{00000000-0005-0000-0000-0000EE040000}"/>
    <cellStyle name="20% - Ênfase2 6 2 4 2" xfId="1933" xr:uid="{00000000-0005-0000-0000-0000EF040000}"/>
    <cellStyle name="20% - Ênfase2 6 2 5" xfId="1934" xr:uid="{00000000-0005-0000-0000-0000F0040000}"/>
    <cellStyle name="20% - Ênfase2 6 2 5 2" xfId="1935" xr:uid="{00000000-0005-0000-0000-0000F1040000}"/>
    <cellStyle name="20% - Ênfase2 6 2 6" xfId="1936" xr:uid="{00000000-0005-0000-0000-0000F2040000}"/>
    <cellStyle name="20% - Ênfase2 6 20" xfId="1937" xr:uid="{00000000-0005-0000-0000-0000F3040000}"/>
    <cellStyle name="20% - Ênfase2 6 20 2" xfId="1938" xr:uid="{00000000-0005-0000-0000-0000F4040000}"/>
    <cellStyle name="20% - Ênfase2 6 21" xfId="1939" xr:uid="{00000000-0005-0000-0000-0000F5040000}"/>
    <cellStyle name="20% - Ênfase2 6 21 2" xfId="1940" xr:uid="{00000000-0005-0000-0000-0000F6040000}"/>
    <cellStyle name="20% - Ênfase2 6 22" xfId="1941" xr:uid="{00000000-0005-0000-0000-0000F7040000}"/>
    <cellStyle name="20% - Ênfase2 6 22 2" xfId="1942" xr:uid="{00000000-0005-0000-0000-0000F8040000}"/>
    <cellStyle name="20% - Ênfase2 6 23" xfId="1943" xr:uid="{00000000-0005-0000-0000-0000F9040000}"/>
    <cellStyle name="20% - Ênfase2 6 23 2" xfId="1944" xr:uid="{00000000-0005-0000-0000-0000FA040000}"/>
    <cellStyle name="20% - Ênfase2 6 24" xfId="1945" xr:uid="{00000000-0005-0000-0000-0000FB040000}"/>
    <cellStyle name="20% - Ênfase2 6 24 2" xfId="1946" xr:uid="{00000000-0005-0000-0000-0000FC040000}"/>
    <cellStyle name="20% - Ênfase2 6 25" xfId="1947" xr:uid="{00000000-0005-0000-0000-0000FD040000}"/>
    <cellStyle name="20% - Ênfase2 6 25 2" xfId="1948" xr:uid="{00000000-0005-0000-0000-0000FE040000}"/>
    <cellStyle name="20% - Ênfase2 6 26" xfId="1949" xr:uid="{00000000-0005-0000-0000-0000FF040000}"/>
    <cellStyle name="20% - Ênfase2 6 26 2" xfId="1950" xr:uid="{00000000-0005-0000-0000-000000050000}"/>
    <cellStyle name="20% - Ênfase2 6 27" xfId="1951" xr:uid="{00000000-0005-0000-0000-000001050000}"/>
    <cellStyle name="20% - Ênfase2 6 27 2" xfId="1952" xr:uid="{00000000-0005-0000-0000-000002050000}"/>
    <cellStyle name="20% - Ênfase2 6 28" xfId="1953" xr:uid="{00000000-0005-0000-0000-000003050000}"/>
    <cellStyle name="20% - Ênfase2 6 28 2" xfId="1954" xr:uid="{00000000-0005-0000-0000-000004050000}"/>
    <cellStyle name="20% - Ênfase2 6 29" xfId="1955" xr:uid="{00000000-0005-0000-0000-000005050000}"/>
    <cellStyle name="20% - Ênfase2 6 29 2" xfId="1956" xr:uid="{00000000-0005-0000-0000-000006050000}"/>
    <cellStyle name="20% - Ênfase2 6 3" xfId="1957" xr:uid="{00000000-0005-0000-0000-000007050000}"/>
    <cellStyle name="20% - Ênfase2 6 3 2" xfId="1958" xr:uid="{00000000-0005-0000-0000-000008050000}"/>
    <cellStyle name="20% - Ênfase2 6 3 2 2" xfId="1959" xr:uid="{00000000-0005-0000-0000-000009050000}"/>
    <cellStyle name="20% - Ênfase2 6 3 3" xfId="1960" xr:uid="{00000000-0005-0000-0000-00000A050000}"/>
    <cellStyle name="20% - Ênfase2 6 3 3 2" xfId="1961" xr:uid="{00000000-0005-0000-0000-00000B050000}"/>
    <cellStyle name="20% - Ênfase2 6 3 4" xfId="1962" xr:uid="{00000000-0005-0000-0000-00000C050000}"/>
    <cellStyle name="20% - Ênfase2 6 3 4 2" xfId="1963" xr:uid="{00000000-0005-0000-0000-00000D050000}"/>
    <cellStyle name="20% - Ênfase2 6 3 5" xfId="1964" xr:uid="{00000000-0005-0000-0000-00000E050000}"/>
    <cellStyle name="20% - Ênfase2 6 3 5 2" xfId="1965" xr:uid="{00000000-0005-0000-0000-00000F050000}"/>
    <cellStyle name="20% - Ênfase2 6 3 6" xfId="1966" xr:uid="{00000000-0005-0000-0000-000010050000}"/>
    <cellStyle name="20% - Ênfase2 6 30" xfId="1967" xr:uid="{00000000-0005-0000-0000-000011050000}"/>
    <cellStyle name="20% - Ênfase2 6 30 2" xfId="1968" xr:uid="{00000000-0005-0000-0000-000012050000}"/>
    <cellStyle name="20% - Ênfase2 6 31" xfId="1969" xr:uid="{00000000-0005-0000-0000-000013050000}"/>
    <cellStyle name="20% - Ênfase2 6 31 2" xfId="1970" xr:uid="{00000000-0005-0000-0000-000014050000}"/>
    <cellStyle name="20% - Ênfase2 6 32" xfId="1971" xr:uid="{00000000-0005-0000-0000-000015050000}"/>
    <cellStyle name="20% - Ênfase2 6 32 2" xfId="1972" xr:uid="{00000000-0005-0000-0000-000016050000}"/>
    <cellStyle name="20% - Ênfase2 6 33" xfId="1973" xr:uid="{00000000-0005-0000-0000-000017050000}"/>
    <cellStyle name="20% - Ênfase2 6 33 2" xfId="1974" xr:uid="{00000000-0005-0000-0000-000018050000}"/>
    <cellStyle name="20% - Ênfase2 6 34" xfId="1975" xr:uid="{00000000-0005-0000-0000-000019050000}"/>
    <cellStyle name="20% - Ênfase2 6 34 2" xfId="1976" xr:uid="{00000000-0005-0000-0000-00001A050000}"/>
    <cellStyle name="20% - Ênfase2 6 35" xfId="1977" xr:uid="{00000000-0005-0000-0000-00001B050000}"/>
    <cellStyle name="20% - Ênfase2 6 35 2" xfId="1978" xr:uid="{00000000-0005-0000-0000-00001C050000}"/>
    <cellStyle name="20% - Ênfase2 6 36" xfId="1979" xr:uid="{00000000-0005-0000-0000-00001D050000}"/>
    <cellStyle name="20% - Ênfase2 6 36 2" xfId="1980" xr:uid="{00000000-0005-0000-0000-00001E050000}"/>
    <cellStyle name="20% - Ênfase2 6 37" xfId="1981" xr:uid="{00000000-0005-0000-0000-00001F050000}"/>
    <cellStyle name="20% - Ênfase2 6 4" xfId="1982" xr:uid="{00000000-0005-0000-0000-000020050000}"/>
    <cellStyle name="20% - Ênfase2 6 4 2" xfId="1983" xr:uid="{00000000-0005-0000-0000-000021050000}"/>
    <cellStyle name="20% - Ênfase2 6 4 2 2" xfId="1984" xr:uid="{00000000-0005-0000-0000-000022050000}"/>
    <cellStyle name="20% - Ênfase2 6 4 3" xfId="1985" xr:uid="{00000000-0005-0000-0000-000023050000}"/>
    <cellStyle name="20% - Ênfase2 6 4 3 2" xfId="1986" xr:uid="{00000000-0005-0000-0000-000024050000}"/>
    <cellStyle name="20% - Ênfase2 6 4 4" xfId="1987" xr:uid="{00000000-0005-0000-0000-000025050000}"/>
    <cellStyle name="20% - Ênfase2 6 4 4 2" xfId="1988" xr:uid="{00000000-0005-0000-0000-000026050000}"/>
    <cellStyle name="20% - Ênfase2 6 4 5" xfId="1989" xr:uid="{00000000-0005-0000-0000-000027050000}"/>
    <cellStyle name="20% - Ênfase2 6 4 5 2" xfId="1990" xr:uid="{00000000-0005-0000-0000-000028050000}"/>
    <cellStyle name="20% - Ênfase2 6 4 6" xfId="1991" xr:uid="{00000000-0005-0000-0000-000029050000}"/>
    <cellStyle name="20% - Ênfase2 6 5" xfId="1992" xr:uid="{00000000-0005-0000-0000-00002A050000}"/>
    <cellStyle name="20% - Ênfase2 6 5 2" xfId="1993" xr:uid="{00000000-0005-0000-0000-00002B050000}"/>
    <cellStyle name="20% - Ênfase2 6 6" xfId="1994" xr:uid="{00000000-0005-0000-0000-00002C050000}"/>
    <cellStyle name="20% - Ênfase2 6 6 2" xfId="1995" xr:uid="{00000000-0005-0000-0000-00002D050000}"/>
    <cellStyle name="20% - Ênfase2 6 7" xfId="1996" xr:uid="{00000000-0005-0000-0000-00002E050000}"/>
    <cellStyle name="20% - Ênfase2 6 7 2" xfId="1997" xr:uid="{00000000-0005-0000-0000-00002F050000}"/>
    <cellStyle name="20% - Ênfase2 6 8" xfId="1998" xr:uid="{00000000-0005-0000-0000-000030050000}"/>
    <cellStyle name="20% - Ênfase2 6 8 2" xfId="1999" xr:uid="{00000000-0005-0000-0000-000031050000}"/>
    <cellStyle name="20% - Ênfase2 6 9" xfId="2000" xr:uid="{00000000-0005-0000-0000-000032050000}"/>
    <cellStyle name="20% - Ênfase2 6 9 2" xfId="2001" xr:uid="{00000000-0005-0000-0000-000033050000}"/>
    <cellStyle name="20% - Ênfase2 7" xfId="2002" xr:uid="{00000000-0005-0000-0000-000034050000}"/>
    <cellStyle name="20% - Ênfase2 7 10" xfId="2003" xr:uid="{00000000-0005-0000-0000-000035050000}"/>
    <cellStyle name="20% - Ênfase2 7 10 2" xfId="2004" xr:uid="{00000000-0005-0000-0000-000036050000}"/>
    <cellStyle name="20% - Ênfase2 7 11" xfId="2005" xr:uid="{00000000-0005-0000-0000-000037050000}"/>
    <cellStyle name="20% - Ênfase2 7 11 2" xfId="2006" xr:uid="{00000000-0005-0000-0000-000038050000}"/>
    <cellStyle name="20% - Ênfase2 7 12" xfId="2007" xr:uid="{00000000-0005-0000-0000-000039050000}"/>
    <cellStyle name="20% - Ênfase2 7 12 2" xfId="2008" xr:uid="{00000000-0005-0000-0000-00003A050000}"/>
    <cellStyle name="20% - Ênfase2 7 13" xfId="2009" xr:uid="{00000000-0005-0000-0000-00003B050000}"/>
    <cellStyle name="20% - Ênfase2 7 13 2" xfId="2010" xr:uid="{00000000-0005-0000-0000-00003C050000}"/>
    <cellStyle name="20% - Ênfase2 7 14" xfId="2011" xr:uid="{00000000-0005-0000-0000-00003D050000}"/>
    <cellStyle name="20% - Ênfase2 7 14 2" xfId="2012" xr:uid="{00000000-0005-0000-0000-00003E050000}"/>
    <cellStyle name="20% - Ênfase2 7 15" xfId="2013" xr:uid="{00000000-0005-0000-0000-00003F050000}"/>
    <cellStyle name="20% - Ênfase2 7 15 2" xfId="2014" xr:uid="{00000000-0005-0000-0000-000040050000}"/>
    <cellStyle name="20% - Ênfase2 7 16" xfId="2015" xr:uid="{00000000-0005-0000-0000-000041050000}"/>
    <cellStyle name="20% - Ênfase2 7 16 2" xfId="2016" xr:uid="{00000000-0005-0000-0000-000042050000}"/>
    <cellStyle name="20% - Ênfase2 7 17" xfId="2017" xr:uid="{00000000-0005-0000-0000-000043050000}"/>
    <cellStyle name="20% - Ênfase2 7 17 2" xfId="2018" xr:uid="{00000000-0005-0000-0000-000044050000}"/>
    <cellStyle name="20% - Ênfase2 7 18" xfId="2019" xr:uid="{00000000-0005-0000-0000-000045050000}"/>
    <cellStyle name="20% - Ênfase2 7 18 2" xfId="2020" xr:uid="{00000000-0005-0000-0000-000046050000}"/>
    <cellStyle name="20% - Ênfase2 7 19" xfId="2021" xr:uid="{00000000-0005-0000-0000-000047050000}"/>
    <cellStyle name="20% - Ênfase2 7 19 2" xfId="2022" xr:uid="{00000000-0005-0000-0000-000048050000}"/>
    <cellStyle name="20% - Ênfase2 7 2" xfId="2023" xr:uid="{00000000-0005-0000-0000-000049050000}"/>
    <cellStyle name="20% - Ênfase2 7 2 2" xfId="2024" xr:uid="{00000000-0005-0000-0000-00004A050000}"/>
    <cellStyle name="20% - Ênfase2 7 2 2 2" xfId="2025" xr:uid="{00000000-0005-0000-0000-00004B050000}"/>
    <cellStyle name="20% - Ênfase2 7 2 2 2 2" xfId="26286" xr:uid="{00000000-0005-0000-0000-00004C050000}"/>
    <cellStyle name="20% - Ênfase2 7 2 2 3" xfId="26285" xr:uid="{00000000-0005-0000-0000-00004D050000}"/>
    <cellStyle name="20% - Ênfase2 7 2 3" xfId="2026" xr:uid="{00000000-0005-0000-0000-00004E050000}"/>
    <cellStyle name="20% - Ênfase2 7 2 3 2" xfId="2027" xr:uid="{00000000-0005-0000-0000-00004F050000}"/>
    <cellStyle name="20% - Ênfase2 7 2 4" xfId="2028" xr:uid="{00000000-0005-0000-0000-000050050000}"/>
    <cellStyle name="20% - Ênfase2 7 2 4 2" xfId="2029" xr:uid="{00000000-0005-0000-0000-000051050000}"/>
    <cellStyle name="20% - Ênfase2 7 2 5" xfId="2030" xr:uid="{00000000-0005-0000-0000-000052050000}"/>
    <cellStyle name="20% - Ênfase2 7 2 5 2" xfId="2031" xr:uid="{00000000-0005-0000-0000-000053050000}"/>
    <cellStyle name="20% - Ênfase2 7 2 6" xfId="2032" xr:uid="{00000000-0005-0000-0000-000054050000}"/>
    <cellStyle name="20% - Ênfase2 7 20" xfId="2033" xr:uid="{00000000-0005-0000-0000-000055050000}"/>
    <cellStyle name="20% - Ênfase2 7 20 2" xfId="2034" xr:uid="{00000000-0005-0000-0000-000056050000}"/>
    <cellStyle name="20% - Ênfase2 7 21" xfId="2035" xr:uid="{00000000-0005-0000-0000-000057050000}"/>
    <cellStyle name="20% - Ênfase2 7 21 2" xfId="2036" xr:uid="{00000000-0005-0000-0000-000058050000}"/>
    <cellStyle name="20% - Ênfase2 7 22" xfId="2037" xr:uid="{00000000-0005-0000-0000-000059050000}"/>
    <cellStyle name="20% - Ênfase2 7 22 2" xfId="2038" xr:uid="{00000000-0005-0000-0000-00005A050000}"/>
    <cellStyle name="20% - Ênfase2 7 23" xfId="2039" xr:uid="{00000000-0005-0000-0000-00005B050000}"/>
    <cellStyle name="20% - Ênfase2 7 23 2" xfId="2040" xr:uid="{00000000-0005-0000-0000-00005C050000}"/>
    <cellStyle name="20% - Ênfase2 7 24" xfId="2041" xr:uid="{00000000-0005-0000-0000-00005D050000}"/>
    <cellStyle name="20% - Ênfase2 7 24 2" xfId="2042" xr:uid="{00000000-0005-0000-0000-00005E050000}"/>
    <cellStyle name="20% - Ênfase2 7 25" xfId="2043" xr:uid="{00000000-0005-0000-0000-00005F050000}"/>
    <cellStyle name="20% - Ênfase2 7 25 2" xfId="2044" xr:uid="{00000000-0005-0000-0000-000060050000}"/>
    <cellStyle name="20% - Ênfase2 7 26" xfId="2045" xr:uid="{00000000-0005-0000-0000-000061050000}"/>
    <cellStyle name="20% - Ênfase2 7 26 2" xfId="2046" xr:uid="{00000000-0005-0000-0000-000062050000}"/>
    <cellStyle name="20% - Ênfase2 7 27" xfId="2047" xr:uid="{00000000-0005-0000-0000-000063050000}"/>
    <cellStyle name="20% - Ênfase2 7 27 2" xfId="2048" xr:uid="{00000000-0005-0000-0000-000064050000}"/>
    <cellStyle name="20% - Ênfase2 7 28" xfId="2049" xr:uid="{00000000-0005-0000-0000-000065050000}"/>
    <cellStyle name="20% - Ênfase2 7 28 2" xfId="2050" xr:uid="{00000000-0005-0000-0000-000066050000}"/>
    <cellStyle name="20% - Ênfase2 7 29" xfId="2051" xr:uid="{00000000-0005-0000-0000-000067050000}"/>
    <cellStyle name="20% - Ênfase2 7 29 2" xfId="2052" xr:uid="{00000000-0005-0000-0000-000068050000}"/>
    <cellStyle name="20% - Ênfase2 7 3" xfId="2053" xr:uid="{00000000-0005-0000-0000-000069050000}"/>
    <cellStyle name="20% - Ênfase2 7 3 2" xfId="2054" xr:uid="{00000000-0005-0000-0000-00006A050000}"/>
    <cellStyle name="20% - Ênfase2 7 3 2 2" xfId="2055" xr:uid="{00000000-0005-0000-0000-00006B050000}"/>
    <cellStyle name="20% - Ênfase2 7 3 3" xfId="2056" xr:uid="{00000000-0005-0000-0000-00006C050000}"/>
    <cellStyle name="20% - Ênfase2 7 3 3 2" xfId="2057" xr:uid="{00000000-0005-0000-0000-00006D050000}"/>
    <cellStyle name="20% - Ênfase2 7 3 4" xfId="2058" xr:uid="{00000000-0005-0000-0000-00006E050000}"/>
    <cellStyle name="20% - Ênfase2 7 3 4 2" xfId="2059" xr:uid="{00000000-0005-0000-0000-00006F050000}"/>
    <cellStyle name="20% - Ênfase2 7 3 5" xfId="2060" xr:uid="{00000000-0005-0000-0000-000070050000}"/>
    <cellStyle name="20% - Ênfase2 7 3 5 2" xfId="2061" xr:uid="{00000000-0005-0000-0000-000071050000}"/>
    <cellStyle name="20% - Ênfase2 7 3 6" xfId="2062" xr:uid="{00000000-0005-0000-0000-000072050000}"/>
    <cellStyle name="20% - Ênfase2 7 30" xfId="2063" xr:uid="{00000000-0005-0000-0000-000073050000}"/>
    <cellStyle name="20% - Ênfase2 7 30 2" xfId="2064" xr:uid="{00000000-0005-0000-0000-000074050000}"/>
    <cellStyle name="20% - Ênfase2 7 31" xfId="2065" xr:uid="{00000000-0005-0000-0000-000075050000}"/>
    <cellStyle name="20% - Ênfase2 7 31 2" xfId="2066" xr:uid="{00000000-0005-0000-0000-000076050000}"/>
    <cellStyle name="20% - Ênfase2 7 32" xfId="2067" xr:uid="{00000000-0005-0000-0000-000077050000}"/>
    <cellStyle name="20% - Ênfase2 7 32 2" xfId="2068" xr:uid="{00000000-0005-0000-0000-000078050000}"/>
    <cellStyle name="20% - Ênfase2 7 33" xfId="2069" xr:uid="{00000000-0005-0000-0000-000079050000}"/>
    <cellStyle name="20% - Ênfase2 7 33 2" xfId="2070" xr:uid="{00000000-0005-0000-0000-00007A050000}"/>
    <cellStyle name="20% - Ênfase2 7 34" xfId="2071" xr:uid="{00000000-0005-0000-0000-00007B050000}"/>
    <cellStyle name="20% - Ênfase2 7 34 2" xfId="2072" xr:uid="{00000000-0005-0000-0000-00007C050000}"/>
    <cellStyle name="20% - Ênfase2 7 35" xfId="2073" xr:uid="{00000000-0005-0000-0000-00007D050000}"/>
    <cellStyle name="20% - Ênfase2 7 35 2" xfId="2074" xr:uid="{00000000-0005-0000-0000-00007E050000}"/>
    <cellStyle name="20% - Ênfase2 7 36" xfId="2075" xr:uid="{00000000-0005-0000-0000-00007F050000}"/>
    <cellStyle name="20% - Ênfase2 7 36 2" xfId="2076" xr:uid="{00000000-0005-0000-0000-000080050000}"/>
    <cellStyle name="20% - Ênfase2 7 37" xfId="2077" xr:uid="{00000000-0005-0000-0000-000081050000}"/>
    <cellStyle name="20% - Ênfase2 7 4" xfId="2078" xr:uid="{00000000-0005-0000-0000-000082050000}"/>
    <cellStyle name="20% - Ênfase2 7 4 2" xfId="2079" xr:uid="{00000000-0005-0000-0000-000083050000}"/>
    <cellStyle name="20% - Ênfase2 7 4 2 2" xfId="2080" xr:uid="{00000000-0005-0000-0000-000084050000}"/>
    <cellStyle name="20% - Ênfase2 7 4 3" xfId="2081" xr:uid="{00000000-0005-0000-0000-000085050000}"/>
    <cellStyle name="20% - Ênfase2 7 4 3 2" xfId="2082" xr:uid="{00000000-0005-0000-0000-000086050000}"/>
    <cellStyle name="20% - Ênfase2 7 4 4" xfId="2083" xr:uid="{00000000-0005-0000-0000-000087050000}"/>
    <cellStyle name="20% - Ênfase2 7 4 4 2" xfId="2084" xr:uid="{00000000-0005-0000-0000-000088050000}"/>
    <cellStyle name="20% - Ênfase2 7 4 5" xfId="2085" xr:uid="{00000000-0005-0000-0000-000089050000}"/>
    <cellStyle name="20% - Ênfase2 7 4 5 2" xfId="2086" xr:uid="{00000000-0005-0000-0000-00008A050000}"/>
    <cellStyle name="20% - Ênfase2 7 4 6" xfId="2087" xr:uid="{00000000-0005-0000-0000-00008B050000}"/>
    <cellStyle name="20% - Ênfase2 7 5" xfId="2088" xr:uid="{00000000-0005-0000-0000-00008C050000}"/>
    <cellStyle name="20% - Ênfase2 7 5 2" xfId="2089" xr:uid="{00000000-0005-0000-0000-00008D050000}"/>
    <cellStyle name="20% - Ênfase2 7 6" xfId="2090" xr:uid="{00000000-0005-0000-0000-00008E050000}"/>
    <cellStyle name="20% - Ênfase2 7 6 2" xfId="2091" xr:uid="{00000000-0005-0000-0000-00008F050000}"/>
    <cellStyle name="20% - Ênfase2 7 7" xfId="2092" xr:uid="{00000000-0005-0000-0000-000090050000}"/>
    <cellStyle name="20% - Ênfase2 7 7 2" xfId="2093" xr:uid="{00000000-0005-0000-0000-000091050000}"/>
    <cellStyle name="20% - Ênfase2 7 8" xfId="2094" xr:uid="{00000000-0005-0000-0000-000092050000}"/>
    <cellStyle name="20% - Ênfase2 7 8 2" xfId="2095" xr:uid="{00000000-0005-0000-0000-000093050000}"/>
    <cellStyle name="20% - Ênfase2 7 9" xfId="2096" xr:uid="{00000000-0005-0000-0000-000094050000}"/>
    <cellStyle name="20% - Ênfase2 7 9 2" xfId="2097" xr:uid="{00000000-0005-0000-0000-000095050000}"/>
    <cellStyle name="20% - Ênfase2 8" xfId="2098" xr:uid="{00000000-0005-0000-0000-000096050000}"/>
    <cellStyle name="20% - Ênfase2 8 10" xfId="2099" xr:uid="{00000000-0005-0000-0000-000097050000}"/>
    <cellStyle name="20% - Ênfase2 8 10 2" xfId="2100" xr:uid="{00000000-0005-0000-0000-000098050000}"/>
    <cellStyle name="20% - Ênfase2 8 2" xfId="2101" xr:uid="{00000000-0005-0000-0000-000099050000}"/>
    <cellStyle name="20% - Ênfase2 8 2 2" xfId="2102" xr:uid="{00000000-0005-0000-0000-00009A050000}"/>
    <cellStyle name="20% - Ênfase2 8 2 2 2" xfId="25172" xr:uid="{00000000-0005-0000-0000-00009B050000}"/>
    <cellStyle name="20% - Ênfase2 8 2 2 2 2" xfId="26289" xr:uid="{00000000-0005-0000-0000-00009C050000}"/>
    <cellStyle name="20% - Ênfase2 8 2 2 3" xfId="26288" xr:uid="{00000000-0005-0000-0000-00009D050000}"/>
    <cellStyle name="20% - Ênfase2 8 2 3" xfId="25173" xr:uid="{00000000-0005-0000-0000-00009E050000}"/>
    <cellStyle name="20% - Ênfase2 8 2 3 2" xfId="26290" xr:uid="{00000000-0005-0000-0000-00009F050000}"/>
    <cellStyle name="20% - Ênfase2 8 2 4" xfId="26287" xr:uid="{00000000-0005-0000-0000-0000A0050000}"/>
    <cellStyle name="20% - Ênfase2 8 3" xfId="2103" xr:uid="{00000000-0005-0000-0000-0000A1050000}"/>
    <cellStyle name="20% - Ênfase2 8 3 2" xfId="2104" xr:uid="{00000000-0005-0000-0000-0000A2050000}"/>
    <cellStyle name="20% - Ênfase2 8 3 2 2" xfId="26292" xr:uid="{00000000-0005-0000-0000-0000A3050000}"/>
    <cellStyle name="20% - Ênfase2 8 3 3" xfId="26291" xr:uid="{00000000-0005-0000-0000-0000A4050000}"/>
    <cellStyle name="20% - Ênfase2 8 4" xfId="2105" xr:uid="{00000000-0005-0000-0000-0000A5050000}"/>
    <cellStyle name="20% - Ênfase2 8 4 2" xfId="2106" xr:uid="{00000000-0005-0000-0000-0000A6050000}"/>
    <cellStyle name="20% - Ênfase2 8 5" xfId="2107" xr:uid="{00000000-0005-0000-0000-0000A7050000}"/>
    <cellStyle name="20% - Ênfase2 8 5 2" xfId="2108" xr:uid="{00000000-0005-0000-0000-0000A8050000}"/>
    <cellStyle name="20% - Ênfase2 8 6" xfId="2109" xr:uid="{00000000-0005-0000-0000-0000A9050000}"/>
    <cellStyle name="20% - Ênfase2 8 6 2" xfId="2110" xr:uid="{00000000-0005-0000-0000-0000AA050000}"/>
    <cellStyle name="20% - Ênfase2 8 7" xfId="2111" xr:uid="{00000000-0005-0000-0000-0000AB050000}"/>
    <cellStyle name="20% - Ênfase2 8 7 2" xfId="2112" xr:uid="{00000000-0005-0000-0000-0000AC050000}"/>
    <cellStyle name="20% - Ênfase2 8 8" xfId="2113" xr:uid="{00000000-0005-0000-0000-0000AD050000}"/>
    <cellStyle name="20% - Ênfase2 8 8 2" xfId="2114" xr:uid="{00000000-0005-0000-0000-0000AE050000}"/>
    <cellStyle name="20% - Ênfase2 8 9" xfId="2115" xr:uid="{00000000-0005-0000-0000-0000AF050000}"/>
    <cellStyle name="20% - Ênfase2 8 9 2" xfId="2116" xr:uid="{00000000-0005-0000-0000-0000B0050000}"/>
    <cellStyle name="20% - Ênfase2 9" xfId="2117" xr:uid="{00000000-0005-0000-0000-0000B1050000}"/>
    <cellStyle name="20% - Ênfase2 9 10" xfId="2118" xr:uid="{00000000-0005-0000-0000-0000B2050000}"/>
    <cellStyle name="20% - Ênfase2 9 10 2" xfId="2119" xr:uid="{00000000-0005-0000-0000-0000B3050000}"/>
    <cellStyle name="20% - Ênfase2 9 11" xfId="2120" xr:uid="{00000000-0005-0000-0000-0000B4050000}"/>
    <cellStyle name="20% - Ênfase2 9 12" xfId="2121" xr:uid="{00000000-0005-0000-0000-0000B5050000}"/>
    <cellStyle name="20% - Ênfase2 9 2" xfId="2122" xr:uid="{00000000-0005-0000-0000-0000B6050000}"/>
    <cellStyle name="20% - Ênfase2 9 2 2" xfId="2123" xr:uid="{00000000-0005-0000-0000-0000B7050000}"/>
    <cellStyle name="20% - Ênfase2 9 2 2 2" xfId="26294" xr:uid="{00000000-0005-0000-0000-0000B8050000}"/>
    <cellStyle name="20% - Ênfase2 9 2 3" xfId="26293" xr:uid="{00000000-0005-0000-0000-0000B9050000}"/>
    <cellStyle name="20% - Ênfase2 9 3" xfId="2124" xr:uid="{00000000-0005-0000-0000-0000BA050000}"/>
    <cellStyle name="20% - Ênfase2 9 3 2" xfId="2125" xr:uid="{00000000-0005-0000-0000-0000BB050000}"/>
    <cellStyle name="20% - Ênfase2 9 4" xfId="2126" xr:uid="{00000000-0005-0000-0000-0000BC050000}"/>
    <cellStyle name="20% - Ênfase2 9 4 2" xfId="2127" xr:uid="{00000000-0005-0000-0000-0000BD050000}"/>
    <cellStyle name="20% - Ênfase2 9 5" xfId="2128" xr:uid="{00000000-0005-0000-0000-0000BE050000}"/>
    <cellStyle name="20% - Ênfase2 9 5 2" xfId="2129" xr:uid="{00000000-0005-0000-0000-0000BF050000}"/>
    <cellStyle name="20% - Ênfase2 9 6" xfId="2130" xr:uid="{00000000-0005-0000-0000-0000C0050000}"/>
    <cellStyle name="20% - Ênfase2 9 6 2" xfId="2131" xr:uid="{00000000-0005-0000-0000-0000C1050000}"/>
    <cellStyle name="20% - Ênfase2 9 7" xfId="2132" xr:uid="{00000000-0005-0000-0000-0000C2050000}"/>
    <cellStyle name="20% - Ênfase2 9 7 2" xfId="2133" xr:uid="{00000000-0005-0000-0000-0000C3050000}"/>
    <cellStyle name="20% - Ênfase2 9 8" xfId="2134" xr:uid="{00000000-0005-0000-0000-0000C4050000}"/>
    <cellStyle name="20% - Ênfase2 9 8 2" xfId="2135" xr:uid="{00000000-0005-0000-0000-0000C5050000}"/>
    <cellStyle name="20% - Ênfase2 9 9" xfId="2136" xr:uid="{00000000-0005-0000-0000-0000C6050000}"/>
    <cellStyle name="20% - Ênfase2 9 9 2" xfId="2137" xr:uid="{00000000-0005-0000-0000-0000C7050000}"/>
    <cellStyle name="20% - Ênfase3" xfId="17" builtinId="38" customBuiltin="1"/>
    <cellStyle name="20% - Ênfase3 10" xfId="2138" xr:uid="{00000000-0005-0000-0000-0000C9050000}"/>
    <cellStyle name="20% - Ênfase3 10 2" xfId="2139" xr:uid="{00000000-0005-0000-0000-0000CA050000}"/>
    <cellStyle name="20% - Ênfase3 10 2 2" xfId="2140" xr:uid="{00000000-0005-0000-0000-0000CB050000}"/>
    <cellStyle name="20% - Ênfase3 10 2 2 2" xfId="26296" xr:uid="{00000000-0005-0000-0000-0000CC050000}"/>
    <cellStyle name="20% - Ênfase3 10 2 3" xfId="26295" xr:uid="{00000000-0005-0000-0000-0000CD050000}"/>
    <cellStyle name="20% - Ênfase3 10 3" xfId="2141" xr:uid="{00000000-0005-0000-0000-0000CE050000}"/>
    <cellStyle name="20% - Ênfase3 10 3 2" xfId="2142" xr:uid="{00000000-0005-0000-0000-0000CF050000}"/>
    <cellStyle name="20% - Ênfase3 10 4" xfId="2143" xr:uid="{00000000-0005-0000-0000-0000D0050000}"/>
    <cellStyle name="20% - Ênfase3 10 4 2" xfId="2144" xr:uid="{00000000-0005-0000-0000-0000D1050000}"/>
    <cellStyle name="20% - Ênfase3 10 5" xfId="2145" xr:uid="{00000000-0005-0000-0000-0000D2050000}"/>
    <cellStyle name="20% - Ênfase3 10 5 2" xfId="2146" xr:uid="{00000000-0005-0000-0000-0000D3050000}"/>
    <cellStyle name="20% - Ênfase3 10 6" xfId="2147" xr:uid="{00000000-0005-0000-0000-0000D4050000}"/>
    <cellStyle name="20% - Ênfase3 11" xfId="2148" xr:uid="{00000000-0005-0000-0000-0000D5050000}"/>
    <cellStyle name="20% - Ênfase3 11 2" xfId="2149" xr:uid="{00000000-0005-0000-0000-0000D6050000}"/>
    <cellStyle name="20% - Ênfase3 11 2 2" xfId="2150" xr:uid="{00000000-0005-0000-0000-0000D7050000}"/>
    <cellStyle name="20% - Ênfase3 11 2 3" xfId="26297" xr:uid="{00000000-0005-0000-0000-0000D8050000}"/>
    <cellStyle name="20% - Ênfase3 11 3" xfId="2151" xr:uid="{00000000-0005-0000-0000-0000D9050000}"/>
    <cellStyle name="20% - Ênfase3 11 3 2" xfId="2152" xr:uid="{00000000-0005-0000-0000-0000DA050000}"/>
    <cellStyle name="20% - Ênfase3 11 4" xfId="2153" xr:uid="{00000000-0005-0000-0000-0000DB050000}"/>
    <cellStyle name="20% - Ênfase3 11 4 2" xfId="2154" xr:uid="{00000000-0005-0000-0000-0000DC050000}"/>
    <cellStyle name="20% - Ênfase3 11 5" xfId="2155" xr:uid="{00000000-0005-0000-0000-0000DD050000}"/>
    <cellStyle name="20% - Ênfase3 11 5 2" xfId="2156" xr:uid="{00000000-0005-0000-0000-0000DE050000}"/>
    <cellStyle name="20% - Ênfase3 11 6" xfId="2157" xr:uid="{00000000-0005-0000-0000-0000DF050000}"/>
    <cellStyle name="20% - Ênfase3 11 7" xfId="25174" xr:uid="{00000000-0005-0000-0000-0000E0050000}"/>
    <cellStyle name="20% - Ênfase3 12" xfId="2158" xr:uid="{00000000-0005-0000-0000-0000E1050000}"/>
    <cellStyle name="20% - Ênfase3 12 2" xfId="2159" xr:uid="{00000000-0005-0000-0000-0000E2050000}"/>
    <cellStyle name="20% - Ênfase3 12 2 2" xfId="2160" xr:uid="{00000000-0005-0000-0000-0000E3050000}"/>
    <cellStyle name="20% - Ênfase3 12 2 2 2" xfId="26299" xr:uid="{00000000-0005-0000-0000-0000E4050000}"/>
    <cellStyle name="20% - Ênfase3 12 2 3" xfId="26298" xr:uid="{00000000-0005-0000-0000-0000E5050000}"/>
    <cellStyle name="20% - Ênfase3 12 3" xfId="2161" xr:uid="{00000000-0005-0000-0000-0000E6050000}"/>
    <cellStyle name="20% - Ênfase3 12 3 2" xfId="2162" xr:uid="{00000000-0005-0000-0000-0000E7050000}"/>
    <cellStyle name="20% - Ênfase3 12 4" xfId="2163" xr:uid="{00000000-0005-0000-0000-0000E8050000}"/>
    <cellStyle name="20% - Ênfase3 12 4 2" xfId="2164" xr:uid="{00000000-0005-0000-0000-0000E9050000}"/>
    <cellStyle name="20% - Ênfase3 12 5" xfId="2165" xr:uid="{00000000-0005-0000-0000-0000EA050000}"/>
    <cellStyle name="20% - Ênfase3 12 5 2" xfId="2166" xr:uid="{00000000-0005-0000-0000-0000EB050000}"/>
    <cellStyle name="20% - Ênfase3 12 6" xfId="2167" xr:uid="{00000000-0005-0000-0000-0000EC050000}"/>
    <cellStyle name="20% - Ênfase3 13" xfId="2168" xr:uid="{00000000-0005-0000-0000-0000ED050000}"/>
    <cellStyle name="20% - Ênfase3 13 2" xfId="2169" xr:uid="{00000000-0005-0000-0000-0000EE050000}"/>
    <cellStyle name="20% - Ênfase3 14" xfId="2170" xr:uid="{00000000-0005-0000-0000-0000EF050000}"/>
    <cellStyle name="20% - Ênfase3 14 2" xfId="2171" xr:uid="{00000000-0005-0000-0000-0000F0050000}"/>
    <cellStyle name="20% - Ênfase3 15" xfId="2172" xr:uid="{00000000-0005-0000-0000-0000F1050000}"/>
    <cellStyle name="20% - Ênfase3 15 2" xfId="2173" xr:uid="{00000000-0005-0000-0000-0000F2050000}"/>
    <cellStyle name="20% - Ênfase3 16" xfId="2174" xr:uid="{00000000-0005-0000-0000-0000F3050000}"/>
    <cellStyle name="20% - Ênfase3 16 2" xfId="2175" xr:uid="{00000000-0005-0000-0000-0000F4050000}"/>
    <cellStyle name="20% - Ênfase3 17" xfId="2176" xr:uid="{00000000-0005-0000-0000-0000F5050000}"/>
    <cellStyle name="20% - Ênfase3 17 2" xfId="2177" xr:uid="{00000000-0005-0000-0000-0000F6050000}"/>
    <cellStyle name="20% - Ênfase3 18" xfId="2178" xr:uid="{00000000-0005-0000-0000-0000F7050000}"/>
    <cellStyle name="20% - Ênfase3 18 2" xfId="2179" xr:uid="{00000000-0005-0000-0000-0000F8050000}"/>
    <cellStyle name="20% - Ênfase3 19" xfId="2180" xr:uid="{00000000-0005-0000-0000-0000F9050000}"/>
    <cellStyle name="20% - Ênfase3 19 2" xfId="2181" xr:uid="{00000000-0005-0000-0000-0000FA050000}"/>
    <cellStyle name="20% - Ênfase3 2" xfId="2182" xr:uid="{00000000-0005-0000-0000-0000FB050000}"/>
    <cellStyle name="20% - Ênfase3 2 2" xfId="2183" xr:uid="{00000000-0005-0000-0000-0000FC050000}"/>
    <cellStyle name="20% - Ênfase3 2 2 10" xfId="2184" xr:uid="{00000000-0005-0000-0000-0000FD050000}"/>
    <cellStyle name="20% - Ênfase3 2 2 10 2" xfId="2185" xr:uid="{00000000-0005-0000-0000-0000FE050000}"/>
    <cellStyle name="20% - Ênfase3 2 2 11" xfId="2186" xr:uid="{00000000-0005-0000-0000-0000FF050000}"/>
    <cellStyle name="20% - Ênfase3 2 2 11 2" xfId="2187" xr:uid="{00000000-0005-0000-0000-000000060000}"/>
    <cellStyle name="20% - Ênfase3 2 2 12" xfId="2188" xr:uid="{00000000-0005-0000-0000-000001060000}"/>
    <cellStyle name="20% - Ênfase3 2 2 12 2" xfId="2189" xr:uid="{00000000-0005-0000-0000-000002060000}"/>
    <cellStyle name="20% - Ênfase3 2 2 2" xfId="2190" xr:uid="{00000000-0005-0000-0000-000003060000}"/>
    <cellStyle name="20% - Ênfase3 2 2 2 10" xfId="2191" xr:uid="{00000000-0005-0000-0000-000004060000}"/>
    <cellStyle name="20% - Ênfase3 2 2 2 11" xfId="2192" xr:uid="{00000000-0005-0000-0000-000005060000}"/>
    <cellStyle name="20% - Ênfase3 2 2 2 2" xfId="2193" xr:uid="{00000000-0005-0000-0000-000006060000}"/>
    <cellStyle name="20% - Ênfase3 2 2 2 2 2" xfId="25176" xr:uid="{00000000-0005-0000-0000-000007060000}"/>
    <cellStyle name="20% - Ênfase3 2 2 2 2 2 2" xfId="26304" xr:uid="{00000000-0005-0000-0000-000008060000}"/>
    <cellStyle name="20% - Ênfase3 2 2 2 2 3" xfId="26303" xr:uid="{00000000-0005-0000-0000-000009060000}"/>
    <cellStyle name="20% - Ênfase3 2 2 2 2 4" xfId="25175" xr:uid="{00000000-0005-0000-0000-00000A060000}"/>
    <cellStyle name="20% - Ênfase3 2 2 2 3" xfId="2194" xr:uid="{00000000-0005-0000-0000-00000B060000}"/>
    <cellStyle name="20% - Ênfase3 2 2 2 3 2" xfId="26305" xr:uid="{00000000-0005-0000-0000-00000C060000}"/>
    <cellStyle name="20% - Ênfase3 2 2 2 3 3" xfId="25177" xr:uid="{00000000-0005-0000-0000-00000D060000}"/>
    <cellStyle name="20% - Ênfase3 2 2 2 4" xfId="2195" xr:uid="{00000000-0005-0000-0000-00000E060000}"/>
    <cellStyle name="20% - Ênfase3 2 2 2 4 2" xfId="26302" xr:uid="{00000000-0005-0000-0000-00000F060000}"/>
    <cellStyle name="20% - Ênfase3 2 2 2 5" xfId="2196" xr:uid="{00000000-0005-0000-0000-000010060000}"/>
    <cellStyle name="20% - Ênfase3 2 2 2 6" xfId="2197" xr:uid="{00000000-0005-0000-0000-000011060000}"/>
    <cellStyle name="20% - Ênfase3 2 2 2 7" xfId="2198" xr:uid="{00000000-0005-0000-0000-000012060000}"/>
    <cellStyle name="20% - Ênfase3 2 2 2 8" xfId="2199" xr:uid="{00000000-0005-0000-0000-000013060000}"/>
    <cellStyle name="20% - Ênfase3 2 2 2 9" xfId="2200" xr:uid="{00000000-0005-0000-0000-000014060000}"/>
    <cellStyle name="20% - Ênfase3 2 2 3" xfId="2201" xr:uid="{00000000-0005-0000-0000-000015060000}"/>
    <cellStyle name="20% - Ênfase3 2 2 3 2" xfId="25179" xr:uid="{00000000-0005-0000-0000-000016060000}"/>
    <cellStyle name="20% - Ênfase3 2 2 3 2 2" xfId="25180" xr:uid="{00000000-0005-0000-0000-000017060000}"/>
    <cellStyle name="20% - Ênfase3 2 2 3 2 2 2" xfId="26308" xr:uid="{00000000-0005-0000-0000-000018060000}"/>
    <cellStyle name="20% - Ênfase3 2 2 3 2 3" xfId="26307" xr:uid="{00000000-0005-0000-0000-000019060000}"/>
    <cellStyle name="20% - Ênfase3 2 2 3 3" xfId="25181" xr:uid="{00000000-0005-0000-0000-00001A060000}"/>
    <cellStyle name="20% - Ênfase3 2 2 3 3 2" xfId="26309" xr:uid="{00000000-0005-0000-0000-00001B060000}"/>
    <cellStyle name="20% - Ênfase3 2 2 3 4" xfId="26306" xr:uid="{00000000-0005-0000-0000-00001C060000}"/>
    <cellStyle name="20% - Ênfase3 2 2 3 5" xfId="25178" xr:uid="{00000000-0005-0000-0000-00001D060000}"/>
    <cellStyle name="20% - Ênfase3 2 2 4" xfId="2202" xr:uid="{00000000-0005-0000-0000-00001E060000}"/>
    <cellStyle name="20% - Ênfase3 2 2 4 2" xfId="26310" xr:uid="{00000000-0005-0000-0000-00001F060000}"/>
    <cellStyle name="20% - Ênfase3 2 2 4 3" xfId="25182" xr:uid="{00000000-0005-0000-0000-000020060000}"/>
    <cellStyle name="20% - Ênfase3 2 2 5" xfId="2203" xr:uid="{00000000-0005-0000-0000-000021060000}"/>
    <cellStyle name="20% - Ênfase3 2 2 5 2" xfId="2204" xr:uid="{00000000-0005-0000-0000-000022060000}"/>
    <cellStyle name="20% - Ênfase3 2 2 5 3" xfId="26301" xr:uid="{00000000-0005-0000-0000-000023060000}"/>
    <cellStyle name="20% - Ênfase3 2 2 6" xfId="2205" xr:uid="{00000000-0005-0000-0000-000024060000}"/>
    <cellStyle name="20% - Ênfase3 2 2 6 2" xfId="2206" xr:uid="{00000000-0005-0000-0000-000025060000}"/>
    <cellStyle name="20% - Ênfase3 2 2 7" xfId="2207" xr:uid="{00000000-0005-0000-0000-000026060000}"/>
    <cellStyle name="20% - Ênfase3 2 2 7 2" xfId="2208" xr:uid="{00000000-0005-0000-0000-000027060000}"/>
    <cellStyle name="20% - Ênfase3 2 2 8" xfId="2209" xr:uid="{00000000-0005-0000-0000-000028060000}"/>
    <cellStyle name="20% - Ênfase3 2 2 8 2" xfId="2210" xr:uid="{00000000-0005-0000-0000-000029060000}"/>
    <cellStyle name="20% - Ênfase3 2 2 9" xfId="2211" xr:uid="{00000000-0005-0000-0000-00002A060000}"/>
    <cellStyle name="20% - Ênfase3 2 2 9 2" xfId="2212" xr:uid="{00000000-0005-0000-0000-00002B060000}"/>
    <cellStyle name="20% - Ênfase3 2 3" xfId="2213" xr:uid="{00000000-0005-0000-0000-00002C060000}"/>
    <cellStyle name="20% - Ênfase3 2 3 2" xfId="25184" xr:uid="{00000000-0005-0000-0000-00002D060000}"/>
    <cellStyle name="20% - Ênfase3 2 3 2 2" xfId="25185" xr:uid="{00000000-0005-0000-0000-00002E060000}"/>
    <cellStyle name="20% - Ênfase3 2 3 2 2 2" xfId="26313" xr:uid="{00000000-0005-0000-0000-00002F060000}"/>
    <cellStyle name="20% - Ênfase3 2 3 2 3" xfId="26312" xr:uid="{00000000-0005-0000-0000-000030060000}"/>
    <cellStyle name="20% - Ênfase3 2 3 3" xfId="25186" xr:uid="{00000000-0005-0000-0000-000031060000}"/>
    <cellStyle name="20% - Ênfase3 2 3 3 2" xfId="26314" xr:uid="{00000000-0005-0000-0000-000032060000}"/>
    <cellStyle name="20% - Ênfase3 2 3 4" xfId="26311" xr:uid="{00000000-0005-0000-0000-000033060000}"/>
    <cellStyle name="20% - Ênfase3 2 3 5" xfId="25183" xr:uid="{00000000-0005-0000-0000-000034060000}"/>
    <cellStyle name="20% - Ênfase3 2 4" xfId="2214" xr:uid="{00000000-0005-0000-0000-000035060000}"/>
    <cellStyle name="20% - Ênfase3 2 4 2" xfId="25188" xr:uid="{00000000-0005-0000-0000-000036060000}"/>
    <cellStyle name="20% - Ênfase3 2 4 2 2" xfId="25189" xr:uid="{00000000-0005-0000-0000-000037060000}"/>
    <cellStyle name="20% - Ênfase3 2 4 2 2 2" xfId="26317" xr:uid="{00000000-0005-0000-0000-000038060000}"/>
    <cellStyle name="20% - Ênfase3 2 4 2 3" xfId="26316" xr:uid="{00000000-0005-0000-0000-000039060000}"/>
    <cellStyle name="20% - Ênfase3 2 4 3" xfId="25190" xr:uid="{00000000-0005-0000-0000-00003A060000}"/>
    <cellStyle name="20% - Ênfase3 2 4 3 2" xfId="26318" xr:uid="{00000000-0005-0000-0000-00003B060000}"/>
    <cellStyle name="20% - Ênfase3 2 4 4" xfId="26315" xr:uid="{00000000-0005-0000-0000-00003C060000}"/>
    <cellStyle name="20% - Ênfase3 2 4 5" xfId="25187" xr:uid="{00000000-0005-0000-0000-00003D060000}"/>
    <cellStyle name="20% - Ênfase3 2 5" xfId="2215" xr:uid="{00000000-0005-0000-0000-00003E060000}"/>
    <cellStyle name="20% - Ênfase3 2 5 10" xfId="2216" xr:uid="{00000000-0005-0000-0000-00003F060000}"/>
    <cellStyle name="20% - Ênfase3 2 5 10 2" xfId="2217" xr:uid="{00000000-0005-0000-0000-000040060000}"/>
    <cellStyle name="20% - Ênfase3 2 5 2" xfId="2218" xr:uid="{00000000-0005-0000-0000-000041060000}"/>
    <cellStyle name="20% - Ênfase3 2 5 2 2" xfId="2219" xr:uid="{00000000-0005-0000-0000-000042060000}"/>
    <cellStyle name="20% - Ênfase3 2 5 3" xfId="2220" xr:uid="{00000000-0005-0000-0000-000043060000}"/>
    <cellStyle name="20% - Ênfase3 2 5 3 2" xfId="2221" xr:uid="{00000000-0005-0000-0000-000044060000}"/>
    <cellStyle name="20% - Ênfase3 2 5 4" xfId="2222" xr:uid="{00000000-0005-0000-0000-000045060000}"/>
    <cellStyle name="20% - Ênfase3 2 5 4 2" xfId="2223" xr:uid="{00000000-0005-0000-0000-000046060000}"/>
    <cellStyle name="20% - Ênfase3 2 5 5" xfId="2224" xr:uid="{00000000-0005-0000-0000-000047060000}"/>
    <cellStyle name="20% - Ênfase3 2 5 5 2" xfId="2225" xr:uid="{00000000-0005-0000-0000-000048060000}"/>
    <cellStyle name="20% - Ênfase3 2 5 6" xfId="2226" xr:uid="{00000000-0005-0000-0000-000049060000}"/>
    <cellStyle name="20% - Ênfase3 2 5 6 2" xfId="2227" xr:uid="{00000000-0005-0000-0000-00004A060000}"/>
    <cellStyle name="20% - Ênfase3 2 5 7" xfId="2228" xr:uid="{00000000-0005-0000-0000-00004B060000}"/>
    <cellStyle name="20% - Ênfase3 2 5 7 2" xfId="2229" xr:uid="{00000000-0005-0000-0000-00004C060000}"/>
    <cellStyle name="20% - Ênfase3 2 5 8" xfId="2230" xr:uid="{00000000-0005-0000-0000-00004D060000}"/>
    <cellStyle name="20% - Ênfase3 2 5 8 2" xfId="2231" xr:uid="{00000000-0005-0000-0000-00004E060000}"/>
    <cellStyle name="20% - Ênfase3 2 5 9" xfId="2232" xr:uid="{00000000-0005-0000-0000-00004F060000}"/>
    <cellStyle name="20% - Ênfase3 2 5 9 2" xfId="2233" xr:uid="{00000000-0005-0000-0000-000050060000}"/>
    <cellStyle name="20% - Ênfase3 2 6" xfId="2234" xr:uid="{00000000-0005-0000-0000-000051060000}"/>
    <cellStyle name="20% - Ênfase3 2 6 2" xfId="2235" xr:uid="{00000000-0005-0000-0000-000052060000}"/>
    <cellStyle name="20% - Ênfase3 2 6 2 2" xfId="2236" xr:uid="{00000000-0005-0000-0000-000053060000}"/>
    <cellStyle name="20% - Ênfase3 2 6 3" xfId="2237" xr:uid="{00000000-0005-0000-0000-000054060000}"/>
    <cellStyle name="20% - Ênfase3 2 6 3 2" xfId="2238" xr:uid="{00000000-0005-0000-0000-000055060000}"/>
    <cellStyle name="20% - Ênfase3 2 6 4" xfId="2239" xr:uid="{00000000-0005-0000-0000-000056060000}"/>
    <cellStyle name="20% - Ênfase3 2 6 4 2" xfId="2240" xr:uid="{00000000-0005-0000-0000-000057060000}"/>
    <cellStyle name="20% - Ênfase3 2 6 5" xfId="2241" xr:uid="{00000000-0005-0000-0000-000058060000}"/>
    <cellStyle name="20% - Ênfase3 2 6 5 2" xfId="2242" xr:uid="{00000000-0005-0000-0000-000059060000}"/>
    <cellStyle name="20% - Ênfase3 2 6 6" xfId="2243" xr:uid="{00000000-0005-0000-0000-00005A060000}"/>
    <cellStyle name="20% - Ênfase3 2 7" xfId="26300" xr:uid="{00000000-0005-0000-0000-00005B060000}"/>
    <cellStyle name="20% - Ênfase3 20" xfId="2244" xr:uid="{00000000-0005-0000-0000-00005C060000}"/>
    <cellStyle name="20% - Ênfase3 20 2" xfId="2245" xr:uid="{00000000-0005-0000-0000-00005D060000}"/>
    <cellStyle name="20% - Ênfase3 21" xfId="2246" xr:uid="{00000000-0005-0000-0000-00005E060000}"/>
    <cellStyle name="20% - Ênfase3 21 2" xfId="2247" xr:uid="{00000000-0005-0000-0000-00005F060000}"/>
    <cellStyle name="20% - Ênfase3 22" xfId="2248" xr:uid="{00000000-0005-0000-0000-000060060000}"/>
    <cellStyle name="20% - Ênfase3 22 2" xfId="2249" xr:uid="{00000000-0005-0000-0000-000061060000}"/>
    <cellStyle name="20% - Ênfase3 23" xfId="2250" xr:uid="{00000000-0005-0000-0000-000062060000}"/>
    <cellStyle name="20% - Ênfase3 23 2" xfId="2251" xr:uid="{00000000-0005-0000-0000-000063060000}"/>
    <cellStyle name="20% - Ênfase3 24" xfId="2252" xr:uid="{00000000-0005-0000-0000-000064060000}"/>
    <cellStyle name="20% - Ênfase3 24 2" xfId="2253" xr:uid="{00000000-0005-0000-0000-000065060000}"/>
    <cellStyle name="20% - Ênfase3 25" xfId="2254" xr:uid="{00000000-0005-0000-0000-000066060000}"/>
    <cellStyle name="20% - Ênfase3 25 2" xfId="2255" xr:uid="{00000000-0005-0000-0000-000067060000}"/>
    <cellStyle name="20% - Ênfase3 26" xfId="2256" xr:uid="{00000000-0005-0000-0000-000068060000}"/>
    <cellStyle name="20% - Ênfase3 26 2" xfId="2257" xr:uid="{00000000-0005-0000-0000-000069060000}"/>
    <cellStyle name="20% - Ênfase3 27" xfId="2258" xr:uid="{00000000-0005-0000-0000-00006A060000}"/>
    <cellStyle name="20% - Ênfase3 27 2" xfId="2259" xr:uid="{00000000-0005-0000-0000-00006B060000}"/>
    <cellStyle name="20% - Ênfase3 28" xfId="2260" xr:uid="{00000000-0005-0000-0000-00006C060000}"/>
    <cellStyle name="20% - Ênfase3 28 2" xfId="2261" xr:uid="{00000000-0005-0000-0000-00006D060000}"/>
    <cellStyle name="20% - Ênfase3 29" xfId="2262" xr:uid="{00000000-0005-0000-0000-00006E060000}"/>
    <cellStyle name="20% - Ênfase3 29 2" xfId="2263" xr:uid="{00000000-0005-0000-0000-00006F060000}"/>
    <cellStyle name="20% - Ênfase3 3" xfId="2264" xr:uid="{00000000-0005-0000-0000-000070060000}"/>
    <cellStyle name="20% - Ênfase3 3 2" xfId="2265" xr:uid="{00000000-0005-0000-0000-000071060000}"/>
    <cellStyle name="20% - Ênfase3 3 2 10" xfId="2266" xr:uid="{00000000-0005-0000-0000-000072060000}"/>
    <cellStyle name="20% - Ênfase3 3 2 10 2" xfId="2267" xr:uid="{00000000-0005-0000-0000-000073060000}"/>
    <cellStyle name="20% - Ênfase3 3 2 11" xfId="2268" xr:uid="{00000000-0005-0000-0000-000074060000}"/>
    <cellStyle name="20% - Ênfase3 3 2 11 2" xfId="2269" xr:uid="{00000000-0005-0000-0000-000075060000}"/>
    <cellStyle name="20% - Ênfase3 3 2 12" xfId="2270" xr:uid="{00000000-0005-0000-0000-000076060000}"/>
    <cellStyle name="20% - Ênfase3 3 2 12 2" xfId="2271" xr:uid="{00000000-0005-0000-0000-000077060000}"/>
    <cellStyle name="20% - Ênfase3 3 2 2" xfId="2272" xr:uid="{00000000-0005-0000-0000-000078060000}"/>
    <cellStyle name="20% - Ênfase3 3 2 2 10" xfId="2273" xr:uid="{00000000-0005-0000-0000-000079060000}"/>
    <cellStyle name="20% - Ênfase3 3 2 2 11" xfId="2274" xr:uid="{00000000-0005-0000-0000-00007A060000}"/>
    <cellStyle name="20% - Ênfase3 3 2 2 2" xfId="2275" xr:uid="{00000000-0005-0000-0000-00007B060000}"/>
    <cellStyle name="20% - Ênfase3 3 2 2 2 2" xfId="25192" xr:uid="{00000000-0005-0000-0000-00007C060000}"/>
    <cellStyle name="20% - Ênfase3 3 2 2 2 2 2" xfId="26322" xr:uid="{00000000-0005-0000-0000-00007D060000}"/>
    <cellStyle name="20% - Ênfase3 3 2 2 2 3" xfId="26321" xr:uid="{00000000-0005-0000-0000-00007E060000}"/>
    <cellStyle name="20% - Ênfase3 3 2 2 2 4" xfId="25191" xr:uid="{00000000-0005-0000-0000-00007F060000}"/>
    <cellStyle name="20% - Ênfase3 3 2 2 3" xfId="2276" xr:uid="{00000000-0005-0000-0000-000080060000}"/>
    <cellStyle name="20% - Ênfase3 3 2 2 3 2" xfId="26323" xr:uid="{00000000-0005-0000-0000-000081060000}"/>
    <cellStyle name="20% - Ênfase3 3 2 2 3 3" xfId="25193" xr:uid="{00000000-0005-0000-0000-000082060000}"/>
    <cellStyle name="20% - Ênfase3 3 2 2 4" xfId="2277" xr:uid="{00000000-0005-0000-0000-000083060000}"/>
    <cellStyle name="20% - Ênfase3 3 2 2 4 2" xfId="26320" xr:uid="{00000000-0005-0000-0000-000084060000}"/>
    <cellStyle name="20% - Ênfase3 3 2 2 5" xfId="2278" xr:uid="{00000000-0005-0000-0000-000085060000}"/>
    <cellStyle name="20% - Ênfase3 3 2 2 6" xfId="2279" xr:uid="{00000000-0005-0000-0000-000086060000}"/>
    <cellStyle name="20% - Ênfase3 3 2 2 7" xfId="2280" xr:uid="{00000000-0005-0000-0000-000087060000}"/>
    <cellStyle name="20% - Ênfase3 3 2 2 8" xfId="2281" xr:uid="{00000000-0005-0000-0000-000088060000}"/>
    <cellStyle name="20% - Ênfase3 3 2 2 9" xfId="2282" xr:uid="{00000000-0005-0000-0000-000089060000}"/>
    <cellStyle name="20% - Ênfase3 3 2 3" xfId="2283" xr:uid="{00000000-0005-0000-0000-00008A060000}"/>
    <cellStyle name="20% - Ênfase3 3 2 3 2" xfId="25195" xr:uid="{00000000-0005-0000-0000-00008B060000}"/>
    <cellStyle name="20% - Ênfase3 3 2 3 2 2" xfId="26325" xr:uid="{00000000-0005-0000-0000-00008C060000}"/>
    <cellStyle name="20% - Ênfase3 3 2 3 3" xfId="26324" xr:uid="{00000000-0005-0000-0000-00008D060000}"/>
    <cellStyle name="20% - Ênfase3 3 2 3 4" xfId="25194" xr:uid="{00000000-0005-0000-0000-00008E060000}"/>
    <cellStyle name="20% - Ênfase3 3 2 4" xfId="2284" xr:uid="{00000000-0005-0000-0000-00008F060000}"/>
    <cellStyle name="20% - Ênfase3 3 2 4 2" xfId="26326" xr:uid="{00000000-0005-0000-0000-000090060000}"/>
    <cellStyle name="20% - Ênfase3 3 2 4 3" xfId="25196" xr:uid="{00000000-0005-0000-0000-000091060000}"/>
    <cellStyle name="20% - Ênfase3 3 2 5" xfId="2285" xr:uid="{00000000-0005-0000-0000-000092060000}"/>
    <cellStyle name="20% - Ênfase3 3 2 5 2" xfId="2286" xr:uid="{00000000-0005-0000-0000-000093060000}"/>
    <cellStyle name="20% - Ênfase3 3 2 6" xfId="2287" xr:uid="{00000000-0005-0000-0000-000094060000}"/>
    <cellStyle name="20% - Ênfase3 3 2 6 2" xfId="2288" xr:uid="{00000000-0005-0000-0000-000095060000}"/>
    <cellStyle name="20% - Ênfase3 3 2 7" xfId="2289" xr:uid="{00000000-0005-0000-0000-000096060000}"/>
    <cellStyle name="20% - Ênfase3 3 2 7 2" xfId="2290" xr:uid="{00000000-0005-0000-0000-000097060000}"/>
    <cellStyle name="20% - Ênfase3 3 2 8" xfId="2291" xr:uid="{00000000-0005-0000-0000-000098060000}"/>
    <cellStyle name="20% - Ênfase3 3 2 8 2" xfId="2292" xr:uid="{00000000-0005-0000-0000-000099060000}"/>
    <cellStyle name="20% - Ênfase3 3 2 9" xfId="2293" xr:uid="{00000000-0005-0000-0000-00009A060000}"/>
    <cellStyle name="20% - Ênfase3 3 2 9 2" xfId="2294" xr:uid="{00000000-0005-0000-0000-00009B060000}"/>
    <cellStyle name="20% - Ênfase3 3 3" xfId="2295" xr:uid="{00000000-0005-0000-0000-00009C060000}"/>
    <cellStyle name="20% - Ênfase3 3 3 2" xfId="25198" xr:uid="{00000000-0005-0000-0000-00009D060000}"/>
    <cellStyle name="20% - Ênfase3 3 3 2 2" xfId="25199" xr:uid="{00000000-0005-0000-0000-00009E060000}"/>
    <cellStyle name="20% - Ênfase3 3 3 2 2 2" xfId="26329" xr:uid="{00000000-0005-0000-0000-00009F060000}"/>
    <cellStyle name="20% - Ênfase3 3 3 2 3" xfId="26328" xr:uid="{00000000-0005-0000-0000-0000A0060000}"/>
    <cellStyle name="20% - Ênfase3 3 3 3" xfId="25200" xr:uid="{00000000-0005-0000-0000-0000A1060000}"/>
    <cellStyle name="20% - Ênfase3 3 3 3 2" xfId="26330" xr:uid="{00000000-0005-0000-0000-0000A2060000}"/>
    <cellStyle name="20% - Ênfase3 3 3 4" xfId="26327" xr:uid="{00000000-0005-0000-0000-0000A3060000}"/>
    <cellStyle name="20% - Ênfase3 3 3 5" xfId="25197" xr:uid="{00000000-0005-0000-0000-0000A4060000}"/>
    <cellStyle name="20% - Ênfase3 3 4" xfId="2296" xr:uid="{00000000-0005-0000-0000-0000A5060000}"/>
    <cellStyle name="20% - Ênfase3 3 4 2" xfId="26331" xr:uid="{00000000-0005-0000-0000-0000A6060000}"/>
    <cellStyle name="20% - Ênfase3 3 5" xfId="2297" xr:uid="{00000000-0005-0000-0000-0000A7060000}"/>
    <cellStyle name="20% - Ênfase3 3 5 10" xfId="2298" xr:uid="{00000000-0005-0000-0000-0000A8060000}"/>
    <cellStyle name="20% - Ênfase3 3 5 10 2" xfId="2299" xr:uid="{00000000-0005-0000-0000-0000A9060000}"/>
    <cellStyle name="20% - Ênfase3 3 5 2" xfId="2300" xr:uid="{00000000-0005-0000-0000-0000AA060000}"/>
    <cellStyle name="20% - Ênfase3 3 5 2 2" xfId="2301" xr:uid="{00000000-0005-0000-0000-0000AB060000}"/>
    <cellStyle name="20% - Ênfase3 3 5 3" xfId="2302" xr:uid="{00000000-0005-0000-0000-0000AC060000}"/>
    <cellStyle name="20% - Ênfase3 3 5 3 2" xfId="2303" xr:uid="{00000000-0005-0000-0000-0000AD060000}"/>
    <cellStyle name="20% - Ênfase3 3 5 4" xfId="2304" xr:uid="{00000000-0005-0000-0000-0000AE060000}"/>
    <cellStyle name="20% - Ênfase3 3 5 4 2" xfId="2305" xr:uid="{00000000-0005-0000-0000-0000AF060000}"/>
    <cellStyle name="20% - Ênfase3 3 5 5" xfId="2306" xr:uid="{00000000-0005-0000-0000-0000B0060000}"/>
    <cellStyle name="20% - Ênfase3 3 5 5 2" xfId="2307" xr:uid="{00000000-0005-0000-0000-0000B1060000}"/>
    <cellStyle name="20% - Ênfase3 3 5 6" xfId="2308" xr:uid="{00000000-0005-0000-0000-0000B2060000}"/>
    <cellStyle name="20% - Ênfase3 3 5 6 2" xfId="2309" xr:uid="{00000000-0005-0000-0000-0000B3060000}"/>
    <cellStyle name="20% - Ênfase3 3 5 7" xfId="2310" xr:uid="{00000000-0005-0000-0000-0000B4060000}"/>
    <cellStyle name="20% - Ênfase3 3 5 7 2" xfId="2311" xr:uid="{00000000-0005-0000-0000-0000B5060000}"/>
    <cellStyle name="20% - Ênfase3 3 5 8" xfId="2312" xr:uid="{00000000-0005-0000-0000-0000B6060000}"/>
    <cellStyle name="20% - Ênfase3 3 5 8 2" xfId="2313" xr:uid="{00000000-0005-0000-0000-0000B7060000}"/>
    <cellStyle name="20% - Ênfase3 3 5 9" xfId="2314" xr:uid="{00000000-0005-0000-0000-0000B8060000}"/>
    <cellStyle name="20% - Ênfase3 3 5 9 2" xfId="2315" xr:uid="{00000000-0005-0000-0000-0000B9060000}"/>
    <cellStyle name="20% - Ênfase3 3 6" xfId="2316" xr:uid="{00000000-0005-0000-0000-0000BA060000}"/>
    <cellStyle name="20% - Ênfase3 3 6 2" xfId="2317" xr:uid="{00000000-0005-0000-0000-0000BB060000}"/>
    <cellStyle name="20% - Ênfase3 3 6 2 2" xfId="2318" xr:uid="{00000000-0005-0000-0000-0000BC060000}"/>
    <cellStyle name="20% - Ênfase3 3 6 3" xfId="2319" xr:uid="{00000000-0005-0000-0000-0000BD060000}"/>
    <cellStyle name="20% - Ênfase3 3 6 3 2" xfId="2320" xr:uid="{00000000-0005-0000-0000-0000BE060000}"/>
    <cellStyle name="20% - Ênfase3 3 6 4" xfId="2321" xr:uid="{00000000-0005-0000-0000-0000BF060000}"/>
    <cellStyle name="20% - Ênfase3 3 6 4 2" xfId="2322" xr:uid="{00000000-0005-0000-0000-0000C0060000}"/>
    <cellStyle name="20% - Ênfase3 3 6 5" xfId="2323" xr:uid="{00000000-0005-0000-0000-0000C1060000}"/>
    <cellStyle name="20% - Ênfase3 3 6 5 2" xfId="2324" xr:uid="{00000000-0005-0000-0000-0000C2060000}"/>
    <cellStyle name="20% - Ênfase3 3 6 6" xfId="2325" xr:uid="{00000000-0005-0000-0000-0000C3060000}"/>
    <cellStyle name="20% - Ênfase3 3 7" xfId="25201" xr:uid="{00000000-0005-0000-0000-0000C4060000}"/>
    <cellStyle name="20% - Ênfase3 3 7 2" xfId="26332" xr:uid="{00000000-0005-0000-0000-0000C5060000}"/>
    <cellStyle name="20% - Ênfase3 3 8" xfId="26319" xr:uid="{00000000-0005-0000-0000-0000C6060000}"/>
    <cellStyle name="20% - Ênfase3 30" xfId="2326" xr:uid="{00000000-0005-0000-0000-0000C7060000}"/>
    <cellStyle name="20% - Ênfase3 30 2" xfId="2327" xr:uid="{00000000-0005-0000-0000-0000C8060000}"/>
    <cellStyle name="20% - Ênfase3 31" xfId="2328" xr:uid="{00000000-0005-0000-0000-0000C9060000}"/>
    <cellStyle name="20% - Ênfase3 31 2" xfId="2329" xr:uid="{00000000-0005-0000-0000-0000CA060000}"/>
    <cellStyle name="20% - Ênfase3 32" xfId="2330" xr:uid="{00000000-0005-0000-0000-0000CB060000}"/>
    <cellStyle name="20% - Ênfase3 32 2" xfId="2331" xr:uid="{00000000-0005-0000-0000-0000CC060000}"/>
    <cellStyle name="20% - Ênfase3 33" xfId="2332" xr:uid="{00000000-0005-0000-0000-0000CD060000}"/>
    <cellStyle name="20% - Ênfase3 33 2" xfId="2333" xr:uid="{00000000-0005-0000-0000-0000CE060000}"/>
    <cellStyle name="20% - Ênfase3 34" xfId="2334" xr:uid="{00000000-0005-0000-0000-0000CF060000}"/>
    <cellStyle name="20% - Ênfase3 34 2" xfId="2335" xr:uid="{00000000-0005-0000-0000-0000D0060000}"/>
    <cellStyle name="20% - Ênfase3 35" xfId="2336" xr:uid="{00000000-0005-0000-0000-0000D1060000}"/>
    <cellStyle name="20% - Ênfase3 35 2" xfId="2337" xr:uid="{00000000-0005-0000-0000-0000D2060000}"/>
    <cellStyle name="20% - Ênfase3 36" xfId="2338" xr:uid="{00000000-0005-0000-0000-0000D3060000}"/>
    <cellStyle name="20% - Ênfase3 36 2" xfId="2339" xr:uid="{00000000-0005-0000-0000-0000D4060000}"/>
    <cellStyle name="20% - Ênfase3 37" xfId="2340" xr:uid="{00000000-0005-0000-0000-0000D5060000}"/>
    <cellStyle name="20% - Ênfase3 37 2" xfId="2341" xr:uid="{00000000-0005-0000-0000-0000D6060000}"/>
    <cellStyle name="20% - Ênfase3 38" xfId="2342" xr:uid="{00000000-0005-0000-0000-0000D7060000}"/>
    <cellStyle name="20% - Ênfase3 38 2" xfId="2343" xr:uid="{00000000-0005-0000-0000-0000D8060000}"/>
    <cellStyle name="20% - Ênfase3 39" xfId="2344" xr:uid="{00000000-0005-0000-0000-0000D9060000}"/>
    <cellStyle name="20% - Ênfase3 39 2" xfId="2345" xr:uid="{00000000-0005-0000-0000-0000DA060000}"/>
    <cellStyle name="20% - Ênfase3 4" xfId="2346" xr:uid="{00000000-0005-0000-0000-0000DB060000}"/>
    <cellStyle name="20% - Ênfase3 4 2" xfId="2347" xr:uid="{00000000-0005-0000-0000-0000DC060000}"/>
    <cellStyle name="20% - Ênfase3 4 2 10" xfId="2348" xr:uid="{00000000-0005-0000-0000-0000DD060000}"/>
    <cellStyle name="20% - Ênfase3 4 2 10 2" xfId="2349" xr:uid="{00000000-0005-0000-0000-0000DE060000}"/>
    <cellStyle name="20% - Ênfase3 4 2 11" xfId="2350" xr:uid="{00000000-0005-0000-0000-0000DF060000}"/>
    <cellStyle name="20% - Ênfase3 4 2 11 2" xfId="2351" xr:uid="{00000000-0005-0000-0000-0000E0060000}"/>
    <cellStyle name="20% - Ênfase3 4 2 12" xfId="2352" xr:uid="{00000000-0005-0000-0000-0000E1060000}"/>
    <cellStyle name="20% - Ênfase3 4 2 12 2" xfId="2353" xr:uid="{00000000-0005-0000-0000-0000E2060000}"/>
    <cellStyle name="20% - Ênfase3 4 2 2" xfId="2354" xr:uid="{00000000-0005-0000-0000-0000E3060000}"/>
    <cellStyle name="20% - Ênfase3 4 2 2 10" xfId="2355" xr:uid="{00000000-0005-0000-0000-0000E4060000}"/>
    <cellStyle name="20% - Ênfase3 4 2 2 11" xfId="2356" xr:uid="{00000000-0005-0000-0000-0000E5060000}"/>
    <cellStyle name="20% - Ênfase3 4 2 2 2" xfId="2357" xr:uid="{00000000-0005-0000-0000-0000E6060000}"/>
    <cellStyle name="20% - Ênfase3 4 2 2 2 2" xfId="25203" xr:uid="{00000000-0005-0000-0000-0000E7060000}"/>
    <cellStyle name="20% - Ênfase3 4 2 2 2 2 2" xfId="26336" xr:uid="{00000000-0005-0000-0000-0000E8060000}"/>
    <cellStyle name="20% - Ênfase3 4 2 2 2 3" xfId="26335" xr:uid="{00000000-0005-0000-0000-0000E9060000}"/>
    <cellStyle name="20% - Ênfase3 4 2 2 2 4" xfId="25202" xr:uid="{00000000-0005-0000-0000-0000EA060000}"/>
    <cellStyle name="20% - Ênfase3 4 2 2 3" xfId="2358" xr:uid="{00000000-0005-0000-0000-0000EB060000}"/>
    <cellStyle name="20% - Ênfase3 4 2 2 3 2" xfId="26337" xr:uid="{00000000-0005-0000-0000-0000EC060000}"/>
    <cellStyle name="20% - Ênfase3 4 2 2 3 3" xfId="25204" xr:uid="{00000000-0005-0000-0000-0000ED060000}"/>
    <cellStyle name="20% - Ênfase3 4 2 2 4" xfId="2359" xr:uid="{00000000-0005-0000-0000-0000EE060000}"/>
    <cellStyle name="20% - Ênfase3 4 2 2 4 2" xfId="26334" xr:uid="{00000000-0005-0000-0000-0000EF060000}"/>
    <cellStyle name="20% - Ênfase3 4 2 2 5" xfId="2360" xr:uid="{00000000-0005-0000-0000-0000F0060000}"/>
    <cellStyle name="20% - Ênfase3 4 2 2 6" xfId="2361" xr:uid="{00000000-0005-0000-0000-0000F1060000}"/>
    <cellStyle name="20% - Ênfase3 4 2 2 7" xfId="2362" xr:uid="{00000000-0005-0000-0000-0000F2060000}"/>
    <cellStyle name="20% - Ênfase3 4 2 2 8" xfId="2363" xr:uid="{00000000-0005-0000-0000-0000F3060000}"/>
    <cellStyle name="20% - Ênfase3 4 2 2 9" xfId="2364" xr:uid="{00000000-0005-0000-0000-0000F4060000}"/>
    <cellStyle name="20% - Ênfase3 4 2 3" xfId="2365" xr:uid="{00000000-0005-0000-0000-0000F5060000}"/>
    <cellStyle name="20% - Ênfase3 4 2 3 2" xfId="25206" xr:uid="{00000000-0005-0000-0000-0000F6060000}"/>
    <cellStyle name="20% - Ênfase3 4 2 3 2 2" xfId="26339" xr:uid="{00000000-0005-0000-0000-0000F7060000}"/>
    <cellStyle name="20% - Ênfase3 4 2 3 3" xfId="26338" xr:uid="{00000000-0005-0000-0000-0000F8060000}"/>
    <cellStyle name="20% - Ênfase3 4 2 3 4" xfId="25205" xr:uid="{00000000-0005-0000-0000-0000F9060000}"/>
    <cellStyle name="20% - Ênfase3 4 2 4" xfId="2366" xr:uid="{00000000-0005-0000-0000-0000FA060000}"/>
    <cellStyle name="20% - Ênfase3 4 2 4 2" xfId="26340" xr:uid="{00000000-0005-0000-0000-0000FB060000}"/>
    <cellStyle name="20% - Ênfase3 4 2 4 3" xfId="25207" xr:uid="{00000000-0005-0000-0000-0000FC060000}"/>
    <cellStyle name="20% - Ênfase3 4 2 5" xfId="2367" xr:uid="{00000000-0005-0000-0000-0000FD060000}"/>
    <cellStyle name="20% - Ênfase3 4 2 5 2" xfId="2368" xr:uid="{00000000-0005-0000-0000-0000FE060000}"/>
    <cellStyle name="20% - Ênfase3 4 2 6" xfId="2369" xr:uid="{00000000-0005-0000-0000-0000FF060000}"/>
    <cellStyle name="20% - Ênfase3 4 2 6 2" xfId="2370" xr:uid="{00000000-0005-0000-0000-000000070000}"/>
    <cellStyle name="20% - Ênfase3 4 2 7" xfId="2371" xr:uid="{00000000-0005-0000-0000-000001070000}"/>
    <cellStyle name="20% - Ênfase3 4 2 7 2" xfId="2372" xr:uid="{00000000-0005-0000-0000-000002070000}"/>
    <cellStyle name="20% - Ênfase3 4 2 8" xfId="2373" xr:uid="{00000000-0005-0000-0000-000003070000}"/>
    <cellStyle name="20% - Ênfase3 4 2 8 2" xfId="2374" xr:uid="{00000000-0005-0000-0000-000004070000}"/>
    <cellStyle name="20% - Ênfase3 4 2 9" xfId="2375" xr:uid="{00000000-0005-0000-0000-000005070000}"/>
    <cellStyle name="20% - Ênfase3 4 2 9 2" xfId="2376" xr:uid="{00000000-0005-0000-0000-000006070000}"/>
    <cellStyle name="20% - Ênfase3 4 3" xfId="2377" xr:uid="{00000000-0005-0000-0000-000007070000}"/>
    <cellStyle name="20% - Ênfase3 4 3 2" xfId="25209" xr:uid="{00000000-0005-0000-0000-000008070000}"/>
    <cellStyle name="20% - Ênfase3 4 3 2 2" xfId="25210" xr:uid="{00000000-0005-0000-0000-000009070000}"/>
    <cellStyle name="20% - Ênfase3 4 3 2 2 2" xfId="26343" xr:uid="{00000000-0005-0000-0000-00000A070000}"/>
    <cellStyle name="20% - Ênfase3 4 3 2 3" xfId="26342" xr:uid="{00000000-0005-0000-0000-00000B070000}"/>
    <cellStyle name="20% - Ênfase3 4 3 3" xfId="25211" xr:uid="{00000000-0005-0000-0000-00000C070000}"/>
    <cellStyle name="20% - Ênfase3 4 3 3 2" xfId="26344" xr:uid="{00000000-0005-0000-0000-00000D070000}"/>
    <cellStyle name="20% - Ênfase3 4 3 4" xfId="26341" xr:uid="{00000000-0005-0000-0000-00000E070000}"/>
    <cellStyle name="20% - Ênfase3 4 3 5" xfId="25208" xr:uid="{00000000-0005-0000-0000-00000F070000}"/>
    <cellStyle name="20% - Ênfase3 4 4" xfId="2378" xr:uid="{00000000-0005-0000-0000-000010070000}"/>
    <cellStyle name="20% - Ênfase3 4 4 2" xfId="26345" xr:uid="{00000000-0005-0000-0000-000011070000}"/>
    <cellStyle name="20% - Ênfase3 4 5" xfId="2379" xr:uid="{00000000-0005-0000-0000-000012070000}"/>
    <cellStyle name="20% - Ênfase3 4 5 10" xfId="2380" xr:uid="{00000000-0005-0000-0000-000013070000}"/>
    <cellStyle name="20% - Ênfase3 4 5 10 2" xfId="2381" xr:uid="{00000000-0005-0000-0000-000014070000}"/>
    <cellStyle name="20% - Ênfase3 4 5 2" xfId="2382" xr:uid="{00000000-0005-0000-0000-000015070000}"/>
    <cellStyle name="20% - Ênfase3 4 5 2 2" xfId="2383" xr:uid="{00000000-0005-0000-0000-000016070000}"/>
    <cellStyle name="20% - Ênfase3 4 5 3" xfId="2384" xr:uid="{00000000-0005-0000-0000-000017070000}"/>
    <cellStyle name="20% - Ênfase3 4 5 3 2" xfId="2385" xr:uid="{00000000-0005-0000-0000-000018070000}"/>
    <cellStyle name="20% - Ênfase3 4 5 4" xfId="2386" xr:uid="{00000000-0005-0000-0000-000019070000}"/>
    <cellStyle name="20% - Ênfase3 4 5 4 2" xfId="2387" xr:uid="{00000000-0005-0000-0000-00001A070000}"/>
    <cellStyle name="20% - Ênfase3 4 5 5" xfId="2388" xr:uid="{00000000-0005-0000-0000-00001B070000}"/>
    <cellStyle name="20% - Ênfase3 4 5 5 2" xfId="2389" xr:uid="{00000000-0005-0000-0000-00001C070000}"/>
    <cellStyle name="20% - Ênfase3 4 5 6" xfId="2390" xr:uid="{00000000-0005-0000-0000-00001D070000}"/>
    <cellStyle name="20% - Ênfase3 4 5 6 2" xfId="2391" xr:uid="{00000000-0005-0000-0000-00001E070000}"/>
    <cellStyle name="20% - Ênfase3 4 5 7" xfId="2392" xr:uid="{00000000-0005-0000-0000-00001F070000}"/>
    <cellStyle name="20% - Ênfase3 4 5 7 2" xfId="2393" xr:uid="{00000000-0005-0000-0000-000020070000}"/>
    <cellStyle name="20% - Ênfase3 4 5 8" xfId="2394" xr:uid="{00000000-0005-0000-0000-000021070000}"/>
    <cellStyle name="20% - Ênfase3 4 5 8 2" xfId="2395" xr:uid="{00000000-0005-0000-0000-000022070000}"/>
    <cellStyle name="20% - Ênfase3 4 5 9" xfId="2396" xr:uid="{00000000-0005-0000-0000-000023070000}"/>
    <cellStyle name="20% - Ênfase3 4 5 9 2" xfId="2397" xr:uid="{00000000-0005-0000-0000-000024070000}"/>
    <cellStyle name="20% - Ênfase3 4 6" xfId="2398" xr:uid="{00000000-0005-0000-0000-000025070000}"/>
    <cellStyle name="20% - Ênfase3 4 6 2" xfId="2399" xr:uid="{00000000-0005-0000-0000-000026070000}"/>
    <cellStyle name="20% - Ênfase3 4 6 2 2" xfId="2400" xr:uid="{00000000-0005-0000-0000-000027070000}"/>
    <cellStyle name="20% - Ênfase3 4 6 3" xfId="2401" xr:uid="{00000000-0005-0000-0000-000028070000}"/>
    <cellStyle name="20% - Ênfase3 4 6 3 2" xfId="2402" xr:uid="{00000000-0005-0000-0000-000029070000}"/>
    <cellStyle name="20% - Ênfase3 4 6 4" xfId="2403" xr:uid="{00000000-0005-0000-0000-00002A070000}"/>
    <cellStyle name="20% - Ênfase3 4 6 4 2" xfId="2404" xr:uid="{00000000-0005-0000-0000-00002B070000}"/>
    <cellStyle name="20% - Ênfase3 4 6 5" xfId="2405" xr:uid="{00000000-0005-0000-0000-00002C070000}"/>
    <cellStyle name="20% - Ênfase3 4 6 5 2" xfId="2406" xr:uid="{00000000-0005-0000-0000-00002D070000}"/>
    <cellStyle name="20% - Ênfase3 4 6 6" xfId="2407" xr:uid="{00000000-0005-0000-0000-00002E070000}"/>
    <cellStyle name="20% - Ênfase3 4 7" xfId="26333" xr:uid="{00000000-0005-0000-0000-00002F070000}"/>
    <cellStyle name="20% - Ênfase3 40" xfId="2408" xr:uid="{00000000-0005-0000-0000-000030070000}"/>
    <cellStyle name="20% - Ênfase3 40 2" xfId="2409" xr:uid="{00000000-0005-0000-0000-000031070000}"/>
    <cellStyle name="20% - Ênfase3 41" xfId="2410" xr:uid="{00000000-0005-0000-0000-000032070000}"/>
    <cellStyle name="20% - Ênfase3 41 2" xfId="2411" xr:uid="{00000000-0005-0000-0000-000033070000}"/>
    <cellStyle name="20% - Ênfase3 42" xfId="2412" xr:uid="{00000000-0005-0000-0000-000034070000}"/>
    <cellStyle name="20% - Ênfase3 42 2" xfId="2413" xr:uid="{00000000-0005-0000-0000-000035070000}"/>
    <cellStyle name="20% - Ênfase3 43" xfId="2414" xr:uid="{00000000-0005-0000-0000-000036070000}"/>
    <cellStyle name="20% - Ênfase3 43 2" xfId="2415" xr:uid="{00000000-0005-0000-0000-000037070000}"/>
    <cellStyle name="20% - Ênfase3 44" xfId="2416" xr:uid="{00000000-0005-0000-0000-000038070000}"/>
    <cellStyle name="20% - Ênfase3 44 2" xfId="2417" xr:uid="{00000000-0005-0000-0000-000039070000}"/>
    <cellStyle name="20% - Ênfase3 45" xfId="2418" xr:uid="{00000000-0005-0000-0000-00003A070000}"/>
    <cellStyle name="20% - Ênfase3 45 2" xfId="2419" xr:uid="{00000000-0005-0000-0000-00003B070000}"/>
    <cellStyle name="20% - Ênfase3 46" xfId="2420" xr:uid="{00000000-0005-0000-0000-00003C070000}"/>
    <cellStyle name="20% - Ênfase3 46 2" xfId="2421" xr:uid="{00000000-0005-0000-0000-00003D070000}"/>
    <cellStyle name="20% - Ênfase3 47" xfId="2422" xr:uid="{00000000-0005-0000-0000-00003E070000}"/>
    <cellStyle name="20% - Ênfase3 47 2" xfId="2423" xr:uid="{00000000-0005-0000-0000-00003F070000}"/>
    <cellStyle name="20% - Ênfase3 48" xfId="2424" xr:uid="{00000000-0005-0000-0000-000040070000}"/>
    <cellStyle name="20% - Ênfase3 48 2" xfId="2425" xr:uid="{00000000-0005-0000-0000-000041070000}"/>
    <cellStyle name="20% - Ênfase3 49" xfId="2426" xr:uid="{00000000-0005-0000-0000-000042070000}"/>
    <cellStyle name="20% - Ênfase3 49 2" xfId="2427" xr:uid="{00000000-0005-0000-0000-000043070000}"/>
    <cellStyle name="20% - Ênfase3 5" xfId="2428" xr:uid="{00000000-0005-0000-0000-000044070000}"/>
    <cellStyle name="20% - Ênfase3 5 2" xfId="2429" xr:uid="{00000000-0005-0000-0000-000045070000}"/>
    <cellStyle name="20% - Ênfase3 5 2 2" xfId="2430" xr:uid="{00000000-0005-0000-0000-000046070000}"/>
    <cellStyle name="20% - Ênfase3 5 2 2 2" xfId="25213" xr:uid="{00000000-0005-0000-0000-000047070000}"/>
    <cellStyle name="20% - Ênfase3 5 2 2 2 2" xfId="25214" xr:uid="{00000000-0005-0000-0000-000048070000}"/>
    <cellStyle name="20% - Ênfase3 5 2 2 2 2 2" xfId="26348" xr:uid="{00000000-0005-0000-0000-000049070000}"/>
    <cellStyle name="20% - Ênfase3 5 2 2 2 3" xfId="26347" xr:uid="{00000000-0005-0000-0000-00004A070000}"/>
    <cellStyle name="20% - Ênfase3 5 2 2 3" xfId="25215" xr:uid="{00000000-0005-0000-0000-00004B070000}"/>
    <cellStyle name="20% - Ênfase3 5 2 2 3 2" xfId="26349" xr:uid="{00000000-0005-0000-0000-00004C070000}"/>
    <cellStyle name="20% - Ênfase3 5 2 2 4" xfId="26346" xr:uid="{00000000-0005-0000-0000-00004D070000}"/>
    <cellStyle name="20% - Ênfase3 5 2 2 5" xfId="25212" xr:uid="{00000000-0005-0000-0000-00004E070000}"/>
    <cellStyle name="20% - Ênfase3 5 2 3" xfId="2431" xr:uid="{00000000-0005-0000-0000-00004F070000}"/>
    <cellStyle name="20% - Ênfase3 5 2 3 2" xfId="25217" xr:uid="{00000000-0005-0000-0000-000050070000}"/>
    <cellStyle name="20% - Ênfase3 5 2 3 2 2" xfId="26351" xr:uid="{00000000-0005-0000-0000-000051070000}"/>
    <cellStyle name="20% - Ênfase3 5 2 3 3" xfId="26350" xr:uid="{00000000-0005-0000-0000-000052070000}"/>
    <cellStyle name="20% - Ênfase3 5 2 3 4" xfId="25216" xr:uid="{00000000-0005-0000-0000-000053070000}"/>
    <cellStyle name="20% - Ênfase3 5 2 4" xfId="2432" xr:uid="{00000000-0005-0000-0000-000054070000}"/>
    <cellStyle name="20% - Ênfase3 5 2 4 2" xfId="26352" xr:uid="{00000000-0005-0000-0000-000055070000}"/>
    <cellStyle name="20% - Ênfase3 5 2 4 3" xfId="25218" xr:uid="{00000000-0005-0000-0000-000056070000}"/>
    <cellStyle name="20% - Ênfase3 5 2 5" xfId="2433" xr:uid="{00000000-0005-0000-0000-000057070000}"/>
    <cellStyle name="20% - Ênfase3 5 2 5 2" xfId="2434" xr:uid="{00000000-0005-0000-0000-000058070000}"/>
    <cellStyle name="20% - Ênfase3 5 2 6" xfId="2435" xr:uid="{00000000-0005-0000-0000-000059070000}"/>
    <cellStyle name="20% - Ênfase3 5 2 6 2" xfId="2436" xr:uid="{00000000-0005-0000-0000-00005A070000}"/>
    <cellStyle name="20% - Ênfase3 5 2 7" xfId="2437" xr:uid="{00000000-0005-0000-0000-00005B070000}"/>
    <cellStyle name="20% - Ênfase3 5 2 7 2" xfId="2438" xr:uid="{00000000-0005-0000-0000-00005C070000}"/>
    <cellStyle name="20% - Ênfase3 5 2 8" xfId="2439" xr:uid="{00000000-0005-0000-0000-00005D070000}"/>
    <cellStyle name="20% - Ênfase3 5 2 8 2" xfId="2440" xr:uid="{00000000-0005-0000-0000-00005E070000}"/>
    <cellStyle name="20% - Ênfase3 5 2 9" xfId="2441" xr:uid="{00000000-0005-0000-0000-00005F070000}"/>
    <cellStyle name="20% - Ênfase3 5 3" xfId="2442" xr:uid="{00000000-0005-0000-0000-000060070000}"/>
    <cellStyle name="20% - Ênfase3 5 3 2" xfId="25220" xr:uid="{00000000-0005-0000-0000-000061070000}"/>
    <cellStyle name="20% - Ênfase3 5 3 2 2" xfId="25221" xr:uid="{00000000-0005-0000-0000-000062070000}"/>
    <cellStyle name="20% - Ênfase3 5 3 2 2 2" xfId="26355" xr:uid="{00000000-0005-0000-0000-000063070000}"/>
    <cellStyle name="20% - Ênfase3 5 3 2 3" xfId="26354" xr:uid="{00000000-0005-0000-0000-000064070000}"/>
    <cellStyle name="20% - Ênfase3 5 3 3" xfId="25222" xr:uid="{00000000-0005-0000-0000-000065070000}"/>
    <cellStyle name="20% - Ênfase3 5 3 3 2" xfId="26356" xr:uid="{00000000-0005-0000-0000-000066070000}"/>
    <cellStyle name="20% - Ênfase3 5 3 4" xfId="26353" xr:uid="{00000000-0005-0000-0000-000067070000}"/>
    <cellStyle name="20% - Ênfase3 5 3 5" xfId="25219" xr:uid="{00000000-0005-0000-0000-000068070000}"/>
    <cellStyle name="20% - Ênfase3 5 4" xfId="2443" xr:uid="{00000000-0005-0000-0000-000069070000}"/>
    <cellStyle name="20% - Ênfase3 5 4 2" xfId="25224" xr:uid="{00000000-0005-0000-0000-00006A070000}"/>
    <cellStyle name="20% - Ênfase3 5 4 2 2" xfId="26358" xr:uid="{00000000-0005-0000-0000-00006B070000}"/>
    <cellStyle name="20% - Ênfase3 5 4 3" xfId="26357" xr:uid="{00000000-0005-0000-0000-00006C070000}"/>
    <cellStyle name="20% - Ênfase3 5 4 4" xfId="25223" xr:uid="{00000000-0005-0000-0000-00006D070000}"/>
    <cellStyle name="20% - Ênfase3 5 5" xfId="2444" xr:uid="{00000000-0005-0000-0000-00006E070000}"/>
    <cellStyle name="20% - Ênfase3 5 5 2" xfId="2445" xr:uid="{00000000-0005-0000-0000-00006F070000}"/>
    <cellStyle name="20% - Ênfase3 5 5 2 2" xfId="2446" xr:uid="{00000000-0005-0000-0000-000070070000}"/>
    <cellStyle name="20% - Ênfase3 5 5 3" xfId="2447" xr:uid="{00000000-0005-0000-0000-000071070000}"/>
    <cellStyle name="20% - Ênfase3 5 5 3 2" xfId="2448" xr:uid="{00000000-0005-0000-0000-000072070000}"/>
    <cellStyle name="20% - Ênfase3 5 5 4" xfId="2449" xr:uid="{00000000-0005-0000-0000-000073070000}"/>
    <cellStyle name="20% - Ênfase3 5 5 4 2" xfId="2450" xr:uid="{00000000-0005-0000-0000-000074070000}"/>
    <cellStyle name="20% - Ênfase3 5 5 5" xfId="2451" xr:uid="{00000000-0005-0000-0000-000075070000}"/>
    <cellStyle name="20% - Ênfase3 5 5 5 2" xfId="2452" xr:uid="{00000000-0005-0000-0000-000076070000}"/>
    <cellStyle name="20% - Ênfase3 5 5 6" xfId="2453" xr:uid="{00000000-0005-0000-0000-000077070000}"/>
    <cellStyle name="20% - Ênfase3 5 6" xfId="2454" xr:uid="{00000000-0005-0000-0000-000078070000}"/>
    <cellStyle name="20% - Ênfase3 5 6 2" xfId="2455" xr:uid="{00000000-0005-0000-0000-000079070000}"/>
    <cellStyle name="20% - Ênfase3 5 6 2 2" xfId="2456" xr:uid="{00000000-0005-0000-0000-00007A070000}"/>
    <cellStyle name="20% - Ênfase3 5 6 3" xfId="2457" xr:uid="{00000000-0005-0000-0000-00007B070000}"/>
    <cellStyle name="20% - Ênfase3 5 6 3 2" xfId="2458" xr:uid="{00000000-0005-0000-0000-00007C070000}"/>
    <cellStyle name="20% - Ênfase3 5 6 4" xfId="2459" xr:uid="{00000000-0005-0000-0000-00007D070000}"/>
    <cellStyle name="20% - Ênfase3 5 6 4 2" xfId="2460" xr:uid="{00000000-0005-0000-0000-00007E070000}"/>
    <cellStyle name="20% - Ênfase3 5 6 5" xfId="2461" xr:uid="{00000000-0005-0000-0000-00007F070000}"/>
    <cellStyle name="20% - Ênfase3 5 6 5 2" xfId="2462" xr:uid="{00000000-0005-0000-0000-000080070000}"/>
    <cellStyle name="20% - Ênfase3 5 6 6" xfId="2463" xr:uid="{00000000-0005-0000-0000-000081070000}"/>
    <cellStyle name="20% - Ênfase3 50" xfId="2464" xr:uid="{00000000-0005-0000-0000-000082070000}"/>
    <cellStyle name="20% - Ênfase3 50 2" xfId="2465" xr:uid="{00000000-0005-0000-0000-000083070000}"/>
    <cellStyle name="20% - Ênfase3 51" xfId="2466" xr:uid="{00000000-0005-0000-0000-000084070000}"/>
    <cellStyle name="20% - Ênfase3 51 2" xfId="2467" xr:uid="{00000000-0005-0000-0000-000085070000}"/>
    <cellStyle name="20% - Ênfase3 52" xfId="2468" xr:uid="{00000000-0005-0000-0000-000086070000}"/>
    <cellStyle name="20% - Ênfase3 52 2" xfId="2469" xr:uid="{00000000-0005-0000-0000-000087070000}"/>
    <cellStyle name="20% - Ênfase3 53" xfId="2470" xr:uid="{00000000-0005-0000-0000-000088070000}"/>
    <cellStyle name="20% - Ênfase3 53 2" xfId="2471" xr:uid="{00000000-0005-0000-0000-000089070000}"/>
    <cellStyle name="20% - Ênfase3 54" xfId="2472" xr:uid="{00000000-0005-0000-0000-00008A070000}"/>
    <cellStyle name="20% - Ênfase3 54 2" xfId="2473" xr:uid="{00000000-0005-0000-0000-00008B070000}"/>
    <cellStyle name="20% - Ênfase3 55" xfId="2474" xr:uid="{00000000-0005-0000-0000-00008C070000}"/>
    <cellStyle name="20% - Ênfase3 55 2" xfId="2475" xr:uid="{00000000-0005-0000-0000-00008D070000}"/>
    <cellStyle name="20% - Ênfase3 6" xfId="2476" xr:uid="{00000000-0005-0000-0000-00008E070000}"/>
    <cellStyle name="20% - Ênfase3 6 10" xfId="2477" xr:uid="{00000000-0005-0000-0000-00008F070000}"/>
    <cellStyle name="20% - Ênfase3 6 10 2" xfId="2478" xr:uid="{00000000-0005-0000-0000-000090070000}"/>
    <cellStyle name="20% - Ênfase3 6 11" xfId="2479" xr:uid="{00000000-0005-0000-0000-000091070000}"/>
    <cellStyle name="20% - Ênfase3 6 11 2" xfId="2480" xr:uid="{00000000-0005-0000-0000-000092070000}"/>
    <cellStyle name="20% - Ênfase3 6 12" xfId="2481" xr:uid="{00000000-0005-0000-0000-000093070000}"/>
    <cellStyle name="20% - Ênfase3 6 12 2" xfId="2482" xr:uid="{00000000-0005-0000-0000-000094070000}"/>
    <cellStyle name="20% - Ênfase3 6 13" xfId="2483" xr:uid="{00000000-0005-0000-0000-000095070000}"/>
    <cellStyle name="20% - Ênfase3 6 13 2" xfId="2484" xr:uid="{00000000-0005-0000-0000-000096070000}"/>
    <cellStyle name="20% - Ênfase3 6 14" xfId="2485" xr:uid="{00000000-0005-0000-0000-000097070000}"/>
    <cellStyle name="20% - Ênfase3 6 14 2" xfId="2486" xr:uid="{00000000-0005-0000-0000-000098070000}"/>
    <cellStyle name="20% - Ênfase3 6 15" xfId="2487" xr:uid="{00000000-0005-0000-0000-000099070000}"/>
    <cellStyle name="20% - Ênfase3 6 15 2" xfId="2488" xr:uid="{00000000-0005-0000-0000-00009A070000}"/>
    <cellStyle name="20% - Ênfase3 6 16" xfId="2489" xr:uid="{00000000-0005-0000-0000-00009B070000}"/>
    <cellStyle name="20% - Ênfase3 6 16 2" xfId="2490" xr:uid="{00000000-0005-0000-0000-00009C070000}"/>
    <cellStyle name="20% - Ênfase3 6 17" xfId="2491" xr:uid="{00000000-0005-0000-0000-00009D070000}"/>
    <cellStyle name="20% - Ênfase3 6 17 2" xfId="2492" xr:uid="{00000000-0005-0000-0000-00009E070000}"/>
    <cellStyle name="20% - Ênfase3 6 18" xfId="2493" xr:uid="{00000000-0005-0000-0000-00009F070000}"/>
    <cellStyle name="20% - Ênfase3 6 18 2" xfId="2494" xr:uid="{00000000-0005-0000-0000-0000A0070000}"/>
    <cellStyle name="20% - Ênfase3 6 19" xfId="2495" xr:uid="{00000000-0005-0000-0000-0000A1070000}"/>
    <cellStyle name="20% - Ênfase3 6 19 2" xfId="2496" xr:uid="{00000000-0005-0000-0000-0000A2070000}"/>
    <cellStyle name="20% - Ênfase3 6 2" xfId="2497" xr:uid="{00000000-0005-0000-0000-0000A3070000}"/>
    <cellStyle name="20% - Ênfase3 6 2 2" xfId="2498" xr:uid="{00000000-0005-0000-0000-0000A4070000}"/>
    <cellStyle name="20% - Ênfase3 6 2 2 2" xfId="2499" xr:uid="{00000000-0005-0000-0000-0000A5070000}"/>
    <cellStyle name="20% - Ênfase3 6 2 2 2 2" xfId="26360" xr:uid="{00000000-0005-0000-0000-0000A6070000}"/>
    <cellStyle name="20% - Ênfase3 6 2 2 3" xfId="26359" xr:uid="{00000000-0005-0000-0000-0000A7070000}"/>
    <cellStyle name="20% - Ênfase3 6 2 3" xfId="2500" xr:uid="{00000000-0005-0000-0000-0000A8070000}"/>
    <cellStyle name="20% - Ênfase3 6 2 3 2" xfId="2501" xr:uid="{00000000-0005-0000-0000-0000A9070000}"/>
    <cellStyle name="20% - Ênfase3 6 2 4" xfId="2502" xr:uid="{00000000-0005-0000-0000-0000AA070000}"/>
    <cellStyle name="20% - Ênfase3 6 2 4 2" xfId="2503" xr:uid="{00000000-0005-0000-0000-0000AB070000}"/>
    <cellStyle name="20% - Ênfase3 6 2 5" xfId="2504" xr:uid="{00000000-0005-0000-0000-0000AC070000}"/>
    <cellStyle name="20% - Ênfase3 6 2 5 2" xfId="2505" xr:uid="{00000000-0005-0000-0000-0000AD070000}"/>
    <cellStyle name="20% - Ênfase3 6 2 6" xfId="2506" xr:uid="{00000000-0005-0000-0000-0000AE070000}"/>
    <cellStyle name="20% - Ênfase3 6 20" xfId="2507" xr:uid="{00000000-0005-0000-0000-0000AF070000}"/>
    <cellStyle name="20% - Ênfase3 6 20 2" xfId="2508" xr:uid="{00000000-0005-0000-0000-0000B0070000}"/>
    <cellStyle name="20% - Ênfase3 6 21" xfId="2509" xr:uid="{00000000-0005-0000-0000-0000B1070000}"/>
    <cellStyle name="20% - Ênfase3 6 21 2" xfId="2510" xr:uid="{00000000-0005-0000-0000-0000B2070000}"/>
    <cellStyle name="20% - Ênfase3 6 22" xfId="2511" xr:uid="{00000000-0005-0000-0000-0000B3070000}"/>
    <cellStyle name="20% - Ênfase3 6 22 2" xfId="2512" xr:uid="{00000000-0005-0000-0000-0000B4070000}"/>
    <cellStyle name="20% - Ênfase3 6 23" xfId="2513" xr:uid="{00000000-0005-0000-0000-0000B5070000}"/>
    <cellStyle name="20% - Ênfase3 6 23 2" xfId="2514" xr:uid="{00000000-0005-0000-0000-0000B6070000}"/>
    <cellStyle name="20% - Ênfase3 6 24" xfId="2515" xr:uid="{00000000-0005-0000-0000-0000B7070000}"/>
    <cellStyle name="20% - Ênfase3 6 24 2" xfId="2516" xr:uid="{00000000-0005-0000-0000-0000B8070000}"/>
    <cellStyle name="20% - Ênfase3 6 25" xfId="2517" xr:uid="{00000000-0005-0000-0000-0000B9070000}"/>
    <cellStyle name="20% - Ênfase3 6 25 2" xfId="2518" xr:uid="{00000000-0005-0000-0000-0000BA070000}"/>
    <cellStyle name="20% - Ênfase3 6 26" xfId="2519" xr:uid="{00000000-0005-0000-0000-0000BB070000}"/>
    <cellStyle name="20% - Ênfase3 6 26 2" xfId="2520" xr:uid="{00000000-0005-0000-0000-0000BC070000}"/>
    <cellStyle name="20% - Ênfase3 6 27" xfId="2521" xr:uid="{00000000-0005-0000-0000-0000BD070000}"/>
    <cellStyle name="20% - Ênfase3 6 27 2" xfId="2522" xr:uid="{00000000-0005-0000-0000-0000BE070000}"/>
    <cellStyle name="20% - Ênfase3 6 28" xfId="2523" xr:uid="{00000000-0005-0000-0000-0000BF070000}"/>
    <cellStyle name="20% - Ênfase3 6 28 2" xfId="2524" xr:uid="{00000000-0005-0000-0000-0000C0070000}"/>
    <cellStyle name="20% - Ênfase3 6 29" xfId="2525" xr:uid="{00000000-0005-0000-0000-0000C1070000}"/>
    <cellStyle name="20% - Ênfase3 6 29 2" xfId="2526" xr:uid="{00000000-0005-0000-0000-0000C2070000}"/>
    <cellStyle name="20% - Ênfase3 6 3" xfId="2527" xr:uid="{00000000-0005-0000-0000-0000C3070000}"/>
    <cellStyle name="20% - Ênfase3 6 3 2" xfId="2528" xr:uid="{00000000-0005-0000-0000-0000C4070000}"/>
    <cellStyle name="20% - Ênfase3 6 3 2 2" xfId="2529" xr:uid="{00000000-0005-0000-0000-0000C5070000}"/>
    <cellStyle name="20% - Ênfase3 6 3 3" xfId="2530" xr:uid="{00000000-0005-0000-0000-0000C6070000}"/>
    <cellStyle name="20% - Ênfase3 6 3 3 2" xfId="2531" xr:uid="{00000000-0005-0000-0000-0000C7070000}"/>
    <cellStyle name="20% - Ênfase3 6 3 4" xfId="2532" xr:uid="{00000000-0005-0000-0000-0000C8070000}"/>
    <cellStyle name="20% - Ênfase3 6 3 4 2" xfId="2533" xr:uid="{00000000-0005-0000-0000-0000C9070000}"/>
    <cellStyle name="20% - Ênfase3 6 3 5" xfId="2534" xr:uid="{00000000-0005-0000-0000-0000CA070000}"/>
    <cellStyle name="20% - Ênfase3 6 3 5 2" xfId="2535" xr:uid="{00000000-0005-0000-0000-0000CB070000}"/>
    <cellStyle name="20% - Ênfase3 6 3 6" xfId="2536" xr:uid="{00000000-0005-0000-0000-0000CC070000}"/>
    <cellStyle name="20% - Ênfase3 6 30" xfId="2537" xr:uid="{00000000-0005-0000-0000-0000CD070000}"/>
    <cellStyle name="20% - Ênfase3 6 30 2" xfId="2538" xr:uid="{00000000-0005-0000-0000-0000CE070000}"/>
    <cellStyle name="20% - Ênfase3 6 31" xfId="2539" xr:uid="{00000000-0005-0000-0000-0000CF070000}"/>
    <cellStyle name="20% - Ênfase3 6 31 2" xfId="2540" xr:uid="{00000000-0005-0000-0000-0000D0070000}"/>
    <cellStyle name="20% - Ênfase3 6 32" xfId="2541" xr:uid="{00000000-0005-0000-0000-0000D1070000}"/>
    <cellStyle name="20% - Ênfase3 6 32 2" xfId="2542" xr:uid="{00000000-0005-0000-0000-0000D2070000}"/>
    <cellStyle name="20% - Ênfase3 6 33" xfId="2543" xr:uid="{00000000-0005-0000-0000-0000D3070000}"/>
    <cellStyle name="20% - Ênfase3 6 33 2" xfId="2544" xr:uid="{00000000-0005-0000-0000-0000D4070000}"/>
    <cellStyle name="20% - Ênfase3 6 34" xfId="2545" xr:uid="{00000000-0005-0000-0000-0000D5070000}"/>
    <cellStyle name="20% - Ênfase3 6 34 2" xfId="2546" xr:uid="{00000000-0005-0000-0000-0000D6070000}"/>
    <cellStyle name="20% - Ênfase3 6 35" xfId="2547" xr:uid="{00000000-0005-0000-0000-0000D7070000}"/>
    <cellStyle name="20% - Ênfase3 6 35 2" xfId="2548" xr:uid="{00000000-0005-0000-0000-0000D8070000}"/>
    <cellStyle name="20% - Ênfase3 6 36" xfId="2549" xr:uid="{00000000-0005-0000-0000-0000D9070000}"/>
    <cellStyle name="20% - Ênfase3 6 36 2" xfId="2550" xr:uid="{00000000-0005-0000-0000-0000DA070000}"/>
    <cellStyle name="20% - Ênfase3 6 37" xfId="2551" xr:uid="{00000000-0005-0000-0000-0000DB070000}"/>
    <cellStyle name="20% - Ênfase3 6 4" xfId="2552" xr:uid="{00000000-0005-0000-0000-0000DC070000}"/>
    <cellStyle name="20% - Ênfase3 6 4 2" xfId="2553" xr:uid="{00000000-0005-0000-0000-0000DD070000}"/>
    <cellStyle name="20% - Ênfase3 6 4 2 2" xfId="2554" xr:uid="{00000000-0005-0000-0000-0000DE070000}"/>
    <cellStyle name="20% - Ênfase3 6 4 3" xfId="2555" xr:uid="{00000000-0005-0000-0000-0000DF070000}"/>
    <cellStyle name="20% - Ênfase3 6 4 3 2" xfId="2556" xr:uid="{00000000-0005-0000-0000-0000E0070000}"/>
    <cellStyle name="20% - Ênfase3 6 4 4" xfId="2557" xr:uid="{00000000-0005-0000-0000-0000E1070000}"/>
    <cellStyle name="20% - Ênfase3 6 4 4 2" xfId="2558" xr:uid="{00000000-0005-0000-0000-0000E2070000}"/>
    <cellStyle name="20% - Ênfase3 6 4 5" xfId="2559" xr:uid="{00000000-0005-0000-0000-0000E3070000}"/>
    <cellStyle name="20% - Ênfase3 6 4 5 2" xfId="2560" xr:uid="{00000000-0005-0000-0000-0000E4070000}"/>
    <cellStyle name="20% - Ênfase3 6 4 6" xfId="2561" xr:uid="{00000000-0005-0000-0000-0000E5070000}"/>
    <cellStyle name="20% - Ênfase3 6 5" xfId="2562" xr:uid="{00000000-0005-0000-0000-0000E6070000}"/>
    <cellStyle name="20% - Ênfase3 6 5 2" xfId="2563" xr:uid="{00000000-0005-0000-0000-0000E7070000}"/>
    <cellStyle name="20% - Ênfase3 6 6" xfId="2564" xr:uid="{00000000-0005-0000-0000-0000E8070000}"/>
    <cellStyle name="20% - Ênfase3 6 6 2" xfId="2565" xr:uid="{00000000-0005-0000-0000-0000E9070000}"/>
    <cellStyle name="20% - Ênfase3 6 7" xfId="2566" xr:uid="{00000000-0005-0000-0000-0000EA070000}"/>
    <cellStyle name="20% - Ênfase3 6 7 2" xfId="2567" xr:uid="{00000000-0005-0000-0000-0000EB070000}"/>
    <cellStyle name="20% - Ênfase3 6 8" xfId="2568" xr:uid="{00000000-0005-0000-0000-0000EC070000}"/>
    <cellStyle name="20% - Ênfase3 6 8 2" xfId="2569" xr:uid="{00000000-0005-0000-0000-0000ED070000}"/>
    <cellStyle name="20% - Ênfase3 6 9" xfId="2570" xr:uid="{00000000-0005-0000-0000-0000EE070000}"/>
    <cellStyle name="20% - Ênfase3 6 9 2" xfId="2571" xr:uid="{00000000-0005-0000-0000-0000EF070000}"/>
    <cellStyle name="20% - Ênfase3 7" xfId="2572" xr:uid="{00000000-0005-0000-0000-0000F0070000}"/>
    <cellStyle name="20% - Ênfase3 7 10" xfId="2573" xr:uid="{00000000-0005-0000-0000-0000F1070000}"/>
    <cellStyle name="20% - Ênfase3 7 10 2" xfId="2574" xr:uid="{00000000-0005-0000-0000-0000F2070000}"/>
    <cellStyle name="20% - Ênfase3 7 11" xfId="2575" xr:uid="{00000000-0005-0000-0000-0000F3070000}"/>
    <cellStyle name="20% - Ênfase3 7 11 2" xfId="2576" xr:uid="{00000000-0005-0000-0000-0000F4070000}"/>
    <cellStyle name="20% - Ênfase3 7 12" xfId="2577" xr:uid="{00000000-0005-0000-0000-0000F5070000}"/>
    <cellStyle name="20% - Ênfase3 7 12 2" xfId="2578" xr:uid="{00000000-0005-0000-0000-0000F6070000}"/>
    <cellStyle name="20% - Ênfase3 7 13" xfId="2579" xr:uid="{00000000-0005-0000-0000-0000F7070000}"/>
    <cellStyle name="20% - Ênfase3 7 13 2" xfId="2580" xr:uid="{00000000-0005-0000-0000-0000F8070000}"/>
    <cellStyle name="20% - Ênfase3 7 14" xfId="2581" xr:uid="{00000000-0005-0000-0000-0000F9070000}"/>
    <cellStyle name="20% - Ênfase3 7 14 2" xfId="2582" xr:uid="{00000000-0005-0000-0000-0000FA070000}"/>
    <cellStyle name="20% - Ênfase3 7 15" xfId="2583" xr:uid="{00000000-0005-0000-0000-0000FB070000}"/>
    <cellStyle name="20% - Ênfase3 7 15 2" xfId="2584" xr:uid="{00000000-0005-0000-0000-0000FC070000}"/>
    <cellStyle name="20% - Ênfase3 7 16" xfId="2585" xr:uid="{00000000-0005-0000-0000-0000FD070000}"/>
    <cellStyle name="20% - Ênfase3 7 16 2" xfId="2586" xr:uid="{00000000-0005-0000-0000-0000FE070000}"/>
    <cellStyle name="20% - Ênfase3 7 17" xfId="2587" xr:uid="{00000000-0005-0000-0000-0000FF070000}"/>
    <cellStyle name="20% - Ênfase3 7 17 2" xfId="2588" xr:uid="{00000000-0005-0000-0000-000000080000}"/>
    <cellStyle name="20% - Ênfase3 7 18" xfId="2589" xr:uid="{00000000-0005-0000-0000-000001080000}"/>
    <cellStyle name="20% - Ênfase3 7 18 2" xfId="2590" xr:uid="{00000000-0005-0000-0000-000002080000}"/>
    <cellStyle name="20% - Ênfase3 7 19" xfId="2591" xr:uid="{00000000-0005-0000-0000-000003080000}"/>
    <cellStyle name="20% - Ênfase3 7 19 2" xfId="2592" xr:uid="{00000000-0005-0000-0000-000004080000}"/>
    <cellStyle name="20% - Ênfase3 7 2" xfId="2593" xr:uid="{00000000-0005-0000-0000-000005080000}"/>
    <cellStyle name="20% - Ênfase3 7 2 2" xfId="2594" xr:uid="{00000000-0005-0000-0000-000006080000}"/>
    <cellStyle name="20% - Ênfase3 7 2 2 2" xfId="2595" xr:uid="{00000000-0005-0000-0000-000007080000}"/>
    <cellStyle name="20% - Ênfase3 7 2 2 2 2" xfId="26362" xr:uid="{00000000-0005-0000-0000-000008080000}"/>
    <cellStyle name="20% - Ênfase3 7 2 2 3" xfId="26361" xr:uid="{00000000-0005-0000-0000-000009080000}"/>
    <cellStyle name="20% - Ênfase3 7 2 3" xfId="2596" xr:uid="{00000000-0005-0000-0000-00000A080000}"/>
    <cellStyle name="20% - Ênfase3 7 2 3 2" xfId="2597" xr:uid="{00000000-0005-0000-0000-00000B080000}"/>
    <cellStyle name="20% - Ênfase3 7 2 4" xfId="2598" xr:uid="{00000000-0005-0000-0000-00000C080000}"/>
    <cellStyle name="20% - Ênfase3 7 2 4 2" xfId="2599" xr:uid="{00000000-0005-0000-0000-00000D080000}"/>
    <cellStyle name="20% - Ênfase3 7 2 5" xfId="2600" xr:uid="{00000000-0005-0000-0000-00000E080000}"/>
    <cellStyle name="20% - Ênfase3 7 2 5 2" xfId="2601" xr:uid="{00000000-0005-0000-0000-00000F080000}"/>
    <cellStyle name="20% - Ênfase3 7 2 6" xfId="2602" xr:uid="{00000000-0005-0000-0000-000010080000}"/>
    <cellStyle name="20% - Ênfase3 7 20" xfId="2603" xr:uid="{00000000-0005-0000-0000-000011080000}"/>
    <cellStyle name="20% - Ênfase3 7 20 2" xfId="2604" xr:uid="{00000000-0005-0000-0000-000012080000}"/>
    <cellStyle name="20% - Ênfase3 7 21" xfId="2605" xr:uid="{00000000-0005-0000-0000-000013080000}"/>
    <cellStyle name="20% - Ênfase3 7 21 2" xfId="2606" xr:uid="{00000000-0005-0000-0000-000014080000}"/>
    <cellStyle name="20% - Ênfase3 7 22" xfId="2607" xr:uid="{00000000-0005-0000-0000-000015080000}"/>
    <cellStyle name="20% - Ênfase3 7 22 2" xfId="2608" xr:uid="{00000000-0005-0000-0000-000016080000}"/>
    <cellStyle name="20% - Ênfase3 7 23" xfId="2609" xr:uid="{00000000-0005-0000-0000-000017080000}"/>
    <cellStyle name="20% - Ênfase3 7 23 2" xfId="2610" xr:uid="{00000000-0005-0000-0000-000018080000}"/>
    <cellStyle name="20% - Ênfase3 7 24" xfId="2611" xr:uid="{00000000-0005-0000-0000-000019080000}"/>
    <cellStyle name="20% - Ênfase3 7 24 2" xfId="2612" xr:uid="{00000000-0005-0000-0000-00001A080000}"/>
    <cellStyle name="20% - Ênfase3 7 25" xfId="2613" xr:uid="{00000000-0005-0000-0000-00001B080000}"/>
    <cellStyle name="20% - Ênfase3 7 25 2" xfId="2614" xr:uid="{00000000-0005-0000-0000-00001C080000}"/>
    <cellStyle name="20% - Ênfase3 7 26" xfId="2615" xr:uid="{00000000-0005-0000-0000-00001D080000}"/>
    <cellStyle name="20% - Ênfase3 7 26 2" xfId="2616" xr:uid="{00000000-0005-0000-0000-00001E080000}"/>
    <cellStyle name="20% - Ênfase3 7 27" xfId="2617" xr:uid="{00000000-0005-0000-0000-00001F080000}"/>
    <cellStyle name="20% - Ênfase3 7 27 2" xfId="2618" xr:uid="{00000000-0005-0000-0000-000020080000}"/>
    <cellStyle name="20% - Ênfase3 7 28" xfId="2619" xr:uid="{00000000-0005-0000-0000-000021080000}"/>
    <cellStyle name="20% - Ênfase3 7 28 2" xfId="2620" xr:uid="{00000000-0005-0000-0000-000022080000}"/>
    <cellStyle name="20% - Ênfase3 7 29" xfId="2621" xr:uid="{00000000-0005-0000-0000-000023080000}"/>
    <cellStyle name="20% - Ênfase3 7 29 2" xfId="2622" xr:uid="{00000000-0005-0000-0000-000024080000}"/>
    <cellStyle name="20% - Ênfase3 7 3" xfId="2623" xr:uid="{00000000-0005-0000-0000-000025080000}"/>
    <cellStyle name="20% - Ênfase3 7 3 2" xfId="2624" xr:uid="{00000000-0005-0000-0000-000026080000}"/>
    <cellStyle name="20% - Ênfase3 7 3 2 2" xfId="2625" xr:uid="{00000000-0005-0000-0000-000027080000}"/>
    <cellStyle name="20% - Ênfase3 7 3 3" xfId="2626" xr:uid="{00000000-0005-0000-0000-000028080000}"/>
    <cellStyle name="20% - Ênfase3 7 3 3 2" xfId="2627" xr:uid="{00000000-0005-0000-0000-000029080000}"/>
    <cellStyle name="20% - Ênfase3 7 3 4" xfId="2628" xr:uid="{00000000-0005-0000-0000-00002A080000}"/>
    <cellStyle name="20% - Ênfase3 7 3 4 2" xfId="2629" xr:uid="{00000000-0005-0000-0000-00002B080000}"/>
    <cellStyle name="20% - Ênfase3 7 3 5" xfId="2630" xr:uid="{00000000-0005-0000-0000-00002C080000}"/>
    <cellStyle name="20% - Ênfase3 7 3 5 2" xfId="2631" xr:uid="{00000000-0005-0000-0000-00002D080000}"/>
    <cellStyle name="20% - Ênfase3 7 3 6" xfId="2632" xr:uid="{00000000-0005-0000-0000-00002E080000}"/>
    <cellStyle name="20% - Ênfase3 7 30" xfId="2633" xr:uid="{00000000-0005-0000-0000-00002F080000}"/>
    <cellStyle name="20% - Ênfase3 7 30 2" xfId="2634" xr:uid="{00000000-0005-0000-0000-000030080000}"/>
    <cellStyle name="20% - Ênfase3 7 31" xfId="2635" xr:uid="{00000000-0005-0000-0000-000031080000}"/>
    <cellStyle name="20% - Ênfase3 7 31 2" xfId="2636" xr:uid="{00000000-0005-0000-0000-000032080000}"/>
    <cellStyle name="20% - Ênfase3 7 32" xfId="2637" xr:uid="{00000000-0005-0000-0000-000033080000}"/>
    <cellStyle name="20% - Ênfase3 7 32 2" xfId="2638" xr:uid="{00000000-0005-0000-0000-000034080000}"/>
    <cellStyle name="20% - Ênfase3 7 33" xfId="2639" xr:uid="{00000000-0005-0000-0000-000035080000}"/>
    <cellStyle name="20% - Ênfase3 7 33 2" xfId="2640" xr:uid="{00000000-0005-0000-0000-000036080000}"/>
    <cellStyle name="20% - Ênfase3 7 34" xfId="2641" xr:uid="{00000000-0005-0000-0000-000037080000}"/>
    <cellStyle name="20% - Ênfase3 7 34 2" xfId="2642" xr:uid="{00000000-0005-0000-0000-000038080000}"/>
    <cellStyle name="20% - Ênfase3 7 35" xfId="2643" xr:uid="{00000000-0005-0000-0000-000039080000}"/>
    <cellStyle name="20% - Ênfase3 7 35 2" xfId="2644" xr:uid="{00000000-0005-0000-0000-00003A080000}"/>
    <cellStyle name="20% - Ênfase3 7 36" xfId="2645" xr:uid="{00000000-0005-0000-0000-00003B080000}"/>
    <cellStyle name="20% - Ênfase3 7 36 2" xfId="2646" xr:uid="{00000000-0005-0000-0000-00003C080000}"/>
    <cellStyle name="20% - Ênfase3 7 37" xfId="2647" xr:uid="{00000000-0005-0000-0000-00003D080000}"/>
    <cellStyle name="20% - Ênfase3 7 4" xfId="2648" xr:uid="{00000000-0005-0000-0000-00003E080000}"/>
    <cellStyle name="20% - Ênfase3 7 4 2" xfId="2649" xr:uid="{00000000-0005-0000-0000-00003F080000}"/>
    <cellStyle name="20% - Ênfase3 7 4 2 2" xfId="2650" xr:uid="{00000000-0005-0000-0000-000040080000}"/>
    <cellStyle name="20% - Ênfase3 7 4 3" xfId="2651" xr:uid="{00000000-0005-0000-0000-000041080000}"/>
    <cellStyle name="20% - Ênfase3 7 4 3 2" xfId="2652" xr:uid="{00000000-0005-0000-0000-000042080000}"/>
    <cellStyle name="20% - Ênfase3 7 4 4" xfId="2653" xr:uid="{00000000-0005-0000-0000-000043080000}"/>
    <cellStyle name="20% - Ênfase3 7 4 4 2" xfId="2654" xr:uid="{00000000-0005-0000-0000-000044080000}"/>
    <cellStyle name="20% - Ênfase3 7 4 5" xfId="2655" xr:uid="{00000000-0005-0000-0000-000045080000}"/>
    <cellStyle name="20% - Ênfase3 7 4 5 2" xfId="2656" xr:uid="{00000000-0005-0000-0000-000046080000}"/>
    <cellStyle name="20% - Ênfase3 7 4 6" xfId="2657" xr:uid="{00000000-0005-0000-0000-000047080000}"/>
    <cellStyle name="20% - Ênfase3 7 5" xfId="2658" xr:uid="{00000000-0005-0000-0000-000048080000}"/>
    <cellStyle name="20% - Ênfase3 7 5 2" xfId="2659" xr:uid="{00000000-0005-0000-0000-000049080000}"/>
    <cellStyle name="20% - Ênfase3 7 6" xfId="2660" xr:uid="{00000000-0005-0000-0000-00004A080000}"/>
    <cellStyle name="20% - Ênfase3 7 6 2" xfId="2661" xr:uid="{00000000-0005-0000-0000-00004B080000}"/>
    <cellStyle name="20% - Ênfase3 7 7" xfId="2662" xr:uid="{00000000-0005-0000-0000-00004C080000}"/>
    <cellStyle name="20% - Ênfase3 7 7 2" xfId="2663" xr:uid="{00000000-0005-0000-0000-00004D080000}"/>
    <cellStyle name="20% - Ênfase3 7 8" xfId="2664" xr:uid="{00000000-0005-0000-0000-00004E080000}"/>
    <cellStyle name="20% - Ênfase3 7 8 2" xfId="2665" xr:uid="{00000000-0005-0000-0000-00004F080000}"/>
    <cellStyle name="20% - Ênfase3 7 9" xfId="2666" xr:uid="{00000000-0005-0000-0000-000050080000}"/>
    <cellStyle name="20% - Ênfase3 7 9 2" xfId="2667" xr:uid="{00000000-0005-0000-0000-000051080000}"/>
    <cellStyle name="20% - Ênfase3 8" xfId="2668" xr:uid="{00000000-0005-0000-0000-000052080000}"/>
    <cellStyle name="20% - Ênfase3 8 10" xfId="2669" xr:uid="{00000000-0005-0000-0000-000053080000}"/>
    <cellStyle name="20% - Ênfase3 8 10 2" xfId="2670" xr:uid="{00000000-0005-0000-0000-000054080000}"/>
    <cellStyle name="20% - Ênfase3 8 2" xfId="2671" xr:uid="{00000000-0005-0000-0000-000055080000}"/>
    <cellStyle name="20% - Ênfase3 8 2 2" xfId="2672" xr:uid="{00000000-0005-0000-0000-000056080000}"/>
    <cellStyle name="20% - Ênfase3 8 2 2 2" xfId="25225" xr:uid="{00000000-0005-0000-0000-000057080000}"/>
    <cellStyle name="20% - Ênfase3 8 2 2 2 2" xfId="26365" xr:uid="{00000000-0005-0000-0000-000058080000}"/>
    <cellStyle name="20% - Ênfase3 8 2 2 3" xfId="26364" xr:uid="{00000000-0005-0000-0000-000059080000}"/>
    <cellStyle name="20% - Ênfase3 8 2 3" xfId="25226" xr:uid="{00000000-0005-0000-0000-00005A080000}"/>
    <cellStyle name="20% - Ênfase3 8 2 3 2" xfId="26366" xr:uid="{00000000-0005-0000-0000-00005B080000}"/>
    <cellStyle name="20% - Ênfase3 8 2 4" xfId="26363" xr:uid="{00000000-0005-0000-0000-00005C080000}"/>
    <cellStyle name="20% - Ênfase3 8 3" xfId="2673" xr:uid="{00000000-0005-0000-0000-00005D080000}"/>
    <cellStyle name="20% - Ênfase3 8 3 2" xfId="2674" xr:uid="{00000000-0005-0000-0000-00005E080000}"/>
    <cellStyle name="20% - Ênfase3 8 3 2 2" xfId="26368" xr:uid="{00000000-0005-0000-0000-00005F080000}"/>
    <cellStyle name="20% - Ênfase3 8 3 3" xfId="26367" xr:uid="{00000000-0005-0000-0000-000060080000}"/>
    <cellStyle name="20% - Ênfase3 8 4" xfId="2675" xr:uid="{00000000-0005-0000-0000-000061080000}"/>
    <cellStyle name="20% - Ênfase3 8 4 2" xfId="2676" xr:uid="{00000000-0005-0000-0000-000062080000}"/>
    <cellStyle name="20% - Ênfase3 8 5" xfId="2677" xr:uid="{00000000-0005-0000-0000-000063080000}"/>
    <cellStyle name="20% - Ênfase3 8 5 2" xfId="2678" xr:uid="{00000000-0005-0000-0000-000064080000}"/>
    <cellStyle name="20% - Ênfase3 8 6" xfId="2679" xr:uid="{00000000-0005-0000-0000-000065080000}"/>
    <cellStyle name="20% - Ênfase3 8 6 2" xfId="2680" xr:uid="{00000000-0005-0000-0000-000066080000}"/>
    <cellStyle name="20% - Ênfase3 8 7" xfId="2681" xr:uid="{00000000-0005-0000-0000-000067080000}"/>
    <cellStyle name="20% - Ênfase3 8 7 2" xfId="2682" xr:uid="{00000000-0005-0000-0000-000068080000}"/>
    <cellStyle name="20% - Ênfase3 8 8" xfId="2683" xr:uid="{00000000-0005-0000-0000-000069080000}"/>
    <cellStyle name="20% - Ênfase3 8 8 2" xfId="2684" xr:uid="{00000000-0005-0000-0000-00006A080000}"/>
    <cellStyle name="20% - Ênfase3 8 9" xfId="2685" xr:uid="{00000000-0005-0000-0000-00006B080000}"/>
    <cellStyle name="20% - Ênfase3 8 9 2" xfId="2686" xr:uid="{00000000-0005-0000-0000-00006C080000}"/>
    <cellStyle name="20% - Ênfase3 9" xfId="2687" xr:uid="{00000000-0005-0000-0000-00006D080000}"/>
    <cellStyle name="20% - Ênfase3 9 10" xfId="2688" xr:uid="{00000000-0005-0000-0000-00006E080000}"/>
    <cellStyle name="20% - Ênfase3 9 10 2" xfId="2689" xr:uid="{00000000-0005-0000-0000-00006F080000}"/>
    <cellStyle name="20% - Ênfase3 9 11" xfId="2690" xr:uid="{00000000-0005-0000-0000-000070080000}"/>
    <cellStyle name="20% - Ênfase3 9 12" xfId="2691" xr:uid="{00000000-0005-0000-0000-000071080000}"/>
    <cellStyle name="20% - Ênfase3 9 2" xfId="2692" xr:uid="{00000000-0005-0000-0000-000072080000}"/>
    <cellStyle name="20% - Ênfase3 9 2 2" xfId="2693" xr:uid="{00000000-0005-0000-0000-000073080000}"/>
    <cellStyle name="20% - Ênfase3 9 2 2 2" xfId="26370" xr:uid="{00000000-0005-0000-0000-000074080000}"/>
    <cellStyle name="20% - Ênfase3 9 2 3" xfId="26369" xr:uid="{00000000-0005-0000-0000-000075080000}"/>
    <cellStyle name="20% - Ênfase3 9 3" xfId="2694" xr:uid="{00000000-0005-0000-0000-000076080000}"/>
    <cellStyle name="20% - Ênfase3 9 3 2" xfId="2695" xr:uid="{00000000-0005-0000-0000-000077080000}"/>
    <cellStyle name="20% - Ênfase3 9 4" xfId="2696" xr:uid="{00000000-0005-0000-0000-000078080000}"/>
    <cellStyle name="20% - Ênfase3 9 4 2" xfId="2697" xr:uid="{00000000-0005-0000-0000-000079080000}"/>
    <cellStyle name="20% - Ênfase3 9 5" xfId="2698" xr:uid="{00000000-0005-0000-0000-00007A080000}"/>
    <cellStyle name="20% - Ênfase3 9 5 2" xfId="2699" xr:uid="{00000000-0005-0000-0000-00007B080000}"/>
    <cellStyle name="20% - Ênfase3 9 6" xfId="2700" xr:uid="{00000000-0005-0000-0000-00007C080000}"/>
    <cellStyle name="20% - Ênfase3 9 6 2" xfId="2701" xr:uid="{00000000-0005-0000-0000-00007D080000}"/>
    <cellStyle name="20% - Ênfase3 9 7" xfId="2702" xr:uid="{00000000-0005-0000-0000-00007E080000}"/>
    <cellStyle name="20% - Ênfase3 9 7 2" xfId="2703" xr:uid="{00000000-0005-0000-0000-00007F080000}"/>
    <cellStyle name="20% - Ênfase3 9 8" xfId="2704" xr:uid="{00000000-0005-0000-0000-000080080000}"/>
    <cellStyle name="20% - Ênfase3 9 8 2" xfId="2705" xr:uid="{00000000-0005-0000-0000-000081080000}"/>
    <cellStyle name="20% - Ênfase3 9 9" xfId="2706" xr:uid="{00000000-0005-0000-0000-000082080000}"/>
    <cellStyle name="20% - Ênfase3 9 9 2" xfId="2707" xr:uid="{00000000-0005-0000-0000-000083080000}"/>
    <cellStyle name="20% - Ênfase4" xfId="18" builtinId="42" customBuiltin="1"/>
    <cellStyle name="20% - Ênfase4 10" xfId="2708" xr:uid="{00000000-0005-0000-0000-000085080000}"/>
    <cellStyle name="20% - Ênfase4 10 2" xfId="2709" xr:uid="{00000000-0005-0000-0000-000086080000}"/>
    <cellStyle name="20% - Ênfase4 10 2 2" xfId="2710" xr:uid="{00000000-0005-0000-0000-000087080000}"/>
    <cellStyle name="20% - Ênfase4 10 2 2 2" xfId="26372" xr:uid="{00000000-0005-0000-0000-000088080000}"/>
    <cellStyle name="20% - Ênfase4 10 2 3" xfId="26371" xr:uid="{00000000-0005-0000-0000-000089080000}"/>
    <cellStyle name="20% - Ênfase4 10 3" xfId="2711" xr:uid="{00000000-0005-0000-0000-00008A080000}"/>
    <cellStyle name="20% - Ênfase4 10 3 2" xfId="2712" xr:uid="{00000000-0005-0000-0000-00008B080000}"/>
    <cellStyle name="20% - Ênfase4 10 4" xfId="2713" xr:uid="{00000000-0005-0000-0000-00008C080000}"/>
    <cellStyle name="20% - Ênfase4 10 4 2" xfId="2714" xr:uid="{00000000-0005-0000-0000-00008D080000}"/>
    <cellStyle name="20% - Ênfase4 10 5" xfId="2715" xr:uid="{00000000-0005-0000-0000-00008E080000}"/>
    <cellStyle name="20% - Ênfase4 10 5 2" xfId="2716" xr:uid="{00000000-0005-0000-0000-00008F080000}"/>
    <cellStyle name="20% - Ênfase4 10 6" xfId="2717" xr:uid="{00000000-0005-0000-0000-000090080000}"/>
    <cellStyle name="20% - Ênfase4 11" xfId="2718" xr:uid="{00000000-0005-0000-0000-000091080000}"/>
    <cellStyle name="20% - Ênfase4 11 2" xfId="2719" xr:uid="{00000000-0005-0000-0000-000092080000}"/>
    <cellStyle name="20% - Ênfase4 11 2 2" xfId="2720" xr:uid="{00000000-0005-0000-0000-000093080000}"/>
    <cellStyle name="20% - Ênfase4 11 2 3" xfId="26373" xr:uid="{00000000-0005-0000-0000-000094080000}"/>
    <cellStyle name="20% - Ênfase4 11 3" xfId="2721" xr:uid="{00000000-0005-0000-0000-000095080000}"/>
    <cellStyle name="20% - Ênfase4 11 3 2" xfId="2722" xr:uid="{00000000-0005-0000-0000-000096080000}"/>
    <cellStyle name="20% - Ênfase4 11 4" xfId="2723" xr:uid="{00000000-0005-0000-0000-000097080000}"/>
    <cellStyle name="20% - Ênfase4 11 4 2" xfId="2724" xr:uid="{00000000-0005-0000-0000-000098080000}"/>
    <cellStyle name="20% - Ênfase4 11 5" xfId="2725" xr:uid="{00000000-0005-0000-0000-000099080000}"/>
    <cellStyle name="20% - Ênfase4 11 5 2" xfId="2726" xr:uid="{00000000-0005-0000-0000-00009A080000}"/>
    <cellStyle name="20% - Ênfase4 11 6" xfId="2727" xr:uid="{00000000-0005-0000-0000-00009B080000}"/>
    <cellStyle name="20% - Ênfase4 11 7" xfId="25227" xr:uid="{00000000-0005-0000-0000-00009C080000}"/>
    <cellStyle name="20% - Ênfase4 12" xfId="2728" xr:uid="{00000000-0005-0000-0000-00009D080000}"/>
    <cellStyle name="20% - Ênfase4 12 2" xfId="2729" xr:uid="{00000000-0005-0000-0000-00009E080000}"/>
    <cellStyle name="20% - Ênfase4 12 2 2" xfId="2730" xr:uid="{00000000-0005-0000-0000-00009F080000}"/>
    <cellStyle name="20% - Ênfase4 12 2 2 2" xfId="26375" xr:uid="{00000000-0005-0000-0000-0000A0080000}"/>
    <cellStyle name="20% - Ênfase4 12 2 3" xfId="26374" xr:uid="{00000000-0005-0000-0000-0000A1080000}"/>
    <cellStyle name="20% - Ênfase4 12 3" xfId="2731" xr:uid="{00000000-0005-0000-0000-0000A2080000}"/>
    <cellStyle name="20% - Ênfase4 12 3 2" xfId="2732" xr:uid="{00000000-0005-0000-0000-0000A3080000}"/>
    <cellStyle name="20% - Ênfase4 12 4" xfId="2733" xr:uid="{00000000-0005-0000-0000-0000A4080000}"/>
    <cellStyle name="20% - Ênfase4 12 4 2" xfId="2734" xr:uid="{00000000-0005-0000-0000-0000A5080000}"/>
    <cellStyle name="20% - Ênfase4 12 5" xfId="2735" xr:uid="{00000000-0005-0000-0000-0000A6080000}"/>
    <cellStyle name="20% - Ênfase4 12 5 2" xfId="2736" xr:uid="{00000000-0005-0000-0000-0000A7080000}"/>
    <cellStyle name="20% - Ênfase4 12 6" xfId="2737" xr:uid="{00000000-0005-0000-0000-0000A8080000}"/>
    <cellStyle name="20% - Ênfase4 13" xfId="2738" xr:uid="{00000000-0005-0000-0000-0000A9080000}"/>
    <cellStyle name="20% - Ênfase4 13 2" xfId="2739" xr:uid="{00000000-0005-0000-0000-0000AA080000}"/>
    <cellStyle name="20% - Ênfase4 14" xfId="2740" xr:uid="{00000000-0005-0000-0000-0000AB080000}"/>
    <cellStyle name="20% - Ênfase4 14 2" xfId="2741" xr:uid="{00000000-0005-0000-0000-0000AC080000}"/>
    <cellStyle name="20% - Ênfase4 15" xfId="2742" xr:uid="{00000000-0005-0000-0000-0000AD080000}"/>
    <cellStyle name="20% - Ênfase4 15 2" xfId="2743" xr:uid="{00000000-0005-0000-0000-0000AE080000}"/>
    <cellStyle name="20% - Ênfase4 16" xfId="2744" xr:uid="{00000000-0005-0000-0000-0000AF080000}"/>
    <cellStyle name="20% - Ênfase4 16 2" xfId="2745" xr:uid="{00000000-0005-0000-0000-0000B0080000}"/>
    <cellStyle name="20% - Ênfase4 17" xfId="2746" xr:uid="{00000000-0005-0000-0000-0000B1080000}"/>
    <cellStyle name="20% - Ênfase4 17 2" xfId="2747" xr:uid="{00000000-0005-0000-0000-0000B2080000}"/>
    <cellStyle name="20% - Ênfase4 18" xfId="2748" xr:uid="{00000000-0005-0000-0000-0000B3080000}"/>
    <cellStyle name="20% - Ênfase4 18 2" xfId="2749" xr:uid="{00000000-0005-0000-0000-0000B4080000}"/>
    <cellStyle name="20% - Ênfase4 19" xfId="2750" xr:uid="{00000000-0005-0000-0000-0000B5080000}"/>
    <cellStyle name="20% - Ênfase4 19 2" xfId="2751" xr:uid="{00000000-0005-0000-0000-0000B6080000}"/>
    <cellStyle name="20% - Ênfase4 2" xfId="2752" xr:uid="{00000000-0005-0000-0000-0000B7080000}"/>
    <cellStyle name="20% - Ênfase4 2 2" xfId="2753" xr:uid="{00000000-0005-0000-0000-0000B8080000}"/>
    <cellStyle name="20% - Ênfase4 2 2 10" xfId="2754" xr:uid="{00000000-0005-0000-0000-0000B9080000}"/>
    <cellStyle name="20% - Ênfase4 2 2 10 2" xfId="2755" xr:uid="{00000000-0005-0000-0000-0000BA080000}"/>
    <cellStyle name="20% - Ênfase4 2 2 11" xfId="2756" xr:uid="{00000000-0005-0000-0000-0000BB080000}"/>
    <cellStyle name="20% - Ênfase4 2 2 11 2" xfId="2757" xr:uid="{00000000-0005-0000-0000-0000BC080000}"/>
    <cellStyle name="20% - Ênfase4 2 2 12" xfId="2758" xr:uid="{00000000-0005-0000-0000-0000BD080000}"/>
    <cellStyle name="20% - Ênfase4 2 2 12 2" xfId="2759" xr:uid="{00000000-0005-0000-0000-0000BE080000}"/>
    <cellStyle name="20% - Ênfase4 2 2 13" xfId="25228" xr:uid="{00000000-0005-0000-0000-0000BF080000}"/>
    <cellStyle name="20% - Ênfase4 2 2 2" xfId="2760" xr:uid="{00000000-0005-0000-0000-0000C0080000}"/>
    <cellStyle name="20% - Ênfase4 2 2 2 10" xfId="2761" xr:uid="{00000000-0005-0000-0000-0000C1080000}"/>
    <cellStyle name="20% - Ênfase4 2 2 2 11" xfId="2762" xr:uid="{00000000-0005-0000-0000-0000C2080000}"/>
    <cellStyle name="20% - Ênfase4 2 2 2 2" xfId="2763" xr:uid="{00000000-0005-0000-0000-0000C3080000}"/>
    <cellStyle name="20% - Ênfase4 2 2 2 2 2" xfId="25230" xr:uid="{00000000-0005-0000-0000-0000C4080000}"/>
    <cellStyle name="20% - Ênfase4 2 2 2 2 2 2" xfId="26380" xr:uid="{00000000-0005-0000-0000-0000C5080000}"/>
    <cellStyle name="20% - Ênfase4 2 2 2 2 3" xfId="26379" xr:uid="{00000000-0005-0000-0000-0000C6080000}"/>
    <cellStyle name="20% - Ênfase4 2 2 2 2 4" xfId="25229" xr:uid="{00000000-0005-0000-0000-0000C7080000}"/>
    <cellStyle name="20% - Ênfase4 2 2 2 3" xfId="2764" xr:uid="{00000000-0005-0000-0000-0000C8080000}"/>
    <cellStyle name="20% - Ênfase4 2 2 2 3 2" xfId="26381" xr:uid="{00000000-0005-0000-0000-0000C9080000}"/>
    <cellStyle name="20% - Ênfase4 2 2 2 3 3" xfId="25231" xr:uid="{00000000-0005-0000-0000-0000CA080000}"/>
    <cellStyle name="20% - Ênfase4 2 2 2 4" xfId="2765" xr:uid="{00000000-0005-0000-0000-0000CB080000}"/>
    <cellStyle name="20% - Ênfase4 2 2 2 4 2" xfId="26378" xr:uid="{00000000-0005-0000-0000-0000CC080000}"/>
    <cellStyle name="20% - Ênfase4 2 2 2 5" xfId="2766" xr:uid="{00000000-0005-0000-0000-0000CD080000}"/>
    <cellStyle name="20% - Ênfase4 2 2 2 6" xfId="2767" xr:uid="{00000000-0005-0000-0000-0000CE080000}"/>
    <cellStyle name="20% - Ênfase4 2 2 2 7" xfId="2768" xr:uid="{00000000-0005-0000-0000-0000CF080000}"/>
    <cellStyle name="20% - Ênfase4 2 2 2 8" xfId="2769" xr:uid="{00000000-0005-0000-0000-0000D0080000}"/>
    <cellStyle name="20% - Ênfase4 2 2 2 9" xfId="2770" xr:uid="{00000000-0005-0000-0000-0000D1080000}"/>
    <cellStyle name="20% - Ênfase4 2 2 3" xfId="2771" xr:uid="{00000000-0005-0000-0000-0000D2080000}"/>
    <cellStyle name="20% - Ênfase4 2 2 3 2" xfId="25233" xr:uid="{00000000-0005-0000-0000-0000D3080000}"/>
    <cellStyle name="20% - Ênfase4 2 2 3 2 2" xfId="25234" xr:uid="{00000000-0005-0000-0000-0000D4080000}"/>
    <cellStyle name="20% - Ênfase4 2 2 3 2 2 2" xfId="26384" xr:uid="{00000000-0005-0000-0000-0000D5080000}"/>
    <cellStyle name="20% - Ênfase4 2 2 3 2 3" xfId="26383" xr:uid="{00000000-0005-0000-0000-0000D6080000}"/>
    <cellStyle name="20% - Ênfase4 2 2 3 3" xfId="25235" xr:uid="{00000000-0005-0000-0000-0000D7080000}"/>
    <cellStyle name="20% - Ênfase4 2 2 3 3 2" xfId="26385" xr:uid="{00000000-0005-0000-0000-0000D8080000}"/>
    <cellStyle name="20% - Ênfase4 2 2 3 4" xfId="26382" xr:uid="{00000000-0005-0000-0000-0000D9080000}"/>
    <cellStyle name="20% - Ênfase4 2 2 3 5" xfId="25232" xr:uid="{00000000-0005-0000-0000-0000DA080000}"/>
    <cellStyle name="20% - Ênfase4 2 2 4" xfId="2772" xr:uid="{00000000-0005-0000-0000-0000DB080000}"/>
    <cellStyle name="20% - Ênfase4 2 2 4 2" xfId="26386" xr:uid="{00000000-0005-0000-0000-0000DC080000}"/>
    <cellStyle name="20% - Ênfase4 2 2 4 3" xfId="25236" xr:uid="{00000000-0005-0000-0000-0000DD080000}"/>
    <cellStyle name="20% - Ênfase4 2 2 5" xfId="2773" xr:uid="{00000000-0005-0000-0000-0000DE080000}"/>
    <cellStyle name="20% - Ênfase4 2 2 5 2" xfId="2774" xr:uid="{00000000-0005-0000-0000-0000DF080000}"/>
    <cellStyle name="20% - Ênfase4 2 2 5 3" xfId="26377" xr:uid="{00000000-0005-0000-0000-0000E0080000}"/>
    <cellStyle name="20% - Ênfase4 2 2 6" xfId="2775" xr:uid="{00000000-0005-0000-0000-0000E1080000}"/>
    <cellStyle name="20% - Ênfase4 2 2 6 2" xfId="2776" xr:uid="{00000000-0005-0000-0000-0000E2080000}"/>
    <cellStyle name="20% - Ênfase4 2 2 7" xfId="2777" xr:uid="{00000000-0005-0000-0000-0000E3080000}"/>
    <cellStyle name="20% - Ênfase4 2 2 7 2" xfId="2778" xr:uid="{00000000-0005-0000-0000-0000E4080000}"/>
    <cellStyle name="20% - Ênfase4 2 2 8" xfId="2779" xr:uid="{00000000-0005-0000-0000-0000E5080000}"/>
    <cellStyle name="20% - Ênfase4 2 2 8 2" xfId="2780" xr:uid="{00000000-0005-0000-0000-0000E6080000}"/>
    <cellStyle name="20% - Ênfase4 2 2 9" xfId="2781" xr:uid="{00000000-0005-0000-0000-0000E7080000}"/>
    <cellStyle name="20% - Ênfase4 2 2 9 2" xfId="2782" xr:uid="{00000000-0005-0000-0000-0000E8080000}"/>
    <cellStyle name="20% - Ênfase4 2 3" xfId="2783" xr:uid="{00000000-0005-0000-0000-0000E9080000}"/>
    <cellStyle name="20% - Ênfase4 2 3 2" xfId="25238" xr:uid="{00000000-0005-0000-0000-0000EA080000}"/>
    <cellStyle name="20% - Ênfase4 2 3 2 2" xfId="25239" xr:uid="{00000000-0005-0000-0000-0000EB080000}"/>
    <cellStyle name="20% - Ênfase4 2 3 2 2 2" xfId="26389" xr:uid="{00000000-0005-0000-0000-0000EC080000}"/>
    <cellStyle name="20% - Ênfase4 2 3 2 3" xfId="26388" xr:uid="{00000000-0005-0000-0000-0000ED080000}"/>
    <cellStyle name="20% - Ênfase4 2 3 3" xfId="25240" xr:uid="{00000000-0005-0000-0000-0000EE080000}"/>
    <cellStyle name="20% - Ênfase4 2 3 3 2" xfId="26390" xr:uid="{00000000-0005-0000-0000-0000EF080000}"/>
    <cellStyle name="20% - Ênfase4 2 3 4" xfId="26387" xr:uid="{00000000-0005-0000-0000-0000F0080000}"/>
    <cellStyle name="20% - Ênfase4 2 3 5" xfId="25237" xr:uid="{00000000-0005-0000-0000-0000F1080000}"/>
    <cellStyle name="20% - Ênfase4 2 4" xfId="2784" xr:uid="{00000000-0005-0000-0000-0000F2080000}"/>
    <cellStyle name="20% - Ênfase4 2 4 2" xfId="25242" xr:uid="{00000000-0005-0000-0000-0000F3080000}"/>
    <cellStyle name="20% - Ênfase4 2 4 2 2" xfId="25243" xr:uid="{00000000-0005-0000-0000-0000F4080000}"/>
    <cellStyle name="20% - Ênfase4 2 4 2 2 2" xfId="26393" xr:uid="{00000000-0005-0000-0000-0000F5080000}"/>
    <cellStyle name="20% - Ênfase4 2 4 2 3" xfId="26392" xr:uid="{00000000-0005-0000-0000-0000F6080000}"/>
    <cellStyle name="20% - Ênfase4 2 4 3" xfId="25244" xr:uid="{00000000-0005-0000-0000-0000F7080000}"/>
    <cellStyle name="20% - Ênfase4 2 4 3 2" xfId="26394" xr:uid="{00000000-0005-0000-0000-0000F8080000}"/>
    <cellStyle name="20% - Ênfase4 2 4 4" xfId="26391" xr:uid="{00000000-0005-0000-0000-0000F9080000}"/>
    <cellStyle name="20% - Ênfase4 2 4 5" xfId="25241" xr:uid="{00000000-0005-0000-0000-0000FA080000}"/>
    <cellStyle name="20% - Ênfase4 2 5" xfId="2785" xr:uid="{00000000-0005-0000-0000-0000FB080000}"/>
    <cellStyle name="20% - Ênfase4 2 5 10" xfId="2786" xr:uid="{00000000-0005-0000-0000-0000FC080000}"/>
    <cellStyle name="20% - Ênfase4 2 5 10 2" xfId="2787" xr:uid="{00000000-0005-0000-0000-0000FD080000}"/>
    <cellStyle name="20% - Ênfase4 2 5 2" xfId="2788" xr:uid="{00000000-0005-0000-0000-0000FE080000}"/>
    <cellStyle name="20% - Ênfase4 2 5 2 2" xfId="2789" xr:uid="{00000000-0005-0000-0000-0000FF080000}"/>
    <cellStyle name="20% - Ênfase4 2 5 3" xfId="2790" xr:uid="{00000000-0005-0000-0000-000000090000}"/>
    <cellStyle name="20% - Ênfase4 2 5 3 2" xfId="2791" xr:uid="{00000000-0005-0000-0000-000001090000}"/>
    <cellStyle name="20% - Ênfase4 2 5 4" xfId="2792" xr:uid="{00000000-0005-0000-0000-000002090000}"/>
    <cellStyle name="20% - Ênfase4 2 5 4 2" xfId="2793" xr:uid="{00000000-0005-0000-0000-000003090000}"/>
    <cellStyle name="20% - Ênfase4 2 5 5" xfId="2794" xr:uid="{00000000-0005-0000-0000-000004090000}"/>
    <cellStyle name="20% - Ênfase4 2 5 5 2" xfId="2795" xr:uid="{00000000-0005-0000-0000-000005090000}"/>
    <cellStyle name="20% - Ênfase4 2 5 6" xfId="2796" xr:uid="{00000000-0005-0000-0000-000006090000}"/>
    <cellStyle name="20% - Ênfase4 2 5 6 2" xfId="2797" xr:uid="{00000000-0005-0000-0000-000007090000}"/>
    <cellStyle name="20% - Ênfase4 2 5 7" xfId="2798" xr:uid="{00000000-0005-0000-0000-000008090000}"/>
    <cellStyle name="20% - Ênfase4 2 5 7 2" xfId="2799" xr:uid="{00000000-0005-0000-0000-000009090000}"/>
    <cellStyle name="20% - Ênfase4 2 5 8" xfId="2800" xr:uid="{00000000-0005-0000-0000-00000A090000}"/>
    <cellStyle name="20% - Ênfase4 2 5 8 2" xfId="2801" xr:uid="{00000000-0005-0000-0000-00000B090000}"/>
    <cellStyle name="20% - Ênfase4 2 5 9" xfId="2802" xr:uid="{00000000-0005-0000-0000-00000C090000}"/>
    <cellStyle name="20% - Ênfase4 2 5 9 2" xfId="2803" xr:uid="{00000000-0005-0000-0000-00000D090000}"/>
    <cellStyle name="20% - Ênfase4 2 6" xfId="2804" xr:uid="{00000000-0005-0000-0000-00000E090000}"/>
    <cellStyle name="20% - Ênfase4 2 6 2" xfId="2805" xr:uid="{00000000-0005-0000-0000-00000F090000}"/>
    <cellStyle name="20% - Ênfase4 2 6 2 2" xfId="2806" xr:uid="{00000000-0005-0000-0000-000010090000}"/>
    <cellStyle name="20% - Ênfase4 2 6 3" xfId="2807" xr:uid="{00000000-0005-0000-0000-000011090000}"/>
    <cellStyle name="20% - Ênfase4 2 6 3 2" xfId="2808" xr:uid="{00000000-0005-0000-0000-000012090000}"/>
    <cellStyle name="20% - Ênfase4 2 6 4" xfId="2809" xr:uid="{00000000-0005-0000-0000-000013090000}"/>
    <cellStyle name="20% - Ênfase4 2 6 4 2" xfId="2810" xr:uid="{00000000-0005-0000-0000-000014090000}"/>
    <cellStyle name="20% - Ênfase4 2 6 5" xfId="2811" xr:uid="{00000000-0005-0000-0000-000015090000}"/>
    <cellStyle name="20% - Ênfase4 2 6 5 2" xfId="2812" xr:uid="{00000000-0005-0000-0000-000016090000}"/>
    <cellStyle name="20% - Ênfase4 2 6 6" xfId="2813" xr:uid="{00000000-0005-0000-0000-000017090000}"/>
    <cellStyle name="20% - Ênfase4 2 7" xfId="26376" xr:uid="{00000000-0005-0000-0000-000018090000}"/>
    <cellStyle name="20% - Ênfase4 20" xfId="2814" xr:uid="{00000000-0005-0000-0000-000019090000}"/>
    <cellStyle name="20% - Ênfase4 20 2" xfId="2815" xr:uid="{00000000-0005-0000-0000-00001A090000}"/>
    <cellStyle name="20% - Ênfase4 21" xfId="2816" xr:uid="{00000000-0005-0000-0000-00001B090000}"/>
    <cellStyle name="20% - Ênfase4 21 2" xfId="2817" xr:uid="{00000000-0005-0000-0000-00001C090000}"/>
    <cellStyle name="20% - Ênfase4 22" xfId="2818" xr:uid="{00000000-0005-0000-0000-00001D090000}"/>
    <cellStyle name="20% - Ênfase4 22 2" xfId="2819" xr:uid="{00000000-0005-0000-0000-00001E090000}"/>
    <cellStyle name="20% - Ênfase4 23" xfId="2820" xr:uid="{00000000-0005-0000-0000-00001F090000}"/>
    <cellStyle name="20% - Ênfase4 23 2" xfId="2821" xr:uid="{00000000-0005-0000-0000-000020090000}"/>
    <cellStyle name="20% - Ênfase4 24" xfId="2822" xr:uid="{00000000-0005-0000-0000-000021090000}"/>
    <cellStyle name="20% - Ênfase4 24 2" xfId="2823" xr:uid="{00000000-0005-0000-0000-000022090000}"/>
    <cellStyle name="20% - Ênfase4 25" xfId="2824" xr:uid="{00000000-0005-0000-0000-000023090000}"/>
    <cellStyle name="20% - Ênfase4 25 2" xfId="2825" xr:uid="{00000000-0005-0000-0000-000024090000}"/>
    <cellStyle name="20% - Ênfase4 26" xfId="2826" xr:uid="{00000000-0005-0000-0000-000025090000}"/>
    <cellStyle name="20% - Ênfase4 26 2" xfId="2827" xr:uid="{00000000-0005-0000-0000-000026090000}"/>
    <cellStyle name="20% - Ênfase4 27" xfId="2828" xr:uid="{00000000-0005-0000-0000-000027090000}"/>
    <cellStyle name="20% - Ênfase4 27 2" xfId="2829" xr:uid="{00000000-0005-0000-0000-000028090000}"/>
    <cellStyle name="20% - Ênfase4 28" xfId="2830" xr:uid="{00000000-0005-0000-0000-000029090000}"/>
    <cellStyle name="20% - Ênfase4 28 2" xfId="2831" xr:uid="{00000000-0005-0000-0000-00002A090000}"/>
    <cellStyle name="20% - Ênfase4 29" xfId="2832" xr:uid="{00000000-0005-0000-0000-00002B090000}"/>
    <cellStyle name="20% - Ênfase4 29 2" xfId="2833" xr:uid="{00000000-0005-0000-0000-00002C090000}"/>
    <cellStyle name="20% - Ênfase4 3" xfId="2834" xr:uid="{00000000-0005-0000-0000-00002D090000}"/>
    <cellStyle name="20% - Ênfase4 3 2" xfId="2835" xr:uid="{00000000-0005-0000-0000-00002E090000}"/>
    <cellStyle name="20% - Ênfase4 3 2 10" xfId="2836" xr:uid="{00000000-0005-0000-0000-00002F090000}"/>
    <cellStyle name="20% - Ênfase4 3 2 10 2" xfId="2837" xr:uid="{00000000-0005-0000-0000-000030090000}"/>
    <cellStyle name="20% - Ênfase4 3 2 11" xfId="2838" xr:uid="{00000000-0005-0000-0000-000031090000}"/>
    <cellStyle name="20% - Ênfase4 3 2 11 2" xfId="2839" xr:uid="{00000000-0005-0000-0000-000032090000}"/>
    <cellStyle name="20% - Ênfase4 3 2 12" xfId="2840" xr:uid="{00000000-0005-0000-0000-000033090000}"/>
    <cellStyle name="20% - Ênfase4 3 2 12 2" xfId="2841" xr:uid="{00000000-0005-0000-0000-000034090000}"/>
    <cellStyle name="20% - Ênfase4 3 2 2" xfId="2842" xr:uid="{00000000-0005-0000-0000-000035090000}"/>
    <cellStyle name="20% - Ênfase4 3 2 2 10" xfId="2843" xr:uid="{00000000-0005-0000-0000-000036090000}"/>
    <cellStyle name="20% - Ênfase4 3 2 2 11" xfId="2844" xr:uid="{00000000-0005-0000-0000-000037090000}"/>
    <cellStyle name="20% - Ênfase4 3 2 2 2" xfId="2845" xr:uid="{00000000-0005-0000-0000-000038090000}"/>
    <cellStyle name="20% - Ênfase4 3 2 2 2 2" xfId="25246" xr:uid="{00000000-0005-0000-0000-000039090000}"/>
    <cellStyle name="20% - Ênfase4 3 2 2 2 2 2" xfId="26398" xr:uid="{00000000-0005-0000-0000-00003A090000}"/>
    <cellStyle name="20% - Ênfase4 3 2 2 2 3" xfId="26397" xr:uid="{00000000-0005-0000-0000-00003B090000}"/>
    <cellStyle name="20% - Ênfase4 3 2 2 2 4" xfId="25245" xr:uid="{00000000-0005-0000-0000-00003C090000}"/>
    <cellStyle name="20% - Ênfase4 3 2 2 3" xfId="2846" xr:uid="{00000000-0005-0000-0000-00003D090000}"/>
    <cellStyle name="20% - Ênfase4 3 2 2 3 2" xfId="26399" xr:uid="{00000000-0005-0000-0000-00003E090000}"/>
    <cellStyle name="20% - Ênfase4 3 2 2 3 3" xfId="25247" xr:uid="{00000000-0005-0000-0000-00003F090000}"/>
    <cellStyle name="20% - Ênfase4 3 2 2 4" xfId="2847" xr:uid="{00000000-0005-0000-0000-000040090000}"/>
    <cellStyle name="20% - Ênfase4 3 2 2 4 2" xfId="26396" xr:uid="{00000000-0005-0000-0000-000041090000}"/>
    <cellStyle name="20% - Ênfase4 3 2 2 5" xfId="2848" xr:uid="{00000000-0005-0000-0000-000042090000}"/>
    <cellStyle name="20% - Ênfase4 3 2 2 6" xfId="2849" xr:uid="{00000000-0005-0000-0000-000043090000}"/>
    <cellStyle name="20% - Ênfase4 3 2 2 7" xfId="2850" xr:uid="{00000000-0005-0000-0000-000044090000}"/>
    <cellStyle name="20% - Ênfase4 3 2 2 8" xfId="2851" xr:uid="{00000000-0005-0000-0000-000045090000}"/>
    <cellStyle name="20% - Ênfase4 3 2 2 9" xfId="2852" xr:uid="{00000000-0005-0000-0000-000046090000}"/>
    <cellStyle name="20% - Ênfase4 3 2 3" xfId="2853" xr:uid="{00000000-0005-0000-0000-000047090000}"/>
    <cellStyle name="20% - Ênfase4 3 2 3 2" xfId="25249" xr:uid="{00000000-0005-0000-0000-000048090000}"/>
    <cellStyle name="20% - Ênfase4 3 2 3 2 2" xfId="26401" xr:uid="{00000000-0005-0000-0000-000049090000}"/>
    <cellStyle name="20% - Ênfase4 3 2 3 3" xfId="26400" xr:uid="{00000000-0005-0000-0000-00004A090000}"/>
    <cellStyle name="20% - Ênfase4 3 2 3 4" xfId="25248" xr:uid="{00000000-0005-0000-0000-00004B090000}"/>
    <cellStyle name="20% - Ênfase4 3 2 4" xfId="2854" xr:uid="{00000000-0005-0000-0000-00004C090000}"/>
    <cellStyle name="20% - Ênfase4 3 2 4 2" xfId="26402" xr:uid="{00000000-0005-0000-0000-00004D090000}"/>
    <cellStyle name="20% - Ênfase4 3 2 4 3" xfId="25250" xr:uid="{00000000-0005-0000-0000-00004E090000}"/>
    <cellStyle name="20% - Ênfase4 3 2 5" xfId="2855" xr:uid="{00000000-0005-0000-0000-00004F090000}"/>
    <cellStyle name="20% - Ênfase4 3 2 5 2" xfId="2856" xr:uid="{00000000-0005-0000-0000-000050090000}"/>
    <cellStyle name="20% - Ênfase4 3 2 6" xfId="2857" xr:uid="{00000000-0005-0000-0000-000051090000}"/>
    <cellStyle name="20% - Ênfase4 3 2 6 2" xfId="2858" xr:uid="{00000000-0005-0000-0000-000052090000}"/>
    <cellStyle name="20% - Ênfase4 3 2 7" xfId="2859" xr:uid="{00000000-0005-0000-0000-000053090000}"/>
    <cellStyle name="20% - Ênfase4 3 2 7 2" xfId="2860" xr:uid="{00000000-0005-0000-0000-000054090000}"/>
    <cellStyle name="20% - Ênfase4 3 2 8" xfId="2861" xr:uid="{00000000-0005-0000-0000-000055090000}"/>
    <cellStyle name="20% - Ênfase4 3 2 8 2" xfId="2862" xr:uid="{00000000-0005-0000-0000-000056090000}"/>
    <cellStyle name="20% - Ênfase4 3 2 9" xfId="2863" xr:uid="{00000000-0005-0000-0000-000057090000}"/>
    <cellStyle name="20% - Ênfase4 3 2 9 2" xfId="2864" xr:uid="{00000000-0005-0000-0000-000058090000}"/>
    <cellStyle name="20% - Ênfase4 3 3" xfId="2865" xr:uid="{00000000-0005-0000-0000-000059090000}"/>
    <cellStyle name="20% - Ênfase4 3 3 2" xfId="25252" xr:uid="{00000000-0005-0000-0000-00005A090000}"/>
    <cellStyle name="20% - Ênfase4 3 3 2 2" xfId="25253" xr:uid="{00000000-0005-0000-0000-00005B090000}"/>
    <cellStyle name="20% - Ênfase4 3 3 2 2 2" xfId="26405" xr:uid="{00000000-0005-0000-0000-00005C090000}"/>
    <cellStyle name="20% - Ênfase4 3 3 2 3" xfId="26404" xr:uid="{00000000-0005-0000-0000-00005D090000}"/>
    <cellStyle name="20% - Ênfase4 3 3 3" xfId="25254" xr:uid="{00000000-0005-0000-0000-00005E090000}"/>
    <cellStyle name="20% - Ênfase4 3 3 3 2" xfId="26406" xr:uid="{00000000-0005-0000-0000-00005F090000}"/>
    <cellStyle name="20% - Ênfase4 3 3 4" xfId="26403" xr:uid="{00000000-0005-0000-0000-000060090000}"/>
    <cellStyle name="20% - Ênfase4 3 3 5" xfId="25251" xr:uid="{00000000-0005-0000-0000-000061090000}"/>
    <cellStyle name="20% - Ênfase4 3 4" xfId="2866" xr:uid="{00000000-0005-0000-0000-000062090000}"/>
    <cellStyle name="20% - Ênfase4 3 4 2" xfId="26407" xr:uid="{00000000-0005-0000-0000-000063090000}"/>
    <cellStyle name="20% - Ênfase4 3 5" xfId="2867" xr:uid="{00000000-0005-0000-0000-000064090000}"/>
    <cellStyle name="20% - Ênfase4 3 5 10" xfId="2868" xr:uid="{00000000-0005-0000-0000-000065090000}"/>
    <cellStyle name="20% - Ênfase4 3 5 10 2" xfId="2869" xr:uid="{00000000-0005-0000-0000-000066090000}"/>
    <cellStyle name="20% - Ênfase4 3 5 2" xfId="2870" xr:uid="{00000000-0005-0000-0000-000067090000}"/>
    <cellStyle name="20% - Ênfase4 3 5 2 2" xfId="2871" xr:uid="{00000000-0005-0000-0000-000068090000}"/>
    <cellStyle name="20% - Ênfase4 3 5 3" xfId="2872" xr:uid="{00000000-0005-0000-0000-000069090000}"/>
    <cellStyle name="20% - Ênfase4 3 5 3 2" xfId="2873" xr:uid="{00000000-0005-0000-0000-00006A090000}"/>
    <cellStyle name="20% - Ênfase4 3 5 4" xfId="2874" xr:uid="{00000000-0005-0000-0000-00006B090000}"/>
    <cellStyle name="20% - Ênfase4 3 5 4 2" xfId="2875" xr:uid="{00000000-0005-0000-0000-00006C090000}"/>
    <cellStyle name="20% - Ênfase4 3 5 5" xfId="2876" xr:uid="{00000000-0005-0000-0000-00006D090000}"/>
    <cellStyle name="20% - Ênfase4 3 5 5 2" xfId="2877" xr:uid="{00000000-0005-0000-0000-00006E090000}"/>
    <cellStyle name="20% - Ênfase4 3 5 6" xfId="2878" xr:uid="{00000000-0005-0000-0000-00006F090000}"/>
    <cellStyle name="20% - Ênfase4 3 5 6 2" xfId="2879" xr:uid="{00000000-0005-0000-0000-000070090000}"/>
    <cellStyle name="20% - Ênfase4 3 5 7" xfId="2880" xr:uid="{00000000-0005-0000-0000-000071090000}"/>
    <cellStyle name="20% - Ênfase4 3 5 7 2" xfId="2881" xr:uid="{00000000-0005-0000-0000-000072090000}"/>
    <cellStyle name="20% - Ênfase4 3 5 8" xfId="2882" xr:uid="{00000000-0005-0000-0000-000073090000}"/>
    <cellStyle name="20% - Ênfase4 3 5 8 2" xfId="2883" xr:uid="{00000000-0005-0000-0000-000074090000}"/>
    <cellStyle name="20% - Ênfase4 3 5 9" xfId="2884" xr:uid="{00000000-0005-0000-0000-000075090000}"/>
    <cellStyle name="20% - Ênfase4 3 5 9 2" xfId="2885" xr:uid="{00000000-0005-0000-0000-000076090000}"/>
    <cellStyle name="20% - Ênfase4 3 6" xfId="2886" xr:uid="{00000000-0005-0000-0000-000077090000}"/>
    <cellStyle name="20% - Ênfase4 3 6 2" xfId="2887" xr:uid="{00000000-0005-0000-0000-000078090000}"/>
    <cellStyle name="20% - Ênfase4 3 6 2 2" xfId="2888" xr:uid="{00000000-0005-0000-0000-000079090000}"/>
    <cellStyle name="20% - Ênfase4 3 6 3" xfId="2889" xr:uid="{00000000-0005-0000-0000-00007A090000}"/>
    <cellStyle name="20% - Ênfase4 3 6 3 2" xfId="2890" xr:uid="{00000000-0005-0000-0000-00007B090000}"/>
    <cellStyle name="20% - Ênfase4 3 6 4" xfId="2891" xr:uid="{00000000-0005-0000-0000-00007C090000}"/>
    <cellStyle name="20% - Ênfase4 3 6 4 2" xfId="2892" xr:uid="{00000000-0005-0000-0000-00007D090000}"/>
    <cellStyle name="20% - Ênfase4 3 6 5" xfId="2893" xr:uid="{00000000-0005-0000-0000-00007E090000}"/>
    <cellStyle name="20% - Ênfase4 3 6 5 2" xfId="2894" xr:uid="{00000000-0005-0000-0000-00007F090000}"/>
    <cellStyle name="20% - Ênfase4 3 6 6" xfId="2895" xr:uid="{00000000-0005-0000-0000-000080090000}"/>
    <cellStyle name="20% - Ênfase4 3 7" xfId="25255" xr:uid="{00000000-0005-0000-0000-000081090000}"/>
    <cellStyle name="20% - Ênfase4 3 7 2" xfId="26408" xr:uid="{00000000-0005-0000-0000-000082090000}"/>
    <cellStyle name="20% - Ênfase4 3 8" xfId="26395" xr:uid="{00000000-0005-0000-0000-000083090000}"/>
    <cellStyle name="20% - Ênfase4 30" xfId="2896" xr:uid="{00000000-0005-0000-0000-000084090000}"/>
    <cellStyle name="20% - Ênfase4 30 2" xfId="2897" xr:uid="{00000000-0005-0000-0000-000085090000}"/>
    <cellStyle name="20% - Ênfase4 31" xfId="2898" xr:uid="{00000000-0005-0000-0000-000086090000}"/>
    <cellStyle name="20% - Ênfase4 31 2" xfId="2899" xr:uid="{00000000-0005-0000-0000-000087090000}"/>
    <cellStyle name="20% - Ênfase4 32" xfId="2900" xr:uid="{00000000-0005-0000-0000-000088090000}"/>
    <cellStyle name="20% - Ênfase4 32 2" xfId="2901" xr:uid="{00000000-0005-0000-0000-000089090000}"/>
    <cellStyle name="20% - Ênfase4 33" xfId="2902" xr:uid="{00000000-0005-0000-0000-00008A090000}"/>
    <cellStyle name="20% - Ênfase4 33 2" xfId="2903" xr:uid="{00000000-0005-0000-0000-00008B090000}"/>
    <cellStyle name="20% - Ênfase4 34" xfId="2904" xr:uid="{00000000-0005-0000-0000-00008C090000}"/>
    <cellStyle name="20% - Ênfase4 34 2" xfId="2905" xr:uid="{00000000-0005-0000-0000-00008D090000}"/>
    <cellStyle name="20% - Ênfase4 35" xfId="2906" xr:uid="{00000000-0005-0000-0000-00008E090000}"/>
    <cellStyle name="20% - Ênfase4 35 2" xfId="2907" xr:uid="{00000000-0005-0000-0000-00008F090000}"/>
    <cellStyle name="20% - Ênfase4 36" xfId="2908" xr:uid="{00000000-0005-0000-0000-000090090000}"/>
    <cellStyle name="20% - Ênfase4 36 2" xfId="2909" xr:uid="{00000000-0005-0000-0000-000091090000}"/>
    <cellStyle name="20% - Ênfase4 37" xfId="2910" xr:uid="{00000000-0005-0000-0000-000092090000}"/>
    <cellStyle name="20% - Ênfase4 37 2" xfId="2911" xr:uid="{00000000-0005-0000-0000-000093090000}"/>
    <cellStyle name="20% - Ênfase4 38" xfId="2912" xr:uid="{00000000-0005-0000-0000-000094090000}"/>
    <cellStyle name="20% - Ênfase4 38 2" xfId="2913" xr:uid="{00000000-0005-0000-0000-000095090000}"/>
    <cellStyle name="20% - Ênfase4 39" xfId="2914" xr:uid="{00000000-0005-0000-0000-000096090000}"/>
    <cellStyle name="20% - Ênfase4 39 2" xfId="2915" xr:uid="{00000000-0005-0000-0000-000097090000}"/>
    <cellStyle name="20% - Ênfase4 4" xfId="2916" xr:uid="{00000000-0005-0000-0000-000098090000}"/>
    <cellStyle name="20% - Ênfase4 4 2" xfId="2917" xr:uid="{00000000-0005-0000-0000-000099090000}"/>
    <cellStyle name="20% - Ênfase4 4 2 10" xfId="2918" xr:uid="{00000000-0005-0000-0000-00009A090000}"/>
    <cellStyle name="20% - Ênfase4 4 2 10 2" xfId="2919" xr:uid="{00000000-0005-0000-0000-00009B090000}"/>
    <cellStyle name="20% - Ênfase4 4 2 11" xfId="2920" xr:uid="{00000000-0005-0000-0000-00009C090000}"/>
    <cellStyle name="20% - Ênfase4 4 2 11 2" xfId="2921" xr:uid="{00000000-0005-0000-0000-00009D090000}"/>
    <cellStyle name="20% - Ênfase4 4 2 12" xfId="2922" xr:uid="{00000000-0005-0000-0000-00009E090000}"/>
    <cellStyle name="20% - Ênfase4 4 2 12 2" xfId="2923" xr:uid="{00000000-0005-0000-0000-00009F090000}"/>
    <cellStyle name="20% - Ênfase4 4 2 2" xfId="2924" xr:uid="{00000000-0005-0000-0000-0000A0090000}"/>
    <cellStyle name="20% - Ênfase4 4 2 2 10" xfId="2925" xr:uid="{00000000-0005-0000-0000-0000A1090000}"/>
    <cellStyle name="20% - Ênfase4 4 2 2 11" xfId="2926" xr:uid="{00000000-0005-0000-0000-0000A2090000}"/>
    <cellStyle name="20% - Ênfase4 4 2 2 2" xfId="2927" xr:uid="{00000000-0005-0000-0000-0000A3090000}"/>
    <cellStyle name="20% - Ênfase4 4 2 2 2 2" xfId="25257" xr:uid="{00000000-0005-0000-0000-0000A4090000}"/>
    <cellStyle name="20% - Ênfase4 4 2 2 2 2 2" xfId="26412" xr:uid="{00000000-0005-0000-0000-0000A5090000}"/>
    <cellStyle name="20% - Ênfase4 4 2 2 2 3" xfId="26411" xr:uid="{00000000-0005-0000-0000-0000A6090000}"/>
    <cellStyle name="20% - Ênfase4 4 2 2 2 4" xfId="25256" xr:uid="{00000000-0005-0000-0000-0000A7090000}"/>
    <cellStyle name="20% - Ênfase4 4 2 2 3" xfId="2928" xr:uid="{00000000-0005-0000-0000-0000A8090000}"/>
    <cellStyle name="20% - Ênfase4 4 2 2 3 2" xfId="26413" xr:uid="{00000000-0005-0000-0000-0000A9090000}"/>
    <cellStyle name="20% - Ênfase4 4 2 2 3 3" xfId="25258" xr:uid="{00000000-0005-0000-0000-0000AA090000}"/>
    <cellStyle name="20% - Ênfase4 4 2 2 4" xfId="2929" xr:uid="{00000000-0005-0000-0000-0000AB090000}"/>
    <cellStyle name="20% - Ênfase4 4 2 2 4 2" xfId="26410" xr:uid="{00000000-0005-0000-0000-0000AC090000}"/>
    <cellStyle name="20% - Ênfase4 4 2 2 5" xfId="2930" xr:uid="{00000000-0005-0000-0000-0000AD090000}"/>
    <cellStyle name="20% - Ênfase4 4 2 2 6" xfId="2931" xr:uid="{00000000-0005-0000-0000-0000AE090000}"/>
    <cellStyle name="20% - Ênfase4 4 2 2 7" xfId="2932" xr:uid="{00000000-0005-0000-0000-0000AF090000}"/>
    <cellStyle name="20% - Ênfase4 4 2 2 8" xfId="2933" xr:uid="{00000000-0005-0000-0000-0000B0090000}"/>
    <cellStyle name="20% - Ênfase4 4 2 2 9" xfId="2934" xr:uid="{00000000-0005-0000-0000-0000B1090000}"/>
    <cellStyle name="20% - Ênfase4 4 2 3" xfId="2935" xr:uid="{00000000-0005-0000-0000-0000B2090000}"/>
    <cellStyle name="20% - Ênfase4 4 2 3 2" xfId="25260" xr:uid="{00000000-0005-0000-0000-0000B3090000}"/>
    <cellStyle name="20% - Ênfase4 4 2 3 2 2" xfId="26415" xr:uid="{00000000-0005-0000-0000-0000B4090000}"/>
    <cellStyle name="20% - Ênfase4 4 2 3 3" xfId="26414" xr:uid="{00000000-0005-0000-0000-0000B5090000}"/>
    <cellStyle name="20% - Ênfase4 4 2 3 4" xfId="25259" xr:uid="{00000000-0005-0000-0000-0000B6090000}"/>
    <cellStyle name="20% - Ênfase4 4 2 4" xfId="2936" xr:uid="{00000000-0005-0000-0000-0000B7090000}"/>
    <cellStyle name="20% - Ênfase4 4 2 4 2" xfId="26416" xr:uid="{00000000-0005-0000-0000-0000B8090000}"/>
    <cellStyle name="20% - Ênfase4 4 2 4 3" xfId="25261" xr:uid="{00000000-0005-0000-0000-0000B9090000}"/>
    <cellStyle name="20% - Ênfase4 4 2 5" xfId="2937" xr:uid="{00000000-0005-0000-0000-0000BA090000}"/>
    <cellStyle name="20% - Ênfase4 4 2 5 2" xfId="2938" xr:uid="{00000000-0005-0000-0000-0000BB090000}"/>
    <cellStyle name="20% - Ênfase4 4 2 6" xfId="2939" xr:uid="{00000000-0005-0000-0000-0000BC090000}"/>
    <cellStyle name="20% - Ênfase4 4 2 6 2" xfId="2940" xr:uid="{00000000-0005-0000-0000-0000BD090000}"/>
    <cellStyle name="20% - Ênfase4 4 2 7" xfId="2941" xr:uid="{00000000-0005-0000-0000-0000BE090000}"/>
    <cellStyle name="20% - Ênfase4 4 2 7 2" xfId="2942" xr:uid="{00000000-0005-0000-0000-0000BF090000}"/>
    <cellStyle name="20% - Ênfase4 4 2 8" xfId="2943" xr:uid="{00000000-0005-0000-0000-0000C0090000}"/>
    <cellStyle name="20% - Ênfase4 4 2 8 2" xfId="2944" xr:uid="{00000000-0005-0000-0000-0000C1090000}"/>
    <cellStyle name="20% - Ênfase4 4 2 9" xfId="2945" xr:uid="{00000000-0005-0000-0000-0000C2090000}"/>
    <cellStyle name="20% - Ênfase4 4 2 9 2" xfId="2946" xr:uid="{00000000-0005-0000-0000-0000C3090000}"/>
    <cellStyle name="20% - Ênfase4 4 3" xfId="2947" xr:uid="{00000000-0005-0000-0000-0000C4090000}"/>
    <cellStyle name="20% - Ênfase4 4 3 2" xfId="25263" xr:uid="{00000000-0005-0000-0000-0000C5090000}"/>
    <cellStyle name="20% - Ênfase4 4 3 2 2" xfId="25264" xr:uid="{00000000-0005-0000-0000-0000C6090000}"/>
    <cellStyle name="20% - Ênfase4 4 3 2 2 2" xfId="26419" xr:uid="{00000000-0005-0000-0000-0000C7090000}"/>
    <cellStyle name="20% - Ênfase4 4 3 2 3" xfId="26418" xr:uid="{00000000-0005-0000-0000-0000C8090000}"/>
    <cellStyle name="20% - Ênfase4 4 3 3" xfId="25265" xr:uid="{00000000-0005-0000-0000-0000C9090000}"/>
    <cellStyle name="20% - Ênfase4 4 3 3 2" xfId="26420" xr:uid="{00000000-0005-0000-0000-0000CA090000}"/>
    <cellStyle name="20% - Ênfase4 4 3 4" xfId="26417" xr:uid="{00000000-0005-0000-0000-0000CB090000}"/>
    <cellStyle name="20% - Ênfase4 4 3 5" xfId="25262" xr:uid="{00000000-0005-0000-0000-0000CC090000}"/>
    <cellStyle name="20% - Ênfase4 4 4" xfId="2948" xr:uid="{00000000-0005-0000-0000-0000CD090000}"/>
    <cellStyle name="20% - Ênfase4 4 4 2" xfId="26421" xr:uid="{00000000-0005-0000-0000-0000CE090000}"/>
    <cellStyle name="20% - Ênfase4 4 5" xfId="2949" xr:uid="{00000000-0005-0000-0000-0000CF090000}"/>
    <cellStyle name="20% - Ênfase4 4 5 10" xfId="2950" xr:uid="{00000000-0005-0000-0000-0000D0090000}"/>
    <cellStyle name="20% - Ênfase4 4 5 10 2" xfId="2951" xr:uid="{00000000-0005-0000-0000-0000D1090000}"/>
    <cellStyle name="20% - Ênfase4 4 5 2" xfId="2952" xr:uid="{00000000-0005-0000-0000-0000D2090000}"/>
    <cellStyle name="20% - Ênfase4 4 5 2 2" xfId="2953" xr:uid="{00000000-0005-0000-0000-0000D3090000}"/>
    <cellStyle name="20% - Ênfase4 4 5 3" xfId="2954" xr:uid="{00000000-0005-0000-0000-0000D4090000}"/>
    <cellStyle name="20% - Ênfase4 4 5 3 2" xfId="2955" xr:uid="{00000000-0005-0000-0000-0000D5090000}"/>
    <cellStyle name="20% - Ênfase4 4 5 4" xfId="2956" xr:uid="{00000000-0005-0000-0000-0000D6090000}"/>
    <cellStyle name="20% - Ênfase4 4 5 4 2" xfId="2957" xr:uid="{00000000-0005-0000-0000-0000D7090000}"/>
    <cellStyle name="20% - Ênfase4 4 5 5" xfId="2958" xr:uid="{00000000-0005-0000-0000-0000D8090000}"/>
    <cellStyle name="20% - Ênfase4 4 5 5 2" xfId="2959" xr:uid="{00000000-0005-0000-0000-0000D9090000}"/>
    <cellStyle name="20% - Ênfase4 4 5 6" xfId="2960" xr:uid="{00000000-0005-0000-0000-0000DA090000}"/>
    <cellStyle name="20% - Ênfase4 4 5 6 2" xfId="2961" xr:uid="{00000000-0005-0000-0000-0000DB090000}"/>
    <cellStyle name="20% - Ênfase4 4 5 7" xfId="2962" xr:uid="{00000000-0005-0000-0000-0000DC090000}"/>
    <cellStyle name="20% - Ênfase4 4 5 7 2" xfId="2963" xr:uid="{00000000-0005-0000-0000-0000DD090000}"/>
    <cellStyle name="20% - Ênfase4 4 5 8" xfId="2964" xr:uid="{00000000-0005-0000-0000-0000DE090000}"/>
    <cellStyle name="20% - Ênfase4 4 5 8 2" xfId="2965" xr:uid="{00000000-0005-0000-0000-0000DF090000}"/>
    <cellStyle name="20% - Ênfase4 4 5 9" xfId="2966" xr:uid="{00000000-0005-0000-0000-0000E0090000}"/>
    <cellStyle name="20% - Ênfase4 4 5 9 2" xfId="2967" xr:uid="{00000000-0005-0000-0000-0000E1090000}"/>
    <cellStyle name="20% - Ênfase4 4 6" xfId="2968" xr:uid="{00000000-0005-0000-0000-0000E2090000}"/>
    <cellStyle name="20% - Ênfase4 4 6 2" xfId="2969" xr:uid="{00000000-0005-0000-0000-0000E3090000}"/>
    <cellStyle name="20% - Ênfase4 4 6 2 2" xfId="2970" xr:uid="{00000000-0005-0000-0000-0000E4090000}"/>
    <cellStyle name="20% - Ênfase4 4 6 3" xfId="2971" xr:uid="{00000000-0005-0000-0000-0000E5090000}"/>
    <cellStyle name="20% - Ênfase4 4 6 3 2" xfId="2972" xr:uid="{00000000-0005-0000-0000-0000E6090000}"/>
    <cellStyle name="20% - Ênfase4 4 6 4" xfId="2973" xr:uid="{00000000-0005-0000-0000-0000E7090000}"/>
    <cellStyle name="20% - Ênfase4 4 6 4 2" xfId="2974" xr:uid="{00000000-0005-0000-0000-0000E8090000}"/>
    <cellStyle name="20% - Ênfase4 4 6 5" xfId="2975" xr:uid="{00000000-0005-0000-0000-0000E9090000}"/>
    <cellStyle name="20% - Ênfase4 4 6 5 2" xfId="2976" xr:uid="{00000000-0005-0000-0000-0000EA090000}"/>
    <cellStyle name="20% - Ênfase4 4 6 6" xfId="2977" xr:uid="{00000000-0005-0000-0000-0000EB090000}"/>
    <cellStyle name="20% - Ênfase4 4 7" xfId="26409" xr:uid="{00000000-0005-0000-0000-0000EC090000}"/>
    <cellStyle name="20% - Ênfase4 40" xfId="2978" xr:uid="{00000000-0005-0000-0000-0000ED090000}"/>
    <cellStyle name="20% - Ênfase4 40 2" xfId="2979" xr:uid="{00000000-0005-0000-0000-0000EE090000}"/>
    <cellStyle name="20% - Ênfase4 41" xfId="2980" xr:uid="{00000000-0005-0000-0000-0000EF090000}"/>
    <cellStyle name="20% - Ênfase4 41 2" xfId="2981" xr:uid="{00000000-0005-0000-0000-0000F0090000}"/>
    <cellStyle name="20% - Ênfase4 42" xfId="2982" xr:uid="{00000000-0005-0000-0000-0000F1090000}"/>
    <cellStyle name="20% - Ênfase4 42 2" xfId="2983" xr:uid="{00000000-0005-0000-0000-0000F2090000}"/>
    <cellStyle name="20% - Ênfase4 43" xfId="2984" xr:uid="{00000000-0005-0000-0000-0000F3090000}"/>
    <cellStyle name="20% - Ênfase4 43 2" xfId="2985" xr:uid="{00000000-0005-0000-0000-0000F4090000}"/>
    <cellStyle name="20% - Ênfase4 44" xfId="2986" xr:uid="{00000000-0005-0000-0000-0000F5090000}"/>
    <cellStyle name="20% - Ênfase4 44 2" xfId="2987" xr:uid="{00000000-0005-0000-0000-0000F6090000}"/>
    <cellStyle name="20% - Ênfase4 45" xfId="2988" xr:uid="{00000000-0005-0000-0000-0000F7090000}"/>
    <cellStyle name="20% - Ênfase4 45 2" xfId="2989" xr:uid="{00000000-0005-0000-0000-0000F8090000}"/>
    <cellStyle name="20% - Ênfase4 46" xfId="2990" xr:uid="{00000000-0005-0000-0000-0000F9090000}"/>
    <cellStyle name="20% - Ênfase4 46 2" xfId="2991" xr:uid="{00000000-0005-0000-0000-0000FA090000}"/>
    <cellStyle name="20% - Ênfase4 47" xfId="2992" xr:uid="{00000000-0005-0000-0000-0000FB090000}"/>
    <cellStyle name="20% - Ênfase4 47 2" xfId="2993" xr:uid="{00000000-0005-0000-0000-0000FC090000}"/>
    <cellStyle name="20% - Ênfase4 48" xfId="2994" xr:uid="{00000000-0005-0000-0000-0000FD090000}"/>
    <cellStyle name="20% - Ênfase4 48 2" xfId="2995" xr:uid="{00000000-0005-0000-0000-0000FE090000}"/>
    <cellStyle name="20% - Ênfase4 49" xfId="2996" xr:uid="{00000000-0005-0000-0000-0000FF090000}"/>
    <cellStyle name="20% - Ênfase4 49 2" xfId="2997" xr:uid="{00000000-0005-0000-0000-0000000A0000}"/>
    <cellStyle name="20% - Ênfase4 5" xfId="2998" xr:uid="{00000000-0005-0000-0000-0000010A0000}"/>
    <cellStyle name="20% - Ênfase4 5 2" xfId="2999" xr:uid="{00000000-0005-0000-0000-0000020A0000}"/>
    <cellStyle name="20% - Ênfase4 5 2 2" xfId="3000" xr:uid="{00000000-0005-0000-0000-0000030A0000}"/>
    <cellStyle name="20% - Ênfase4 5 2 2 2" xfId="25267" xr:uid="{00000000-0005-0000-0000-0000040A0000}"/>
    <cellStyle name="20% - Ênfase4 5 2 2 2 2" xfId="25268" xr:uid="{00000000-0005-0000-0000-0000050A0000}"/>
    <cellStyle name="20% - Ênfase4 5 2 2 2 2 2" xfId="26424" xr:uid="{00000000-0005-0000-0000-0000060A0000}"/>
    <cellStyle name="20% - Ênfase4 5 2 2 2 3" xfId="26423" xr:uid="{00000000-0005-0000-0000-0000070A0000}"/>
    <cellStyle name="20% - Ênfase4 5 2 2 3" xfId="25269" xr:uid="{00000000-0005-0000-0000-0000080A0000}"/>
    <cellStyle name="20% - Ênfase4 5 2 2 3 2" xfId="26425" xr:uid="{00000000-0005-0000-0000-0000090A0000}"/>
    <cellStyle name="20% - Ênfase4 5 2 2 4" xfId="26422" xr:uid="{00000000-0005-0000-0000-00000A0A0000}"/>
    <cellStyle name="20% - Ênfase4 5 2 2 5" xfId="25266" xr:uid="{00000000-0005-0000-0000-00000B0A0000}"/>
    <cellStyle name="20% - Ênfase4 5 2 3" xfId="3001" xr:uid="{00000000-0005-0000-0000-00000C0A0000}"/>
    <cellStyle name="20% - Ênfase4 5 2 3 2" xfId="25271" xr:uid="{00000000-0005-0000-0000-00000D0A0000}"/>
    <cellStyle name="20% - Ênfase4 5 2 3 2 2" xfId="26427" xr:uid="{00000000-0005-0000-0000-00000E0A0000}"/>
    <cellStyle name="20% - Ênfase4 5 2 3 3" xfId="26426" xr:uid="{00000000-0005-0000-0000-00000F0A0000}"/>
    <cellStyle name="20% - Ênfase4 5 2 3 4" xfId="25270" xr:uid="{00000000-0005-0000-0000-0000100A0000}"/>
    <cellStyle name="20% - Ênfase4 5 2 4" xfId="3002" xr:uid="{00000000-0005-0000-0000-0000110A0000}"/>
    <cellStyle name="20% - Ênfase4 5 2 4 2" xfId="26428" xr:uid="{00000000-0005-0000-0000-0000120A0000}"/>
    <cellStyle name="20% - Ênfase4 5 2 4 3" xfId="25272" xr:uid="{00000000-0005-0000-0000-0000130A0000}"/>
    <cellStyle name="20% - Ênfase4 5 2 5" xfId="3003" xr:uid="{00000000-0005-0000-0000-0000140A0000}"/>
    <cellStyle name="20% - Ênfase4 5 2 5 2" xfId="3004" xr:uid="{00000000-0005-0000-0000-0000150A0000}"/>
    <cellStyle name="20% - Ênfase4 5 2 6" xfId="3005" xr:uid="{00000000-0005-0000-0000-0000160A0000}"/>
    <cellStyle name="20% - Ênfase4 5 2 6 2" xfId="3006" xr:uid="{00000000-0005-0000-0000-0000170A0000}"/>
    <cellStyle name="20% - Ênfase4 5 2 7" xfId="3007" xr:uid="{00000000-0005-0000-0000-0000180A0000}"/>
    <cellStyle name="20% - Ênfase4 5 2 7 2" xfId="3008" xr:uid="{00000000-0005-0000-0000-0000190A0000}"/>
    <cellStyle name="20% - Ênfase4 5 2 8" xfId="3009" xr:uid="{00000000-0005-0000-0000-00001A0A0000}"/>
    <cellStyle name="20% - Ênfase4 5 2 8 2" xfId="3010" xr:uid="{00000000-0005-0000-0000-00001B0A0000}"/>
    <cellStyle name="20% - Ênfase4 5 2 9" xfId="3011" xr:uid="{00000000-0005-0000-0000-00001C0A0000}"/>
    <cellStyle name="20% - Ênfase4 5 3" xfId="3012" xr:uid="{00000000-0005-0000-0000-00001D0A0000}"/>
    <cellStyle name="20% - Ênfase4 5 3 2" xfId="25274" xr:uid="{00000000-0005-0000-0000-00001E0A0000}"/>
    <cellStyle name="20% - Ênfase4 5 3 2 2" xfId="25275" xr:uid="{00000000-0005-0000-0000-00001F0A0000}"/>
    <cellStyle name="20% - Ênfase4 5 3 2 2 2" xfId="26431" xr:uid="{00000000-0005-0000-0000-0000200A0000}"/>
    <cellStyle name="20% - Ênfase4 5 3 2 3" xfId="26430" xr:uid="{00000000-0005-0000-0000-0000210A0000}"/>
    <cellStyle name="20% - Ênfase4 5 3 3" xfId="25276" xr:uid="{00000000-0005-0000-0000-0000220A0000}"/>
    <cellStyle name="20% - Ênfase4 5 3 3 2" xfId="26432" xr:uid="{00000000-0005-0000-0000-0000230A0000}"/>
    <cellStyle name="20% - Ênfase4 5 3 4" xfId="26429" xr:uid="{00000000-0005-0000-0000-0000240A0000}"/>
    <cellStyle name="20% - Ênfase4 5 3 5" xfId="25273" xr:uid="{00000000-0005-0000-0000-0000250A0000}"/>
    <cellStyle name="20% - Ênfase4 5 4" xfId="3013" xr:uid="{00000000-0005-0000-0000-0000260A0000}"/>
    <cellStyle name="20% - Ênfase4 5 4 2" xfId="25278" xr:uid="{00000000-0005-0000-0000-0000270A0000}"/>
    <cellStyle name="20% - Ênfase4 5 4 2 2" xfId="26434" xr:uid="{00000000-0005-0000-0000-0000280A0000}"/>
    <cellStyle name="20% - Ênfase4 5 4 3" xfId="26433" xr:uid="{00000000-0005-0000-0000-0000290A0000}"/>
    <cellStyle name="20% - Ênfase4 5 4 4" xfId="25277" xr:uid="{00000000-0005-0000-0000-00002A0A0000}"/>
    <cellStyle name="20% - Ênfase4 5 5" xfId="3014" xr:uid="{00000000-0005-0000-0000-00002B0A0000}"/>
    <cellStyle name="20% - Ênfase4 5 5 2" xfId="3015" xr:uid="{00000000-0005-0000-0000-00002C0A0000}"/>
    <cellStyle name="20% - Ênfase4 5 5 2 2" xfId="3016" xr:uid="{00000000-0005-0000-0000-00002D0A0000}"/>
    <cellStyle name="20% - Ênfase4 5 5 3" xfId="3017" xr:uid="{00000000-0005-0000-0000-00002E0A0000}"/>
    <cellStyle name="20% - Ênfase4 5 5 3 2" xfId="3018" xr:uid="{00000000-0005-0000-0000-00002F0A0000}"/>
    <cellStyle name="20% - Ênfase4 5 5 4" xfId="3019" xr:uid="{00000000-0005-0000-0000-0000300A0000}"/>
    <cellStyle name="20% - Ênfase4 5 5 4 2" xfId="3020" xr:uid="{00000000-0005-0000-0000-0000310A0000}"/>
    <cellStyle name="20% - Ênfase4 5 5 5" xfId="3021" xr:uid="{00000000-0005-0000-0000-0000320A0000}"/>
    <cellStyle name="20% - Ênfase4 5 5 5 2" xfId="3022" xr:uid="{00000000-0005-0000-0000-0000330A0000}"/>
    <cellStyle name="20% - Ênfase4 5 5 6" xfId="3023" xr:uid="{00000000-0005-0000-0000-0000340A0000}"/>
    <cellStyle name="20% - Ênfase4 5 6" xfId="3024" xr:uid="{00000000-0005-0000-0000-0000350A0000}"/>
    <cellStyle name="20% - Ênfase4 5 6 2" xfId="3025" xr:uid="{00000000-0005-0000-0000-0000360A0000}"/>
    <cellStyle name="20% - Ênfase4 5 6 2 2" xfId="3026" xr:uid="{00000000-0005-0000-0000-0000370A0000}"/>
    <cellStyle name="20% - Ênfase4 5 6 3" xfId="3027" xr:uid="{00000000-0005-0000-0000-0000380A0000}"/>
    <cellStyle name="20% - Ênfase4 5 6 3 2" xfId="3028" xr:uid="{00000000-0005-0000-0000-0000390A0000}"/>
    <cellStyle name="20% - Ênfase4 5 6 4" xfId="3029" xr:uid="{00000000-0005-0000-0000-00003A0A0000}"/>
    <cellStyle name="20% - Ênfase4 5 6 4 2" xfId="3030" xr:uid="{00000000-0005-0000-0000-00003B0A0000}"/>
    <cellStyle name="20% - Ênfase4 5 6 5" xfId="3031" xr:uid="{00000000-0005-0000-0000-00003C0A0000}"/>
    <cellStyle name="20% - Ênfase4 5 6 5 2" xfId="3032" xr:uid="{00000000-0005-0000-0000-00003D0A0000}"/>
    <cellStyle name="20% - Ênfase4 5 6 6" xfId="3033" xr:uid="{00000000-0005-0000-0000-00003E0A0000}"/>
    <cellStyle name="20% - Ênfase4 50" xfId="3034" xr:uid="{00000000-0005-0000-0000-00003F0A0000}"/>
    <cellStyle name="20% - Ênfase4 50 2" xfId="3035" xr:uid="{00000000-0005-0000-0000-0000400A0000}"/>
    <cellStyle name="20% - Ênfase4 51" xfId="3036" xr:uid="{00000000-0005-0000-0000-0000410A0000}"/>
    <cellStyle name="20% - Ênfase4 51 2" xfId="3037" xr:uid="{00000000-0005-0000-0000-0000420A0000}"/>
    <cellStyle name="20% - Ênfase4 52" xfId="3038" xr:uid="{00000000-0005-0000-0000-0000430A0000}"/>
    <cellStyle name="20% - Ênfase4 52 2" xfId="3039" xr:uid="{00000000-0005-0000-0000-0000440A0000}"/>
    <cellStyle name="20% - Ênfase4 53" xfId="3040" xr:uid="{00000000-0005-0000-0000-0000450A0000}"/>
    <cellStyle name="20% - Ênfase4 53 2" xfId="3041" xr:uid="{00000000-0005-0000-0000-0000460A0000}"/>
    <cellStyle name="20% - Ênfase4 54" xfId="3042" xr:uid="{00000000-0005-0000-0000-0000470A0000}"/>
    <cellStyle name="20% - Ênfase4 54 2" xfId="3043" xr:uid="{00000000-0005-0000-0000-0000480A0000}"/>
    <cellStyle name="20% - Ênfase4 55" xfId="3044" xr:uid="{00000000-0005-0000-0000-0000490A0000}"/>
    <cellStyle name="20% - Ênfase4 55 2" xfId="3045" xr:uid="{00000000-0005-0000-0000-00004A0A0000}"/>
    <cellStyle name="20% - Ênfase4 6" xfId="3046" xr:uid="{00000000-0005-0000-0000-00004B0A0000}"/>
    <cellStyle name="20% - Ênfase4 6 10" xfId="3047" xr:uid="{00000000-0005-0000-0000-00004C0A0000}"/>
    <cellStyle name="20% - Ênfase4 6 10 2" xfId="3048" xr:uid="{00000000-0005-0000-0000-00004D0A0000}"/>
    <cellStyle name="20% - Ênfase4 6 11" xfId="3049" xr:uid="{00000000-0005-0000-0000-00004E0A0000}"/>
    <cellStyle name="20% - Ênfase4 6 11 2" xfId="3050" xr:uid="{00000000-0005-0000-0000-00004F0A0000}"/>
    <cellStyle name="20% - Ênfase4 6 12" xfId="3051" xr:uid="{00000000-0005-0000-0000-0000500A0000}"/>
    <cellStyle name="20% - Ênfase4 6 12 2" xfId="3052" xr:uid="{00000000-0005-0000-0000-0000510A0000}"/>
    <cellStyle name="20% - Ênfase4 6 13" xfId="3053" xr:uid="{00000000-0005-0000-0000-0000520A0000}"/>
    <cellStyle name="20% - Ênfase4 6 13 2" xfId="3054" xr:uid="{00000000-0005-0000-0000-0000530A0000}"/>
    <cellStyle name="20% - Ênfase4 6 14" xfId="3055" xr:uid="{00000000-0005-0000-0000-0000540A0000}"/>
    <cellStyle name="20% - Ênfase4 6 14 2" xfId="3056" xr:uid="{00000000-0005-0000-0000-0000550A0000}"/>
    <cellStyle name="20% - Ênfase4 6 15" xfId="3057" xr:uid="{00000000-0005-0000-0000-0000560A0000}"/>
    <cellStyle name="20% - Ênfase4 6 15 2" xfId="3058" xr:uid="{00000000-0005-0000-0000-0000570A0000}"/>
    <cellStyle name="20% - Ênfase4 6 16" xfId="3059" xr:uid="{00000000-0005-0000-0000-0000580A0000}"/>
    <cellStyle name="20% - Ênfase4 6 16 2" xfId="3060" xr:uid="{00000000-0005-0000-0000-0000590A0000}"/>
    <cellStyle name="20% - Ênfase4 6 17" xfId="3061" xr:uid="{00000000-0005-0000-0000-00005A0A0000}"/>
    <cellStyle name="20% - Ênfase4 6 17 2" xfId="3062" xr:uid="{00000000-0005-0000-0000-00005B0A0000}"/>
    <cellStyle name="20% - Ênfase4 6 18" xfId="3063" xr:uid="{00000000-0005-0000-0000-00005C0A0000}"/>
    <cellStyle name="20% - Ênfase4 6 18 2" xfId="3064" xr:uid="{00000000-0005-0000-0000-00005D0A0000}"/>
    <cellStyle name="20% - Ênfase4 6 19" xfId="3065" xr:uid="{00000000-0005-0000-0000-00005E0A0000}"/>
    <cellStyle name="20% - Ênfase4 6 19 2" xfId="3066" xr:uid="{00000000-0005-0000-0000-00005F0A0000}"/>
    <cellStyle name="20% - Ênfase4 6 2" xfId="3067" xr:uid="{00000000-0005-0000-0000-0000600A0000}"/>
    <cellStyle name="20% - Ênfase4 6 2 2" xfId="3068" xr:uid="{00000000-0005-0000-0000-0000610A0000}"/>
    <cellStyle name="20% - Ênfase4 6 2 2 2" xfId="3069" xr:uid="{00000000-0005-0000-0000-0000620A0000}"/>
    <cellStyle name="20% - Ênfase4 6 2 2 2 2" xfId="26436" xr:uid="{00000000-0005-0000-0000-0000630A0000}"/>
    <cellStyle name="20% - Ênfase4 6 2 2 3" xfId="26435" xr:uid="{00000000-0005-0000-0000-0000640A0000}"/>
    <cellStyle name="20% - Ênfase4 6 2 3" xfId="3070" xr:uid="{00000000-0005-0000-0000-0000650A0000}"/>
    <cellStyle name="20% - Ênfase4 6 2 3 2" xfId="3071" xr:uid="{00000000-0005-0000-0000-0000660A0000}"/>
    <cellStyle name="20% - Ênfase4 6 2 4" xfId="3072" xr:uid="{00000000-0005-0000-0000-0000670A0000}"/>
    <cellStyle name="20% - Ênfase4 6 2 4 2" xfId="3073" xr:uid="{00000000-0005-0000-0000-0000680A0000}"/>
    <cellStyle name="20% - Ênfase4 6 2 5" xfId="3074" xr:uid="{00000000-0005-0000-0000-0000690A0000}"/>
    <cellStyle name="20% - Ênfase4 6 2 5 2" xfId="3075" xr:uid="{00000000-0005-0000-0000-00006A0A0000}"/>
    <cellStyle name="20% - Ênfase4 6 2 6" xfId="3076" xr:uid="{00000000-0005-0000-0000-00006B0A0000}"/>
    <cellStyle name="20% - Ênfase4 6 20" xfId="3077" xr:uid="{00000000-0005-0000-0000-00006C0A0000}"/>
    <cellStyle name="20% - Ênfase4 6 20 2" xfId="3078" xr:uid="{00000000-0005-0000-0000-00006D0A0000}"/>
    <cellStyle name="20% - Ênfase4 6 21" xfId="3079" xr:uid="{00000000-0005-0000-0000-00006E0A0000}"/>
    <cellStyle name="20% - Ênfase4 6 21 2" xfId="3080" xr:uid="{00000000-0005-0000-0000-00006F0A0000}"/>
    <cellStyle name="20% - Ênfase4 6 22" xfId="3081" xr:uid="{00000000-0005-0000-0000-0000700A0000}"/>
    <cellStyle name="20% - Ênfase4 6 22 2" xfId="3082" xr:uid="{00000000-0005-0000-0000-0000710A0000}"/>
    <cellStyle name="20% - Ênfase4 6 23" xfId="3083" xr:uid="{00000000-0005-0000-0000-0000720A0000}"/>
    <cellStyle name="20% - Ênfase4 6 23 2" xfId="3084" xr:uid="{00000000-0005-0000-0000-0000730A0000}"/>
    <cellStyle name="20% - Ênfase4 6 24" xfId="3085" xr:uid="{00000000-0005-0000-0000-0000740A0000}"/>
    <cellStyle name="20% - Ênfase4 6 24 2" xfId="3086" xr:uid="{00000000-0005-0000-0000-0000750A0000}"/>
    <cellStyle name="20% - Ênfase4 6 25" xfId="3087" xr:uid="{00000000-0005-0000-0000-0000760A0000}"/>
    <cellStyle name="20% - Ênfase4 6 25 2" xfId="3088" xr:uid="{00000000-0005-0000-0000-0000770A0000}"/>
    <cellStyle name="20% - Ênfase4 6 26" xfId="3089" xr:uid="{00000000-0005-0000-0000-0000780A0000}"/>
    <cellStyle name="20% - Ênfase4 6 26 2" xfId="3090" xr:uid="{00000000-0005-0000-0000-0000790A0000}"/>
    <cellStyle name="20% - Ênfase4 6 27" xfId="3091" xr:uid="{00000000-0005-0000-0000-00007A0A0000}"/>
    <cellStyle name="20% - Ênfase4 6 27 2" xfId="3092" xr:uid="{00000000-0005-0000-0000-00007B0A0000}"/>
    <cellStyle name="20% - Ênfase4 6 28" xfId="3093" xr:uid="{00000000-0005-0000-0000-00007C0A0000}"/>
    <cellStyle name="20% - Ênfase4 6 28 2" xfId="3094" xr:uid="{00000000-0005-0000-0000-00007D0A0000}"/>
    <cellStyle name="20% - Ênfase4 6 29" xfId="3095" xr:uid="{00000000-0005-0000-0000-00007E0A0000}"/>
    <cellStyle name="20% - Ênfase4 6 29 2" xfId="3096" xr:uid="{00000000-0005-0000-0000-00007F0A0000}"/>
    <cellStyle name="20% - Ênfase4 6 3" xfId="3097" xr:uid="{00000000-0005-0000-0000-0000800A0000}"/>
    <cellStyle name="20% - Ênfase4 6 3 2" xfId="3098" xr:uid="{00000000-0005-0000-0000-0000810A0000}"/>
    <cellStyle name="20% - Ênfase4 6 3 2 2" xfId="3099" xr:uid="{00000000-0005-0000-0000-0000820A0000}"/>
    <cellStyle name="20% - Ênfase4 6 3 3" xfId="3100" xr:uid="{00000000-0005-0000-0000-0000830A0000}"/>
    <cellStyle name="20% - Ênfase4 6 3 3 2" xfId="3101" xr:uid="{00000000-0005-0000-0000-0000840A0000}"/>
    <cellStyle name="20% - Ênfase4 6 3 4" xfId="3102" xr:uid="{00000000-0005-0000-0000-0000850A0000}"/>
    <cellStyle name="20% - Ênfase4 6 3 4 2" xfId="3103" xr:uid="{00000000-0005-0000-0000-0000860A0000}"/>
    <cellStyle name="20% - Ênfase4 6 3 5" xfId="3104" xr:uid="{00000000-0005-0000-0000-0000870A0000}"/>
    <cellStyle name="20% - Ênfase4 6 3 5 2" xfId="3105" xr:uid="{00000000-0005-0000-0000-0000880A0000}"/>
    <cellStyle name="20% - Ênfase4 6 3 6" xfId="3106" xr:uid="{00000000-0005-0000-0000-0000890A0000}"/>
    <cellStyle name="20% - Ênfase4 6 30" xfId="3107" xr:uid="{00000000-0005-0000-0000-00008A0A0000}"/>
    <cellStyle name="20% - Ênfase4 6 30 2" xfId="3108" xr:uid="{00000000-0005-0000-0000-00008B0A0000}"/>
    <cellStyle name="20% - Ênfase4 6 31" xfId="3109" xr:uid="{00000000-0005-0000-0000-00008C0A0000}"/>
    <cellStyle name="20% - Ênfase4 6 31 2" xfId="3110" xr:uid="{00000000-0005-0000-0000-00008D0A0000}"/>
    <cellStyle name="20% - Ênfase4 6 32" xfId="3111" xr:uid="{00000000-0005-0000-0000-00008E0A0000}"/>
    <cellStyle name="20% - Ênfase4 6 32 2" xfId="3112" xr:uid="{00000000-0005-0000-0000-00008F0A0000}"/>
    <cellStyle name="20% - Ênfase4 6 33" xfId="3113" xr:uid="{00000000-0005-0000-0000-0000900A0000}"/>
    <cellStyle name="20% - Ênfase4 6 33 2" xfId="3114" xr:uid="{00000000-0005-0000-0000-0000910A0000}"/>
    <cellStyle name="20% - Ênfase4 6 34" xfId="3115" xr:uid="{00000000-0005-0000-0000-0000920A0000}"/>
    <cellStyle name="20% - Ênfase4 6 34 2" xfId="3116" xr:uid="{00000000-0005-0000-0000-0000930A0000}"/>
    <cellStyle name="20% - Ênfase4 6 35" xfId="3117" xr:uid="{00000000-0005-0000-0000-0000940A0000}"/>
    <cellStyle name="20% - Ênfase4 6 35 2" xfId="3118" xr:uid="{00000000-0005-0000-0000-0000950A0000}"/>
    <cellStyle name="20% - Ênfase4 6 36" xfId="3119" xr:uid="{00000000-0005-0000-0000-0000960A0000}"/>
    <cellStyle name="20% - Ênfase4 6 36 2" xfId="3120" xr:uid="{00000000-0005-0000-0000-0000970A0000}"/>
    <cellStyle name="20% - Ênfase4 6 37" xfId="3121" xr:uid="{00000000-0005-0000-0000-0000980A0000}"/>
    <cellStyle name="20% - Ênfase4 6 4" xfId="3122" xr:uid="{00000000-0005-0000-0000-0000990A0000}"/>
    <cellStyle name="20% - Ênfase4 6 4 2" xfId="3123" xr:uid="{00000000-0005-0000-0000-00009A0A0000}"/>
    <cellStyle name="20% - Ênfase4 6 4 2 2" xfId="3124" xr:uid="{00000000-0005-0000-0000-00009B0A0000}"/>
    <cellStyle name="20% - Ênfase4 6 4 3" xfId="3125" xr:uid="{00000000-0005-0000-0000-00009C0A0000}"/>
    <cellStyle name="20% - Ênfase4 6 4 3 2" xfId="3126" xr:uid="{00000000-0005-0000-0000-00009D0A0000}"/>
    <cellStyle name="20% - Ênfase4 6 4 4" xfId="3127" xr:uid="{00000000-0005-0000-0000-00009E0A0000}"/>
    <cellStyle name="20% - Ênfase4 6 4 4 2" xfId="3128" xr:uid="{00000000-0005-0000-0000-00009F0A0000}"/>
    <cellStyle name="20% - Ênfase4 6 4 5" xfId="3129" xr:uid="{00000000-0005-0000-0000-0000A00A0000}"/>
    <cellStyle name="20% - Ênfase4 6 4 5 2" xfId="3130" xr:uid="{00000000-0005-0000-0000-0000A10A0000}"/>
    <cellStyle name="20% - Ênfase4 6 4 6" xfId="3131" xr:uid="{00000000-0005-0000-0000-0000A20A0000}"/>
    <cellStyle name="20% - Ênfase4 6 5" xfId="3132" xr:uid="{00000000-0005-0000-0000-0000A30A0000}"/>
    <cellStyle name="20% - Ênfase4 6 5 2" xfId="3133" xr:uid="{00000000-0005-0000-0000-0000A40A0000}"/>
    <cellStyle name="20% - Ênfase4 6 6" xfId="3134" xr:uid="{00000000-0005-0000-0000-0000A50A0000}"/>
    <cellStyle name="20% - Ênfase4 6 6 2" xfId="3135" xr:uid="{00000000-0005-0000-0000-0000A60A0000}"/>
    <cellStyle name="20% - Ênfase4 6 7" xfId="3136" xr:uid="{00000000-0005-0000-0000-0000A70A0000}"/>
    <cellStyle name="20% - Ênfase4 6 7 2" xfId="3137" xr:uid="{00000000-0005-0000-0000-0000A80A0000}"/>
    <cellStyle name="20% - Ênfase4 6 8" xfId="3138" xr:uid="{00000000-0005-0000-0000-0000A90A0000}"/>
    <cellStyle name="20% - Ênfase4 6 8 2" xfId="3139" xr:uid="{00000000-0005-0000-0000-0000AA0A0000}"/>
    <cellStyle name="20% - Ênfase4 6 9" xfId="3140" xr:uid="{00000000-0005-0000-0000-0000AB0A0000}"/>
    <cellStyle name="20% - Ênfase4 6 9 2" xfId="3141" xr:uid="{00000000-0005-0000-0000-0000AC0A0000}"/>
    <cellStyle name="20% - Ênfase4 7" xfId="3142" xr:uid="{00000000-0005-0000-0000-0000AD0A0000}"/>
    <cellStyle name="20% - Ênfase4 7 10" xfId="3143" xr:uid="{00000000-0005-0000-0000-0000AE0A0000}"/>
    <cellStyle name="20% - Ênfase4 7 10 2" xfId="3144" xr:uid="{00000000-0005-0000-0000-0000AF0A0000}"/>
    <cellStyle name="20% - Ênfase4 7 11" xfId="3145" xr:uid="{00000000-0005-0000-0000-0000B00A0000}"/>
    <cellStyle name="20% - Ênfase4 7 11 2" xfId="3146" xr:uid="{00000000-0005-0000-0000-0000B10A0000}"/>
    <cellStyle name="20% - Ênfase4 7 12" xfId="3147" xr:uid="{00000000-0005-0000-0000-0000B20A0000}"/>
    <cellStyle name="20% - Ênfase4 7 12 2" xfId="3148" xr:uid="{00000000-0005-0000-0000-0000B30A0000}"/>
    <cellStyle name="20% - Ênfase4 7 13" xfId="3149" xr:uid="{00000000-0005-0000-0000-0000B40A0000}"/>
    <cellStyle name="20% - Ênfase4 7 13 2" xfId="3150" xr:uid="{00000000-0005-0000-0000-0000B50A0000}"/>
    <cellStyle name="20% - Ênfase4 7 14" xfId="3151" xr:uid="{00000000-0005-0000-0000-0000B60A0000}"/>
    <cellStyle name="20% - Ênfase4 7 14 2" xfId="3152" xr:uid="{00000000-0005-0000-0000-0000B70A0000}"/>
    <cellStyle name="20% - Ênfase4 7 15" xfId="3153" xr:uid="{00000000-0005-0000-0000-0000B80A0000}"/>
    <cellStyle name="20% - Ênfase4 7 15 2" xfId="3154" xr:uid="{00000000-0005-0000-0000-0000B90A0000}"/>
    <cellStyle name="20% - Ênfase4 7 16" xfId="3155" xr:uid="{00000000-0005-0000-0000-0000BA0A0000}"/>
    <cellStyle name="20% - Ênfase4 7 16 2" xfId="3156" xr:uid="{00000000-0005-0000-0000-0000BB0A0000}"/>
    <cellStyle name="20% - Ênfase4 7 17" xfId="3157" xr:uid="{00000000-0005-0000-0000-0000BC0A0000}"/>
    <cellStyle name="20% - Ênfase4 7 17 2" xfId="3158" xr:uid="{00000000-0005-0000-0000-0000BD0A0000}"/>
    <cellStyle name="20% - Ênfase4 7 18" xfId="3159" xr:uid="{00000000-0005-0000-0000-0000BE0A0000}"/>
    <cellStyle name="20% - Ênfase4 7 18 2" xfId="3160" xr:uid="{00000000-0005-0000-0000-0000BF0A0000}"/>
    <cellStyle name="20% - Ênfase4 7 19" xfId="3161" xr:uid="{00000000-0005-0000-0000-0000C00A0000}"/>
    <cellStyle name="20% - Ênfase4 7 19 2" xfId="3162" xr:uid="{00000000-0005-0000-0000-0000C10A0000}"/>
    <cellStyle name="20% - Ênfase4 7 2" xfId="3163" xr:uid="{00000000-0005-0000-0000-0000C20A0000}"/>
    <cellStyle name="20% - Ênfase4 7 2 2" xfId="3164" xr:uid="{00000000-0005-0000-0000-0000C30A0000}"/>
    <cellStyle name="20% - Ênfase4 7 2 2 2" xfId="3165" xr:uid="{00000000-0005-0000-0000-0000C40A0000}"/>
    <cellStyle name="20% - Ênfase4 7 2 2 2 2" xfId="26438" xr:uid="{00000000-0005-0000-0000-0000C50A0000}"/>
    <cellStyle name="20% - Ênfase4 7 2 2 3" xfId="26437" xr:uid="{00000000-0005-0000-0000-0000C60A0000}"/>
    <cellStyle name="20% - Ênfase4 7 2 3" xfId="3166" xr:uid="{00000000-0005-0000-0000-0000C70A0000}"/>
    <cellStyle name="20% - Ênfase4 7 2 3 2" xfId="3167" xr:uid="{00000000-0005-0000-0000-0000C80A0000}"/>
    <cellStyle name="20% - Ênfase4 7 2 4" xfId="3168" xr:uid="{00000000-0005-0000-0000-0000C90A0000}"/>
    <cellStyle name="20% - Ênfase4 7 2 4 2" xfId="3169" xr:uid="{00000000-0005-0000-0000-0000CA0A0000}"/>
    <cellStyle name="20% - Ênfase4 7 2 5" xfId="3170" xr:uid="{00000000-0005-0000-0000-0000CB0A0000}"/>
    <cellStyle name="20% - Ênfase4 7 2 5 2" xfId="3171" xr:uid="{00000000-0005-0000-0000-0000CC0A0000}"/>
    <cellStyle name="20% - Ênfase4 7 2 6" xfId="3172" xr:uid="{00000000-0005-0000-0000-0000CD0A0000}"/>
    <cellStyle name="20% - Ênfase4 7 20" xfId="3173" xr:uid="{00000000-0005-0000-0000-0000CE0A0000}"/>
    <cellStyle name="20% - Ênfase4 7 20 2" xfId="3174" xr:uid="{00000000-0005-0000-0000-0000CF0A0000}"/>
    <cellStyle name="20% - Ênfase4 7 21" xfId="3175" xr:uid="{00000000-0005-0000-0000-0000D00A0000}"/>
    <cellStyle name="20% - Ênfase4 7 21 2" xfId="3176" xr:uid="{00000000-0005-0000-0000-0000D10A0000}"/>
    <cellStyle name="20% - Ênfase4 7 22" xfId="3177" xr:uid="{00000000-0005-0000-0000-0000D20A0000}"/>
    <cellStyle name="20% - Ênfase4 7 22 2" xfId="3178" xr:uid="{00000000-0005-0000-0000-0000D30A0000}"/>
    <cellStyle name="20% - Ênfase4 7 23" xfId="3179" xr:uid="{00000000-0005-0000-0000-0000D40A0000}"/>
    <cellStyle name="20% - Ênfase4 7 23 2" xfId="3180" xr:uid="{00000000-0005-0000-0000-0000D50A0000}"/>
    <cellStyle name="20% - Ênfase4 7 24" xfId="3181" xr:uid="{00000000-0005-0000-0000-0000D60A0000}"/>
    <cellStyle name="20% - Ênfase4 7 24 2" xfId="3182" xr:uid="{00000000-0005-0000-0000-0000D70A0000}"/>
    <cellStyle name="20% - Ênfase4 7 25" xfId="3183" xr:uid="{00000000-0005-0000-0000-0000D80A0000}"/>
    <cellStyle name="20% - Ênfase4 7 25 2" xfId="3184" xr:uid="{00000000-0005-0000-0000-0000D90A0000}"/>
    <cellStyle name="20% - Ênfase4 7 26" xfId="3185" xr:uid="{00000000-0005-0000-0000-0000DA0A0000}"/>
    <cellStyle name="20% - Ênfase4 7 26 2" xfId="3186" xr:uid="{00000000-0005-0000-0000-0000DB0A0000}"/>
    <cellStyle name="20% - Ênfase4 7 27" xfId="3187" xr:uid="{00000000-0005-0000-0000-0000DC0A0000}"/>
    <cellStyle name="20% - Ênfase4 7 27 2" xfId="3188" xr:uid="{00000000-0005-0000-0000-0000DD0A0000}"/>
    <cellStyle name="20% - Ênfase4 7 28" xfId="3189" xr:uid="{00000000-0005-0000-0000-0000DE0A0000}"/>
    <cellStyle name="20% - Ênfase4 7 28 2" xfId="3190" xr:uid="{00000000-0005-0000-0000-0000DF0A0000}"/>
    <cellStyle name="20% - Ênfase4 7 29" xfId="3191" xr:uid="{00000000-0005-0000-0000-0000E00A0000}"/>
    <cellStyle name="20% - Ênfase4 7 29 2" xfId="3192" xr:uid="{00000000-0005-0000-0000-0000E10A0000}"/>
    <cellStyle name="20% - Ênfase4 7 3" xfId="3193" xr:uid="{00000000-0005-0000-0000-0000E20A0000}"/>
    <cellStyle name="20% - Ênfase4 7 3 2" xfId="3194" xr:uid="{00000000-0005-0000-0000-0000E30A0000}"/>
    <cellStyle name="20% - Ênfase4 7 3 2 2" xfId="3195" xr:uid="{00000000-0005-0000-0000-0000E40A0000}"/>
    <cellStyle name="20% - Ênfase4 7 3 3" xfId="3196" xr:uid="{00000000-0005-0000-0000-0000E50A0000}"/>
    <cellStyle name="20% - Ênfase4 7 3 3 2" xfId="3197" xr:uid="{00000000-0005-0000-0000-0000E60A0000}"/>
    <cellStyle name="20% - Ênfase4 7 3 4" xfId="3198" xr:uid="{00000000-0005-0000-0000-0000E70A0000}"/>
    <cellStyle name="20% - Ênfase4 7 3 4 2" xfId="3199" xr:uid="{00000000-0005-0000-0000-0000E80A0000}"/>
    <cellStyle name="20% - Ênfase4 7 3 5" xfId="3200" xr:uid="{00000000-0005-0000-0000-0000E90A0000}"/>
    <cellStyle name="20% - Ênfase4 7 3 5 2" xfId="3201" xr:uid="{00000000-0005-0000-0000-0000EA0A0000}"/>
    <cellStyle name="20% - Ênfase4 7 3 6" xfId="3202" xr:uid="{00000000-0005-0000-0000-0000EB0A0000}"/>
    <cellStyle name="20% - Ênfase4 7 30" xfId="3203" xr:uid="{00000000-0005-0000-0000-0000EC0A0000}"/>
    <cellStyle name="20% - Ênfase4 7 30 2" xfId="3204" xr:uid="{00000000-0005-0000-0000-0000ED0A0000}"/>
    <cellStyle name="20% - Ênfase4 7 31" xfId="3205" xr:uid="{00000000-0005-0000-0000-0000EE0A0000}"/>
    <cellStyle name="20% - Ênfase4 7 31 2" xfId="3206" xr:uid="{00000000-0005-0000-0000-0000EF0A0000}"/>
    <cellStyle name="20% - Ênfase4 7 32" xfId="3207" xr:uid="{00000000-0005-0000-0000-0000F00A0000}"/>
    <cellStyle name="20% - Ênfase4 7 32 2" xfId="3208" xr:uid="{00000000-0005-0000-0000-0000F10A0000}"/>
    <cellStyle name="20% - Ênfase4 7 33" xfId="3209" xr:uid="{00000000-0005-0000-0000-0000F20A0000}"/>
    <cellStyle name="20% - Ênfase4 7 33 2" xfId="3210" xr:uid="{00000000-0005-0000-0000-0000F30A0000}"/>
    <cellStyle name="20% - Ênfase4 7 34" xfId="3211" xr:uid="{00000000-0005-0000-0000-0000F40A0000}"/>
    <cellStyle name="20% - Ênfase4 7 34 2" xfId="3212" xr:uid="{00000000-0005-0000-0000-0000F50A0000}"/>
    <cellStyle name="20% - Ênfase4 7 35" xfId="3213" xr:uid="{00000000-0005-0000-0000-0000F60A0000}"/>
    <cellStyle name="20% - Ênfase4 7 35 2" xfId="3214" xr:uid="{00000000-0005-0000-0000-0000F70A0000}"/>
    <cellStyle name="20% - Ênfase4 7 36" xfId="3215" xr:uid="{00000000-0005-0000-0000-0000F80A0000}"/>
    <cellStyle name="20% - Ênfase4 7 36 2" xfId="3216" xr:uid="{00000000-0005-0000-0000-0000F90A0000}"/>
    <cellStyle name="20% - Ênfase4 7 37" xfId="3217" xr:uid="{00000000-0005-0000-0000-0000FA0A0000}"/>
    <cellStyle name="20% - Ênfase4 7 4" xfId="3218" xr:uid="{00000000-0005-0000-0000-0000FB0A0000}"/>
    <cellStyle name="20% - Ênfase4 7 4 2" xfId="3219" xr:uid="{00000000-0005-0000-0000-0000FC0A0000}"/>
    <cellStyle name="20% - Ênfase4 7 4 2 2" xfId="3220" xr:uid="{00000000-0005-0000-0000-0000FD0A0000}"/>
    <cellStyle name="20% - Ênfase4 7 4 3" xfId="3221" xr:uid="{00000000-0005-0000-0000-0000FE0A0000}"/>
    <cellStyle name="20% - Ênfase4 7 4 3 2" xfId="3222" xr:uid="{00000000-0005-0000-0000-0000FF0A0000}"/>
    <cellStyle name="20% - Ênfase4 7 4 4" xfId="3223" xr:uid="{00000000-0005-0000-0000-0000000B0000}"/>
    <cellStyle name="20% - Ênfase4 7 4 4 2" xfId="3224" xr:uid="{00000000-0005-0000-0000-0000010B0000}"/>
    <cellStyle name="20% - Ênfase4 7 4 5" xfId="3225" xr:uid="{00000000-0005-0000-0000-0000020B0000}"/>
    <cellStyle name="20% - Ênfase4 7 4 5 2" xfId="3226" xr:uid="{00000000-0005-0000-0000-0000030B0000}"/>
    <cellStyle name="20% - Ênfase4 7 4 6" xfId="3227" xr:uid="{00000000-0005-0000-0000-0000040B0000}"/>
    <cellStyle name="20% - Ênfase4 7 5" xfId="3228" xr:uid="{00000000-0005-0000-0000-0000050B0000}"/>
    <cellStyle name="20% - Ênfase4 7 5 2" xfId="3229" xr:uid="{00000000-0005-0000-0000-0000060B0000}"/>
    <cellStyle name="20% - Ênfase4 7 6" xfId="3230" xr:uid="{00000000-0005-0000-0000-0000070B0000}"/>
    <cellStyle name="20% - Ênfase4 7 6 2" xfId="3231" xr:uid="{00000000-0005-0000-0000-0000080B0000}"/>
    <cellStyle name="20% - Ênfase4 7 7" xfId="3232" xr:uid="{00000000-0005-0000-0000-0000090B0000}"/>
    <cellStyle name="20% - Ênfase4 7 7 2" xfId="3233" xr:uid="{00000000-0005-0000-0000-00000A0B0000}"/>
    <cellStyle name="20% - Ênfase4 7 8" xfId="3234" xr:uid="{00000000-0005-0000-0000-00000B0B0000}"/>
    <cellStyle name="20% - Ênfase4 7 8 2" xfId="3235" xr:uid="{00000000-0005-0000-0000-00000C0B0000}"/>
    <cellStyle name="20% - Ênfase4 7 9" xfId="3236" xr:uid="{00000000-0005-0000-0000-00000D0B0000}"/>
    <cellStyle name="20% - Ênfase4 7 9 2" xfId="3237" xr:uid="{00000000-0005-0000-0000-00000E0B0000}"/>
    <cellStyle name="20% - Ênfase4 8" xfId="3238" xr:uid="{00000000-0005-0000-0000-00000F0B0000}"/>
    <cellStyle name="20% - Ênfase4 8 10" xfId="3239" xr:uid="{00000000-0005-0000-0000-0000100B0000}"/>
    <cellStyle name="20% - Ênfase4 8 10 2" xfId="3240" xr:uid="{00000000-0005-0000-0000-0000110B0000}"/>
    <cellStyle name="20% - Ênfase4 8 2" xfId="3241" xr:uid="{00000000-0005-0000-0000-0000120B0000}"/>
    <cellStyle name="20% - Ênfase4 8 2 2" xfId="3242" xr:uid="{00000000-0005-0000-0000-0000130B0000}"/>
    <cellStyle name="20% - Ênfase4 8 2 2 2" xfId="25279" xr:uid="{00000000-0005-0000-0000-0000140B0000}"/>
    <cellStyle name="20% - Ênfase4 8 2 2 2 2" xfId="26441" xr:uid="{00000000-0005-0000-0000-0000150B0000}"/>
    <cellStyle name="20% - Ênfase4 8 2 2 3" xfId="26440" xr:uid="{00000000-0005-0000-0000-0000160B0000}"/>
    <cellStyle name="20% - Ênfase4 8 2 3" xfId="25280" xr:uid="{00000000-0005-0000-0000-0000170B0000}"/>
    <cellStyle name="20% - Ênfase4 8 2 3 2" xfId="26442" xr:uid="{00000000-0005-0000-0000-0000180B0000}"/>
    <cellStyle name="20% - Ênfase4 8 2 4" xfId="26439" xr:uid="{00000000-0005-0000-0000-0000190B0000}"/>
    <cellStyle name="20% - Ênfase4 8 3" xfId="3243" xr:uid="{00000000-0005-0000-0000-00001A0B0000}"/>
    <cellStyle name="20% - Ênfase4 8 3 2" xfId="3244" xr:uid="{00000000-0005-0000-0000-00001B0B0000}"/>
    <cellStyle name="20% - Ênfase4 8 3 2 2" xfId="26444" xr:uid="{00000000-0005-0000-0000-00001C0B0000}"/>
    <cellStyle name="20% - Ênfase4 8 3 3" xfId="26443" xr:uid="{00000000-0005-0000-0000-00001D0B0000}"/>
    <cellStyle name="20% - Ênfase4 8 4" xfId="3245" xr:uid="{00000000-0005-0000-0000-00001E0B0000}"/>
    <cellStyle name="20% - Ênfase4 8 4 2" xfId="3246" xr:uid="{00000000-0005-0000-0000-00001F0B0000}"/>
    <cellStyle name="20% - Ênfase4 8 5" xfId="3247" xr:uid="{00000000-0005-0000-0000-0000200B0000}"/>
    <cellStyle name="20% - Ênfase4 8 5 2" xfId="3248" xr:uid="{00000000-0005-0000-0000-0000210B0000}"/>
    <cellStyle name="20% - Ênfase4 8 6" xfId="3249" xr:uid="{00000000-0005-0000-0000-0000220B0000}"/>
    <cellStyle name="20% - Ênfase4 8 6 2" xfId="3250" xr:uid="{00000000-0005-0000-0000-0000230B0000}"/>
    <cellStyle name="20% - Ênfase4 8 7" xfId="3251" xr:uid="{00000000-0005-0000-0000-0000240B0000}"/>
    <cellStyle name="20% - Ênfase4 8 7 2" xfId="3252" xr:uid="{00000000-0005-0000-0000-0000250B0000}"/>
    <cellStyle name="20% - Ênfase4 8 8" xfId="3253" xr:uid="{00000000-0005-0000-0000-0000260B0000}"/>
    <cellStyle name="20% - Ênfase4 8 8 2" xfId="3254" xr:uid="{00000000-0005-0000-0000-0000270B0000}"/>
    <cellStyle name="20% - Ênfase4 8 9" xfId="3255" xr:uid="{00000000-0005-0000-0000-0000280B0000}"/>
    <cellStyle name="20% - Ênfase4 8 9 2" xfId="3256" xr:uid="{00000000-0005-0000-0000-0000290B0000}"/>
    <cellStyle name="20% - Ênfase4 9" xfId="3257" xr:uid="{00000000-0005-0000-0000-00002A0B0000}"/>
    <cellStyle name="20% - Ênfase4 9 10" xfId="3258" xr:uid="{00000000-0005-0000-0000-00002B0B0000}"/>
    <cellStyle name="20% - Ênfase4 9 10 2" xfId="3259" xr:uid="{00000000-0005-0000-0000-00002C0B0000}"/>
    <cellStyle name="20% - Ênfase4 9 11" xfId="3260" xr:uid="{00000000-0005-0000-0000-00002D0B0000}"/>
    <cellStyle name="20% - Ênfase4 9 12" xfId="3261" xr:uid="{00000000-0005-0000-0000-00002E0B0000}"/>
    <cellStyle name="20% - Ênfase4 9 2" xfId="3262" xr:uid="{00000000-0005-0000-0000-00002F0B0000}"/>
    <cellStyle name="20% - Ênfase4 9 2 2" xfId="3263" xr:uid="{00000000-0005-0000-0000-0000300B0000}"/>
    <cellStyle name="20% - Ênfase4 9 2 2 2" xfId="26446" xr:uid="{00000000-0005-0000-0000-0000310B0000}"/>
    <cellStyle name="20% - Ênfase4 9 2 3" xfId="26445" xr:uid="{00000000-0005-0000-0000-0000320B0000}"/>
    <cellStyle name="20% - Ênfase4 9 3" xfId="3264" xr:uid="{00000000-0005-0000-0000-0000330B0000}"/>
    <cellStyle name="20% - Ênfase4 9 3 2" xfId="3265" xr:uid="{00000000-0005-0000-0000-0000340B0000}"/>
    <cellStyle name="20% - Ênfase4 9 4" xfId="3266" xr:uid="{00000000-0005-0000-0000-0000350B0000}"/>
    <cellStyle name="20% - Ênfase4 9 4 2" xfId="3267" xr:uid="{00000000-0005-0000-0000-0000360B0000}"/>
    <cellStyle name="20% - Ênfase4 9 5" xfId="3268" xr:uid="{00000000-0005-0000-0000-0000370B0000}"/>
    <cellStyle name="20% - Ênfase4 9 5 2" xfId="3269" xr:uid="{00000000-0005-0000-0000-0000380B0000}"/>
    <cellStyle name="20% - Ênfase4 9 6" xfId="3270" xr:uid="{00000000-0005-0000-0000-0000390B0000}"/>
    <cellStyle name="20% - Ênfase4 9 6 2" xfId="3271" xr:uid="{00000000-0005-0000-0000-00003A0B0000}"/>
    <cellStyle name="20% - Ênfase4 9 7" xfId="3272" xr:uid="{00000000-0005-0000-0000-00003B0B0000}"/>
    <cellStyle name="20% - Ênfase4 9 7 2" xfId="3273" xr:uid="{00000000-0005-0000-0000-00003C0B0000}"/>
    <cellStyle name="20% - Ênfase4 9 8" xfId="3274" xr:uid="{00000000-0005-0000-0000-00003D0B0000}"/>
    <cellStyle name="20% - Ênfase4 9 8 2" xfId="3275" xr:uid="{00000000-0005-0000-0000-00003E0B0000}"/>
    <cellStyle name="20% - Ênfase4 9 9" xfId="3276" xr:uid="{00000000-0005-0000-0000-00003F0B0000}"/>
    <cellStyle name="20% - Ênfase4 9 9 2" xfId="3277" xr:uid="{00000000-0005-0000-0000-0000400B0000}"/>
    <cellStyle name="20% - Ênfase5" xfId="19" builtinId="46" customBuiltin="1"/>
    <cellStyle name="20% - Ênfase5 10" xfId="3278" xr:uid="{00000000-0005-0000-0000-0000420B0000}"/>
    <cellStyle name="20% - Ênfase5 10 2" xfId="3279" xr:uid="{00000000-0005-0000-0000-0000430B0000}"/>
    <cellStyle name="20% - Ênfase5 10 2 2" xfId="3280" xr:uid="{00000000-0005-0000-0000-0000440B0000}"/>
    <cellStyle name="20% - Ênfase5 10 2 2 2" xfId="26448" xr:uid="{00000000-0005-0000-0000-0000450B0000}"/>
    <cellStyle name="20% - Ênfase5 10 2 3" xfId="26447" xr:uid="{00000000-0005-0000-0000-0000460B0000}"/>
    <cellStyle name="20% - Ênfase5 10 3" xfId="3281" xr:uid="{00000000-0005-0000-0000-0000470B0000}"/>
    <cellStyle name="20% - Ênfase5 10 3 2" xfId="3282" xr:uid="{00000000-0005-0000-0000-0000480B0000}"/>
    <cellStyle name="20% - Ênfase5 10 4" xfId="3283" xr:uid="{00000000-0005-0000-0000-0000490B0000}"/>
    <cellStyle name="20% - Ênfase5 10 4 2" xfId="3284" xr:uid="{00000000-0005-0000-0000-00004A0B0000}"/>
    <cellStyle name="20% - Ênfase5 10 5" xfId="3285" xr:uid="{00000000-0005-0000-0000-00004B0B0000}"/>
    <cellStyle name="20% - Ênfase5 10 5 2" xfId="3286" xr:uid="{00000000-0005-0000-0000-00004C0B0000}"/>
    <cellStyle name="20% - Ênfase5 10 6" xfId="3287" xr:uid="{00000000-0005-0000-0000-00004D0B0000}"/>
    <cellStyle name="20% - Ênfase5 11" xfId="3288" xr:uid="{00000000-0005-0000-0000-00004E0B0000}"/>
    <cellStyle name="20% - Ênfase5 11 2" xfId="3289" xr:uid="{00000000-0005-0000-0000-00004F0B0000}"/>
    <cellStyle name="20% - Ênfase5 11 2 2" xfId="3290" xr:uid="{00000000-0005-0000-0000-0000500B0000}"/>
    <cellStyle name="20% - Ênfase5 11 2 3" xfId="26449" xr:uid="{00000000-0005-0000-0000-0000510B0000}"/>
    <cellStyle name="20% - Ênfase5 11 3" xfId="3291" xr:uid="{00000000-0005-0000-0000-0000520B0000}"/>
    <cellStyle name="20% - Ênfase5 11 3 2" xfId="3292" xr:uid="{00000000-0005-0000-0000-0000530B0000}"/>
    <cellStyle name="20% - Ênfase5 11 4" xfId="3293" xr:uid="{00000000-0005-0000-0000-0000540B0000}"/>
    <cellStyle name="20% - Ênfase5 11 4 2" xfId="3294" xr:uid="{00000000-0005-0000-0000-0000550B0000}"/>
    <cellStyle name="20% - Ênfase5 11 5" xfId="3295" xr:uid="{00000000-0005-0000-0000-0000560B0000}"/>
    <cellStyle name="20% - Ênfase5 11 5 2" xfId="3296" xr:uid="{00000000-0005-0000-0000-0000570B0000}"/>
    <cellStyle name="20% - Ênfase5 11 6" xfId="3297" xr:uid="{00000000-0005-0000-0000-0000580B0000}"/>
    <cellStyle name="20% - Ênfase5 11 7" xfId="25281" xr:uid="{00000000-0005-0000-0000-0000590B0000}"/>
    <cellStyle name="20% - Ênfase5 12" xfId="3298" xr:uid="{00000000-0005-0000-0000-00005A0B0000}"/>
    <cellStyle name="20% - Ênfase5 12 2" xfId="3299" xr:uid="{00000000-0005-0000-0000-00005B0B0000}"/>
    <cellStyle name="20% - Ênfase5 12 2 2" xfId="3300" xr:uid="{00000000-0005-0000-0000-00005C0B0000}"/>
    <cellStyle name="20% - Ênfase5 12 2 2 2" xfId="26451" xr:uid="{00000000-0005-0000-0000-00005D0B0000}"/>
    <cellStyle name="20% - Ênfase5 12 2 3" xfId="26450" xr:uid="{00000000-0005-0000-0000-00005E0B0000}"/>
    <cellStyle name="20% - Ênfase5 12 3" xfId="3301" xr:uid="{00000000-0005-0000-0000-00005F0B0000}"/>
    <cellStyle name="20% - Ênfase5 12 3 2" xfId="3302" xr:uid="{00000000-0005-0000-0000-0000600B0000}"/>
    <cellStyle name="20% - Ênfase5 12 4" xfId="3303" xr:uid="{00000000-0005-0000-0000-0000610B0000}"/>
    <cellStyle name="20% - Ênfase5 12 4 2" xfId="3304" xr:uid="{00000000-0005-0000-0000-0000620B0000}"/>
    <cellStyle name="20% - Ênfase5 12 5" xfId="3305" xr:uid="{00000000-0005-0000-0000-0000630B0000}"/>
    <cellStyle name="20% - Ênfase5 12 5 2" xfId="3306" xr:uid="{00000000-0005-0000-0000-0000640B0000}"/>
    <cellStyle name="20% - Ênfase5 12 6" xfId="3307" xr:uid="{00000000-0005-0000-0000-0000650B0000}"/>
    <cellStyle name="20% - Ênfase5 13" xfId="3308" xr:uid="{00000000-0005-0000-0000-0000660B0000}"/>
    <cellStyle name="20% - Ênfase5 13 2" xfId="3309" xr:uid="{00000000-0005-0000-0000-0000670B0000}"/>
    <cellStyle name="20% - Ênfase5 14" xfId="3310" xr:uid="{00000000-0005-0000-0000-0000680B0000}"/>
    <cellStyle name="20% - Ênfase5 14 2" xfId="3311" xr:uid="{00000000-0005-0000-0000-0000690B0000}"/>
    <cellStyle name="20% - Ênfase5 15" xfId="3312" xr:uid="{00000000-0005-0000-0000-00006A0B0000}"/>
    <cellStyle name="20% - Ênfase5 15 2" xfId="3313" xr:uid="{00000000-0005-0000-0000-00006B0B0000}"/>
    <cellStyle name="20% - Ênfase5 16" xfId="3314" xr:uid="{00000000-0005-0000-0000-00006C0B0000}"/>
    <cellStyle name="20% - Ênfase5 16 2" xfId="3315" xr:uid="{00000000-0005-0000-0000-00006D0B0000}"/>
    <cellStyle name="20% - Ênfase5 17" xfId="3316" xr:uid="{00000000-0005-0000-0000-00006E0B0000}"/>
    <cellStyle name="20% - Ênfase5 17 2" xfId="3317" xr:uid="{00000000-0005-0000-0000-00006F0B0000}"/>
    <cellStyle name="20% - Ênfase5 18" xfId="3318" xr:uid="{00000000-0005-0000-0000-0000700B0000}"/>
    <cellStyle name="20% - Ênfase5 18 2" xfId="3319" xr:uid="{00000000-0005-0000-0000-0000710B0000}"/>
    <cellStyle name="20% - Ênfase5 19" xfId="3320" xr:uid="{00000000-0005-0000-0000-0000720B0000}"/>
    <cellStyle name="20% - Ênfase5 19 2" xfId="3321" xr:uid="{00000000-0005-0000-0000-0000730B0000}"/>
    <cellStyle name="20% - Ênfase5 2" xfId="3322" xr:uid="{00000000-0005-0000-0000-0000740B0000}"/>
    <cellStyle name="20% - Ênfase5 2 2" xfId="3323" xr:uid="{00000000-0005-0000-0000-0000750B0000}"/>
    <cellStyle name="20% - Ênfase5 2 2 10" xfId="3324" xr:uid="{00000000-0005-0000-0000-0000760B0000}"/>
    <cellStyle name="20% - Ênfase5 2 2 10 2" xfId="3325" xr:uid="{00000000-0005-0000-0000-0000770B0000}"/>
    <cellStyle name="20% - Ênfase5 2 2 11" xfId="3326" xr:uid="{00000000-0005-0000-0000-0000780B0000}"/>
    <cellStyle name="20% - Ênfase5 2 2 11 2" xfId="3327" xr:uid="{00000000-0005-0000-0000-0000790B0000}"/>
    <cellStyle name="20% - Ênfase5 2 2 12" xfId="3328" xr:uid="{00000000-0005-0000-0000-00007A0B0000}"/>
    <cellStyle name="20% - Ênfase5 2 2 12 2" xfId="3329" xr:uid="{00000000-0005-0000-0000-00007B0B0000}"/>
    <cellStyle name="20% - Ênfase5 2 2 2" xfId="3330" xr:uid="{00000000-0005-0000-0000-00007C0B0000}"/>
    <cellStyle name="20% - Ênfase5 2 2 2 10" xfId="3331" xr:uid="{00000000-0005-0000-0000-00007D0B0000}"/>
    <cellStyle name="20% - Ênfase5 2 2 2 11" xfId="3332" xr:uid="{00000000-0005-0000-0000-00007E0B0000}"/>
    <cellStyle name="20% - Ênfase5 2 2 2 2" xfId="3333" xr:uid="{00000000-0005-0000-0000-00007F0B0000}"/>
    <cellStyle name="20% - Ênfase5 2 2 2 2 2" xfId="25283" xr:uid="{00000000-0005-0000-0000-0000800B0000}"/>
    <cellStyle name="20% - Ênfase5 2 2 2 2 2 2" xfId="26456" xr:uid="{00000000-0005-0000-0000-0000810B0000}"/>
    <cellStyle name="20% - Ênfase5 2 2 2 2 3" xfId="26455" xr:uid="{00000000-0005-0000-0000-0000820B0000}"/>
    <cellStyle name="20% - Ênfase5 2 2 2 2 4" xfId="25282" xr:uid="{00000000-0005-0000-0000-0000830B0000}"/>
    <cellStyle name="20% - Ênfase5 2 2 2 3" xfId="3334" xr:uid="{00000000-0005-0000-0000-0000840B0000}"/>
    <cellStyle name="20% - Ênfase5 2 2 2 3 2" xfId="26457" xr:uid="{00000000-0005-0000-0000-0000850B0000}"/>
    <cellStyle name="20% - Ênfase5 2 2 2 3 3" xfId="25284" xr:uid="{00000000-0005-0000-0000-0000860B0000}"/>
    <cellStyle name="20% - Ênfase5 2 2 2 4" xfId="3335" xr:uid="{00000000-0005-0000-0000-0000870B0000}"/>
    <cellStyle name="20% - Ênfase5 2 2 2 4 2" xfId="26454" xr:uid="{00000000-0005-0000-0000-0000880B0000}"/>
    <cellStyle name="20% - Ênfase5 2 2 2 5" xfId="3336" xr:uid="{00000000-0005-0000-0000-0000890B0000}"/>
    <cellStyle name="20% - Ênfase5 2 2 2 6" xfId="3337" xr:uid="{00000000-0005-0000-0000-00008A0B0000}"/>
    <cellStyle name="20% - Ênfase5 2 2 2 7" xfId="3338" xr:uid="{00000000-0005-0000-0000-00008B0B0000}"/>
    <cellStyle name="20% - Ênfase5 2 2 2 8" xfId="3339" xr:uid="{00000000-0005-0000-0000-00008C0B0000}"/>
    <cellStyle name="20% - Ênfase5 2 2 2 9" xfId="3340" xr:uid="{00000000-0005-0000-0000-00008D0B0000}"/>
    <cellStyle name="20% - Ênfase5 2 2 3" xfId="3341" xr:uid="{00000000-0005-0000-0000-00008E0B0000}"/>
    <cellStyle name="20% - Ênfase5 2 2 3 2" xfId="25286" xr:uid="{00000000-0005-0000-0000-00008F0B0000}"/>
    <cellStyle name="20% - Ênfase5 2 2 3 2 2" xfId="25287" xr:uid="{00000000-0005-0000-0000-0000900B0000}"/>
    <cellStyle name="20% - Ênfase5 2 2 3 2 2 2" xfId="26460" xr:uid="{00000000-0005-0000-0000-0000910B0000}"/>
    <cellStyle name="20% - Ênfase5 2 2 3 2 3" xfId="26459" xr:uid="{00000000-0005-0000-0000-0000920B0000}"/>
    <cellStyle name="20% - Ênfase5 2 2 3 3" xfId="25288" xr:uid="{00000000-0005-0000-0000-0000930B0000}"/>
    <cellStyle name="20% - Ênfase5 2 2 3 3 2" xfId="26461" xr:uid="{00000000-0005-0000-0000-0000940B0000}"/>
    <cellStyle name="20% - Ênfase5 2 2 3 4" xfId="26458" xr:uid="{00000000-0005-0000-0000-0000950B0000}"/>
    <cellStyle name="20% - Ênfase5 2 2 3 5" xfId="25285" xr:uid="{00000000-0005-0000-0000-0000960B0000}"/>
    <cellStyle name="20% - Ênfase5 2 2 4" xfId="3342" xr:uid="{00000000-0005-0000-0000-0000970B0000}"/>
    <cellStyle name="20% - Ênfase5 2 2 4 2" xfId="26462" xr:uid="{00000000-0005-0000-0000-0000980B0000}"/>
    <cellStyle name="20% - Ênfase5 2 2 5" xfId="3343" xr:uid="{00000000-0005-0000-0000-0000990B0000}"/>
    <cellStyle name="20% - Ênfase5 2 2 5 2" xfId="3344" xr:uid="{00000000-0005-0000-0000-00009A0B0000}"/>
    <cellStyle name="20% - Ênfase5 2 2 5 3" xfId="26453" xr:uid="{00000000-0005-0000-0000-00009B0B0000}"/>
    <cellStyle name="20% - Ênfase5 2 2 6" xfId="3345" xr:uid="{00000000-0005-0000-0000-00009C0B0000}"/>
    <cellStyle name="20% - Ênfase5 2 2 6 2" xfId="3346" xr:uid="{00000000-0005-0000-0000-00009D0B0000}"/>
    <cellStyle name="20% - Ênfase5 2 2 7" xfId="3347" xr:uid="{00000000-0005-0000-0000-00009E0B0000}"/>
    <cellStyle name="20% - Ênfase5 2 2 7 2" xfId="3348" xr:uid="{00000000-0005-0000-0000-00009F0B0000}"/>
    <cellStyle name="20% - Ênfase5 2 2 8" xfId="3349" xr:uid="{00000000-0005-0000-0000-0000A00B0000}"/>
    <cellStyle name="20% - Ênfase5 2 2 8 2" xfId="3350" xr:uid="{00000000-0005-0000-0000-0000A10B0000}"/>
    <cellStyle name="20% - Ênfase5 2 2 9" xfId="3351" xr:uid="{00000000-0005-0000-0000-0000A20B0000}"/>
    <cellStyle name="20% - Ênfase5 2 2 9 2" xfId="3352" xr:uid="{00000000-0005-0000-0000-0000A30B0000}"/>
    <cellStyle name="20% - Ênfase5 2 3" xfId="3353" xr:uid="{00000000-0005-0000-0000-0000A40B0000}"/>
    <cellStyle name="20% - Ênfase5 2 3 2" xfId="25290" xr:uid="{00000000-0005-0000-0000-0000A50B0000}"/>
    <cellStyle name="20% - Ênfase5 2 3 2 2" xfId="25291" xr:uid="{00000000-0005-0000-0000-0000A60B0000}"/>
    <cellStyle name="20% - Ênfase5 2 3 2 2 2" xfId="26465" xr:uid="{00000000-0005-0000-0000-0000A70B0000}"/>
    <cellStyle name="20% - Ênfase5 2 3 2 3" xfId="26464" xr:uid="{00000000-0005-0000-0000-0000A80B0000}"/>
    <cellStyle name="20% - Ênfase5 2 3 3" xfId="25292" xr:uid="{00000000-0005-0000-0000-0000A90B0000}"/>
    <cellStyle name="20% - Ênfase5 2 3 3 2" xfId="26466" xr:uid="{00000000-0005-0000-0000-0000AA0B0000}"/>
    <cellStyle name="20% - Ênfase5 2 3 4" xfId="26463" xr:uid="{00000000-0005-0000-0000-0000AB0B0000}"/>
    <cellStyle name="20% - Ênfase5 2 3 5" xfId="25289" xr:uid="{00000000-0005-0000-0000-0000AC0B0000}"/>
    <cellStyle name="20% - Ênfase5 2 4" xfId="3354" xr:uid="{00000000-0005-0000-0000-0000AD0B0000}"/>
    <cellStyle name="20% - Ênfase5 2 4 2" xfId="25294" xr:uid="{00000000-0005-0000-0000-0000AE0B0000}"/>
    <cellStyle name="20% - Ênfase5 2 4 2 2" xfId="25295" xr:uid="{00000000-0005-0000-0000-0000AF0B0000}"/>
    <cellStyle name="20% - Ênfase5 2 4 2 2 2" xfId="26469" xr:uid="{00000000-0005-0000-0000-0000B00B0000}"/>
    <cellStyle name="20% - Ênfase5 2 4 2 3" xfId="26468" xr:uid="{00000000-0005-0000-0000-0000B10B0000}"/>
    <cellStyle name="20% - Ênfase5 2 4 3" xfId="25296" xr:uid="{00000000-0005-0000-0000-0000B20B0000}"/>
    <cellStyle name="20% - Ênfase5 2 4 3 2" xfId="26470" xr:uid="{00000000-0005-0000-0000-0000B30B0000}"/>
    <cellStyle name="20% - Ênfase5 2 4 4" xfId="26467" xr:uid="{00000000-0005-0000-0000-0000B40B0000}"/>
    <cellStyle name="20% - Ênfase5 2 4 5" xfId="25293" xr:uid="{00000000-0005-0000-0000-0000B50B0000}"/>
    <cellStyle name="20% - Ênfase5 2 5" xfId="3355" xr:uid="{00000000-0005-0000-0000-0000B60B0000}"/>
    <cellStyle name="20% - Ênfase5 2 5 10" xfId="3356" xr:uid="{00000000-0005-0000-0000-0000B70B0000}"/>
    <cellStyle name="20% - Ênfase5 2 5 10 2" xfId="3357" xr:uid="{00000000-0005-0000-0000-0000B80B0000}"/>
    <cellStyle name="20% - Ênfase5 2 5 2" xfId="3358" xr:uid="{00000000-0005-0000-0000-0000B90B0000}"/>
    <cellStyle name="20% - Ênfase5 2 5 2 2" xfId="3359" xr:uid="{00000000-0005-0000-0000-0000BA0B0000}"/>
    <cellStyle name="20% - Ênfase5 2 5 3" xfId="3360" xr:uid="{00000000-0005-0000-0000-0000BB0B0000}"/>
    <cellStyle name="20% - Ênfase5 2 5 3 2" xfId="3361" xr:uid="{00000000-0005-0000-0000-0000BC0B0000}"/>
    <cellStyle name="20% - Ênfase5 2 5 4" xfId="3362" xr:uid="{00000000-0005-0000-0000-0000BD0B0000}"/>
    <cellStyle name="20% - Ênfase5 2 5 4 2" xfId="3363" xr:uid="{00000000-0005-0000-0000-0000BE0B0000}"/>
    <cellStyle name="20% - Ênfase5 2 5 5" xfId="3364" xr:uid="{00000000-0005-0000-0000-0000BF0B0000}"/>
    <cellStyle name="20% - Ênfase5 2 5 5 2" xfId="3365" xr:uid="{00000000-0005-0000-0000-0000C00B0000}"/>
    <cellStyle name="20% - Ênfase5 2 5 6" xfId="3366" xr:uid="{00000000-0005-0000-0000-0000C10B0000}"/>
    <cellStyle name="20% - Ênfase5 2 5 6 2" xfId="3367" xr:uid="{00000000-0005-0000-0000-0000C20B0000}"/>
    <cellStyle name="20% - Ênfase5 2 5 7" xfId="3368" xr:uid="{00000000-0005-0000-0000-0000C30B0000}"/>
    <cellStyle name="20% - Ênfase5 2 5 7 2" xfId="3369" xr:uid="{00000000-0005-0000-0000-0000C40B0000}"/>
    <cellStyle name="20% - Ênfase5 2 5 8" xfId="3370" xr:uid="{00000000-0005-0000-0000-0000C50B0000}"/>
    <cellStyle name="20% - Ênfase5 2 5 8 2" xfId="3371" xr:uid="{00000000-0005-0000-0000-0000C60B0000}"/>
    <cellStyle name="20% - Ênfase5 2 5 9" xfId="3372" xr:uid="{00000000-0005-0000-0000-0000C70B0000}"/>
    <cellStyle name="20% - Ênfase5 2 5 9 2" xfId="3373" xr:uid="{00000000-0005-0000-0000-0000C80B0000}"/>
    <cellStyle name="20% - Ênfase5 2 6" xfId="3374" xr:uid="{00000000-0005-0000-0000-0000C90B0000}"/>
    <cellStyle name="20% - Ênfase5 2 6 2" xfId="3375" xr:uid="{00000000-0005-0000-0000-0000CA0B0000}"/>
    <cellStyle name="20% - Ênfase5 2 6 2 2" xfId="3376" xr:uid="{00000000-0005-0000-0000-0000CB0B0000}"/>
    <cellStyle name="20% - Ênfase5 2 6 3" xfId="3377" xr:uid="{00000000-0005-0000-0000-0000CC0B0000}"/>
    <cellStyle name="20% - Ênfase5 2 6 3 2" xfId="3378" xr:uid="{00000000-0005-0000-0000-0000CD0B0000}"/>
    <cellStyle name="20% - Ênfase5 2 6 4" xfId="3379" xr:uid="{00000000-0005-0000-0000-0000CE0B0000}"/>
    <cellStyle name="20% - Ênfase5 2 6 4 2" xfId="3380" xr:uid="{00000000-0005-0000-0000-0000CF0B0000}"/>
    <cellStyle name="20% - Ênfase5 2 6 5" xfId="3381" xr:uid="{00000000-0005-0000-0000-0000D00B0000}"/>
    <cellStyle name="20% - Ênfase5 2 6 5 2" xfId="3382" xr:uid="{00000000-0005-0000-0000-0000D10B0000}"/>
    <cellStyle name="20% - Ênfase5 2 6 6" xfId="3383" xr:uid="{00000000-0005-0000-0000-0000D20B0000}"/>
    <cellStyle name="20% - Ênfase5 2 7" xfId="26452" xr:uid="{00000000-0005-0000-0000-0000D30B0000}"/>
    <cellStyle name="20% - Ênfase5 20" xfId="3384" xr:uid="{00000000-0005-0000-0000-0000D40B0000}"/>
    <cellStyle name="20% - Ênfase5 20 2" xfId="3385" xr:uid="{00000000-0005-0000-0000-0000D50B0000}"/>
    <cellStyle name="20% - Ênfase5 21" xfId="3386" xr:uid="{00000000-0005-0000-0000-0000D60B0000}"/>
    <cellStyle name="20% - Ênfase5 21 2" xfId="3387" xr:uid="{00000000-0005-0000-0000-0000D70B0000}"/>
    <cellStyle name="20% - Ênfase5 22" xfId="3388" xr:uid="{00000000-0005-0000-0000-0000D80B0000}"/>
    <cellStyle name="20% - Ênfase5 22 2" xfId="3389" xr:uid="{00000000-0005-0000-0000-0000D90B0000}"/>
    <cellStyle name="20% - Ênfase5 23" xfId="3390" xr:uid="{00000000-0005-0000-0000-0000DA0B0000}"/>
    <cellStyle name="20% - Ênfase5 23 2" xfId="3391" xr:uid="{00000000-0005-0000-0000-0000DB0B0000}"/>
    <cellStyle name="20% - Ênfase5 24" xfId="3392" xr:uid="{00000000-0005-0000-0000-0000DC0B0000}"/>
    <cellStyle name="20% - Ênfase5 24 2" xfId="3393" xr:uid="{00000000-0005-0000-0000-0000DD0B0000}"/>
    <cellStyle name="20% - Ênfase5 25" xfId="3394" xr:uid="{00000000-0005-0000-0000-0000DE0B0000}"/>
    <cellStyle name="20% - Ênfase5 25 2" xfId="3395" xr:uid="{00000000-0005-0000-0000-0000DF0B0000}"/>
    <cellStyle name="20% - Ênfase5 26" xfId="3396" xr:uid="{00000000-0005-0000-0000-0000E00B0000}"/>
    <cellStyle name="20% - Ênfase5 26 2" xfId="3397" xr:uid="{00000000-0005-0000-0000-0000E10B0000}"/>
    <cellStyle name="20% - Ênfase5 27" xfId="3398" xr:uid="{00000000-0005-0000-0000-0000E20B0000}"/>
    <cellStyle name="20% - Ênfase5 27 2" xfId="3399" xr:uid="{00000000-0005-0000-0000-0000E30B0000}"/>
    <cellStyle name="20% - Ênfase5 28" xfId="3400" xr:uid="{00000000-0005-0000-0000-0000E40B0000}"/>
    <cellStyle name="20% - Ênfase5 28 2" xfId="3401" xr:uid="{00000000-0005-0000-0000-0000E50B0000}"/>
    <cellStyle name="20% - Ênfase5 29" xfId="3402" xr:uid="{00000000-0005-0000-0000-0000E60B0000}"/>
    <cellStyle name="20% - Ênfase5 29 2" xfId="3403" xr:uid="{00000000-0005-0000-0000-0000E70B0000}"/>
    <cellStyle name="20% - Ênfase5 3" xfId="3404" xr:uid="{00000000-0005-0000-0000-0000E80B0000}"/>
    <cellStyle name="20% - Ênfase5 3 2" xfId="3405" xr:uid="{00000000-0005-0000-0000-0000E90B0000}"/>
    <cellStyle name="20% - Ênfase5 3 2 10" xfId="3406" xr:uid="{00000000-0005-0000-0000-0000EA0B0000}"/>
    <cellStyle name="20% - Ênfase5 3 2 10 2" xfId="3407" xr:uid="{00000000-0005-0000-0000-0000EB0B0000}"/>
    <cellStyle name="20% - Ênfase5 3 2 11" xfId="3408" xr:uid="{00000000-0005-0000-0000-0000EC0B0000}"/>
    <cellStyle name="20% - Ênfase5 3 2 11 2" xfId="3409" xr:uid="{00000000-0005-0000-0000-0000ED0B0000}"/>
    <cellStyle name="20% - Ênfase5 3 2 12" xfId="3410" xr:uid="{00000000-0005-0000-0000-0000EE0B0000}"/>
    <cellStyle name="20% - Ênfase5 3 2 12 2" xfId="3411" xr:uid="{00000000-0005-0000-0000-0000EF0B0000}"/>
    <cellStyle name="20% - Ênfase5 3 2 2" xfId="3412" xr:uid="{00000000-0005-0000-0000-0000F00B0000}"/>
    <cellStyle name="20% - Ênfase5 3 2 2 10" xfId="3413" xr:uid="{00000000-0005-0000-0000-0000F10B0000}"/>
    <cellStyle name="20% - Ênfase5 3 2 2 11" xfId="3414" xr:uid="{00000000-0005-0000-0000-0000F20B0000}"/>
    <cellStyle name="20% - Ênfase5 3 2 2 2" xfId="3415" xr:uid="{00000000-0005-0000-0000-0000F30B0000}"/>
    <cellStyle name="20% - Ênfase5 3 2 2 2 2" xfId="25298" xr:uid="{00000000-0005-0000-0000-0000F40B0000}"/>
    <cellStyle name="20% - Ênfase5 3 2 2 2 2 2" xfId="26474" xr:uid="{00000000-0005-0000-0000-0000F50B0000}"/>
    <cellStyle name="20% - Ênfase5 3 2 2 2 3" xfId="26473" xr:uid="{00000000-0005-0000-0000-0000F60B0000}"/>
    <cellStyle name="20% - Ênfase5 3 2 2 2 4" xfId="25297" xr:uid="{00000000-0005-0000-0000-0000F70B0000}"/>
    <cellStyle name="20% - Ênfase5 3 2 2 3" xfId="3416" xr:uid="{00000000-0005-0000-0000-0000F80B0000}"/>
    <cellStyle name="20% - Ênfase5 3 2 2 3 2" xfId="26475" xr:uid="{00000000-0005-0000-0000-0000F90B0000}"/>
    <cellStyle name="20% - Ênfase5 3 2 2 3 3" xfId="25299" xr:uid="{00000000-0005-0000-0000-0000FA0B0000}"/>
    <cellStyle name="20% - Ênfase5 3 2 2 4" xfId="3417" xr:uid="{00000000-0005-0000-0000-0000FB0B0000}"/>
    <cellStyle name="20% - Ênfase5 3 2 2 4 2" xfId="26472" xr:uid="{00000000-0005-0000-0000-0000FC0B0000}"/>
    <cellStyle name="20% - Ênfase5 3 2 2 5" xfId="3418" xr:uid="{00000000-0005-0000-0000-0000FD0B0000}"/>
    <cellStyle name="20% - Ênfase5 3 2 2 6" xfId="3419" xr:uid="{00000000-0005-0000-0000-0000FE0B0000}"/>
    <cellStyle name="20% - Ênfase5 3 2 2 7" xfId="3420" xr:uid="{00000000-0005-0000-0000-0000FF0B0000}"/>
    <cellStyle name="20% - Ênfase5 3 2 2 8" xfId="3421" xr:uid="{00000000-0005-0000-0000-0000000C0000}"/>
    <cellStyle name="20% - Ênfase5 3 2 2 9" xfId="3422" xr:uid="{00000000-0005-0000-0000-0000010C0000}"/>
    <cellStyle name="20% - Ênfase5 3 2 3" xfId="3423" xr:uid="{00000000-0005-0000-0000-0000020C0000}"/>
    <cellStyle name="20% - Ênfase5 3 2 3 2" xfId="25301" xr:uid="{00000000-0005-0000-0000-0000030C0000}"/>
    <cellStyle name="20% - Ênfase5 3 2 3 2 2" xfId="26477" xr:uid="{00000000-0005-0000-0000-0000040C0000}"/>
    <cellStyle name="20% - Ênfase5 3 2 3 3" xfId="26476" xr:uid="{00000000-0005-0000-0000-0000050C0000}"/>
    <cellStyle name="20% - Ênfase5 3 2 3 4" xfId="25300" xr:uid="{00000000-0005-0000-0000-0000060C0000}"/>
    <cellStyle name="20% - Ênfase5 3 2 4" xfId="3424" xr:uid="{00000000-0005-0000-0000-0000070C0000}"/>
    <cellStyle name="20% - Ênfase5 3 2 4 2" xfId="26478" xr:uid="{00000000-0005-0000-0000-0000080C0000}"/>
    <cellStyle name="20% - Ênfase5 3 2 4 3" xfId="25302" xr:uid="{00000000-0005-0000-0000-0000090C0000}"/>
    <cellStyle name="20% - Ênfase5 3 2 5" xfId="3425" xr:uid="{00000000-0005-0000-0000-00000A0C0000}"/>
    <cellStyle name="20% - Ênfase5 3 2 5 2" xfId="3426" xr:uid="{00000000-0005-0000-0000-00000B0C0000}"/>
    <cellStyle name="20% - Ênfase5 3 2 6" xfId="3427" xr:uid="{00000000-0005-0000-0000-00000C0C0000}"/>
    <cellStyle name="20% - Ênfase5 3 2 6 2" xfId="3428" xr:uid="{00000000-0005-0000-0000-00000D0C0000}"/>
    <cellStyle name="20% - Ênfase5 3 2 7" xfId="3429" xr:uid="{00000000-0005-0000-0000-00000E0C0000}"/>
    <cellStyle name="20% - Ênfase5 3 2 7 2" xfId="3430" xr:uid="{00000000-0005-0000-0000-00000F0C0000}"/>
    <cellStyle name="20% - Ênfase5 3 2 8" xfId="3431" xr:uid="{00000000-0005-0000-0000-0000100C0000}"/>
    <cellStyle name="20% - Ênfase5 3 2 8 2" xfId="3432" xr:uid="{00000000-0005-0000-0000-0000110C0000}"/>
    <cellStyle name="20% - Ênfase5 3 2 9" xfId="3433" xr:uid="{00000000-0005-0000-0000-0000120C0000}"/>
    <cellStyle name="20% - Ênfase5 3 2 9 2" xfId="3434" xr:uid="{00000000-0005-0000-0000-0000130C0000}"/>
    <cellStyle name="20% - Ênfase5 3 3" xfId="3435" xr:uid="{00000000-0005-0000-0000-0000140C0000}"/>
    <cellStyle name="20% - Ênfase5 3 3 2" xfId="25304" xr:uid="{00000000-0005-0000-0000-0000150C0000}"/>
    <cellStyle name="20% - Ênfase5 3 3 2 2" xfId="25305" xr:uid="{00000000-0005-0000-0000-0000160C0000}"/>
    <cellStyle name="20% - Ênfase5 3 3 2 2 2" xfId="26481" xr:uid="{00000000-0005-0000-0000-0000170C0000}"/>
    <cellStyle name="20% - Ênfase5 3 3 2 3" xfId="26480" xr:uid="{00000000-0005-0000-0000-0000180C0000}"/>
    <cellStyle name="20% - Ênfase5 3 3 3" xfId="25306" xr:uid="{00000000-0005-0000-0000-0000190C0000}"/>
    <cellStyle name="20% - Ênfase5 3 3 3 2" xfId="26482" xr:uid="{00000000-0005-0000-0000-00001A0C0000}"/>
    <cellStyle name="20% - Ênfase5 3 3 4" xfId="26479" xr:uid="{00000000-0005-0000-0000-00001B0C0000}"/>
    <cellStyle name="20% - Ênfase5 3 3 5" xfId="25303" xr:uid="{00000000-0005-0000-0000-00001C0C0000}"/>
    <cellStyle name="20% - Ênfase5 3 4" xfId="3436" xr:uid="{00000000-0005-0000-0000-00001D0C0000}"/>
    <cellStyle name="20% - Ênfase5 3 4 2" xfId="26483" xr:uid="{00000000-0005-0000-0000-00001E0C0000}"/>
    <cellStyle name="20% - Ênfase5 3 5" xfId="3437" xr:uid="{00000000-0005-0000-0000-00001F0C0000}"/>
    <cellStyle name="20% - Ênfase5 3 5 10" xfId="3438" xr:uid="{00000000-0005-0000-0000-0000200C0000}"/>
    <cellStyle name="20% - Ênfase5 3 5 10 2" xfId="3439" xr:uid="{00000000-0005-0000-0000-0000210C0000}"/>
    <cellStyle name="20% - Ênfase5 3 5 2" xfId="3440" xr:uid="{00000000-0005-0000-0000-0000220C0000}"/>
    <cellStyle name="20% - Ênfase5 3 5 2 2" xfId="3441" xr:uid="{00000000-0005-0000-0000-0000230C0000}"/>
    <cellStyle name="20% - Ênfase5 3 5 3" xfId="3442" xr:uid="{00000000-0005-0000-0000-0000240C0000}"/>
    <cellStyle name="20% - Ênfase5 3 5 3 2" xfId="3443" xr:uid="{00000000-0005-0000-0000-0000250C0000}"/>
    <cellStyle name="20% - Ênfase5 3 5 4" xfId="3444" xr:uid="{00000000-0005-0000-0000-0000260C0000}"/>
    <cellStyle name="20% - Ênfase5 3 5 4 2" xfId="3445" xr:uid="{00000000-0005-0000-0000-0000270C0000}"/>
    <cellStyle name="20% - Ênfase5 3 5 5" xfId="3446" xr:uid="{00000000-0005-0000-0000-0000280C0000}"/>
    <cellStyle name="20% - Ênfase5 3 5 5 2" xfId="3447" xr:uid="{00000000-0005-0000-0000-0000290C0000}"/>
    <cellStyle name="20% - Ênfase5 3 5 6" xfId="3448" xr:uid="{00000000-0005-0000-0000-00002A0C0000}"/>
    <cellStyle name="20% - Ênfase5 3 5 6 2" xfId="3449" xr:uid="{00000000-0005-0000-0000-00002B0C0000}"/>
    <cellStyle name="20% - Ênfase5 3 5 7" xfId="3450" xr:uid="{00000000-0005-0000-0000-00002C0C0000}"/>
    <cellStyle name="20% - Ênfase5 3 5 7 2" xfId="3451" xr:uid="{00000000-0005-0000-0000-00002D0C0000}"/>
    <cellStyle name="20% - Ênfase5 3 5 8" xfId="3452" xr:uid="{00000000-0005-0000-0000-00002E0C0000}"/>
    <cellStyle name="20% - Ênfase5 3 5 8 2" xfId="3453" xr:uid="{00000000-0005-0000-0000-00002F0C0000}"/>
    <cellStyle name="20% - Ênfase5 3 5 9" xfId="3454" xr:uid="{00000000-0005-0000-0000-0000300C0000}"/>
    <cellStyle name="20% - Ênfase5 3 5 9 2" xfId="3455" xr:uid="{00000000-0005-0000-0000-0000310C0000}"/>
    <cellStyle name="20% - Ênfase5 3 6" xfId="3456" xr:uid="{00000000-0005-0000-0000-0000320C0000}"/>
    <cellStyle name="20% - Ênfase5 3 6 2" xfId="3457" xr:uid="{00000000-0005-0000-0000-0000330C0000}"/>
    <cellStyle name="20% - Ênfase5 3 6 2 2" xfId="3458" xr:uid="{00000000-0005-0000-0000-0000340C0000}"/>
    <cellStyle name="20% - Ênfase5 3 6 3" xfId="3459" xr:uid="{00000000-0005-0000-0000-0000350C0000}"/>
    <cellStyle name="20% - Ênfase5 3 6 3 2" xfId="3460" xr:uid="{00000000-0005-0000-0000-0000360C0000}"/>
    <cellStyle name="20% - Ênfase5 3 6 4" xfId="3461" xr:uid="{00000000-0005-0000-0000-0000370C0000}"/>
    <cellStyle name="20% - Ênfase5 3 6 4 2" xfId="3462" xr:uid="{00000000-0005-0000-0000-0000380C0000}"/>
    <cellStyle name="20% - Ênfase5 3 6 5" xfId="3463" xr:uid="{00000000-0005-0000-0000-0000390C0000}"/>
    <cellStyle name="20% - Ênfase5 3 6 5 2" xfId="3464" xr:uid="{00000000-0005-0000-0000-00003A0C0000}"/>
    <cellStyle name="20% - Ênfase5 3 6 6" xfId="3465" xr:uid="{00000000-0005-0000-0000-00003B0C0000}"/>
    <cellStyle name="20% - Ênfase5 3 7" xfId="25307" xr:uid="{00000000-0005-0000-0000-00003C0C0000}"/>
    <cellStyle name="20% - Ênfase5 3 7 2" xfId="26484" xr:uid="{00000000-0005-0000-0000-00003D0C0000}"/>
    <cellStyle name="20% - Ênfase5 3 8" xfId="26471" xr:uid="{00000000-0005-0000-0000-00003E0C0000}"/>
    <cellStyle name="20% - Ênfase5 30" xfId="3466" xr:uid="{00000000-0005-0000-0000-00003F0C0000}"/>
    <cellStyle name="20% - Ênfase5 30 2" xfId="3467" xr:uid="{00000000-0005-0000-0000-0000400C0000}"/>
    <cellStyle name="20% - Ênfase5 31" xfId="3468" xr:uid="{00000000-0005-0000-0000-0000410C0000}"/>
    <cellStyle name="20% - Ênfase5 31 2" xfId="3469" xr:uid="{00000000-0005-0000-0000-0000420C0000}"/>
    <cellStyle name="20% - Ênfase5 32" xfId="3470" xr:uid="{00000000-0005-0000-0000-0000430C0000}"/>
    <cellStyle name="20% - Ênfase5 32 2" xfId="3471" xr:uid="{00000000-0005-0000-0000-0000440C0000}"/>
    <cellStyle name="20% - Ênfase5 33" xfId="3472" xr:uid="{00000000-0005-0000-0000-0000450C0000}"/>
    <cellStyle name="20% - Ênfase5 33 2" xfId="3473" xr:uid="{00000000-0005-0000-0000-0000460C0000}"/>
    <cellStyle name="20% - Ênfase5 34" xfId="3474" xr:uid="{00000000-0005-0000-0000-0000470C0000}"/>
    <cellStyle name="20% - Ênfase5 34 2" xfId="3475" xr:uid="{00000000-0005-0000-0000-0000480C0000}"/>
    <cellStyle name="20% - Ênfase5 35" xfId="3476" xr:uid="{00000000-0005-0000-0000-0000490C0000}"/>
    <cellStyle name="20% - Ênfase5 35 2" xfId="3477" xr:uid="{00000000-0005-0000-0000-00004A0C0000}"/>
    <cellStyle name="20% - Ênfase5 36" xfId="3478" xr:uid="{00000000-0005-0000-0000-00004B0C0000}"/>
    <cellStyle name="20% - Ênfase5 36 2" xfId="3479" xr:uid="{00000000-0005-0000-0000-00004C0C0000}"/>
    <cellStyle name="20% - Ênfase5 37" xfId="3480" xr:uid="{00000000-0005-0000-0000-00004D0C0000}"/>
    <cellStyle name="20% - Ênfase5 37 2" xfId="3481" xr:uid="{00000000-0005-0000-0000-00004E0C0000}"/>
    <cellStyle name="20% - Ênfase5 38" xfId="3482" xr:uid="{00000000-0005-0000-0000-00004F0C0000}"/>
    <cellStyle name="20% - Ênfase5 38 2" xfId="3483" xr:uid="{00000000-0005-0000-0000-0000500C0000}"/>
    <cellStyle name="20% - Ênfase5 39" xfId="3484" xr:uid="{00000000-0005-0000-0000-0000510C0000}"/>
    <cellStyle name="20% - Ênfase5 39 2" xfId="3485" xr:uid="{00000000-0005-0000-0000-0000520C0000}"/>
    <cellStyle name="20% - Ênfase5 4" xfId="3486" xr:uid="{00000000-0005-0000-0000-0000530C0000}"/>
    <cellStyle name="20% - Ênfase5 4 2" xfId="3487" xr:uid="{00000000-0005-0000-0000-0000540C0000}"/>
    <cellStyle name="20% - Ênfase5 4 2 10" xfId="3488" xr:uid="{00000000-0005-0000-0000-0000550C0000}"/>
    <cellStyle name="20% - Ênfase5 4 2 10 2" xfId="3489" xr:uid="{00000000-0005-0000-0000-0000560C0000}"/>
    <cellStyle name="20% - Ênfase5 4 2 11" xfId="3490" xr:uid="{00000000-0005-0000-0000-0000570C0000}"/>
    <cellStyle name="20% - Ênfase5 4 2 11 2" xfId="3491" xr:uid="{00000000-0005-0000-0000-0000580C0000}"/>
    <cellStyle name="20% - Ênfase5 4 2 12" xfId="3492" xr:uid="{00000000-0005-0000-0000-0000590C0000}"/>
    <cellStyle name="20% - Ênfase5 4 2 12 2" xfId="3493" xr:uid="{00000000-0005-0000-0000-00005A0C0000}"/>
    <cellStyle name="20% - Ênfase5 4 2 2" xfId="3494" xr:uid="{00000000-0005-0000-0000-00005B0C0000}"/>
    <cellStyle name="20% - Ênfase5 4 2 2 10" xfId="3495" xr:uid="{00000000-0005-0000-0000-00005C0C0000}"/>
    <cellStyle name="20% - Ênfase5 4 2 2 11" xfId="3496" xr:uid="{00000000-0005-0000-0000-00005D0C0000}"/>
    <cellStyle name="20% - Ênfase5 4 2 2 2" xfId="3497" xr:uid="{00000000-0005-0000-0000-00005E0C0000}"/>
    <cellStyle name="20% - Ênfase5 4 2 2 2 2" xfId="25309" xr:uid="{00000000-0005-0000-0000-00005F0C0000}"/>
    <cellStyle name="20% - Ênfase5 4 2 2 2 2 2" xfId="26488" xr:uid="{00000000-0005-0000-0000-0000600C0000}"/>
    <cellStyle name="20% - Ênfase5 4 2 2 2 3" xfId="26487" xr:uid="{00000000-0005-0000-0000-0000610C0000}"/>
    <cellStyle name="20% - Ênfase5 4 2 2 2 4" xfId="25308" xr:uid="{00000000-0005-0000-0000-0000620C0000}"/>
    <cellStyle name="20% - Ênfase5 4 2 2 3" xfId="3498" xr:uid="{00000000-0005-0000-0000-0000630C0000}"/>
    <cellStyle name="20% - Ênfase5 4 2 2 3 2" xfId="26489" xr:uid="{00000000-0005-0000-0000-0000640C0000}"/>
    <cellStyle name="20% - Ênfase5 4 2 2 3 3" xfId="25310" xr:uid="{00000000-0005-0000-0000-0000650C0000}"/>
    <cellStyle name="20% - Ênfase5 4 2 2 4" xfId="3499" xr:uid="{00000000-0005-0000-0000-0000660C0000}"/>
    <cellStyle name="20% - Ênfase5 4 2 2 4 2" xfId="26486" xr:uid="{00000000-0005-0000-0000-0000670C0000}"/>
    <cellStyle name="20% - Ênfase5 4 2 2 5" xfId="3500" xr:uid="{00000000-0005-0000-0000-0000680C0000}"/>
    <cellStyle name="20% - Ênfase5 4 2 2 6" xfId="3501" xr:uid="{00000000-0005-0000-0000-0000690C0000}"/>
    <cellStyle name="20% - Ênfase5 4 2 2 7" xfId="3502" xr:uid="{00000000-0005-0000-0000-00006A0C0000}"/>
    <cellStyle name="20% - Ênfase5 4 2 2 8" xfId="3503" xr:uid="{00000000-0005-0000-0000-00006B0C0000}"/>
    <cellStyle name="20% - Ênfase5 4 2 2 9" xfId="3504" xr:uid="{00000000-0005-0000-0000-00006C0C0000}"/>
    <cellStyle name="20% - Ênfase5 4 2 3" xfId="3505" xr:uid="{00000000-0005-0000-0000-00006D0C0000}"/>
    <cellStyle name="20% - Ênfase5 4 2 3 2" xfId="25312" xr:uid="{00000000-0005-0000-0000-00006E0C0000}"/>
    <cellStyle name="20% - Ênfase5 4 2 3 2 2" xfId="26491" xr:uid="{00000000-0005-0000-0000-00006F0C0000}"/>
    <cellStyle name="20% - Ênfase5 4 2 3 3" xfId="26490" xr:uid="{00000000-0005-0000-0000-0000700C0000}"/>
    <cellStyle name="20% - Ênfase5 4 2 3 4" xfId="25311" xr:uid="{00000000-0005-0000-0000-0000710C0000}"/>
    <cellStyle name="20% - Ênfase5 4 2 4" xfId="3506" xr:uid="{00000000-0005-0000-0000-0000720C0000}"/>
    <cellStyle name="20% - Ênfase5 4 2 4 2" xfId="26492" xr:uid="{00000000-0005-0000-0000-0000730C0000}"/>
    <cellStyle name="20% - Ênfase5 4 2 4 3" xfId="25313" xr:uid="{00000000-0005-0000-0000-0000740C0000}"/>
    <cellStyle name="20% - Ênfase5 4 2 5" xfId="3507" xr:uid="{00000000-0005-0000-0000-0000750C0000}"/>
    <cellStyle name="20% - Ênfase5 4 2 5 2" xfId="3508" xr:uid="{00000000-0005-0000-0000-0000760C0000}"/>
    <cellStyle name="20% - Ênfase5 4 2 6" xfId="3509" xr:uid="{00000000-0005-0000-0000-0000770C0000}"/>
    <cellStyle name="20% - Ênfase5 4 2 6 2" xfId="3510" xr:uid="{00000000-0005-0000-0000-0000780C0000}"/>
    <cellStyle name="20% - Ênfase5 4 2 7" xfId="3511" xr:uid="{00000000-0005-0000-0000-0000790C0000}"/>
    <cellStyle name="20% - Ênfase5 4 2 7 2" xfId="3512" xr:uid="{00000000-0005-0000-0000-00007A0C0000}"/>
    <cellStyle name="20% - Ênfase5 4 2 8" xfId="3513" xr:uid="{00000000-0005-0000-0000-00007B0C0000}"/>
    <cellStyle name="20% - Ênfase5 4 2 8 2" xfId="3514" xr:uid="{00000000-0005-0000-0000-00007C0C0000}"/>
    <cellStyle name="20% - Ênfase5 4 2 9" xfId="3515" xr:uid="{00000000-0005-0000-0000-00007D0C0000}"/>
    <cellStyle name="20% - Ênfase5 4 2 9 2" xfId="3516" xr:uid="{00000000-0005-0000-0000-00007E0C0000}"/>
    <cellStyle name="20% - Ênfase5 4 3" xfId="3517" xr:uid="{00000000-0005-0000-0000-00007F0C0000}"/>
    <cellStyle name="20% - Ênfase5 4 3 2" xfId="25315" xr:uid="{00000000-0005-0000-0000-0000800C0000}"/>
    <cellStyle name="20% - Ênfase5 4 3 2 2" xfId="25316" xr:uid="{00000000-0005-0000-0000-0000810C0000}"/>
    <cellStyle name="20% - Ênfase5 4 3 2 2 2" xfId="26495" xr:uid="{00000000-0005-0000-0000-0000820C0000}"/>
    <cellStyle name="20% - Ênfase5 4 3 2 3" xfId="26494" xr:uid="{00000000-0005-0000-0000-0000830C0000}"/>
    <cellStyle name="20% - Ênfase5 4 3 3" xfId="25317" xr:uid="{00000000-0005-0000-0000-0000840C0000}"/>
    <cellStyle name="20% - Ênfase5 4 3 3 2" xfId="26496" xr:uid="{00000000-0005-0000-0000-0000850C0000}"/>
    <cellStyle name="20% - Ênfase5 4 3 4" xfId="26493" xr:uid="{00000000-0005-0000-0000-0000860C0000}"/>
    <cellStyle name="20% - Ênfase5 4 3 5" xfId="25314" xr:uid="{00000000-0005-0000-0000-0000870C0000}"/>
    <cellStyle name="20% - Ênfase5 4 4" xfId="3518" xr:uid="{00000000-0005-0000-0000-0000880C0000}"/>
    <cellStyle name="20% - Ênfase5 4 4 2" xfId="26497" xr:uid="{00000000-0005-0000-0000-0000890C0000}"/>
    <cellStyle name="20% - Ênfase5 4 5" xfId="3519" xr:uid="{00000000-0005-0000-0000-00008A0C0000}"/>
    <cellStyle name="20% - Ênfase5 4 5 10" xfId="3520" xr:uid="{00000000-0005-0000-0000-00008B0C0000}"/>
    <cellStyle name="20% - Ênfase5 4 5 10 2" xfId="3521" xr:uid="{00000000-0005-0000-0000-00008C0C0000}"/>
    <cellStyle name="20% - Ênfase5 4 5 2" xfId="3522" xr:uid="{00000000-0005-0000-0000-00008D0C0000}"/>
    <cellStyle name="20% - Ênfase5 4 5 2 2" xfId="3523" xr:uid="{00000000-0005-0000-0000-00008E0C0000}"/>
    <cellStyle name="20% - Ênfase5 4 5 3" xfId="3524" xr:uid="{00000000-0005-0000-0000-00008F0C0000}"/>
    <cellStyle name="20% - Ênfase5 4 5 3 2" xfId="3525" xr:uid="{00000000-0005-0000-0000-0000900C0000}"/>
    <cellStyle name="20% - Ênfase5 4 5 4" xfId="3526" xr:uid="{00000000-0005-0000-0000-0000910C0000}"/>
    <cellStyle name="20% - Ênfase5 4 5 4 2" xfId="3527" xr:uid="{00000000-0005-0000-0000-0000920C0000}"/>
    <cellStyle name="20% - Ênfase5 4 5 5" xfId="3528" xr:uid="{00000000-0005-0000-0000-0000930C0000}"/>
    <cellStyle name="20% - Ênfase5 4 5 5 2" xfId="3529" xr:uid="{00000000-0005-0000-0000-0000940C0000}"/>
    <cellStyle name="20% - Ênfase5 4 5 6" xfId="3530" xr:uid="{00000000-0005-0000-0000-0000950C0000}"/>
    <cellStyle name="20% - Ênfase5 4 5 6 2" xfId="3531" xr:uid="{00000000-0005-0000-0000-0000960C0000}"/>
    <cellStyle name="20% - Ênfase5 4 5 7" xfId="3532" xr:uid="{00000000-0005-0000-0000-0000970C0000}"/>
    <cellStyle name="20% - Ênfase5 4 5 7 2" xfId="3533" xr:uid="{00000000-0005-0000-0000-0000980C0000}"/>
    <cellStyle name="20% - Ênfase5 4 5 8" xfId="3534" xr:uid="{00000000-0005-0000-0000-0000990C0000}"/>
    <cellStyle name="20% - Ênfase5 4 5 8 2" xfId="3535" xr:uid="{00000000-0005-0000-0000-00009A0C0000}"/>
    <cellStyle name="20% - Ênfase5 4 5 9" xfId="3536" xr:uid="{00000000-0005-0000-0000-00009B0C0000}"/>
    <cellStyle name="20% - Ênfase5 4 5 9 2" xfId="3537" xr:uid="{00000000-0005-0000-0000-00009C0C0000}"/>
    <cellStyle name="20% - Ênfase5 4 6" xfId="3538" xr:uid="{00000000-0005-0000-0000-00009D0C0000}"/>
    <cellStyle name="20% - Ênfase5 4 6 2" xfId="3539" xr:uid="{00000000-0005-0000-0000-00009E0C0000}"/>
    <cellStyle name="20% - Ênfase5 4 6 2 2" xfId="3540" xr:uid="{00000000-0005-0000-0000-00009F0C0000}"/>
    <cellStyle name="20% - Ênfase5 4 6 3" xfId="3541" xr:uid="{00000000-0005-0000-0000-0000A00C0000}"/>
    <cellStyle name="20% - Ênfase5 4 6 3 2" xfId="3542" xr:uid="{00000000-0005-0000-0000-0000A10C0000}"/>
    <cellStyle name="20% - Ênfase5 4 6 4" xfId="3543" xr:uid="{00000000-0005-0000-0000-0000A20C0000}"/>
    <cellStyle name="20% - Ênfase5 4 6 4 2" xfId="3544" xr:uid="{00000000-0005-0000-0000-0000A30C0000}"/>
    <cellStyle name="20% - Ênfase5 4 6 5" xfId="3545" xr:uid="{00000000-0005-0000-0000-0000A40C0000}"/>
    <cellStyle name="20% - Ênfase5 4 6 5 2" xfId="3546" xr:uid="{00000000-0005-0000-0000-0000A50C0000}"/>
    <cellStyle name="20% - Ênfase5 4 6 6" xfId="3547" xr:uid="{00000000-0005-0000-0000-0000A60C0000}"/>
    <cellStyle name="20% - Ênfase5 4 7" xfId="26485" xr:uid="{00000000-0005-0000-0000-0000A70C0000}"/>
    <cellStyle name="20% - Ênfase5 40" xfId="3548" xr:uid="{00000000-0005-0000-0000-0000A80C0000}"/>
    <cellStyle name="20% - Ênfase5 40 2" xfId="3549" xr:uid="{00000000-0005-0000-0000-0000A90C0000}"/>
    <cellStyle name="20% - Ênfase5 41" xfId="3550" xr:uid="{00000000-0005-0000-0000-0000AA0C0000}"/>
    <cellStyle name="20% - Ênfase5 41 2" xfId="3551" xr:uid="{00000000-0005-0000-0000-0000AB0C0000}"/>
    <cellStyle name="20% - Ênfase5 42" xfId="3552" xr:uid="{00000000-0005-0000-0000-0000AC0C0000}"/>
    <cellStyle name="20% - Ênfase5 42 2" xfId="3553" xr:uid="{00000000-0005-0000-0000-0000AD0C0000}"/>
    <cellStyle name="20% - Ênfase5 43" xfId="3554" xr:uid="{00000000-0005-0000-0000-0000AE0C0000}"/>
    <cellStyle name="20% - Ênfase5 43 2" xfId="3555" xr:uid="{00000000-0005-0000-0000-0000AF0C0000}"/>
    <cellStyle name="20% - Ênfase5 44" xfId="3556" xr:uid="{00000000-0005-0000-0000-0000B00C0000}"/>
    <cellStyle name="20% - Ênfase5 44 2" xfId="3557" xr:uid="{00000000-0005-0000-0000-0000B10C0000}"/>
    <cellStyle name="20% - Ênfase5 45" xfId="3558" xr:uid="{00000000-0005-0000-0000-0000B20C0000}"/>
    <cellStyle name="20% - Ênfase5 45 2" xfId="3559" xr:uid="{00000000-0005-0000-0000-0000B30C0000}"/>
    <cellStyle name="20% - Ênfase5 46" xfId="3560" xr:uid="{00000000-0005-0000-0000-0000B40C0000}"/>
    <cellStyle name="20% - Ênfase5 46 2" xfId="3561" xr:uid="{00000000-0005-0000-0000-0000B50C0000}"/>
    <cellStyle name="20% - Ênfase5 47" xfId="3562" xr:uid="{00000000-0005-0000-0000-0000B60C0000}"/>
    <cellStyle name="20% - Ênfase5 47 2" xfId="3563" xr:uid="{00000000-0005-0000-0000-0000B70C0000}"/>
    <cellStyle name="20% - Ênfase5 48" xfId="3564" xr:uid="{00000000-0005-0000-0000-0000B80C0000}"/>
    <cellStyle name="20% - Ênfase5 48 2" xfId="3565" xr:uid="{00000000-0005-0000-0000-0000B90C0000}"/>
    <cellStyle name="20% - Ênfase5 49" xfId="3566" xr:uid="{00000000-0005-0000-0000-0000BA0C0000}"/>
    <cellStyle name="20% - Ênfase5 49 2" xfId="3567" xr:uid="{00000000-0005-0000-0000-0000BB0C0000}"/>
    <cellStyle name="20% - Ênfase5 5" xfId="3568" xr:uid="{00000000-0005-0000-0000-0000BC0C0000}"/>
    <cellStyle name="20% - Ênfase5 5 2" xfId="3569" xr:uid="{00000000-0005-0000-0000-0000BD0C0000}"/>
    <cellStyle name="20% - Ênfase5 5 2 2" xfId="3570" xr:uid="{00000000-0005-0000-0000-0000BE0C0000}"/>
    <cellStyle name="20% - Ênfase5 5 2 2 2" xfId="25319" xr:uid="{00000000-0005-0000-0000-0000BF0C0000}"/>
    <cellStyle name="20% - Ênfase5 5 2 2 2 2" xfId="25320" xr:uid="{00000000-0005-0000-0000-0000C00C0000}"/>
    <cellStyle name="20% - Ênfase5 5 2 2 2 2 2" xfId="26500" xr:uid="{00000000-0005-0000-0000-0000C10C0000}"/>
    <cellStyle name="20% - Ênfase5 5 2 2 2 3" xfId="26499" xr:uid="{00000000-0005-0000-0000-0000C20C0000}"/>
    <cellStyle name="20% - Ênfase5 5 2 2 3" xfId="25321" xr:uid="{00000000-0005-0000-0000-0000C30C0000}"/>
    <cellStyle name="20% - Ênfase5 5 2 2 3 2" xfId="26501" xr:uid="{00000000-0005-0000-0000-0000C40C0000}"/>
    <cellStyle name="20% - Ênfase5 5 2 2 4" xfId="26498" xr:uid="{00000000-0005-0000-0000-0000C50C0000}"/>
    <cellStyle name="20% - Ênfase5 5 2 2 5" xfId="25318" xr:uid="{00000000-0005-0000-0000-0000C60C0000}"/>
    <cellStyle name="20% - Ênfase5 5 2 3" xfId="3571" xr:uid="{00000000-0005-0000-0000-0000C70C0000}"/>
    <cellStyle name="20% - Ênfase5 5 2 3 2" xfId="25323" xr:uid="{00000000-0005-0000-0000-0000C80C0000}"/>
    <cellStyle name="20% - Ênfase5 5 2 3 2 2" xfId="26503" xr:uid="{00000000-0005-0000-0000-0000C90C0000}"/>
    <cellStyle name="20% - Ênfase5 5 2 3 3" xfId="26502" xr:uid="{00000000-0005-0000-0000-0000CA0C0000}"/>
    <cellStyle name="20% - Ênfase5 5 2 3 4" xfId="25322" xr:uid="{00000000-0005-0000-0000-0000CB0C0000}"/>
    <cellStyle name="20% - Ênfase5 5 2 4" xfId="3572" xr:uid="{00000000-0005-0000-0000-0000CC0C0000}"/>
    <cellStyle name="20% - Ênfase5 5 2 4 2" xfId="26504" xr:uid="{00000000-0005-0000-0000-0000CD0C0000}"/>
    <cellStyle name="20% - Ênfase5 5 2 4 3" xfId="25324" xr:uid="{00000000-0005-0000-0000-0000CE0C0000}"/>
    <cellStyle name="20% - Ênfase5 5 2 5" xfId="3573" xr:uid="{00000000-0005-0000-0000-0000CF0C0000}"/>
    <cellStyle name="20% - Ênfase5 5 2 5 2" xfId="3574" xr:uid="{00000000-0005-0000-0000-0000D00C0000}"/>
    <cellStyle name="20% - Ênfase5 5 2 6" xfId="3575" xr:uid="{00000000-0005-0000-0000-0000D10C0000}"/>
    <cellStyle name="20% - Ênfase5 5 2 6 2" xfId="3576" xr:uid="{00000000-0005-0000-0000-0000D20C0000}"/>
    <cellStyle name="20% - Ênfase5 5 2 7" xfId="3577" xr:uid="{00000000-0005-0000-0000-0000D30C0000}"/>
    <cellStyle name="20% - Ênfase5 5 2 7 2" xfId="3578" xr:uid="{00000000-0005-0000-0000-0000D40C0000}"/>
    <cellStyle name="20% - Ênfase5 5 2 8" xfId="3579" xr:uid="{00000000-0005-0000-0000-0000D50C0000}"/>
    <cellStyle name="20% - Ênfase5 5 2 8 2" xfId="3580" xr:uid="{00000000-0005-0000-0000-0000D60C0000}"/>
    <cellStyle name="20% - Ênfase5 5 2 9" xfId="3581" xr:uid="{00000000-0005-0000-0000-0000D70C0000}"/>
    <cellStyle name="20% - Ênfase5 5 3" xfId="3582" xr:uid="{00000000-0005-0000-0000-0000D80C0000}"/>
    <cellStyle name="20% - Ênfase5 5 3 2" xfId="25326" xr:uid="{00000000-0005-0000-0000-0000D90C0000}"/>
    <cellStyle name="20% - Ênfase5 5 3 2 2" xfId="25327" xr:uid="{00000000-0005-0000-0000-0000DA0C0000}"/>
    <cellStyle name="20% - Ênfase5 5 3 2 2 2" xfId="26507" xr:uid="{00000000-0005-0000-0000-0000DB0C0000}"/>
    <cellStyle name="20% - Ênfase5 5 3 2 3" xfId="26506" xr:uid="{00000000-0005-0000-0000-0000DC0C0000}"/>
    <cellStyle name="20% - Ênfase5 5 3 3" xfId="25328" xr:uid="{00000000-0005-0000-0000-0000DD0C0000}"/>
    <cellStyle name="20% - Ênfase5 5 3 3 2" xfId="26508" xr:uid="{00000000-0005-0000-0000-0000DE0C0000}"/>
    <cellStyle name="20% - Ênfase5 5 3 4" xfId="26505" xr:uid="{00000000-0005-0000-0000-0000DF0C0000}"/>
    <cellStyle name="20% - Ênfase5 5 3 5" xfId="25325" xr:uid="{00000000-0005-0000-0000-0000E00C0000}"/>
    <cellStyle name="20% - Ênfase5 5 4" xfId="3583" xr:uid="{00000000-0005-0000-0000-0000E10C0000}"/>
    <cellStyle name="20% - Ênfase5 5 4 2" xfId="25330" xr:uid="{00000000-0005-0000-0000-0000E20C0000}"/>
    <cellStyle name="20% - Ênfase5 5 4 2 2" xfId="26510" xr:uid="{00000000-0005-0000-0000-0000E30C0000}"/>
    <cellStyle name="20% - Ênfase5 5 4 3" xfId="26509" xr:uid="{00000000-0005-0000-0000-0000E40C0000}"/>
    <cellStyle name="20% - Ênfase5 5 4 4" xfId="25329" xr:uid="{00000000-0005-0000-0000-0000E50C0000}"/>
    <cellStyle name="20% - Ênfase5 5 5" xfId="3584" xr:uid="{00000000-0005-0000-0000-0000E60C0000}"/>
    <cellStyle name="20% - Ênfase5 5 5 2" xfId="3585" xr:uid="{00000000-0005-0000-0000-0000E70C0000}"/>
    <cellStyle name="20% - Ênfase5 5 5 2 2" xfId="3586" xr:uid="{00000000-0005-0000-0000-0000E80C0000}"/>
    <cellStyle name="20% - Ênfase5 5 5 3" xfId="3587" xr:uid="{00000000-0005-0000-0000-0000E90C0000}"/>
    <cellStyle name="20% - Ênfase5 5 5 3 2" xfId="3588" xr:uid="{00000000-0005-0000-0000-0000EA0C0000}"/>
    <cellStyle name="20% - Ênfase5 5 5 4" xfId="3589" xr:uid="{00000000-0005-0000-0000-0000EB0C0000}"/>
    <cellStyle name="20% - Ênfase5 5 5 4 2" xfId="3590" xr:uid="{00000000-0005-0000-0000-0000EC0C0000}"/>
    <cellStyle name="20% - Ênfase5 5 5 5" xfId="3591" xr:uid="{00000000-0005-0000-0000-0000ED0C0000}"/>
    <cellStyle name="20% - Ênfase5 5 5 5 2" xfId="3592" xr:uid="{00000000-0005-0000-0000-0000EE0C0000}"/>
    <cellStyle name="20% - Ênfase5 5 5 6" xfId="3593" xr:uid="{00000000-0005-0000-0000-0000EF0C0000}"/>
    <cellStyle name="20% - Ênfase5 5 6" xfId="3594" xr:uid="{00000000-0005-0000-0000-0000F00C0000}"/>
    <cellStyle name="20% - Ênfase5 5 6 2" xfId="3595" xr:uid="{00000000-0005-0000-0000-0000F10C0000}"/>
    <cellStyle name="20% - Ênfase5 5 6 2 2" xfId="3596" xr:uid="{00000000-0005-0000-0000-0000F20C0000}"/>
    <cellStyle name="20% - Ênfase5 5 6 3" xfId="3597" xr:uid="{00000000-0005-0000-0000-0000F30C0000}"/>
    <cellStyle name="20% - Ênfase5 5 6 3 2" xfId="3598" xr:uid="{00000000-0005-0000-0000-0000F40C0000}"/>
    <cellStyle name="20% - Ênfase5 5 6 4" xfId="3599" xr:uid="{00000000-0005-0000-0000-0000F50C0000}"/>
    <cellStyle name="20% - Ênfase5 5 6 4 2" xfId="3600" xr:uid="{00000000-0005-0000-0000-0000F60C0000}"/>
    <cellStyle name="20% - Ênfase5 5 6 5" xfId="3601" xr:uid="{00000000-0005-0000-0000-0000F70C0000}"/>
    <cellStyle name="20% - Ênfase5 5 6 5 2" xfId="3602" xr:uid="{00000000-0005-0000-0000-0000F80C0000}"/>
    <cellStyle name="20% - Ênfase5 5 6 6" xfId="3603" xr:uid="{00000000-0005-0000-0000-0000F90C0000}"/>
    <cellStyle name="20% - Ênfase5 50" xfId="3604" xr:uid="{00000000-0005-0000-0000-0000FA0C0000}"/>
    <cellStyle name="20% - Ênfase5 50 2" xfId="3605" xr:uid="{00000000-0005-0000-0000-0000FB0C0000}"/>
    <cellStyle name="20% - Ênfase5 51" xfId="3606" xr:uid="{00000000-0005-0000-0000-0000FC0C0000}"/>
    <cellStyle name="20% - Ênfase5 51 2" xfId="3607" xr:uid="{00000000-0005-0000-0000-0000FD0C0000}"/>
    <cellStyle name="20% - Ênfase5 52" xfId="3608" xr:uid="{00000000-0005-0000-0000-0000FE0C0000}"/>
    <cellStyle name="20% - Ênfase5 52 2" xfId="3609" xr:uid="{00000000-0005-0000-0000-0000FF0C0000}"/>
    <cellStyle name="20% - Ênfase5 53" xfId="3610" xr:uid="{00000000-0005-0000-0000-0000000D0000}"/>
    <cellStyle name="20% - Ênfase5 53 2" xfId="3611" xr:uid="{00000000-0005-0000-0000-0000010D0000}"/>
    <cellStyle name="20% - Ênfase5 54" xfId="3612" xr:uid="{00000000-0005-0000-0000-0000020D0000}"/>
    <cellStyle name="20% - Ênfase5 54 2" xfId="3613" xr:uid="{00000000-0005-0000-0000-0000030D0000}"/>
    <cellStyle name="20% - Ênfase5 55" xfId="3614" xr:uid="{00000000-0005-0000-0000-0000040D0000}"/>
    <cellStyle name="20% - Ênfase5 55 2" xfId="3615" xr:uid="{00000000-0005-0000-0000-0000050D0000}"/>
    <cellStyle name="20% - Ênfase5 6" xfId="3616" xr:uid="{00000000-0005-0000-0000-0000060D0000}"/>
    <cellStyle name="20% - Ênfase5 6 10" xfId="3617" xr:uid="{00000000-0005-0000-0000-0000070D0000}"/>
    <cellStyle name="20% - Ênfase5 6 10 2" xfId="3618" xr:uid="{00000000-0005-0000-0000-0000080D0000}"/>
    <cellStyle name="20% - Ênfase5 6 11" xfId="3619" xr:uid="{00000000-0005-0000-0000-0000090D0000}"/>
    <cellStyle name="20% - Ênfase5 6 11 2" xfId="3620" xr:uid="{00000000-0005-0000-0000-00000A0D0000}"/>
    <cellStyle name="20% - Ênfase5 6 12" xfId="3621" xr:uid="{00000000-0005-0000-0000-00000B0D0000}"/>
    <cellStyle name="20% - Ênfase5 6 12 2" xfId="3622" xr:uid="{00000000-0005-0000-0000-00000C0D0000}"/>
    <cellStyle name="20% - Ênfase5 6 13" xfId="3623" xr:uid="{00000000-0005-0000-0000-00000D0D0000}"/>
    <cellStyle name="20% - Ênfase5 6 13 2" xfId="3624" xr:uid="{00000000-0005-0000-0000-00000E0D0000}"/>
    <cellStyle name="20% - Ênfase5 6 14" xfId="3625" xr:uid="{00000000-0005-0000-0000-00000F0D0000}"/>
    <cellStyle name="20% - Ênfase5 6 14 2" xfId="3626" xr:uid="{00000000-0005-0000-0000-0000100D0000}"/>
    <cellStyle name="20% - Ênfase5 6 15" xfId="3627" xr:uid="{00000000-0005-0000-0000-0000110D0000}"/>
    <cellStyle name="20% - Ênfase5 6 15 2" xfId="3628" xr:uid="{00000000-0005-0000-0000-0000120D0000}"/>
    <cellStyle name="20% - Ênfase5 6 16" xfId="3629" xr:uid="{00000000-0005-0000-0000-0000130D0000}"/>
    <cellStyle name="20% - Ênfase5 6 16 2" xfId="3630" xr:uid="{00000000-0005-0000-0000-0000140D0000}"/>
    <cellStyle name="20% - Ênfase5 6 17" xfId="3631" xr:uid="{00000000-0005-0000-0000-0000150D0000}"/>
    <cellStyle name="20% - Ênfase5 6 17 2" xfId="3632" xr:uid="{00000000-0005-0000-0000-0000160D0000}"/>
    <cellStyle name="20% - Ênfase5 6 18" xfId="3633" xr:uid="{00000000-0005-0000-0000-0000170D0000}"/>
    <cellStyle name="20% - Ênfase5 6 18 2" xfId="3634" xr:uid="{00000000-0005-0000-0000-0000180D0000}"/>
    <cellStyle name="20% - Ênfase5 6 19" xfId="3635" xr:uid="{00000000-0005-0000-0000-0000190D0000}"/>
    <cellStyle name="20% - Ênfase5 6 19 2" xfId="3636" xr:uid="{00000000-0005-0000-0000-00001A0D0000}"/>
    <cellStyle name="20% - Ênfase5 6 2" xfId="3637" xr:uid="{00000000-0005-0000-0000-00001B0D0000}"/>
    <cellStyle name="20% - Ênfase5 6 2 2" xfId="3638" xr:uid="{00000000-0005-0000-0000-00001C0D0000}"/>
    <cellStyle name="20% - Ênfase5 6 2 2 2" xfId="3639" xr:uid="{00000000-0005-0000-0000-00001D0D0000}"/>
    <cellStyle name="20% - Ênfase5 6 2 2 2 2" xfId="26512" xr:uid="{00000000-0005-0000-0000-00001E0D0000}"/>
    <cellStyle name="20% - Ênfase5 6 2 2 3" xfId="26511" xr:uid="{00000000-0005-0000-0000-00001F0D0000}"/>
    <cellStyle name="20% - Ênfase5 6 2 3" xfId="3640" xr:uid="{00000000-0005-0000-0000-0000200D0000}"/>
    <cellStyle name="20% - Ênfase5 6 2 3 2" xfId="3641" xr:uid="{00000000-0005-0000-0000-0000210D0000}"/>
    <cellStyle name="20% - Ênfase5 6 2 4" xfId="3642" xr:uid="{00000000-0005-0000-0000-0000220D0000}"/>
    <cellStyle name="20% - Ênfase5 6 2 4 2" xfId="3643" xr:uid="{00000000-0005-0000-0000-0000230D0000}"/>
    <cellStyle name="20% - Ênfase5 6 2 5" xfId="3644" xr:uid="{00000000-0005-0000-0000-0000240D0000}"/>
    <cellStyle name="20% - Ênfase5 6 2 5 2" xfId="3645" xr:uid="{00000000-0005-0000-0000-0000250D0000}"/>
    <cellStyle name="20% - Ênfase5 6 2 6" xfId="3646" xr:uid="{00000000-0005-0000-0000-0000260D0000}"/>
    <cellStyle name="20% - Ênfase5 6 20" xfId="3647" xr:uid="{00000000-0005-0000-0000-0000270D0000}"/>
    <cellStyle name="20% - Ênfase5 6 20 2" xfId="3648" xr:uid="{00000000-0005-0000-0000-0000280D0000}"/>
    <cellStyle name="20% - Ênfase5 6 21" xfId="3649" xr:uid="{00000000-0005-0000-0000-0000290D0000}"/>
    <cellStyle name="20% - Ênfase5 6 21 2" xfId="3650" xr:uid="{00000000-0005-0000-0000-00002A0D0000}"/>
    <cellStyle name="20% - Ênfase5 6 22" xfId="3651" xr:uid="{00000000-0005-0000-0000-00002B0D0000}"/>
    <cellStyle name="20% - Ênfase5 6 22 2" xfId="3652" xr:uid="{00000000-0005-0000-0000-00002C0D0000}"/>
    <cellStyle name="20% - Ênfase5 6 23" xfId="3653" xr:uid="{00000000-0005-0000-0000-00002D0D0000}"/>
    <cellStyle name="20% - Ênfase5 6 23 2" xfId="3654" xr:uid="{00000000-0005-0000-0000-00002E0D0000}"/>
    <cellStyle name="20% - Ênfase5 6 24" xfId="3655" xr:uid="{00000000-0005-0000-0000-00002F0D0000}"/>
    <cellStyle name="20% - Ênfase5 6 24 2" xfId="3656" xr:uid="{00000000-0005-0000-0000-0000300D0000}"/>
    <cellStyle name="20% - Ênfase5 6 25" xfId="3657" xr:uid="{00000000-0005-0000-0000-0000310D0000}"/>
    <cellStyle name="20% - Ênfase5 6 25 2" xfId="3658" xr:uid="{00000000-0005-0000-0000-0000320D0000}"/>
    <cellStyle name="20% - Ênfase5 6 26" xfId="3659" xr:uid="{00000000-0005-0000-0000-0000330D0000}"/>
    <cellStyle name="20% - Ênfase5 6 26 2" xfId="3660" xr:uid="{00000000-0005-0000-0000-0000340D0000}"/>
    <cellStyle name="20% - Ênfase5 6 27" xfId="3661" xr:uid="{00000000-0005-0000-0000-0000350D0000}"/>
    <cellStyle name="20% - Ênfase5 6 27 2" xfId="3662" xr:uid="{00000000-0005-0000-0000-0000360D0000}"/>
    <cellStyle name="20% - Ênfase5 6 28" xfId="3663" xr:uid="{00000000-0005-0000-0000-0000370D0000}"/>
    <cellStyle name="20% - Ênfase5 6 28 2" xfId="3664" xr:uid="{00000000-0005-0000-0000-0000380D0000}"/>
    <cellStyle name="20% - Ênfase5 6 29" xfId="3665" xr:uid="{00000000-0005-0000-0000-0000390D0000}"/>
    <cellStyle name="20% - Ênfase5 6 29 2" xfId="3666" xr:uid="{00000000-0005-0000-0000-00003A0D0000}"/>
    <cellStyle name="20% - Ênfase5 6 3" xfId="3667" xr:uid="{00000000-0005-0000-0000-00003B0D0000}"/>
    <cellStyle name="20% - Ênfase5 6 3 2" xfId="3668" xr:uid="{00000000-0005-0000-0000-00003C0D0000}"/>
    <cellStyle name="20% - Ênfase5 6 3 2 2" xfId="3669" xr:uid="{00000000-0005-0000-0000-00003D0D0000}"/>
    <cellStyle name="20% - Ênfase5 6 3 3" xfId="3670" xr:uid="{00000000-0005-0000-0000-00003E0D0000}"/>
    <cellStyle name="20% - Ênfase5 6 3 3 2" xfId="3671" xr:uid="{00000000-0005-0000-0000-00003F0D0000}"/>
    <cellStyle name="20% - Ênfase5 6 3 4" xfId="3672" xr:uid="{00000000-0005-0000-0000-0000400D0000}"/>
    <cellStyle name="20% - Ênfase5 6 3 4 2" xfId="3673" xr:uid="{00000000-0005-0000-0000-0000410D0000}"/>
    <cellStyle name="20% - Ênfase5 6 3 5" xfId="3674" xr:uid="{00000000-0005-0000-0000-0000420D0000}"/>
    <cellStyle name="20% - Ênfase5 6 3 5 2" xfId="3675" xr:uid="{00000000-0005-0000-0000-0000430D0000}"/>
    <cellStyle name="20% - Ênfase5 6 3 6" xfId="3676" xr:uid="{00000000-0005-0000-0000-0000440D0000}"/>
    <cellStyle name="20% - Ênfase5 6 30" xfId="3677" xr:uid="{00000000-0005-0000-0000-0000450D0000}"/>
    <cellStyle name="20% - Ênfase5 6 30 2" xfId="3678" xr:uid="{00000000-0005-0000-0000-0000460D0000}"/>
    <cellStyle name="20% - Ênfase5 6 31" xfId="3679" xr:uid="{00000000-0005-0000-0000-0000470D0000}"/>
    <cellStyle name="20% - Ênfase5 6 31 2" xfId="3680" xr:uid="{00000000-0005-0000-0000-0000480D0000}"/>
    <cellStyle name="20% - Ênfase5 6 32" xfId="3681" xr:uid="{00000000-0005-0000-0000-0000490D0000}"/>
    <cellStyle name="20% - Ênfase5 6 32 2" xfId="3682" xr:uid="{00000000-0005-0000-0000-00004A0D0000}"/>
    <cellStyle name="20% - Ênfase5 6 33" xfId="3683" xr:uid="{00000000-0005-0000-0000-00004B0D0000}"/>
    <cellStyle name="20% - Ênfase5 6 33 2" xfId="3684" xr:uid="{00000000-0005-0000-0000-00004C0D0000}"/>
    <cellStyle name="20% - Ênfase5 6 34" xfId="3685" xr:uid="{00000000-0005-0000-0000-00004D0D0000}"/>
    <cellStyle name="20% - Ênfase5 6 34 2" xfId="3686" xr:uid="{00000000-0005-0000-0000-00004E0D0000}"/>
    <cellStyle name="20% - Ênfase5 6 35" xfId="3687" xr:uid="{00000000-0005-0000-0000-00004F0D0000}"/>
    <cellStyle name="20% - Ênfase5 6 35 2" xfId="3688" xr:uid="{00000000-0005-0000-0000-0000500D0000}"/>
    <cellStyle name="20% - Ênfase5 6 36" xfId="3689" xr:uid="{00000000-0005-0000-0000-0000510D0000}"/>
    <cellStyle name="20% - Ênfase5 6 36 2" xfId="3690" xr:uid="{00000000-0005-0000-0000-0000520D0000}"/>
    <cellStyle name="20% - Ênfase5 6 37" xfId="3691" xr:uid="{00000000-0005-0000-0000-0000530D0000}"/>
    <cellStyle name="20% - Ênfase5 6 4" xfId="3692" xr:uid="{00000000-0005-0000-0000-0000540D0000}"/>
    <cellStyle name="20% - Ênfase5 6 4 2" xfId="3693" xr:uid="{00000000-0005-0000-0000-0000550D0000}"/>
    <cellStyle name="20% - Ênfase5 6 4 2 2" xfId="3694" xr:uid="{00000000-0005-0000-0000-0000560D0000}"/>
    <cellStyle name="20% - Ênfase5 6 4 3" xfId="3695" xr:uid="{00000000-0005-0000-0000-0000570D0000}"/>
    <cellStyle name="20% - Ênfase5 6 4 3 2" xfId="3696" xr:uid="{00000000-0005-0000-0000-0000580D0000}"/>
    <cellStyle name="20% - Ênfase5 6 4 4" xfId="3697" xr:uid="{00000000-0005-0000-0000-0000590D0000}"/>
    <cellStyle name="20% - Ênfase5 6 4 4 2" xfId="3698" xr:uid="{00000000-0005-0000-0000-00005A0D0000}"/>
    <cellStyle name="20% - Ênfase5 6 4 5" xfId="3699" xr:uid="{00000000-0005-0000-0000-00005B0D0000}"/>
    <cellStyle name="20% - Ênfase5 6 4 5 2" xfId="3700" xr:uid="{00000000-0005-0000-0000-00005C0D0000}"/>
    <cellStyle name="20% - Ênfase5 6 4 6" xfId="3701" xr:uid="{00000000-0005-0000-0000-00005D0D0000}"/>
    <cellStyle name="20% - Ênfase5 6 5" xfId="3702" xr:uid="{00000000-0005-0000-0000-00005E0D0000}"/>
    <cellStyle name="20% - Ênfase5 6 5 2" xfId="3703" xr:uid="{00000000-0005-0000-0000-00005F0D0000}"/>
    <cellStyle name="20% - Ênfase5 6 6" xfId="3704" xr:uid="{00000000-0005-0000-0000-0000600D0000}"/>
    <cellStyle name="20% - Ênfase5 6 6 2" xfId="3705" xr:uid="{00000000-0005-0000-0000-0000610D0000}"/>
    <cellStyle name="20% - Ênfase5 6 7" xfId="3706" xr:uid="{00000000-0005-0000-0000-0000620D0000}"/>
    <cellStyle name="20% - Ênfase5 6 7 2" xfId="3707" xr:uid="{00000000-0005-0000-0000-0000630D0000}"/>
    <cellStyle name="20% - Ênfase5 6 8" xfId="3708" xr:uid="{00000000-0005-0000-0000-0000640D0000}"/>
    <cellStyle name="20% - Ênfase5 6 8 2" xfId="3709" xr:uid="{00000000-0005-0000-0000-0000650D0000}"/>
    <cellStyle name="20% - Ênfase5 6 9" xfId="3710" xr:uid="{00000000-0005-0000-0000-0000660D0000}"/>
    <cellStyle name="20% - Ênfase5 6 9 2" xfId="3711" xr:uid="{00000000-0005-0000-0000-0000670D0000}"/>
    <cellStyle name="20% - Ênfase5 7" xfId="3712" xr:uid="{00000000-0005-0000-0000-0000680D0000}"/>
    <cellStyle name="20% - Ênfase5 7 10" xfId="3713" xr:uid="{00000000-0005-0000-0000-0000690D0000}"/>
    <cellStyle name="20% - Ênfase5 7 10 2" xfId="3714" xr:uid="{00000000-0005-0000-0000-00006A0D0000}"/>
    <cellStyle name="20% - Ênfase5 7 11" xfId="3715" xr:uid="{00000000-0005-0000-0000-00006B0D0000}"/>
    <cellStyle name="20% - Ênfase5 7 11 2" xfId="3716" xr:uid="{00000000-0005-0000-0000-00006C0D0000}"/>
    <cellStyle name="20% - Ênfase5 7 12" xfId="3717" xr:uid="{00000000-0005-0000-0000-00006D0D0000}"/>
    <cellStyle name="20% - Ênfase5 7 12 2" xfId="3718" xr:uid="{00000000-0005-0000-0000-00006E0D0000}"/>
    <cellStyle name="20% - Ênfase5 7 13" xfId="3719" xr:uid="{00000000-0005-0000-0000-00006F0D0000}"/>
    <cellStyle name="20% - Ênfase5 7 13 2" xfId="3720" xr:uid="{00000000-0005-0000-0000-0000700D0000}"/>
    <cellStyle name="20% - Ênfase5 7 14" xfId="3721" xr:uid="{00000000-0005-0000-0000-0000710D0000}"/>
    <cellStyle name="20% - Ênfase5 7 14 2" xfId="3722" xr:uid="{00000000-0005-0000-0000-0000720D0000}"/>
    <cellStyle name="20% - Ênfase5 7 15" xfId="3723" xr:uid="{00000000-0005-0000-0000-0000730D0000}"/>
    <cellStyle name="20% - Ênfase5 7 15 2" xfId="3724" xr:uid="{00000000-0005-0000-0000-0000740D0000}"/>
    <cellStyle name="20% - Ênfase5 7 16" xfId="3725" xr:uid="{00000000-0005-0000-0000-0000750D0000}"/>
    <cellStyle name="20% - Ênfase5 7 16 2" xfId="3726" xr:uid="{00000000-0005-0000-0000-0000760D0000}"/>
    <cellStyle name="20% - Ênfase5 7 17" xfId="3727" xr:uid="{00000000-0005-0000-0000-0000770D0000}"/>
    <cellStyle name="20% - Ênfase5 7 17 2" xfId="3728" xr:uid="{00000000-0005-0000-0000-0000780D0000}"/>
    <cellStyle name="20% - Ênfase5 7 18" xfId="3729" xr:uid="{00000000-0005-0000-0000-0000790D0000}"/>
    <cellStyle name="20% - Ênfase5 7 18 2" xfId="3730" xr:uid="{00000000-0005-0000-0000-00007A0D0000}"/>
    <cellStyle name="20% - Ênfase5 7 19" xfId="3731" xr:uid="{00000000-0005-0000-0000-00007B0D0000}"/>
    <cellStyle name="20% - Ênfase5 7 19 2" xfId="3732" xr:uid="{00000000-0005-0000-0000-00007C0D0000}"/>
    <cellStyle name="20% - Ênfase5 7 2" xfId="3733" xr:uid="{00000000-0005-0000-0000-00007D0D0000}"/>
    <cellStyle name="20% - Ênfase5 7 2 2" xfId="3734" xr:uid="{00000000-0005-0000-0000-00007E0D0000}"/>
    <cellStyle name="20% - Ênfase5 7 2 2 2" xfId="3735" xr:uid="{00000000-0005-0000-0000-00007F0D0000}"/>
    <cellStyle name="20% - Ênfase5 7 2 2 2 2" xfId="26514" xr:uid="{00000000-0005-0000-0000-0000800D0000}"/>
    <cellStyle name="20% - Ênfase5 7 2 2 3" xfId="26513" xr:uid="{00000000-0005-0000-0000-0000810D0000}"/>
    <cellStyle name="20% - Ênfase5 7 2 3" xfId="3736" xr:uid="{00000000-0005-0000-0000-0000820D0000}"/>
    <cellStyle name="20% - Ênfase5 7 2 3 2" xfId="3737" xr:uid="{00000000-0005-0000-0000-0000830D0000}"/>
    <cellStyle name="20% - Ênfase5 7 2 4" xfId="3738" xr:uid="{00000000-0005-0000-0000-0000840D0000}"/>
    <cellStyle name="20% - Ênfase5 7 2 4 2" xfId="3739" xr:uid="{00000000-0005-0000-0000-0000850D0000}"/>
    <cellStyle name="20% - Ênfase5 7 2 5" xfId="3740" xr:uid="{00000000-0005-0000-0000-0000860D0000}"/>
    <cellStyle name="20% - Ênfase5 7 2 5 2" xfId="3741" xr:uid="{00000000-0005-0000-0000-0000870D0000}"/>
    <cellStyle name="20% - Ênfase5 7 2 6" xfId="3742" xr:uid="{00000000-0005-0000-0000-0000880D0000}"/>
    <cellStyle name="20% - Ênfase5 7 20" xfId="3743" xr:uid="{00000000-0005-0000-0000-0000890D0000}"/>
    <cellStyle name="20% - Ênfase5 7 20 2" xfId="3744" xr:uid="{00000000-0005-0000-0000-00008A0D0000}"/>
    <cellStyle name="20% - Ênfase5 7 21" xfId="3745" xr:uid="{00000000-0005-0000-0000-00008B0D0000}"/>
    <cellStyle name="20% - Ênfase5 7 21 2" xfId="3746" xr:uid="{00000000-0005-0000-0000-00008C0D0000}"/>
    <cellStyle name="20% - Ênfase5 7 22" xfId="3747" xr:uid="{00000000-0005-0000-0000-00008D0D0000}"/>
    <cellStyle name="20% - Ênfase5 7 22 2" xfId="3748" xr:uid="{00000000-0005-0000-0000-00008E0D0000}"/>
    <cellStyle name="20% - Ênfase5 7 23" xfId="3749" xr:uid="{00000000-0005-0000-0000-00008F0D0000}"/>
    <cellStyle name="20% - Ênfase5 7 23 2" xfId="3750" xr:uid="{00000000-0005-0000-0000-0000900D0000}"/>
    <cellStyle name="20% - Ênfase5 7 24" xfId="3751" xr:uid="{00000000-0005-0000-0000-0000910D0000}"/>
    <cellStyle name="20% - Ênfase5 7 24 2" xfId="3752" xr:uid="{00000000-0005-0000-0000-0000920D0000}"/>
    <cellStyle name="20% - Ênfase5 7 25" xfId="3753" xr:uid="{00000000-0005-0000-0000-0000930D0000}"/>
    <cellStyle name="20% - Ênfase5 7 25 2" xfId="3754" xr:uid="{00000000-0005-0000-0000-0000940D0000}"/>
    <cellStyle name="20% - Ênfase5 7 26" xfId="3755" xr:uid="{00000000-0005-0000-0000-0000950D0000}"/>
    <cellStyle name="20% - Ênfase5 7 26 2" xfId="3756" xr:uid="{00000000-0005-0000-0000-0000960D0000}"/>
    <cellStyle name="20% - Ênfase5 7 27" xfId="3757" xr:uid="{00000000-0005-0000-0000-0000970D0000}"/>
    <cellStyle name="20% - Ênfase5 7 27 2" xfId="3758" xr:uid="{00000000-0005-0000-0000-0000980D0000}"/>
    <cellStyle name="20% - Ênfase5 7 28" xfId="3759" xr:uid="{00000000-0005-0000-0000-0000990D0000}"/>
    <cellStyle name="20% - Ênfase5 7 28 2" xfId="3760" xr:uid="{00000000-0005-0000-0000-00009A0D0000}"/>
    <cellStyle name="20% - Ênfase5 7 29" xfId="3761" xr:uid="{00000000-0005-0000-0000-00009B0D0000}"/>
    <cellStyle name="20% - Ênfase5 7 29 2" xfId="3762" xr:uid="{00000000-0005-0000-0000-00009C0D0000}"/>
    <cellStyle name="20% - Ênfase5 7 3" xfId="3763" xr:uid="{00000000-0005-0000-0000-00009D0D0000}"/>
    <cellStyle name="20% - Ênfase5 7 3 2" xfId="3764" xr:uid="{00000000-0005-0000-0000-00009E0D0000}"/>
    <cellStyle name="20% - Ênfase5 7 3 2 2" xfId="3765" xr:uid="{00000000-0005-0000-0000-00009F0D0000}"/>
    <cellStyle name="20% - Ênfase5 7 3 3" xfId="3766" xr:uid="{00000000-0005-0000-0000-0000A00D0000}"/>
    <cellStyle name="20% - Ênfase5 7 3 3 2" xfId="3767" xr:uid="{00000000-0005-0000-0000-0000A10D0000}"/>
    <cellStyle name="20% - Ênfase5 7 3 4" xfId="3768" xr:uid="{00000000-0005-0000-0000-0000A20D0000}"/>
    <cellStyle name="20% - Ênfase5 7 3 4 2" xfId="3769" xr:uid="{00000000-0005-0000-0000-0000A30D0000}"/>
    <cellStyle name="20% - Ênfase5 7 3 5" xfId="3770" xr:uid="{00000000-0005-0000-0000-0000A40D0000}"/>
    <cellStyle name="20% - Ênfase5 7 3 5 2" xfId="3771" xr:uid="{00000000-0005-0000-0000-0000A50D0000}"/>
    <cellStyle name="20% - Ênfase5 7 3 6" xfId="3772" xr:uid="{00000000-0005-0000-0000-0000A60D0000}"/>
    <cellStyle name="20% - Ênfase5 7 30" xfId="3773" xr:uid="{00000000-0005-0000-0000-0000A70D0000}"/>
    <cellStyle name="20% - Ênfase5 7 30 2" xfId="3774" xr:uid="{00000000-0005-0000-0000-0000A80D0000}"/>
    <cellStyle name="20% - Ênfase5 7 31" xfId="3775" xr:uid="{00000000-0005-0000-0000-0000A90D0000}"/>
    <cellStyle name="20% - Ênfase5 7 31 2" xfId="3776" xr:uid="{00000000-0005-0000-0000-0000AA0D0000}"/>
    <cellStyle name="20% - Ênfase5 7 32" xfId="3777" xr:uid="{00000000-0005-0000-0000-0000AB0D0000}"/>
    <cellStyle name="20% - Ênfase5 7 32 2" xfId="3778" xr:uid="{00000000-0005-0000-0000-0000AC0D0000}"/>
    <cellStyle name="20% - Ênfase5 7 33" xfId="3779" xr:uid="{00000000-0005-0000-0000-0000AD0D0000}"/>
    <cellStyle name="20% - Ênfase5 7 33 2" xfId="3780" xr:uid="{00000000-0005-0000-0000-0000AE0D0000}"/>
    <cellStyle name="20% - Ênfase5 7 34" xfId="3781" xr:uid="{00000000-0005-0000-0000-0000AF0D0000}"/>
    <cellStyle name="20% - Ênfase5 7 34 2" xfId="3782" xr:uid="{00000000-0005-0000-0000-0000B00D0000}"/>
    <cellStyle name="20% - Ênfase5 7 35" xfId="3783" xr:uid="{00000000-0005-0000-0000-0000B10D0000}"/>
    <cellStyle name="20% - Ênfase5 7 35 2" xfId="3784" xr:uid="{00000000-0005-0000-0000-0000B20D0000}"/>
    <cellStyle name="20% - Ênfase5 7 36" xfId="3785" xr:uid="{00000000-0005-0000-0000-0000B30D0000}"/>
    <cellStyle name="20% - Ênfase5 7 36 2" xfId="3786" xr:uid="{00000000-0005-0000-0000-0000B40D0000}"/>
    <cellStyle name="20% - Ênfase5 7 37" xfId="3787" xr:uid="{00000000-0005-0000-0000-0000B50D0000}"/>
    <cellStyle name="20% - Ênfase5 7 4" xfId="3788" xr:uid="{00000000-0005-0000-0000-0000B60D0000}"/>
    <cellStyle name="20% - Ênfase5 7 4 2" xfId="3789" xr:uid="{00000000-0005-0000-0000-0000B70D0000}"/>
    <cellStyle name="20% - Ênfase5 7 4 2 2" xfId="3790" xr:uid="{00000000-0005-0000-0000-0000B80D0000}"/>
    <cellStyle name="20% - Ênfase5 7 4 3" xfId="3791" xr:uid="{00000000-0005-0000-0000-0000B90D0000}"/>
    <cellStyle name="20% - Ênfase5 7 4 3 2" xfId="3792" xr:uid="{00000000-0005-0000-0000-0000BA0D0000}"/>
    <cellStyle name="20% - Ênfase5 7 4 4" xfId="3793" xr:uid="{00000000-0005-0000-0000-0000BB0D0000}"/>
    <cellStyle name="20% - Ênfase5 7 4 4 2" xfId="3794" xr:uid="{00000000-0005-0000-0000-0000BC0D0000}"/>
    <cellStyle name="20% - Ênfase5 7 4 5" xfId="3795" xr:uid="{00000000-0005-0000-0000-0000BD0D0000}"/>
    <cellStyle name="20% - Ênfase5 7 4 5 2" xfId="3796" xr:uid="{00000000-0005-0000-0000-0000BE0D0000}"/>
    <cellStyle name="20% - Ênfase5 7 4 6" xfId="3797" xr:uid="{00000000-0005-0000-0000-0000BF0D0000}"/>
    <cellStyle name="20% - Ênfase5 7 5" xfId="3798" xr:uid="{00000000-0005-0000-0000-0000C00D0000}"/>
    <cellStyle name="20% - Ênfase5 7 5 2" xfId="3799" xr:uid="{00000000-0005-0000-0000-0000C10D0000}"/>
    <cellStyle name="20% - Ênfase5 7 6" xfId="3800" xr:uid="{00000000-0005-0000-0000-0000C20D0000}"/>
    <cellStyle name="20% - Ênfase5 7 6 2" xfId="3801" xr:uid="{00000000-0005-0000-0000-0000C30D0000}"/>
    <cellStyle name="20% - Ênfase5 7 7" xfId="3802" xr:uid="{00000000-0005-0000-0000-0000C40D0000}"/>
    <cellStyle name="20% - Ênfase5 7 7 2" xfId="3803" xr:uid="{00000000-0005-0000-0000-0000C50D0000}"/>
    <cellStyle name="20% - Ênfase5 7 8" xfId="3804" xr:uid="{00000000-0005-0000-0000-0000C60D0000}"/>
    <cellStyle name="20% - Ênfase5 7 8 2" xfId="3805" xr:uid="{00000000-0005-0000-0000-0000C70D0000}"/>
    <cellStyle name="20% - Ênfase5 7 9" xfId="3806" xr:uid="{00000000-0005-0000-0000-0000C80D0000}"/>
    <cellStyle name="20% - Ênfase5 7 9 2" xfId="3807" xr:uid="{00000000-0005-0000-0000-0000C90D0000}"/>
    <cellStyle name="20% - Ênfase5 8" xfId="3808" xr:uid="{00000000-0005-0000-0000-0000CA0D0000}"/>
    <cellStyle name="20% - Ênfase5 8 10" xfId="3809" xr:uid="{00000000-0005-0000-0000-0000CB0D0000}"/>
    <cellStyle name="20% - Ênfase5 8 10 2" xfId="3810" xr:uid="{00000000-0005-0000-0000-0000CC0D0000}"/>
    <cellStyle name="20% - Ênfase5 8 2" xfId="3811" xr:uid="{00000000-0005-0000-0000-0000CD0D0000}"/>
    <cellStyle name="20% - Ênfase5 8 2 2" xfId="3812" xr:uid="{00000000-0005-0000-0000-0000CE0D0000}"/>
    <cellStyle name="20% - Ênfase5 8 2 2 2" xfId="25331" xr:uid="{00000000-0005-0000-0000-0000CF0D0000}"/>
    <cellStyle name="20% - Ênfase5 8 2 2 2 2" xfId="26517" xr:uid="{00000000-0005-0000-0000-0000D00D0000}"/>
    <cellStyle name="20% - Ênfase5 8 2 2 3" xfId="26516" xr:uid="{00000000-0005-0000-0000-0000D10D0000}"/>
    <cellStyle name="20% - Ênfase5 8 2 3" xfId="25332" xr:uid="{00000000-0005-0000-0000-0000D20D0000}"/>
    <cellStyle name="20% - Ênfase5 8 2 3 2" xfId="26518" xr:uid="{00000000-0005-0000-0000-0000D30D0000}"/>
    <cellStyle name="20% - Ênfase5 8 2 4" xfId="26515" xr:uid="{00000000-0005-0000-0000-0000D40D0000}"/>
    <cellStyle name="20% - Ênfase5 8 3" xfId="3813" xr:uid="{00000000-0005-0000-0000-0000D50D0000}"/>
    <cellStyle name="20% - Ênfase5 8 3 2" xfId="3814" xr:uid="{00000000-0005-0000-0000-0000D60D0000}"/>
    <cellStyle name="20% - Ênfase5 8 3 2 2" xfId="26520" xr:uid="{00000000-0005-0000-0000-0000D70D0000}"/>
    <cellStyle name="20% - Ênfase5 8 3 3" xfId="26519" xr:uid="{00000000-0005-0000-0000-0000D80D0000}"/>
    <cellStyle name="20% - Ênfase5 8 4" xfId="3815" xr:uid="{00000000-0005-0000-0000-0000D90D0000}"/>
    <cellStyle name="20% - Ênfase5 8 4 2" xfId="3816" xr:uid="{00000000-0005-0000-0000-0000DA0D0000}"/>
    <cellStyle name="20% - Ênfase5 8 5" xfId="3817" xr:uid="{00000000-0005-0000-0000-0000DB0D0000}"/>
    <cellStyle name="20% - Ênfase5 8 5 2" xfId="3818" xr:uid="{00000000-0005-0000-0000-0000DC0D0000}"/>
    <cellStyle name="20% - Ênfase5 8 6" xfId="3819" xr:uid="{00000000-0005-0000-0000-0000DD0D0000}"/>
    <cellStyle name="20% - Ênfase5 8 6 2" xfId="3820" xr:uid="{00000000-0005-0000-0000-0000DE0D0000}"/>
    <cellStyle name="20% - Ênfase5 8 7" xfId="3821" xr:uid="{00000000-0005-0000-0000-0000DF0D0000}"/>
    <cellStyle name="20% - Ênfase5 8 7 2" xfId="3822" xr:uid="{00000000-0005-0000-0000-0000E00D0000}"/>
    <cellStyle name="20% - Ênfase5 8 8" xfId="3823" xr:uid="{00000000-0005-0000-0000-0000E10D0000}"/>
    <cellStyle name="20% - Ênfase5 8 8 2" xfId="3824" xr:uid="{00000000-0005-0000-0000-0000E20D0000}"/>
    <cellStyle name="20% - Ênfase5 8 9" xfId="3825" xr:uid="{00000000-0005-0000-0000-0000E30D0000}"/>
    <cellStyle name="20% - Ênfase5 8 9 2" xfId="3826" xr:uid="{00000000-0005-0000-0000-0000E40D0000}"/>
    <cellStyle name="20% - Ênfase5 9" xfId="3827" xr:uid="{00000000-0005-0000-0000-0000E50D0000}"/>
    <cellStyle name="20% - Ênfase5 9 10" xfId="3828" xr:uid="{00000000-0005-0000-0000-0000E60D0000}"/>
    <cellStyle name="20% - Ênfase5 9 10 2" xfId="3829" xr:uid="{00000000-0005-0000-0000-0000E70D0000}"/>
    <cellStyle name="20% - Ênfase5 9 11" xfId="3830" xr:uid="{00000000-0005-0000-0000-0000E80D0000}"/>
    <cellStyle name="20% - Ênfase5 9 12" xfId="3831" xr:uid="{00000000-0005-0000-0000-0000E90D0000}"/>
    <cellStyle name="20% - Ênfase5 9 2" xfId="3832" xr:uid="{00000000-0005-0000-0000-0000EA0D0000}"/>
    <cellStyle name="20% - Ênfase5 9 2 2" xfId="3833" xr:uid="{00000000-0005-0000-0000-0000EB0D0000}"/>
    <cellStyle name="20% - Ênfase5 9 2 2 2" xfId="26522" xr:uid="{00000000-0005-0000-0000-0000EC0D0000}"/>
    <cellStyle name="20% - Ênfase5 9 2 3" xfId="26521" xr:uid="{00000000-0005-0000-0000-0000ED0D0000}"/>
    <cellStyle name="20% - Ênfase5 9 3" xfId="3834" xr:uid="{00000000-0005-0000-0000-0000EE0D0000}"/>
    <cellStyle name="20% - Ênfase5 9 3 2" xfId="3835" xr:uid="{00000000-0005-0000-0000-0000EF0D0000}"/>
    <cellStyle name="20% - Ênfase5 9 4" xfId="3836" xr:uid="{00000000-0005-0000-0000-0000F00D0000}"/>
    <cellStyle name="20% - Ênfase5 9 4 2" xfId="3837" xr:uid="{00000000-0005-0000-0000-0000F10D0000}"/>
    <cellStyle name="20% - Ênfase5 9 5" xfId="3838" xr:uid="{00000000-0005-0000-0000-0000F20D0000}"/>
    <cellStyle name="20% - Ênfase5 9 5 2" xfId="3839" xr:uid="{00000000-0005-0000-0000-0000F30D0000}"/>
    <cellStyle name="20% - Ênfase5 9 6" xfId="3840" xr:uid="{00000000-0005-0000-0000-0000F40D0000}"/>
    <cellStyle name="20% - Ênfase5 9 6 2" xfId="3841" xr:uid="{00000000-0005-0000-0000-0000F50D0000}"/>
    <cellStyle name="20% - Ênfase5 9 7" xfId="3842" xr:uid="{00000000-0005-0000-0000-0000F60D0000}"/>
    <cellStyle name="20% - Ênfase5 9 7 2" xfId="3843" xr:uid="{00000000-0005-0000-0000-0000F70D0000}"/>
    <cellStyle name="20% - Ênfase5 9 8" xfId="3844" xr:uid="{00000000-0005-0000-0000-0000F80D0000}"/>
    <cellStyle name="20% - Ênfase5 9 8 2" xfId="3845" xr:uid="{00000000-0005-0000-0000-0000F90D0000}"/>
    <cellStyle name="20% - Ênfase5 9 9" xfId="3846" xr:uid="{00000000-0005-0000-0000-0000FA0D0000}"/>
    <cellStyle name="20% - Ênfase5 9 9 2" xfId="3847" xr:uid="{00000000-0005-0000-0000-0000FB0D0000}"/>
    <cellStyle name="20% - Ênfase6" xfId="20" builtinId="50" customBuiltin="1"/>
    <cellStyle name="20% - Ênfase6 10" xfId="3848" xr:uid="{00000000-0005-0000-0000-0000FD0D0000}"/>
    <cellStyle name="20% - Ênfase6 10 2" xfId="3849" xr:uid="{00000000-0005-0000-0000-0000FE0D0000}"/>
    <cellStyle name="20% - Ênfase6 10 2 2" xfId="3850" xr:uid="{00000000-0005-0000-0000-0000FF0D0000}"/>
    <cellStyle name="20% - Ênfase6 10 2 2 2" xfId="26524" xr:uid="{00000000-0005-0000-0000-0000000E0000}"/>
    <cellStyle name="20% - Ênfase6 10 2 3" xfId="26523" xr:uid="{00000000-0005-0000-0000-0000010E0000}"/>
    <cellStyle name="20% - Ênfase6 10 3" xfId="3851" xr:uid="{00000000-0005-0000-0000-0000020E0000}"/>
    <cellStyle name="20% - Ênfase6 10 3 2" xfId="3852" xr:uid="{00000000-0005-0000-0000-0000030E0000}"/>
    <cellStyle name="20% - Ênfase6 10 4" xfId="3853" xr:uid="{00000000-0005-0000-0000-0000040E0000}"/>
    <cellStyle name="20% - Ênfase6 10 4 2" xfId="3854" xr:uid="{00000000-0005-0000-0000-0000050E0000}"/>
    <cellStyle name="20% - Ênfase6 10 5" xfId="3855" xr:uid="{00000000-0005-0000-0000-0000060E0000}"/>
    <cellStyle name="20% - Ênfase6 10 5 2" xfId="3856" xr:uid="{00000000-0005-0000-0000-0000070E0000}"/>
    <cellStyle name="20% - Ênfase6 10 6" xfId="3857" xr:uid="{00000000-0005-0000-0000-0000080E0000}"/>
    <cellStyle name="20% - Ênfase6 11" xfId="3858" xr:uid="{00000000-0005-0000-0000-0000090E0000}"/>
    <cellStyle name="20% - Ênfase6 11 2" xfId="3859" xr:uid="{00000000-0005-0000-0000-00000A0E0000}"/>
    <cellStyle name="20% - Ênfase6 11 2 2" xfId="3860" xr:uid="{00000000-0005-0000-0000-00000B0E0000}"/>
    <cellStyle name="20% - Ênfase6 11 2 3" xfId="26525" xr:uid="{00000000-0005-0000-0000-00000C0E0000}"/>
    <cellStyle name="20% - Ênfase6 11 3" xfId="3861" xr:uid="{00000000-0005-0000-0000-00000D0E0000}"/>
    <cellStyle name="20% - Ênfase6 11 3 2" xfId="3862" xr:uid="{00000000-0005-0000-0000-00000E0E0000}"/>
    <cellStyle name="20% - Ênfase6 11 4" xfId="3863" xr:uid="{00000000-0005-0000-0000-00000F0E0000}"/>
    <cellStyle name="20% - Ênfase6 11 4 2" xfId="3864" xr:uid="{00000000-0005-0000-0000-0000100E0000}"/>
    <cellStyle name="20% - Ênfase6 11 5" xfId="3865" xr:uid="{00000000-0005-0000-0000-0000110E0000}"/>
    <cellStyle name="20% - Ênfase6 11 5 2" xfId="3866" xr:uid="{00000000-0005-0000-0000-0000120E0000}"/>
    <cellStyle name="20% - Ênfase6 11 6" xfId="3867" xr:uid="{00000000-0005-0000-0000-0000130E0000}"/>
    <cellStyle name="20% - Ênfase6 11 7" xfId="25333" xr:uid="{00000000-0005-0000-0000-0000140E0000}"/>
    <cellStyle name="20% - Ênfase6 12" xfId="3868" xr:uid="{00000000-0005-0000-0000-0000150E0000}"/>
    <cellStyle name="20% - Ênfase6 12 2" xfId="3869" xr:uid="{00000000-0005-0000-0000-0000160E0000}"/>
    <cellStyle name="20% - Ênfase6 12 2 2" xfId="3870" xr:uid="{00000000-0005-0000-0000-0000170E0000}"/>
    <cellStyle name="20% - Ênfase6 12 2 2 2" xfId="26527" xr:uid="{00000000-0005-0000-0000-0000180E0000}"/>
    <cellStyle name="20% - Ênfase6 12 2 3" xfId="26526" xr:uid="{00000000-0005-0000-0000-0000190E0000}"/>
    <cellStyle name="20% - Ênfase6 12 3" xfId="3871" xr:uid="{00000000-0005-0000-0000-00001A0E0000}"/>
    <cellStyle name="20% - Ênfase6 12 3 2" xfId="3872" xr:uid="{00000000-0005-0000-0000-00001B0E0000}"/>
    <cellStyle name="20% - Ênfase6 12 4" xfId="3873" xr:uid="{00000000-0005-0000-0000-00001C0E0000}"/>
    <cellStyle name="20% - Ênfase6 12 4 2" xfId="3874" xr:uid="{00000000-0005-0000-0000-00001D0E0000}"/>
    <cellStyle name="20% - Ênfase6 12 5" xfId="3875" xr:uid="{00000000-0005-0000-0000-00001E0E0000}"/>
    <cellStyle name="20% - Ênfase6 12 5 2" xfId="3876" xr:uid="{00000000-0005-0000-0000-00001F0E0000}"/>
    <cellStyle name="20% - Ênfase6 12 6" xfId="3877" xr:uid="{00000000-0005-0000-0000-0000200E0000}"/>
    <cellStyle name="20% - Ênfase6 13" xfId="3878" xr:uid="{00000000-0005-0000-0000-0000210E0000}"/>
    <cellStyle name="20% - Ênfase6 13 2" xfId="3879" xr:uid="{00000000-0005-0000-0000-0000220E0000}"/>
    <cellStyle name="20% - Ênfase6 14" xfId="3880" xr:uid="{00000000-0005-0000-0000-0000230E0000}"/>
    <cellStyle name="20% - Ênfase6 14 2" xfId="3881" xr:uid="{00000000-0005-0000-0000-0000240E0000}"/>
    <cellStyle name="20% - Ênfase6 15" xfId="3882" xr:uid="{00000000-0005-0000-0000-0000250E0000}"/>
    <cellStyle name="20% - Ênfase6 15 2" xfId="3883" xr:uid="{00000000-0005-0000-0000-0000260E0000}"/>
    <cellStyle name="20% - Ênfase6 16" xfId="3884" xr:uid="{00000000-0005-0000-0000-0000270E0000}"/>
    <cellStyle name="20% - Ênfase6 16 2" xfId="3885" xr:uid="{00000000-0005-0000-0000-0000280E0000}"/>
    <cellStyle name="20% - Ênfase6 17" xfId="3886" xr:uid="{00000000-0005-0000-0000-0000290E0000}"/>
    <cellStyle name="20% - Ênfase6 17 2" xfId="3887" xr:uid="{00000000-0005-0000-0000-00002A0E0000}"/>
    <cellStyle name="20% - Ênfase6 18" xfId="3888" xr:uid="{00000000-0005-0000-0000-00002B0E0000}"/>
    <cellStyle name="20% - Ênfase6 18 2" xfId="3889" xr:uid="{00000000-0005-0000-0000-00002C0E0000}"/>
    <cellStyle name="20% - Ênfase6 19" xfId="3890" xr:uid="{00000000-0005-0000-0000-00002D0E0000}"/>
    <cellStyle name="20% - Ênfase6 19 2" xfId="3891" xr:uid="{00000000-0005-0000-0000-00002E0E0000}"/>
    <cellStyle name="20% - Ênfase6 2" xfId="3892" xr:uid="{00000000-0005-0000-0000-00002F0E0000}"/>
    <cellStyle name="20% - Ênfase6 2 2" xfId="3893" xr:uid="{00000000-0005-0000-0000-0000300E0000}"/>
    <cellStyle name="20% - Ênfase6 2 2 10" xfId="3894" xr:uid="{00000000-0005-0000-0000-0000310E0000}"/>
    <cellStyle name="20% - Ênfase6 2 2 10 2" xfId="3895" xr:uid="{00000000-0005-0000-0000-0000320E0000}"/>
    <cellStyle name="20% - Ênfase6 2 2 11" xfId="3896" xr:uid="{00000000-0005-0000-0000-0000330E0000}"/>
    <cellStyle name="20% - Ênfase6 2 2 11 2" xfId="3897" xr:uid="{00000000-0005-0000-0000-0000340E0000}"/>
    <cellStyle name="20% - Ênfase6 2 2 12" xfId="3898" xr:uid="{00000000-0005-0000-0000-0000350E0000}"/>
    <cellStyle name="20% - Ênfase6 2 2 12 2" xfId="3899" xr:uid="{00000000-0005-0000-0000-0000360E0000}"/>
    <cellStyle name="20% - Ênfase6 2 2 2" xfId="3900" xr:uid="{00000000-0005-0000-0000-0000370E0000}"/>
    <cellStyle name="20% - Ênfase6 2 2 2 10" xfId="3901" xr:uid="{00000000-0005-0000-0000-0000380E0000}"/>
    <cellStyle name="20% - Ênfase6 2 2 2 11" xfId="3902" xr:uid="{00000000-0005-0000-0000-0000390E0000}"/>
    <cellStyle name="20% - Ênfase6 2 2 2 2" xfId="3903" xr:uid="{00000000-0005-0000-0000-00003A0E0000}"/>
    <cellStyle name="20% - Ênfase6 2 2 2 2 2" xfId="25335" xr:uid="{00000000-0005-0000-0000-00003B0E0000}"/>
    <cellStyle name="20% - Ênfase6 2 2 2 2 2 2" xfId="26532" xr:uid="{00000000-0005-0000-0000-00003C0E0000}"/>
    <cellStyle name="20% - Ênfase6 2 2 2 2 3" xfId="26531" xr:uid="{00000000-0005-0000-0000-00003D0E0000}"/>
    <cellStyle name="20% - Ênfase6 2 2 2 2 4" xfId="25334" xr:uid="{00000000-0005-0000-0000-00003E0E0000}"/>
    <cellStyle name="20% - Ênfase6 2 2 2 3" xfId="3904" xr:uid="{00000000-0005-0000-0000-00003F0E0000}"/>
    <cellStyle name="20% - Ênfase6 2 2 2 3 2" xfId="26533" xr:uid="{00000000-0005-0000-0000-0000400E0000}"/>
    <cellStyle name="20% - Ênfase6 2 2 2 3 3" xfId="25336" xr:uid="{00000000-0005-0000-0000-0000410E0000}"/>
    <cellStyle name="20% - Ênfase6 2 2 2 4" xfId="3905" xr:uid="{00000000-0005-0000-0000-0000420E0000}"/>
    <cellStyle name="20% - Ênfase6 2 2 2 4 2" xfId="26530" xr:uid="{00000000-0005-0000-0000-0000430E0000}"/>
    <cellStyle name="20% - Ênfase6 2 2 2 5" xfId="3906" xr:uid="{00000000-0005-0000-0000-0000440E0000}"/>
    <cellStyle name="20% - Ênfase6 2 2 2 6" xfId="3907" xr:uid="{00000000-0005-0000-0000-0000450E0000}"/>
    <cellStyle name="20% - Ênfase6 2 2 2 7" xfId="3908" xr:uid="{00000000-0005-0000-0000-0000460E0000}"/>
    <cellStyle name="20% - Ênfase6 2 2 2 8" xfId="3909" xr:uid="{00000000-0005-0000-0000-0000470E0000}"/>
    <cellStyle name="20% - Ênfase6 2 2 2 9" xfId="3910" xr:uid="{00000000-0005-0000-0000-0000480E0000}"/>
    <cellStyle name="20% - Ênfase6 2 2 3" xfId="3911" xr:uid="{00000000-0005-0000-0000-0000490E0000}"/>
    <cellStyle name="20% - Ênfase6 2 2 3 2" xfId="25338" xr:uid="{00000000-0005-0000-0000-00004A0E0000}"/>
    <cellStyle name="20% - Ênfase6 2 2 3 2 2" xfId="25339" xr:uid="{00000000-0005-0000-0000-00004B0E0000}"/>
    <cellStyle name="20% - Ênfase6 2 2 3 2 2 2" xfId="26536" xr:uid="{00000000-0005-0000-0000-00004C0E0000}"/>
    <cellStyle name="20% - Ênfase6 2 2 3 2 3" xfId="26535" xr:uid="{00000000-0005-0000-0000-00004D0E0000}"/>
    <cellStyle name="20% - Ênfase6 2 2 3 3" xfId="25340" xr:uid="{00000000-0005-0000-0000-00004E0E0000}"/>
    <cellStyle name="20% - Ênfase6 2 2 3 3 2" xfId="26537" xr:uid="{00000000-0005-0000-0000-00004F0E0000}"/>
    <cellStyle name="20% - Ênfase6 2 2 3 4" xfId="26534" xr:uid="{00000000-0005-0000-0000-0000500E0000}"/>
    <cellStyle name="20% - Ênfase6 2 2 3 5" xfId="25337" xr:uid="{00000000-0005-0000-0000-0000510E0000}"/>
    <cellStyle name="20% - Ênfase6 2 2 4" xfId="3912" xr:uid="{00000000-0005-0000-0000-0000520E0000}"/>
    <cellStyle name="20% - Ênfase6 2 2 4 2" xfId="26538" xr:uid="{00000000-0005-0000-0000-0000530E0000}"/>
    <cellStyle name="20% - Ênfase6 2 2 5" xfId="3913" xr:uid="{00000000-0005-0000-0000-0000540E0000}"/>
    <cellStyle name="20% - Ênfase6 2 2 5 2" xfId="3914" xr:uid="{00000000-0005-0000-0000-0000550E0000}"/>
    <cellStyle name="20% - Ênfase6 2 2 5 3" xfId="26529" xr:uid="{00000000-0005-0000-0000-0000560E0000}"/>
    <cellStyle name="20% - Ênfase6 2 2 6" xfId="3915" xr:uid="{00000000-0005-0000-0000-0000570E0000}"/>
    <cellStyle name="20% - Ênfase6 2 2 6 2" xfId="3916" xr:uid="{00000000-0005-0000-0000-0000580E0000}"/>
    <cellStyle name="20% - Ênfase6 2 2 7" xfId="3917" xr:uid="{00000000-0005-0000-0000-0000590E0000}"/>
    <cellStyle name="20% - Ênfase6 2 2 7 2" xfId="3918" xr:uid="{00000000-0005-0000-0000-00005A0E0000}"/>
    <cellStyle name="20% - Ênfase6 2 2 8" xfId="3919" xr:uid="{00000000-0005-0000-0000-00005B0E0000}"/>
    <cellStyle name="20% - Ênfase6 2 2 8 2" xfId="3920" xr:uid="{00000000-0005-0000-0000-00005C0E0000}"/>
    <cellStyle name="20% - Ênfase6 2 2 9" xfId="3921" xr:uid="{00000000-0005-0000-0000-00005D0E0000}"/>
    <cellStyle name="20% - Ênfase6 2 2 9 2" xfId="3922" xr:uid="{00000000-0005-0000-0000-00005E0E0000}"/>
    <cellStyle name="20% - Ênfase6 2 3" xfId="3923" xr:uid="{00000000-0005-0000-0000-00005F0E0000}"/>
    <cellStyle name="20% - Ênfase6 2 3 2" xfId="25342" xr:uid="{00000000-0005-0000-0000-0000600E0000}"/>
    <cellStyle name="20% - Ênfase6 2 3 2 2" xfId="25343" xr:uid="{00000000-0005-0000-0000-0000610E0000}"/>
    <cellStyle name="20% - Ênfase6 2 3 2 2 2" xfId="26541" xr:uid="{00000000-0005-0000-0000-0000620E0000}"/>
    <cellStyle name="20% - Ênfase6 2 3 2 3" xfId="26540" xr:uid="{00000000-0005-0000-0000-0000630E0000}"/>
    <cellStyle name="20% - Ênfase6 2 3 3" xfId="25344" xr:uid="{00000000-0005-0000-0000-0000640E0000}"/>
    <cellStyle name="20% - Ênfase6 2 3 3 2" xfId="26542" xr:uid="{00000000-0005-0000-0000-0000650E0000}"/>
    <cellStyle name="20% - Ênfase6 2 3 4" xfId="26539" xr:uid="{00000000-0005-0000-0000-0000660E0000}"/>
    <cellStyle name="20% - Ênfase6 2 3 5" xfId="25341" xr:uid="{00000000-0005-0000-0000-0000670E0000}"/>
    <cellStyle name="20% - Ênfase6 2 4" xfId="3924" xr:uid="{00000000-0005-0000-0000-0000680E0000}"/>
    <cellStyle name="20% - Ênfase6 2 4 2" xfId="25346" xr:uid="{00000000-0005-0000-0000-0000690E0000}"/>
    <cellStyle name="20% - Ênfase6 2 4 2 2" xfId="25347" xr:uid="{00000000-0005-0000-0000-00006A0E0000}"/>
    <cellStyle name="20% - Ênfase6 2 4 2 2 2" xfId="26545" xr:uid="{00000000-0005-0000-0000-00006B0E0000}"/>
    <cellStyle name="20% - Ênfase6 2 4 2 3" xfId="26544" xr:uid="{00000000-0005-0000-0000-00006C0E0000}"/>
    <cellStyle name="20% - Ênfase6 2 4 3" xfId="25348" xr:uid="{00000000-0005-0000-0000-00006D0E0000}"/>
    <cellStyle name="20% - Ênfase6 2 4 3 2" xfId="26546" xr:uid="{00000000-0005-0000-0000-00006E0E0000}"/>
    <cellStyle name="20% - Ênfase6 2 4 4" xfId="26543" xr:uid="{00000000-0005-0000-0000-00006F0E0000}"/>
    <cellStyle name="20% - Ênfase6 2 4 5" xfId="25345" xr:uid="{00000000-0005-0000-0000-0000700E0000}"/>
    <cellStyle name="20% - Ênfase6 2 5" xfId="3925" xr:uid="{00000000-0005-0000-0000-0000710E0000}"/>
    <cellStyle name="20% - Ênfase6 2 5 10" xfId="3926" xr:uid="{00000000-0005-0000-0000-0000720E0000}"/>
    <cellStyle name="20% - Ênfase6 2 5 10 2" xfId="3927" xr:uid="{00000000-0005-0000-0000-0000730E0000}"/>
    <cellStyle name="20% - Ênfase6 2 5 2" xfId="3928" xr:uid="{00000000-0005-0000-0000-0000740E0000}"/>
    <cellStyle name="20% - Ênfase6 2 5 2 2" xfId="3929" xr:uid="{00000000-0005-0000-0000-0000750E0000}"/>
    <cellStyle name="20% - Ênfase6 2 5 3" xfId="3930" xr:uid="{00000000-0005-0000-0000-0000760E0000}"/>
    <cellStyle name="20% - Ênfase6 2 5 3 2" xfId="3931" xr:uid="{00000000-0005-0000-0000-0000770E0000}"/>
    <cellStyle name="20% - Ênfase6 2 5 4" xfId="3932" xr:uid="{00000000-0005-0000-0000-0000780E0000}"/>
    <cellStyle name="20% - Ênfase6 2 5 4 2" xfId="3933" xr:uid="{00000000-0005-0000-0000-0000790E0000}"/>
    <cellStyle name="20% - Ênfase6 2 5 5" xfId="3934" xr:uid="{00000000-0005-0000-0000-00007A0E0000}"/>
    <cellStyle name="20% - Ênfase6 2 5 5 2" xfId="3935" xr:uid="{00000000-0005-0000-0000-00007B0E0000}"/>
    <cellStyle name="20% - Ênfase6 2 5 6" xfId="3936" xr:uid="{00000000-0005-0000-0000-00007C0E0000}"/>
    <cellStyle name="20% - Ênfase6 2 5 6 2" xfId="3937" xr:uid="{00000000-0005-0000-0000-00007D0E0000}"/>
    <cellStyle name="20% - Ênfase6 2 5 7" xfId="3938" xr:uid="{00000000-0005-0000-0000-00007E0E0000}"/>
    <cellStyle name="20% - Ênfase6 2 5 7 2" xfId="3939" xr:uid="{00000000-0005-0000-0000-00007F0E0000}"/>
    <cellStyle name="20% - Ênfase6 2 5 8" xfId="3940" xr:uid="{00000000-0005-0000-0000-0000800E0000}"/>
    <cellStyle name="20% - Ênfase6 2 5 8 2" xfId="3941" xr:uid="{00000000-0005-0000-0000-0000810E0000}"/>
    <cellStyle name="20% - Ênfase6 2 5 9" xfId="3942" xr:uid="{00000000-0005-0000-0000-0000820E0000}"/>
    <cellStyle name="20% - Ênfase6 2 5 9 2" xfId="3943" xr:uid="{00000000-0005-0000-0000-0000830E0000}"/>
    <cellStyle name="20% - Ênfase6 2 6" xfId="3944" xr:uid="{00000000-0005-0000-0000-0000840E0000}"/>
    <cellStyle name="20% - Ênfase6 2 6 2" xfId="3945" xr:uid="{00000000-0005-0000-0000-0000850E0000}"/>
    <cellStyle name="20% - Ênfase6 2 6 2 2" xfId="3946" xr:uid="{00000000-0005-0000-0000-0000860E0000}"/>
    <cellStyle name="20% - Ênfase6 2 6 3" xfId="3947" xr:uid="{00000000-0005-0000-0000-0000870E0000}"/>
    <cellStyle name="20% - Ênfase6 2 6 3 2" xfId="3948" xr:uid="{00000000-0005-0000-0000-0000880E0000}"/>
    <cellStyle name="20% - Ênfase6 2 6 4" xfId="3949" xr:uid="{00000000-0005-0000-0000-0000890E0000}"/>
    <cellStyle name="20% - Ênfase6 2 6 4 2" xfId="3950" xr:uid="{00000000-0005-0000-0000-00008A0E0000}"/>
    <cellStyle name="20% - Ênfase6 2 6 5" xfId="3951" xr:uid="{00000000-0005-0000-0000-00008B0E0000}"/>
    <cellStyle name="20% - Ênfase6 2 6 5 2" xfId="3952" xr:uid="{00000000-0005-0000-0000-00008C0E0000}"/>
    <cellStyle name="20% - Ênfase6 2 6 6" xfId="3953" xr:uid="{00000000-0005-0000-0000-00008D0E0000}"/>
    <cellStyle name="20% - Ênfase6 2 7" xfId="26528" xr:uid="{00000000-0005-0000-0000-00008E0E0000}"/>
    <cellStyle name="20% - Ênfase6 20" xfId="3954" xr:uid="{00000000-0005-0000-0000-00008F0E0000}"/>
    <cellStyle name="20% - Ênfase6 20 2" xfId="3955" xr:uid="{00000000-0005-0000-0000-0000900E0000}"/>
    <cellStyle name="20% - Ênfase6 21" xfId="3956" xr:uid="{00000000-0005-0000-0000-0000910E0000}"/>
    <cellStyle name="20% - Ênfase6 21 2" xfId="3957" xr:uid="{00000000-0005-0000-0000-0000920E0000}"/>
    <cellStyle name="20% - Ênfase6 22" xfId="3958" xr:uid="{00000000-0005-0000-0000-0000930E0000}"/>
    <cellStyle name="20% - Ênfase6 22 2" xfId="3959" xr:uid="{00000000-0005-0000-0000-0000940E0000}"/>
    <cellStyle name="20% - Ênfase6 23" xfId="3960" xr:uid="{00000000-0005-0000-0000-0000950E0000}"/>
    <cellStyle name="20% - Ênfase6 23 2" xfId="3961" xr:uid="{00000000-0005-0000-0000-0000960E0000}"/>
    <cellStyle name="20% - Ênfase6 24" xfId="3962" xr:uid="{00000000-0005-0000-0000-0000970E0000}"/>
    <cellStyle name="20% - Ênfase6 24 2" xfId="3963" xr:uid="{00000000-0005-0000-0000-0000980E0000}"/>
    <cellStyle name="20% - Ênfase6 25" xfId="3964" xr:uid="{00000000-0005-0000-0000-0000990E0000}"/>
    <cellStyle name="20% - Ênfase6 25 2" xfId="3965" xr:uid="{00000000-0005-0000-0000-00009A0E0000}"/>
    <cellStyle name="20% - Ênfase6 26" xfId="3966" xr:uid="{00000000-0005-0000-0000-00009B0E0000}"/>
    <cellStyle name="20% - Ênfase6 26 2" xfId="3967" xr:uid="{00000000-0005-0000-0000-00009C0E0000}"/>
    <cellStyle name="20% - Ênfase6 27" xfId="3968" xr:uid="{00000000-0005-0000-0000-00009D0E0000}"/>
    <cellStyle name="20% - Ênfase6 27 2" xfId="3969" xr:uid="{00000000-0005-0000-0000-00009E0E0000}"/>
    <cellStyle name="20% - Ênfase6 28" xfId="3970" xr:uid="{00000000-0005-0000-0000-00009F0E0000}"/>
    <cellStyle name="20% - Ênfase6 28 2" xfId="3971" xr:uid="{00000000-0005-0000-0000-0000A00E0000}"/>
    <cellStyle name="20% - Ênfase6 29" xfId="3972" xr:uid="{00000000-0005-0000-0000-0000A10E0000}"/>
    <cellStyle name="20% - Ênfase6 29 2" xfId="3973" xr:uid="{00000000-0005-0000-0000-0000A20E0000}"/>
    <cellStyle name="20% - Ênfase6 3" xfId="3974" xr:uid="{00000000-0005-0000-0000-0000A30E0000}"/>
    <cellStyle name="20% - Ênfase6 3 2" xfId="3975" xr:uid="{00000000-0005-0000-0000-0000A40E0000}"/>
    <cellStyle name="20% - Ênfase6 3 2 10" xfId="3976" xr:uid="{00000000-0005-0000-0000-0000A50E0000}"/>
    <cellStyle name="20% - Ênfase6 3 2 10 2" xfId="3977" xr:uid="{00000000-0005-0000-0000-0000A60E0000}"/>
    <cellStyle name="20% - Ênfase6 3 2 11" xfId="3978" xr:uid="{00000000-0005-0000-0000-0000A70E0000}"/>
    <cellStyle name="20% - Ênfase6 3 2 11 2" xfId="3979" xr:uid="{00000000-0005-0000-0000-0000A80E0000}"/>
    <cellStyle name="20% - Ênfase6 3 2 12" xfId="3980" xr:uid="{00000000-0005-0000-0000-0000A90E0000}"/>
    <cellStyle name="20% - Ênfase6 3 2 12 2" xfId="3981" xr:uid="{00000000-0005-0000-0000-0000AA0E0000}"/>
    <cellStyle name="20% - Ênfase6 3 2 2" xfId="3982" xr:uid="{00000000-0005-0000-0000-0000AB0E0000}"/>
    <cellStyle name="20% - Ênfase6 3 2 2 10" xfId="3983" xr:uid="{00000000-0005-0000-0000-0000AC0E0000}"/>
    <cellStyle name="20% - Ênfase6 3 2 2 11" xfId="3984" xr:uid="{00000000-0005-0000-0000-0000AD0E0000}"/>
    <cellStyle name="20% - Ênfase6 3 2 2 2" xfId="3985" xr:uid="{00000000-0005-0000-0000-0000AE0E0000}"/>
    <cellStyle name="20% - Ênfase6 3 2 2 2 2" xfId="25350" xr:uid="{00000000-0005-0000-0000-0000AF0E0000}"/>
    <cellStyle name="20% - Ênfase6 3 2 2 2 2 2" xfId="26550" xr:uid="{00000000-0005-0000-0000-0000B00E0000}"/>
    <cellStyle name="20% - Ênfase6 3 2 2 2 3" xfId="26549" xr:uid="{00000000-0005-0000-0000-0000B10E0000}"/>
    <cellStyle name="20% - Ênfase6 3 2 2 2 4" xfId="25349" xr:uid="{00000000-0005-0000-0000-0000B20E0000}"/>
    <cellStyle name="20% - Ênfase6 3 2 2 3" xfId="3986" xr:uid="{00000000-0005-0000-0000-0000B30E0000}"/>
    <cellStyle name="20% - Ênfase6 3 2 2 3 2" xfId="26551" xr:uid="{00000000-0005-0000-0000-0000B40E0000}"/>
    <cellStyle name="20% - Ênfase6 3 2 2 3 3" xfId="25351" xr:uid="{00000000-0005-0000-0000-0000B50E0000}"/>
    <cellStyle name="20% - Ênfase6 3 2 2 4" xfId="3987" xr:uid="{00000000-0005-0000-0000-0000B60E0000}"/>
    <cellStyle name="20% - Ênfase6 3 2 2 4 2" xfId="26548" xr:uid="{00000000-0005-0000-0000-0000B70E0000}"/>
    <cellStyle name="20% - Ênfase6 3 2 2 5" xfId="3988" xr:uid="{00000000-0005-0000-0000-0000B80E0000}"/>
    <cellStyle name="20% - Ênfase6 3 2 2 6" xfId="3989" xr:uid="{00000000-0005-0000-0000-0000B90E0000}"/>
    <cellStyle name="20% - Ênfase6 3 2 2 7" xfId="3990" xr:uid="{00000000-0005-0000-0000-0000BA0E0000}"/>
    <cellStyle name="20% - Ênfase6 3 2 2 8" xfId="3991" xr:uid="{00000000-0005-0000-0000-0000BB0E0000}"/>
    <cellStyle name="20% - Ênfase6 3 2 2 9" xfId="3992" xr:uid="{00000000-0005-0000-0000-0000BC0E0000}"/>
    <cellStyle name="20% - Ênfase6 3 2 3" xfId="3993" xr:uid="{00000000-0005-0000-0000-0000BD0E0000}"/>
    <cellStyle name="20% - Ênfase6 3 2 3 2" xfId="25353" xr:uid="{00000000-0005-0000-0000-0000BE0E0000}"/>
    <cellStyle name="20% - Ênfase6 3 2 3 2 2" xfId="26553" xr:uid="{00000000-0005-0000-0000-0000BF0E0000}"/>
    <cellStyle name="20% - Ênfase6 3 2 3 3" xfId="26552" xr:uid="{00000000-0005-0000-0000-0000C00E0000}"/>
    <cellStyle name="20% - Ênfase6 3 2 3 4" xfId="25352" xr:uid="{00000000-0005-0000-0000-0000C10E0000}"/>
    <cellStyle name="20% - Ênfase6 3 2 4" xfId="3994" xr:uid="{00000000-0005-0000-0000-0000C20E0000}"/>
    <cellStyle name="20% - Ênfase6 3 2 4 2" xfId="26554" xr:uid="{00000000-0005-0000-0000-0000C30E0000}"/>
    <cellStyle name="20% - Ênfase6 3 2 4 3" xfId="25354" xr:uid="{00000000-0005-0000-0000-0000C40E0000}"/>
    <cellStyle name="20% - Ênfase6 3 2 5" xfId="3995" xr:uid="{00000000-0005-0000-0000-0000C50E0000}"/>
    <cellStyle name="20% - Ênfase6 3 2 5 2" xfId="3996" xr:uid="{00000000-0005-0000-0000-0000C60E0000}"/>
    <cellStyle name="20% - Ênfase6 3 2 6" xfId="3997" xr:uid="{00000000-0005-0000-0000-0000C70E0000}"/>
    <cellStyle name="20% - Ênfase6 3 2 6 2" xfId="3998" xr:uid="{00000000-0005-0000-0000-0000C80E0000}"/>
    <cellStyle name="20% - Ênfase6 3 2 7" xfId="3999" xr:uid="{00000000-0005-0000-0000-0000C90E0000}"/>
    <cellStyle name="20% - Ênfase6 3 2 7 2" xfId="4000" xr:uid="{00000000-0005-0000-0000-0000CA0E0000}"/>
    <cellStyle name="20% - Ênfase6 3 2 8" xfId="4001" xr:uid="{00000000-0005-0000-0000-0000CB0E0000}"/>
    <cellStyle name="20% - Ênfase6 3 2 8 2" xfId="4002" xr:uid="{00000000-0005-0000-0000-0000CC0E0000}"/>
    <cellStyle name="20% - Ênfase6 3 2 9" xfId="4003" xr:uid="{00000000-0005-0000-0000-0000CD0E0000}"/>
    <cellStyle name="20% - Ênfase6 3 2 9 2" xfId="4004" xr:uid="{00000000-0005-0000-0000-0000CE0E0000}"/>
    <cellStyle name="20% - Ênfase6 3 3" xfId="4005" xr:uid="{00000000-0005-0000-0000-0000CF0E0000}"/>
    <cellStyle name="20% - Ênfase6 3 3 2" xfId="25356" xr:uid="{00000000-0005-0000-0000-0000D00E0000}"/>
    <cellStyle name="20% - Ênfase6 3 3 2 2" xfId="25357" xr:uid="{00000000-0005-0000-0000-0000D10E0000}"/>
    <cellStyle name="20% - Ênfase6 3 3 2 2 2" xfId="26557" xr:uid="{00000000-0005-0000-0000-0000D20E0000}"/>
    <cellStyle name="20% - Ênfase6 3 3 2 3" xfId="26556" xr:uid="{00000000-0005-0000-0000-0000D30E0000}"/>
    <cellStyle name="20% - Ênfase6 3 3 3" xfId="25358" xr:uid="{00000000-0005-0000-0000-0000D40E0000}"/>
    <cellStyle name="20% - Ênfase6 3 3 3 2" xfId="26558" xr:uid="{00000000-0005-0000-0000-0000D50E0000}"/>
    <cellStyle name="20% - Ênfase6 3 3 4" xfId="26555" xr:uid="{00000000-0005-0000-0000-0000D60E0000}"/>
    <cellStyle name="20% - Ênfase6 3 3 5" xfId="25355" xr:uid="{00000000-0005-0000-0000-0000D70E0000}"/>
    <cellStyle name="20% - Ênfase6 3 4" xfId="4006" xr:uid="{00000000-0005-0000-0000-0000D80E0000}"/>
    <cellStyle name="20% - Ênfase6 3 4 2" xfId="26559" xr:uid="{00000000-0005-0000-0000-0000D90E0000}"/>
    <cellStyle name="20% - Ênfase6 3 5" xfId="4007" xr:uid="{00000000-0005-0000-0000-0000DA0E0000}"/>
    <cellStyle name="20% - Ênfase6 3 5 10" xfId="4008" xr:uid="{00000000-0005-0000-0000-0000DB0E0000}"/>
    <cellStyle name="20% - Ênfase6 3 5 10 2" xfId="4009" xr:uid="{00000000-0005-0000-0000-0000DC0E0000}"/>
    <cellStyle name="20% - Ênfase6 3 5 2" xfId="4010" xr:uid="{00000000-0005-0000-0000-0000DD0E0000}"/>
    <cellStyle name="20% - Ênfase6 3 5 2 2" xfId="4011" xr:uid="{00000000-0005-0000-0000-0000DE0E0000}"/>
    <cellStyle name="20% - Ênfase6 3 5 3" xfId="4012" xr:uid="{00000000-0005-0000-0000-0000DF0E0000}"/>
    <cellStyle name="20% - Ênfase6 3 5 3 2" xfId="4013" xr:uid="{00000000-0005-0000-0000-0000E00E0000}"/>
    <cellStyle name="20% - Ênfase6 3 5 4" xfId="4014" xr:uid="{00000000-0005-0000-0000-0000E10E0000}"/>
    <cellStyle name="20% - Ênfase6 3 5 4 2" xfId="4015" xr:uid="{00000000-0005-0000-0000-0000E20E0000}"/>
    <cellStyle name="20% - Ênfase6 3 5 5" xfId="4016" xr:uid="{00000000-0005-0000-0000-0000E30E0000}"/>
    <cellStyle name="20% - Ênfase6 3 5 5 2" xfId="4017" xr:uid="{00000000-0005-0000-0000-0000E40E0000}"/>
    <cellStyle name="20% - Ênfase6 3 5 6" xfId="4018" xr:uid="{00000000-0005-0000-0000-0000E50E0000}"/>
    <cellStyle name="20% - Ênfase6 3 5 6 2" xfId="4019" xr:uid="{00000000-0005-0000-0000-0000E60E0000}"/>
    <cellStyle name="20% - Ênfase6 3 5 7" xfId="4020" xr:uid="{00000000-0005-0000-0000-0000E70E0000}"/>
    <cellStyle name="20% - Ênfase6 3 5 7 2" xfId="4021" xr:uid="{00000000-0005-0000-0000-0000E80E0000}"/>
    <cellStyle name="20% - Ênfase6 3 5 8" xfId="4022" xr:uid="{00000000-0005-0000-0000-0000E90E0000}"/>
    <cellStyle name="20% - Ênfase6 3 5 8 2" xfId="4023" xr:uid="{00000000-0005-0000-0000-0000EA0E0000}"/>
    <cellStyle name="20% - Ênfase6 3 5 9" xfId="4024" xr:uid="{00000000-0005-0000-0000-0000EB0E0000}"/>
    <cellStyle name="20% - Ênfase6 3 5 9 2" xfId="4025" xr:uid="{00000000-0005-0000-0000-0000EC0E0000}"/>
    <cellStyle name="20% - Ênfase6 3 6" xfId="4026" xr:uid="{00000000-0005-0000-0000-0000ED0E0000}"/>
    <cellStyle name="20% - Ênfase6 3 6 2" xfId="4027" xr:uid="{00000000-0005-0000-0000-0000EE0E0000}"/>
    <cellStyle name="20% - Ênfase6 3 6 2 2" xfId="4028" xr:uid="{00000000-0005-0000-0000-0000EF0E0000}"/>
    <cellStyle name="20% - Ênfase6 3 6 3" xfId="4029" xr:uid="{00000000-0005-0000-0000-0000F00E0000}"/>
    <cellStyle name="20% - Ênfase6 3 6 3 2" xfId="4030" xr:uid="{00000000-0005-0000-0000-0000F10E0000}"/>
    <cellStyle name="20% - Ênfase6 3 6 4" xfId="4031" xr:uid="{00000000-0005-0000-0000-0000F20E0000}"/>
    <cellStyle name="20% - Ênfase6 3 6 4 2" xfId="4032" xr:uid="{00000000-0005-0000-0000-0000F30E0000}"/>
    <cellStyle name="20% - Ênfase6 3 6 5" xfId="4033" xr:uid="{00000000-0005-0000-0000-0000F40E0000}"/>
    <cellStyle name="20% - Ênfase6 3 6 5 2" xfId="4034" xr:uid="{00000000-0005-0000-0000-0000F50E0000}"/>
    <cellStyle name="20% - Ênfase6 3 6 6" xfId="4035" xr:uid="{00000000-0005-0000-0000-0000F60E0000}"/>
    <cellStyle name="20% - Ênfase6 3 7" xfId="25359" xr:uid="{00000000-0005-0000-0000-0000F70E0000}"/>
    <cellStyle name="20% - Ênfase6 3 7 2" xfId="26560" xr:uid="{00000000-0005-0000-0000-0000F80E0000}"/>
    <cellStyle name="20% - Ênfase6 3 8" xfId="26547" xr:uid="{00000000-0005-0000-0000-0000F90E0000}"/>
    <cellStyle name="20% - Ênfase6 30" xfId="4036" xr:uid="{00000000-0005-0000-0000-0000FA0E0000}"/>
    <cellStyle name="20% - Ênfase6 30 2" xfId="4037" xr:uid="{00000000-0005-0000-0000-0000FB0E0000}"/>
    <cellStyle name="20% - Ênfase6 31" xfId="4038" xr:uid="{00000000-0005-0000-0000-0000FC0E0000}"/>
    <cellStyle name="20% - Ênfase6 31 2" xfId="4039" xr:uid="{00000000-0005-0000-0000-0000FD0E0000}"/>
    <cellStyle name="20% - Ênfase6 32" xfId="4040" xr:uid="{00000000-0005-0000-0000-0000FE0E0000}"/>
    <cellStyle name="20% - Ênfase6 32 2" xfId="4041" xr:uid="{00000000-0005-0000-0000-0000FF0E0000}"/>
    <cellStyle name="20% - Ênfase6 33" xfId="4042" xr:uid="{00000000-0005-0000-0000-0000000F0000}"/>
    <cellStyle name="20% - Ênfase6 33 2" xfId="4043" xr:uid="{00000000-0005-0000-0000-0000010F0000}"/>
    <cellStyle name="20% - Ênfase6 34" xfId="4044" xr:uid="{00000000-0005-0000-0000-0000020F0000}"/>
    <cellStyle name="20% - Ênfase6 34 2" xfId="4045" xr:uid="{00000000-0005-0000-0000-0000030F0000}"/>
    <cellStyle name="20% - Ênfase6 35" xfId="4046" xr:uid="{00000000-0005-0000-0000-0000040F0000}"/>
    <cellStyle name="20% - Ênfase6 35 2" xfId="4047" xr:uid="{00000000-0005-0000-0000-0000050F0000}"/>
    <cellStyle name="20% - Ênfase6 36" xfId="4048" xr:uid="{00000000-0005-0000-0000-0000060F0000}"/>
    <cellStyle name="20% - Ênfase6 36 2" xfId="4049" xr:uid="{00000000-0005-0000-0000-0000070F0000}"/>
    <cellStyle name="20% - Ênfase6 37" xfId="4050" xr:uid="{00000000-0005-0000-0000-0000080F0000}"/>
    <cellStyle name="20% - Ênfase6 37 2" xfId="4051" xr:uid="{00000000-0005-0000-0000-0000090F0000}"/>
    <cellStyle name="20% - Ênfase6 38" xfId="4052" xr:uid="{00000000-0005-0000-0000-00000A0F0000}"/>
    <cellStyle name="20% - Ênfase6 38 2" xfId="4053" xr:uid="{00000000-0005-0000-0000-00000B0F0000}"/>
    <cellStyle name="20% - Ênfase6 39" xfId="4054" xr:uid="{00000000-0005-0000-0000-00000C0F0000}"/>
    <cellStyle name="20% - Ênfase6 39 2" xfId="4055" xr:uid="{00000000-0005-0000-0000-00000D0F0000}"/>
    <cellStyle name="20% - Ênfase6 4" xfId="4056" xr:uid="{00000000-0005-0000-0000-00000E0F0000}"/>
    <cellStyle name="20% - Ênfase6 4 2" xfId="4057" xr:uid="{00000000-0005-0000-0000-00000F0F0000}"/>
    <cellStyle name="20% - Ênfase6 4 2 10" xfId="4058" xr:uid="{00000000-0005-0000-0000-0000100F0000}"/>
    <cellStyle name="20% - Ênfase6 4 2 10 2" xfId="4059" xr:uid="{00000000-0005-0000-0000-0000110F0000}"/>
    <cellStyle name="20% - Ênfase6 4 2 11" xfId="4060" xr:uid="{00000000-0005-0000-0000-0000120F0000}"/>
    <cellStyle name="20% - Ênfase6 4 2 11 2" xfId="4061" xr:uid="{00000000-0005-0000-0000-0000130F0000}"/>
    <cellStyle name="20% - Ênfase6 4 2 12" xfId="4062" xr:uid="{00000000-0005-0000-0000-0000140F0000}"/>
    <cellStyle name="20% - Ênfase6 4 2 12 2" xfId="4063" xr:uid="{00000000-0005-0000-0000-0000150F0000}"/>
    <cellStyle name="20% - Ênfase6 4 2 2" xfId="4064" xr:uid="{00000000-0005-0000-0000-0000160F0000}"/>
    <cellStyle name="20% - Ênfase6 4 2 2 10" xfId="4065" xr:uid="{00000000-0005-0000-0000-0000170F0000}"/>
    <cellStyle name="20% - Ênfase6 4 2 2 11" xfId="4066" xr:uid="{00000000-0005-0000-0000-0000180F0000}"/>
    <cellStyle name="20% - Ênfase6 4 2 2 2" xfId="4067" xr:uid="{00000000-0005-0000-0000-0000190F0000}"/>
    <cellStyle name="20% - Ênfase6 4 2 2 2 2" xfId="25361" xr:uid="{00000000-0005-0000-0000-00001A0F0000}"/>
    <cellStyle name="20% - Ênfase6 4 2 2 2 2 2" xfId="26564" xr:uid="{00000000-0005-0000-0000-00001B0F0000}"/>
    <cellStyle name="20% - Ênfase6 4 2 2 2 3" xfId="26563" xr:uid="{00000000-0005-0000-0000-00001C0F0000}"/>
    <cellStyle name="20% - Ênfase6 4 2 2 2 4" xfId="25360" xr:uid="{00000000-0005-0000-0000-00001D0F0000}"/>
    <cellStyle name="20% - Ênfase6 4 2 2 3" xfId="4068" xr:uid="{00000000-0005-0000-0000-00001E0F0000}"/>
    <cellStyle name="20% - Ênfase6 4 2 2 3 2" xfId="26565" xr:uid="{00000000-0005-0000-0000-00001F0F0000}"/>
    <cellStyle name="20% - Ênfase6 4 2 2 3 3" xfId="25362" xr:uid="{00000000-0005-0000-0000-0000200F0000}"/>
    <cellStyle name="20% - Ênfase6 4 2 2 4" xfId="4069" xr:uid="{00000000-0005-0000-0000-0000210F0000}"/>
    <cellStyle name="20% - Ênfase6 4 2 2 4 2" xfId="26562" xr:uid="{00000000-0005-0000-0000-0000220F0000}"/>
    <cellStyle name="20% - Ênfase6 4 2 2 5" xfId="4070" xr:uid="{00000000-0005-0000-0000-0000230F0000}"/>
    <cellStyle name="20% - Ênfase6 4 2 2 6" xfId="4071" xr:uid="{00000000-0005-0000-0000-0000240F0000}"/>
    <cellStyle name="20% - Ênfase6 4 2 2 7" xfId="4072" xr:uid="{00000000-0005-0000-0000-0000250F0000}"/>
    <cellStyle name="20% - Ênfase6 4 2 2 8" xfId="4073" xr:uid="{00000000-0005-0000-0000-0000260F0000}"/>
    <cellStyle name="20% - Ênfase6 4 2 2 9" xfId="4074" xr:uid="{00000000-0005-0000-0000-0000270F0000}"/>
    <cellStyle name="20% - Ênfase6 4 2 3" xfId="4075" xr:uid="{00000000-0005-0000-0000-0000280F0000}"/>
    <cellStyle name="20% - Ênfase6 4 2 3 2" xfId="25364" xr:uid="{00000000-0005-0000-0000-0000290F0000}"/>
    <cellStyle name="20% - Ênfase6 4 2 3 2 2" xfId="26567" xr:uid="{00000000-0005-0000-0000-00002A0F0000}"/>
    <cellStyle name="20% - Ênfase6 4 2 3 3" xfId="26566" xr:uid="{00000000-0005-0000-0000-00002B0F0000}"/>
    <cellStyle name="20% - Ênfase6 4 2 3 4" xfId="25363" xr:uid="{00000000-0005-0000-0000-00002C0F0000}"/>
    <cellStyle name="20% - Ênfase6 4 2 4" xfId="4076" xr:uid="{00000000-0005-0000-0000-00002D0F0000}"/>
    <cellStyle name="20% - Ênfase6 4 2 4 2" xfId="26568" xr:uid="{00000000-0005-0000-0000-00002E0F0000}"/>
    <cellStyle name="20% - Ênfase6 4 2 4 3" xfId="25365" xr:uid="{00000000-0005-0000-0000-00002F0F0000}"/>
    <cellStyle name="20% - Ênfase6 4 2 5" xfId="4077" xr:uid="{00000000-0005-0000-0000-0000300F0000}"/>
    <cellStyle name="20% - Ênfase6 4 2 5 2" xfId="4078" xr:uid="{00000000-0005-0000-0000-0000310F0000}"/>
    <cellStyle name="20% - Ênfase6 4 2 6" xfId="4079" xr:uid="{00000000-0005-0000-0000-0000320F0000}"/>
    <cellStyle name="20% - Ênfase6 4 2 6 2" xfId="4080" xr:uid="{00000000-0005-0000-0000-0000330F0000}"/>
    <cellStyle name="20% - Ênfase6 4 2 7" xfId="4081" xr:uid="{00000000-0005-0000-0000-0000340F0000}"/>
    <cellStyle name="20% - Ênfase6 4 2 7 2" xfId="4082" xr:uid="{00000000-0005-0000-0000-0000350F0000}"/>
    <cellStyle name="20% - Ênfase6 4 2 8" xfId="4083" xr:uid="{00000000-0005-0000-0000-0000360F0000}"/>
    <cellStyle name="20% - Ênfase6 4 2 8 2" xfId="4084" xr:uid="{00000000-0005-0000-0000-0000370F0000}"/>
    <cellStyle name="20% - Ênfase6 4 2 9" xfId="4085" xr:uid="{00000000-0005-0000-0000-0000380F0000}"/>
    <cellStyle name="20% - Ênfase6 4 2 9 2" xfId="4086" xr:uid="{00000000-0005-0000-0000-0000390F0000}"/>
    <cellStyle name="20% - Ênfase6 4 3" xfId="4087" xr:uid="{00000000-0005-0000-0000-00003A0F0000}"/>
    <cellStyle name="20% - Ênfase6 4 3 2" xfId="25367" xr:uid="{00000000-0005-0000-0000-00003B0F0000}"/>
    <cellStyle name="20% - Ênfase6 4 3 2 2" xfId="25368" xr:uid="{00000000-0005-0000-0000-00003C0F0000}"/>
    <cellStyle name="20% - Ênfase6 4 3 2 2 2" xfId="26571" xr:uid="{00000000-0005-0000-0000-00003D0F0000}"/>
    <cellStyle name="20% - Ênfase6 4 3 2 3" xfId="26570" xr:uid="{00000000-0005-0000-0000-00003E0F0000}"/>
    <cellStyle name="20% - Ênfase6 4 3 3" xfId="25369" xr:uid="{00000000-0005-0000-0000-00003F0F0000}"/>
    <cellStyle name="20% - Ênfase6 4 3 3 2" xfId="26572" xr:uid="{00000000-0005-0000-0000-0000400F0000}"/>
    <cellStyle name="20% - Ênfase6 4 3 4" xfId="26569" xr:uid="{00000000-0005-0000-0000-0000410F0000}"/>
    <cellStyle name="20% - Ênfase6 4 3 5" xfId="25366" xr:uid="{00000000-0005-0000-0000-0000420F0000}"/>
    <cellStyle name="20% - Ênfase6 4 4" xfId="4088" xr:uid="{00000000-0005-0000-0000-0000430F0000}"/>
    <cellStyle name="20% - Ênfase6 4 4 2" xfId="26573" xr:uid="{00000000-0005-0000-0000-0000440F0000}"/>
    <cellStyle name="20% - Ênfase6 4 5" xfId="4089" xr:uid="{00000000-0005-0000-0000-0000450F0000}"/>
    <cellStyle name="20% - Ênfase6 4 5 10" xfId="4090" xr:uid="{00000000-0005-0000-0000-0000460F0000}"/>
    <cellStyle name="20% - Ênfase6 4 5 10 2" xfId="4091" xr:uid="{00000000-0005-0000-0000-0000470F0000}"/>
    <cellStyle name="20% - Ênfase6 4 5 2" xfId="4092" xr:uid="{00000000-0005-0000-0000-0000480F0000}"/>
    <cellStyle name="20% - Ênfase6 4 5 2 2" xfId="4093" xr:uid="{00000000-0005-0000-0000-0000490F0000}"/>
    <cellStyle name="20% - Ênfase6 4 5 3" xfId="4094" xr:uid="{00000000-0005-0000-0000-00004A0F0000}"/>
    <cellStyle name="20% - Ênfase6 4 5 3 2" xfId="4095" xr:uid="{00000000-0005-0000-0000-00004B0F0000}"/>
    <cellStyle name="20% - Ênfase6 4 5 4" xfId="4096" xr:uid="{00000000-0005-0000-0000-00004C0F0000}"/>
    <cellStyle name="20% - Ênfase6 4 5 4 2" xfId="4097" xr:uid="{00000000-0005-0000-0000-00004D0F0000}"/>
    <cellStyle name="20% - Ênfase6 4 5 5" xfId="4098" xr:uid="{00000000-0005-0000-0000-00004E0F0000}"/>
    <cellStyle name="20% - Ênfase6 4 5 5 2" xfId="4099" xr:uid="{00000000-0005-0000-0000-00004F0F0000}"/>
    <cellStyle name="20% - Ênfase6 4 5 6" xfId="4100" xr:uid="{00000000-0005-0000-0000-0000500F0000}"/>
    <cellStyle name="20% - Ênfase6 4 5 6 2" xfId="4101" xr:uid="{00000000-0005-0000-0000-0000510F0000}"/>
    <cellStyle name="20% - Ênfase6 4 5 7" xfId="4102" xr:uid="{00000000-0005-0000-0000-0000520F0000}"/>
    <cellStyle name="20% - Ênfase6 4 5 7 2" xfId="4103" xr:uid="{00000000-0005-0000-0000-0000530F0000}"/>
    <cellStyle name="20% - Ênfase6 4 5 8" xfId="4104" xr:uid="{00000000-0005-0000-0000-0000540F0000}"/>
    <cellStyle name="20% - Ênfase6 4 5 8 2" xfId="4105" xr:uid="{00000000-0005-0000-0000-0000550F0000}"/>
    <cellStyle name="20% - Ênfase6 4 5 9" xfId="4106" xr:uid="{00000000-0005-0000-0000-0000560F0000}"/>
    <cellStyle name="20% - Ênfase6 4 5 9 2" xfId="4107" xr:uid="{00000000-0005-0000-0000-0000570F0000}"/>
    <cellStyle name="20% - Ênfase6 4 6" xfId="4108" xr:uid="{00000000-0005-0000-0000-0000580F0000}"/>
    <cellStyle name="20% - Ênfase6 4 6 2" xfId="4109" xr:uid="{00000000-0005-0000-0000-0000590F0000}"/>
    <cellStyle name="20% - Ênfase6 4 6 2 2" xfId="4110" xr:uid="{00000000-0005-0000-0000-00005A0F0000}"/>
    <cellStyle name="20% - Ênfase6 4 6 3" xfId="4111" xr:uid="{00000000-0005-0000-0000-00005B0F0000}"/>
    <cellStyle name="20% - Ênfase6 4 6 3 2" xfId="4112" xr:uid="{00000000-0005-0000-0000-00005C0F0000}"/>
    <cellStyle name="20% - Ênfase6 4 6 4" xfId="4113" xr:uid="{00000000-0005-0000-0000-00005D0F0000}"/>
    <cellStyle name="20% - Ênfase6 4 6 4 2" xfId="4114" xr:uid="{00000000-0005-0000-0000-00005E0F0000}"/>
    <cellStyle name="20% - Ênfase6 4 6 5" xfId="4115" xr:uid="{00000000-0005-0000-0000-00005F0F0000}"/>
    <cellStyle name="20% - Ênfase6 4 6 5 2" xfId="4116" xr:uid="{00000000-0005-0000-0000-0000600F0000}"/>
    <cellStyle name="20% - Ênfase6 4 6 6" xfId="4117" xr:uid="{00000000-0005-0000-0000-0000610F0000}"/>
    <cellStyle name="20% - Ênfase6 4 7" xfId="26561" xr:uid="{00000000-0005-0000-0000-0000620F0000}"/>
    <cellStyle name="20% - Ênfase6 40" xfId="4118" xr:uid="{00000000-0005-0000-0000-0000630F0000}"/>
    <cellStyle name="20% - Ênfase6 40 2" xfId="4119" xr:uid="{00000000-0005-0000-0000-0000640F0000}"/>
    <cellStyle name="20% - Ênfase6 41" xfId="4120" xr:uid="{00000000-0005-0000-0000-0000650F0000}"/>
    <cellStyle name="20% - Ênfase6 41 2" xfId="4121" xr:uid="{00000000-0005-0000-0000-0000660F0000}"/>
    <cellStyle name="20% - Ênfase6 42" xfId="4122" xr:uid="{00000000-0005-0000-0000-0000670F0000}"/>
    <cellStyle name="20% - Ênfase6 42 2" xfId="4123" xr:uid="{00000000-0005-0000-0000-0000680F0000}"/>
    <cellStyle name="20% - Ênfase6 43" xfId="4124" xr:uid="{00000000-0005-0000-0000-0000690F0000}"/>
    <cellStyle name="20% - Ênfase6 43 2" xfId="4125" xr:uid="{00000000-0005-0000-0000-00006A0F0000}"/>
    <cellStyle name="20% - Ênfase6 44" xfId="4126" xr:uid="{00000000-0005-0000-0000-00006B0F0000}"/>
    <cellStyle name="20% - Ênfase6 44 2" xfId="4127" xr:uid="{00000000-0005-0000-0000-00006C0F0000}"/>
    <cellStyle name="20% - Ênfase6 45" xfId="4128" xr:uid="{00000000-0005-0000-0000-00006D0F0000}"/>
    <cellStyle name="20% - Ênfase6 45 2" xfId="4129" xr:uid="{00000000-0005-0000-0000-00006E0F0000}"/>
    <cellStyle name="20% - Ênfase6 46" xfId="4130" xr:uid="{00000000-0005-0000-0000-00006F0F0000}"/>
    <cellStyle name="20% - Ênfase6 46 2" xfId="4131" xr:uid="{00000000-0005-0000-0000-0000700F0000}"/>
    <cellStyle name="20% - Ênfase6 47" xfId="4132" xr:uid="{00000000-0005-0000-0000-0000710F0000}"/>
    <cellStyle name="20% - Ênfase6 47 2" xfId="4133" xr:uid="{00000000-0005-0000-0000-0000720F0000}"/>
    <cellStyle name="20% - Ênfase6 48" xfId="4134" xr:uid="{00000000-0005-0000-0000-0000730F0000}"/>
    <cellStyle name="20% - Ênfase6 48 2" xfId="4135" xr:uid="{00000000-0005-0000-0000-0000740F0000}"/>
    <cellStyle name="20% - Ênfase6 49" xfId="4136" xr:uid="{00000000-0005-0000-0000-0000750F0000}"/>
    <cellStyle name="20% - Ênfase6 49 2" xfId="4137" xr:uid="{00000000-0005-0000-0000-0000760F0000}"/>
    <cellStyle name="20% - Ênfase6 5" xfId="4138" xr:uid="{00000000-0005-0000-0000-0000770F0000}"/>
    <cellStyle name="20% - Ênfase6 5 2" xfId="4139" xr:uid="{00000000-0005-0000-0000-0000780F0000}"/>
    <cellStyle name="20% - Ênfase6 5 2 2" xfId="4140" xr:uid="{00000000-0005-0000-0000-0000790F0000}"/>
    <cellStyle name="20% - Ênfase6 5 2 2 2" xfId="25371" xr:uid="{00000000-0005-0000-0000-00007A0F0000}"/>
    <cellStyle name="20% - Ênfase6 5 2 2 2 2" xfId="25372" xr:uid="{00000000-0005-0000-0000-00007B0F0000}"/>
    <cellStyle name="20% - Ênfase6 5 2 2 2 2 2" xfId="26576" xr:uid="{00000000-0005-0000-0000-00007C0F0000}"/>
    <cellStyle name="20% - Ênfase6 5 2 2 2 3" xfId="26575" xr:uid="{00000000-0005-0000-0000-00007D0F0000}"/>
    <cellStyle name="20% - Ênfase6 5 2 2 3" xfId="25373" xr:uid="{00000000-0005-0000-0000-00007E0F0000}"/>
    <cellStyle name="20% - Ênfase6 5 2 2 3 2" xfId="26577" xr:uid="{00000000-0005-0000-0000-00007F0F0000}"/>
    <cellStyle name="20% - Ênfase6 5 2 2 4" xfId="26574" xr:uid="{00000000-0005-0000-0000-0000800F0000}"/>
    <cellStyle name="20% - Ênfase6 5 2 2 5" xfId="25370" xr:uid="{00000000-0005-0000-0000-0000810F0000}"/>
    <cellStyle name="20% - Ênfase6 5 2 3" xfId="4141" xr:uid="{00000000-0005-0000-0000-0000820F0000}"/>
    <cellStyle name="20% - Ênfase6 5 2 3 2" xfId="25375" xr:uid="{00000000-0005-0000-0000-0000830F0000}"/>
    <cellStyle name="20% - Ênfase6 5 2 3 2 2" xfId="26579" xr:uid="{00000000-0005-0000-0000-0000840F0000}"/>
    <cellStyle name="20% - Ênfase6 5 2 3 3" xfId="26578" xr:uid="{00000000-0005-0000-0000-0000850F0000}"/>
    <cellStyle name="20% - Ênfase6 5 2 3 4" xfId="25374" xr:uid="{00000000-0005-0000-0000-0000860F0000}"/>
    <cellStyle name="20% - Ênfase6 5 2 4" xfId="4142" xr:uid="{00000000-0005-0000-0000-0000870F0000}"/>
    <cellStyle name="20% - Ênfase6 5 2 4 2" xfId="26580" xr:uid="{00000000-0005-0000-0000-0000880F0000}"/>
    <cellStyle name="20% - Ênfase6 5 2 4 3" xfId="25376" xr:uid="{00000000-0005-0000-0000-0000890F0000}"/>
    <cellStyle name="20% - Ênfase6 5 2 5" xfId="4143" xr:uid="{00000000-0005-0000-0000-00008A0F0000}"/>
    <cellStyle name="20% - Ênfase6 5 2 5 2" xfId="4144" xr:uid="{00000000-0005-0000-0000-00008B0F0000}"/>
    <cellStyle name="20% - Ênfase6 5 2 6" xfId="4145" xr:uid="{00000000-0005-0000-0000-00008C0F0000}"/>
    <cellStyle name="20% - Ênfase6 5 2 6 2" xfId="4146" xr:uid="{00000000-0005-0000-0000-00008D0F0000}"/>
    <cellStyle name="20% - Ênfase6 5 2 7" xfId="4147" xr:uid="{00000000-0005-0000-0000-00008E0F0000}"/>
    <cellStyle name="20% - Ênfase6 5 2 7 2" xfId="4148" xr:uid="{00000000-0005-0000-0000-00008F0F0000}"/>
    <cellStyle name="20% - Ênfase6 5 2 8" xfId="4149" xr:uid="{00000000-0005-0000-0000-0000900F0000}"/>
    <cellStyle name="20% - Ênfase6 5 2 8 2" xfId="4150" xr:uid="{00000000-0005-0000-0000-0000910F0000}"/>
    <cellStyle name="20% - Ênfase6 5 2 9" xfId="4151" xr:uid="{00000000-0005-0000-0000-0000920F0000}"/>
    <cellStyle name="20% - Ênfase6 5 3" xfId="4152" xr:uid="{00000000-0005-0000-0000-0000930F0000}"/>
    <cellStyle name="20% - Ênfase6 5 3 2" xfId="25378" xr:uid="{00000000-0005-0000-0000-0000940F0000}"/>
    <cellStyle name="20% - Ênfase6 5 3 2 2" xfId="25379" xr:uid="{00000000-0005-0000-0000-0000950F0000}"/>
    <cellStyle name="20% - Ênfase6 5 3 2 2 2" xfId="26583" xr:uid="{00000000-0005-0000-0000-0000960F0000}"/>
    <cellStyle name="20% - Ênfase6 5 3 2 3" xfId="26582" xr:uid="{00000000-0005-0000-0000-0000970F0000}"/>
    <cellStyle name="20% - Ênfase6 5 3 3" xfId="25380" xr:uid="{00000000-0005-0000-0000-0000980F0000}"/>
    <cellStyle name="20% - Ênfase6 5 3 3 2" xfId="26584" xr:uid="{00000000-0005-0000-0000-0000990F0000}"/>
    <cellStyle name="20% - Ênfase6 5 3 4" xfId="26581" xr:uid="{00000000-0005-0000-0000-00009A0F0000}"/>
    <cellStyle name="20% - Ênfase6 5 3 5" xfId="25377" xr:uid="{00000000-0005-0000-0000-00009B0F0000}"/>
    <cellStyle name="20% - Ênfase6 5 4" xfId="4153" xr:uid="{00000000-0005-0000-0000-00009C0F0000}"/>
    <cellStyle name="20% - Ênfase6 5 4 2" xfId="25382" xr:uid="{00000000-0005-0000-0000-00009D0F0000}"/>
    <cellStyle name="20% - Ênfase6 5 4 2 2" xfId="26586" xr:uid="{00000000-0005-0000-0000-00009E0F0000}"/>
    <cellStyle name="20% - Ênfase6 5 4 3" xfId="26585" xr:uid="{00000000-0005-0000-0000-00009F0F0000}"/>
    <cellStyle name="20% - Ênfase6 5 4 4" xfId="25381" xr:uid="{00000000-0005-0000-0000-0000A00F0000}"/>
    <cellStyle name="20% - Ênfase6 5 5" xfId="4154" xr:uid="{00000000-0005-0000-0000-0000A10F0000}"/>
    <cellStyle name="20% - Ênfase6 5 5 2" xfId="4155" xr:uid="{00000000-0005-0000-0000-0000A20F0000}"/>
    <cellStyle name="20% - Ênfase6 5 5 2 2" xfId="4156" xr:uid="{00000000-0005-0000-0000-0000A30F0000}"/>
    <cellStyle name="20% - Ênfase6 5 5 3" xfId="4157" xr:uid="{00000000-0005-0000-0000-0000A40F0000}"/>
    <cellStyle name="20% - Ênfase6 5 5 3 2" xfId="4158" xr:uid="{00000000-0005-0000-0000-0000A50F0000}"/>
    <cellStyle name="20% - Ênfase6 5 5 4" xfId="4159" xr:uid="{00000000-0005-0000-0000-0000A60F0000}"/>
    <cellStyle name="20% - Ênfase6 5 5 4 2" xfId="4160" xr:uid="{00000000-0005-0000-0000-0000A70F0000}"/>
    <cellStyle name="20% - Ênfase6 5 5 5" xfId="4161" xr:uid="{00000000-0005-0000-0000-0000A80F0000}"/>
    <cellStyle name="20% - Ênfase6 5 5 5 2" xfId="4162" xr:uid="{00000000-0005-0000-0000-0000A90F0000}"/>
    <cellStyle name="20% - Ênfase6 5 5 6" xfId="4163" xr:uid="{00000000-0005-0000-0000-0000AA0F0000}"/>
    <cellStyle name="20% - Ênfase6 5 6" xfId="4164" xr:uid="{00000000-0005-0000-0000-0000AB0F0000}"/>
    <cellStyle name="20% - Ênfase6 5 6 2" xfId="4165" xr:uid="{00000000-0005-0000-0000-0000AC0F0000}"/>
    <cellStyle name="20% - Ênfase6 5 6 2 2" xfId="4166" xr:uid="{00000000-0005-0000-0000-0000AD0F0000}"/>
    <cellStyle name="20% - Ênfase6 5 6 3" xfId="4167" xr:uid="{00000000-0005-0000-0000-0000AE0F0000}"/>
    <cellStyle name="20% - Ênfase6 5 6 3 2" xfId="4168" xr:uid="{00000000-0005-0000-0000-0000AF0F0000}"/>
    <cellStyle name="20% - Ênfase6 5 6 4" xfId="4169" xr:uid="{00000000-0005-0000-0000-0000B00F0000}"/>
    <cellStyle name="20% - Ênfase6 5 6 4 2" xfId="4170" xr:uid="{00000000-0005-0000-0000-0000B10F0000}"/>
    <cellStyle name="20% - Ênfase6 5 6 5" xfId="4171" xr:uid="{00000000-0005-0000-0000-0000B20F0000}"/>
    <cellStyle name="20% - Ênfase6 5 6 5 2" xfId="4172" xr:uid="{00000000-0005-0000-0000-0000B30F0000}"/>
    <cellStyle name="20% - Ênfase6 5 6 6" xfId="4173" xr:uid="{00000000-0005-0000-0000-0000B40F0000}"/>
    <cellStyle name="20% - Ênfase6 50" xfId="4174" xr:uid="{00000000-0005-0000-0000-0000B50F0000}"/>
    <cellStyle name="20% - Ênfase6 50 2" xfId="4175" xr:uid="{00000000-0005-0000-0000-0000B60F0000}"/>
    <cellStyle name="20% - Ênfase6 51" xfId="4176" xr:uid="{00000000-0005-0000-0000-0000B70F0000}"/>
    <cellStyle name="20% - Ênfase6 51 2" xfId="4177" xr:uid="{00000000-0005-0000-0000-0000B80F0000}"/>
    <cellStyle name="20% - Ênfase6 52" xfId="4178" xr:uid="{00000000-0005-0000-0000-0000B90F0000}"/>
    <cellStyle name="20% - Ênfase6 52 2" xfId="4179" xr:uid="{00000000-0005-0000-0000-0000BA0F0000}"/>
    <cellStyle name="20% - Ênfase6 53" xfId="4180" xr:uid="{00000000-0005-0000-0000-0000BB0F0000}"/>
    <cellStyle name="20% - Ênfase6 53 2" xfId="4181" xr:uid="{00000000-0005-0000-0000-0000BC0F0000}"/>
    <cellStyle name="20% - Ênfase6 54" xfId="4182" xr:uid="{00000000-0005-0000-0000-0000BD0F0000}"/>
    <cellStyle name="20% - Ênfase6 54 2" xfId="4183" xr:uid="{00000000-0005-0000-0000-0000BE0F0000}"/>
    <cellStyle name="20% - Ênfase6 55" xfId="4184" xr:uid="{00000000-0005-0000-0000-0000BF0F0000}"/>
    <cellStyle name="20% - Ênfase6 55 2" xfId="4185" xr:uid="{00000000-0005-0000-0000-0000C00F0000}"/>
    <cellStyle name="20% - Ênfase6 6" xfId="4186" xr:uid="{00000000-0005-0000-0000-0000C10F0000}"/>
    <cellStyle name="20% - Ênfase6 6 10" xfId="4187" xr:uid="{00000000-0005-0000-0000-0000C20F0000}"/>
    <cellStyle name="20% - Ênfase6 6 10 2" xfId="4188" xr:uid="{00000000-0005-0000-0000-0000C30F0000}"/>
    <cellStyle name="20% - Ênfase6 6 11" xfId="4189" xr:uid="{00000000-0005-0000-0000-0000C40F0000}"/>
    <cellStyle name="20% - Ênfase6 6 11 2" xfId="4190" xr:uid="{00000000-0005-0000-0000-0000C50F0000}"/>
    <cellStyle name="20% - Ênfase6 6 12" xfId="4191" xr:uid="{00000000-0005-0000-0000-0000C60F0000}"/>
    <cellStyle name="20% - Ênfase6 6 12 2" xfId="4192" xr:uid="{00000000-0005-0000-0000-0000C70F0000}"/>
    <cellStyle name="20% - Ênfase6 6 13" xfId="4193" xr:uid="{00000000-0005-0000-0000-0000C80F0000}"/>
    <cellStyle name="20% - Ênfase6 6 13 2" xfId="4194" xr:uid="{00000000-0005-0000-0000-0000C90F0000}"/>
    <cellStyle name="20% - Ênfase6 6 14" xfId="4195" xr:uid="{00000000-0005-0000-0000-0000CA0F0000}"/>
    <cellStyle name="20% - Ênfase6 6 14 2" xfId="4196" xr:uid="{00000000-0005-0000-0000-0000CB0F0000}"/>
    <cellStyle name="20% - Ênfase6 6 15" xfId="4197" xr:uid="{00000000-0005-0000-0000-0000CC0F0000}"/>
    <cellStyle name="20% - Ênfase6 6 15 2" xfId="4198" xr:uid="{00000000-0005-0000-0000-0000CD0F0000}"/>
    <cellStyle name="20% - Ênfase6 6 16" xfId="4199" xr:uid="{00000000-0005-0000-0000-0000CE0F0000}"/>
    <cellStyle name="20% - Ênfase6 6 16 2" xfId="4200" xr:uid="{00000000-0005-0000-0000-0000CF0F0000}"/>
    <cellStyle name="20% - Ênfase6 6 17" xfId="4201" xr:uid="{00000000-0005-0000-0000-0000D00F0000}"/>
    <cellStyle name="20% - Ênfase6 6 17 2" xfId="4202" xr:uid="{00000000-0005-0000-0000-0000D10F0000}"/>
    <cellStyle name="20% - Ênfase6 6 18" xfId="4203" xr:uid="{00000000-0005-0000-0000-0000D20F0000}"/>
    <cellStyle name="20% - Ênfase6 6 18 2" xfId="4204" xr:uid="{00000000-0005-0000-0000-0000D30F0000}"/>
    <cellStyle name="20% - Ênfase6 6 19" xfId="4205" xr:uid="{00000000-0005-0000-0000-0000D40F0000}"/>
    <cellStyle name="20% - Ênfase6 6 19 2" xfId="4206" xr:uid="{00000000-0005-0000-0000-0000D50F0000}"/>
    <cellStyle name="20% - Ênfase6 6 2" xfId="4207" xr:uid="{00000000-0005-0000-0000-0000D60F0000}"/>
    <cellStyle name="20% - Ênfase6 6 2 2" xfId="4208" xr:uid="{00000000-0005-0000-0000-0000D70F0000}"/>
    <cellStyle name="20% - Ênfase6 6 2 2 2" xfId="4209" xr:uid="{00000000-0005-0000-0000-0000D80F0000}"/>
    <cellStyle name="20% - Ênfase6 6 2 2 2 2" xfId="26588" xr:uid="{00000000-0005-0000-0000-0000D90F0000}"/>
    <cellStyle name="20% - Ênfase6 6 2 2 3" xfId="26587" xr:uid="{00000000-0005-0000-0000-0000DA0F0000}"/>
    <cellStyle name="20% - Ênfase6 6 2 3" xfId="4210" xr:uid="{00000000-0005-0000-0000-0000DB0F0000}"/>
    <cellStyle name="20% - Ênfase6 6 2 3 2" xfId="4211" xr:uid="{00000000-0005-0000-0000-0000DC0F0000}"/>
    <cellStyle name="20% - Ênfase6 6 2 4" xfId="4212" xr:uid="{00000000-0005-0000-0000-0000DD0F0000}"/>
    <cellStyle name="20% - Ênfase6 6 2 4 2" xfId="4213" xr:uid="{00000000-0005-0000-0000-0000DE0F0000}"/>
    <cellStyle name="20% - Ênfase6 6 2 5" xfId="4214" xr:uid="{00000000-0005-0000-0000-0000DF0F0000}"/>
    <cellStyle name="20% - Ênfase6 6 2 5 2" xfId="4215" xr:uid="{00000000-0005-0000-0000-0000E00F0000}"/>
    <cellStyle name="20% - Ênfase6 6 2 6" xfId="4216" xr:uid="{00000000-0005-0000-0000-0000E10F0000}"/>
    <cellStyle name="20% - Ênfase6 6 20" xfId="4217" xr:uid="{00000000-0005-0000-0000-0000E20F0000}"/>
    <cellStyle name="20% - Ênfase6 6 20 2" xfId="4218" xr:uid="{00000000-0005-0000-0000-0000E30F0000}"/>
    <cellStyle name="20% - Ênfase6 6 21" xfId="4219" xr:uid="{00000000-0005-0000-0000-0000E40F0000}"/>
    <cellStyle name="20% - Ênfase6 6 21 2" xfId="4220" xr:uid="{00000000-0005-0000-0000-0000E50F0000}"/>
    <cellStyle name="20% - Ênfase6 6 22" xfId="4221" xr:uid="{00000000-0005-0000-0000-0000E60F0000}"/>
    <cellStyle name="20% - Ênfase6 6 22 2" xfId="4222" xr:uid="{00000000-0005-0000-0000-0000E70F0000}"/>
    <cellStyle name="20% - Ênfase6 6 23" xfId="4223" xr:uid="{00000000-0005-0000-0000-0000E80F0000}"/>
    <cellStyle name="20% - Ênfase6 6 23 2" xfId="4224" xr:uid="{00000000-0005-0000-0000-0000E90F0000}"/>
    <cellStyle name="20% - Ênfase6 6 24" xfId="4225" xr:uid="{00000000-0005-0000-0000-0000EA0F0000}"/>
    <cellStyle name="20% - Ênfase6 6 24 2" xfId="4226" xr:uid="{00000000-0005-0000-0000-0000EB0F0000}"/>
    <cellStyle name="20% - Ênfase6 6 25" xfId="4227" xr:uid="{00000000-0005-0000-0000-0000EC0F0000}"/>
    <cellStyle name="20% - Ênfase6 6 25 2" xfId="4228" xr:uid="{00000000-0005-0000-0000-0000ED0F0000}"/>
    <cellStyle name="20% - Ênfase6 6 26" xfId="4229" xr:uid="{00000000-0005-0000-0000-0000EE0F0000}"/>
    <cellStyle name="20% - Ênfase6 6 26 2" xfId="4230" xr:uid="{00000000-0005-0000-0000-0000EF0F0000}"/>
    <cellStyle name="20% - Ênfase6 6 27" xfId="4231" xr:uid="{00000000-0005-0000-0000-0000F00F0000}"/>
    <cellStyle name="20% - Ênfase6 6 27 2" xfId="4232" xr:uid="{00000000-0005-0000-0000-0000F10F0000}"/>
    <cellStyle name="20% - Ênfase6 6 28" xfId="4233" xr:uid="{00000000-0005-0000-0000-0000F20F0000}"/>
    <cellStyle name="20% - Ênfase6 6 28 2" xfId="4234" xr:uid="{00000000-0005-0000-0000-0000F30F0000}"/>
    <cellStyle name="20% - Ênfase6 6 29" xfId="4235" xr:uid="{00000000-0005-0000-0000-0000F40F0000}"/>
    <cellStyle name="20% - Ênfase6 6 29 2" xfId="4236" xr:uid="{00000000-0005-0000-0000-0000F50F0000}"/>
    <cellStyle name="20% - Ênfase6 6 3" xfId="4237" xr:uid="{00000000-0005-0000-0000-0000F60F0000}"/>
    <cellStyle name="20% - Ênfase6 6 3 2" xfId="4238" xr:uid="{00000000-0005-0000-0000-0000F70F0000}"/>
    <cellStyle name="20% - Ênfase6 6 3 2 2" xfId="4239" xr:uid="{00000000-0005-0000-0000-0000F80F0000}"/>
    <cellStyle name="20% - Ênfase6 6 3 3" xfId="4240" xr:uid="{00000000-0005-0000-0000-0000F90F0000}"/>
    <cellStyle name="20% - Ênfase6 6 3 3 2" xfId="4241" xr:uid="{00000000-0005-0000-0000-0000FA0F0000}"/>
    <cellStyle name="20% - Ênfase6 6 3 4" xfId="4242" xr:uid="{00000000-0005-0000-0000-0000FB0F0000}"/>
    <cellStyle name="20% - Ênfase6 6 3 4 2" xfId="4243" xr:uid="{00000000-0005-0000-0000-0000FC0F0000}"/>
    <cellStyle name="20% - Ênfase6 6 3 5" xfId="4244" xr:uid="{00000000-0005-0000-0000-0000FD0F0000}"/>
    <cellStyle name="20% - Ênfase6 6 3 5 2" xfId="4245" xr:uid="{00000000-0005-0000-0000-0000FE0F0000}"/>
    <cellStyle name="20% - Ênfase6 6 3 6" xfId="4246" xr:uid="{00000000-0005-0000-0000-0000FF0F0000}"/>
    <cellStyle name="20% - Ênfase6 6 30" xfId="4247" xr:uid="{00000000-0005-0000-0000-000000100000}"/>
    <cellStyle name="20% - Ênfase6 6 30 2" xfId="4248" xr:uid="{00000000-0005-0000-0000-000001100000}"/>
    <cellStyle name="20% - Ênfase6 6 31" xfId="4249" xr:uid="{00000000-0005-0000-0000-000002100000}"/>
    <cellStyle name="20% - Ênfase6 6 31 2" xfId="4250" xr:uid="{00000000-0005-0000-0000-000003100000}"/>
    <cellStyle name="20% - Ênfase6 6 32" xfId="4251" xr:uid="{00000000-0005-0000-0000-000004100000}"/>
    <cellStyle name="20% - Ênfase6 6 32 2" xfId="4252" xr:uid="{00000000-0005-0000-0000-000005100000}"/>
    <cellStyle name="20% - Ênfase6 6 33" xfId="4253" xr:uid="{00000000-0005-0000-0000-000006100000}"/>
    <cellStyle name="20% - Ênfase6 6 33 2" xfId="4254" xr:uid="{00000000-0005-0000-0000-000007100000}"/>
    <cellStyle name="20% - Ênfase6 6 34" xfId="4255" xr:uid="{00000000-0005-0000-0000-000008100000}"/>
    <cellStyle name="20% - Ênfase6 6 34 2" xfId="4256" xr:uid="{00000000-0005-0000-0000-000009100000}"/>
    <cellStyle name="20% - Ênfase6 6 35" xfId="4257" xr:uid="{00000000-0005-0000-0000-00000A100000}"/>
    <cellStyle name="20% - Ênfase6 6 35 2" xfId="4258" xr:uid="{00000000-0005-0000-0000-00000B100000}"/>
    <cellStyle name="20% - Ênfase6 6 36" xfId="4259" xr:uid="{00000000-0005-0000-0000-00000C100000}"/>
    <cellStyle name="20% - Ênfase6 6 36 2" xfId="4260" xr:uid="{00000000-0005-0000-0000-00000D100000}"/>
    <cellStyle name="20% - Ênfase6 6 37" xfId="4261" xr:uid="{00000000-0005-0000-0000-00000E100000}"/>
    <cellStyle name="20% - Ênfase6 6 4" xfId="4262" xr:uid="{00000000-0005-0000-0000-00000F100000}"/>
    <cellStyle name="20% - Ênfase6 6 4 2" xfId="4263" xr:uid="{00000000-0005-0000-0000-000010100000}"/>
    <cellStyle name="20% - Ênfase6 6 4 2 2" xfId="4264" xr:uid="{00000000-0005-0000-0000-000011100000}"/>
    <cellStyle name="20% - Ênfase6 6 4 3" xfId="4265" xr:uid="{00000000-0005-0000-0000-000012100000}"/>
    <cellStyle name="20% - Ênfase6 6 4 3 2" xfId="4266" xr:uid="{00000000-0005-0000-0000-000013100000}"/>
    <cellStyle name="20% - Ênfase6 6 4 4" xfId="4267" xr:uid="{00000000-0005-0000-0000-000014100000}"/>
    <cellStyle name="20% - Ênfase6 6 4 4 2" xfId="4268" xr:uid="{00000000-0005-0000-0000-000015100000}"/>
    <cellStyle name="20% - Ênfase6 6 4 5" xfId="4269" xr:uid="{00000000-0005-0000-0000-000016100000}"/>
    <cellStyle name="20% - Ênfase6 6 4 5 2" xfId="4270" xr:uid="{00000000-0005-0000-0000-000017100000}"/>
    <cellStyle name="20% - Ênfase6 6 4 6" xfId="4271" xr:uid="{00000000-0005-0000-0000-000018100000}"/>
    <cellStyle name="20% - Ênfase6 6 5" xfId="4272" xr:uid="{00000000-0005-0000-0000-000019100000}"/>
    <cellStyle name="20% - Ênfase6 6 5 2" xfId="4273" xr:uid="{00000000-0005-0000-0000-00001A100000}"/>
    <cellStyle name="20% - Ênfase6 6 6" xfId="4274" xr:uid="{00000000-0005-0000-0000-00001B100000}"/>
    <cellStyle name="20% - Ênfase6 6 6 2" xfId="4275" xr:uid="{00000000-0005-0000-0000-00001C100000}"/>
    <cellStyle name="20% - Ênfase6 6 7" xfId="4276" xr:uid="{00000000-0005-0000-0000-00001D100000}"/>
    <cellStyle name="20% - Ênfase6 6 7 2" xfId="4277" xr:uid="{00000000-0005-0000-0000-00001E100000}"/>
    <cellStyle name="20% - Ênfase6 6 8" xfId="4278" xr:uid="{00000000-0005-0000-0000-00001F100000}"/>
    <cellStyle name="20% - Ênfase6 6 8 2" xfId="4279" xr:uid="{00000000-0005-0000-0000-000020100000}"/>
    <cellStyle name="20% - Ênfase6 6 9" xfId="4280" xr:uid="{00000000-0005-0000-0000-000021100000}"/>
    <cellStyle name="20% - Ênfase6 6 9 2" xfId="4281" xr:uid="{00000000-0005-0000-0000-000022100000}"/>
    <cellStyle name="20% - Ênfase6 7" xfId="4282" xr:uid="{00000000-0005-0000-0000-000023100000}"/>
    <cellStyle name="20% - Ênfase6 7 10" xfId="4283" xr:uid="{00000000-0005-0000-0000-000024100000}"/>
    <cellStyle name="20% - Ênfase6 7 10 2" xfId="4284" xr:uid="{00000000-0005-0000-0000-000025100000}"/>
    <cellStyle name="20% - Ênfase6 7 11" xfId="4285" xr:uid="{00000000-0005-0000-0000-000026100000}"/>
    <cellStyle name="20% - Ênfase6 7 11 2" xfId="4286" xr:uid="{00000000-0005-0000-0000-000027100000}"/>
    <cellStyle name="20% - Ênfase6 7 12" xfId="4287" xr:uid="{00000000-0005-0000-0000-000028100000}"/>
    <cellStyle name="20% - Ênfase6 7 12 2" xfId="4288" xr:uid="{00000000-0005-0000-0000-000029100000}"/>
    <cellStyle name="20% - Ênfase6 7 13" xfId="4289" xr:uid="{00000000-0005-0000-0000-00002A100000}"/>
    <cellStyle name="20% - Ênfase6 7 13 2" xfId="4290" xr:uid="{00000000-0005-0000-0000-00002B100000}"/>
    <cellStyle name="20% - Ênfase6 7 14" xfId="4291" xr:uid="{00000000-0005-0000-0000-00002C100000}"/>
    <cellStyle name="20% - Ênfase6 7 14 2" xfId="4292" xr:uid="{00000000-0005-0000-0000-00002D100000}"/>
    <cellStyle name="20% - Ênfase6 7 15" xfId="4293" xr:uid="{00000000-0005-0000-0000-00002E100000}"/>
    <cellStyle name="20% - Ênfase6 7 15 2" xfId="4294" xr:uid="{00000000-0005-0000-0000-00002F100000}"/>
    <cellStyle name="20% - Ênfase6 7 16" xfId="4295" xr:uid="{00000000-0005-0000-0000-000030100000}"/>
    <cellStyle name="20% - Ênfase6 7 16 2" xfId="4296" xr:uid="{00000000-0005-0000-0000-000031100000}"/>
    <cellStyle name="20% - Ênfase6 7 17" xfId="4297" xr:uid="{00000000-0005-0000-0000-000032100000}"/>
    <cellStyle name="20% - Ênfase6 7 17 2" xfId="4298" xr:uid="{00000000-0005-0000-0000-000033100000}"/>
    <cellStyle name="20% - Ênfase6 7 18" xfId="4299" xr:uid="{00000000-0005-0000-0000-000034100000}"/>
    <cellStyle name="20% - Ênfase6 7 18 2" xfId="4300" xr:uid="{00000000-0005-0000-0000-000035100000}"/>
    <cellStyle name="20% - Ênfase6 7 19" xfId="4301" xr:uid="{00000000-0005-0000-0000-000036100000}"/>
    <cellStyle name="20% - Ênfase6 7 19 2" xfId="4302" xr:uid="{00000000-0005-0000-0000-000037100000}"/>
    <cellStyle name="20% - Ênfase6 7 2" xfId="4303" xr:uid="{00000000-0005-0000-0000-000038100000}"/>
    <cellStyle name="20% - Ênfase6 7 2 2" xfId="4304" xr:uid="{00000000-0005-0000-0000-000039100000}"/>
    <cellStyle name="20% - Ênfase6 7 2 2 2" xfId="4305" xr:uid="{00000000-0005-0000-0000-00003A100000}"/>
    <cellStyle name="20% - Ênfase6 7 2 2 2 2" xfId="26590" xr:uid="{00000000-0005-0000-0000-00003B100000}"/>
    <cellStyle name="20% - Ênfase6 7 2 2 3" xfId="26589" xr:uid="{00000000-0005-0000-0000-00003C100000}"/>
    <cellStyle name="20% - Ênfase6 7 2 3" xfId="4306" xr:uid="{00000000-0005-0000-0000-00003D100000}"/>
    <cellStyle name="20% - Ênfase6 7 2 3 2" xfId="4307" xr:uid="{00000000-0005-0000-0000-00003E100000}"/>
    <cellStyle name="20% - Ênfase6 7 2 4" xfId="4308" xr:uid="{00000000-0005-0000-0000-00003F100000}"/>
    <cellStyle name="20% - Ênfase6 7 2 4 2" xfId="4309" xr:uid="{00000000-0005-0000-0000-000040100000}"/>
    <cellStyle name="20% - Ênfase6 7 2 5" xfId="4310" xr:uid="{00000000-0005-0000-0000-000041100000}"/>
    <cellStyle name="20% - Ênfase6 7 2 5 2" xfId="4311" xr:uid="{00000000-0005-0000-0000-000042100000}"/>
    <cellStyle name="20% - Ênfase6 7 2 6" xfId="4312" xr:uid="{00000000-0005-0000-0000-000043100000}"/>
    <cellStyle name="20% - Ênfase6 7 20" xfId="4313" xr:uid="{00000000-0005-0000-0000-000044100000}"/>
    <cellStyle name="20% - Ênfase6 7 20 2" xfId="4314" xr:uid="{00000000-0005-0000-0000-000045100000}"/>
    <cellStyle name="20% - Ênfase6 7 21" xfId="4315" xr:uid="{00000000-0005-0000-0000-000046100000}"/>
    <cellStyle name="20% - Ênfase6 7 21 2" xfId="4316" xr:uid="{00000000-0005-0000-0000-000047100000}"/>
    <cellStyle name="20% - Ênfase6 7 22" xfId="4317" xr:uid="{00000000-0005-0000-0000-000048100000}"/>
    <cellStyle name="20% - Ênfase6 7 22 2" xfId="4318" xr:uid="{00000000-0005-0000-0000-000049100000}"/>
    <cellStyle name="20% - Ênfase6 7 23" xfId="4319" xr:uid="{00000000-0005-0000-0000-00004A100000}"/>
    <cellStyle name="20% - Ênfase6 7 23 2" xfId="4320" xr:uid="{00000000-0005-0000-0000-00004B100000}"/>
    <cellStyle name="20% - Ênfase6 7 24" xfId="4321" xr:uid="{00000000-0005-0000-0000-00004C100000}"/>
    <cellStyle name="20% - Ênfase6 7 24 2" xfId="4322" xr:uid="{00000000-0005-0000-0000-00004D100000}"/>
    <cellStyle name="20% - Ênfase6 7 25" xfId="4323" xr:uid="{00000000-0005-0000-0000-00004E100000}"/>
    <cellStyle name="20% - Ênfase6 7 25 2" xfId="4324" xr:uid="{00000000-0005-0000-0000-00004F100000}"/>
    <cellStyle name="20% - Ênfase6 7 26" xfId="4325" xr:uid="{00000000-0005-0000-0000-000050100000}"/>
    <cellStyle name="20% - Ênfase6 7 26 2" xfId="4326" xr:uid="{00000000-0005-0000-0000-000051100000}"/>
    <cellStyle name="20% - Ênfase6 7 27" xfId="4327" xr:uid="{00000000-0005-0000-0000-000052100000}"/>
    <cellStyle name="20% - Ênfase6 7 27 2" xfId="4328" xr:uid="{00000000-0005-0000-0000-000053100000}"/>
    <cellStyle name="20% - Ênfase6 7 28" xfId="4329" xr:uid="{00000000-0005-0000-0000-000054100000}"/>
    <cellStyle name="20% - Ênfase6 7 28 2" xfId="4330" xr:uid="{00000000-0005-0000-0000-000055100000}"/>
    <cellStyle name="20% - Ênfase6 7 29" xfId="4331" xr:uid="{00000000-0005-0000-0000-000056100000}"/>
    <cellStyle name="20% - Ênfase6 7 29 2" xfId="4332" xr:uid="{00000000-0005-0000-0000-000057100000}"/>
    <cellStyle name="20% - Ênfase6 7 3" xfId="4333" xr:uid="{00000000-0005-0000-0000-000058100000}"/>
    <cellStyle name="20% - Ênfase6 7 3 2" xfId="4334" xr:uid="{00000000-0005-0000-0000-000059100000}"/>
    <cellStyle name="20% - Ênfase6 7 3 2 2" xfId="4335" xr:uid="{00000000-0005-0000-0000-00005A100000}"/>
    <cellStyle name="20% - Ênfase6 7 3 3" xfId="4336" xr:uid="{00000000-0005-0000-0000-00005B100000}"/>
    <cellStyle name="20% - Ênfase6 7 3 3 2" xfId="4337" xr:uid="{00000000-0005-0000-0000-00005C100000}"/>
    <cellStyle name="20% - Ênfase6 7 3 4" xfId="4338" xr:uid="{00000000-0005-0000-0000-00005D100000}"/>
    <cellStyle name="20% - Ênfase6 7 3 4 2" xfId="4339" xr:uid="{00000000-0005-0000-0000-00005E100000}"/>
    <cellStyle name="20% - Ênfase6 7 3 5" xfId="4340" xr:uid="{00000000-0005-0000-0000-00005F100000}"/>
    <cellStyle name="20% - Ênfase6 7 3 5 2" xfId="4341" xr:uid="{00000000-0005-0000-0000-000060100000}"/>
    <cellStyle name="20% - Ênfase6 7 3 6" xfId="4342" xr:uid="{00000000-0005-0000-0000-000061100000}"/>
    <cellStyle name="20% - Ênfase6 7 30" xfId="4343" xr:uid="{00000000-0005-0000-0000-000062100000}"/>
    <cellStyle name="20% - Ênfase6 7 30 2" xfId="4344" xr:uid="{00000000-0005-0000-0000-000063100000}"/>
    <cellStyle name="20% - Ênfase6 7 31" xfId="4345" xr:uid="{00000000-0005-0000-0000-000064100000}"/>
    <cellStyle name="20% - Ênfase6 7 31 2" xfId="4346" xr:uid="{00000000-0005-0000-0000-000065100000}"/>
    <cellStyle name="20% - Ênfase6 7 32" xfId="4347" xr:uid="{00000000-0005-0000-0000-000066100000}"/>
    <cellStyle name="20% - Ênfase6 7 32 2" xfId="4348" xr:uid="{00000000-0005-0000-0000-000067100000}"/>
    <cellStyle name="20% - Ênfase6 7 33" xfId="4349" xr:uid="{00000000-0005-0000-0000-000068100000}"/>
    <cellStyle name="20% - Ênfase6 7 33 2" xfId="4350" xr:uid="{00000000-0005-0000-0000-000069100000}"/>
    <cellStyle name="20% - Ênfase6 7 34" xfId="4351" xr:uid="{00000000-0005-0000-0000-00006A100000}"/>
    <cellStyle name="20% - Ênfase6 7 34 2" xfId="4352" xr:uid="{00000000-0005-0000-0000-00006B100000}"/>
    <cellStyle name="20% - Ênfase6 7 35" xfId="4353" xr:uid="{00000000-0005-0000-0000-00006C100000}"/>
    <cellStyle name="20% - Ênfase6 7 35 2" xfId="4354" xr:uid="{00000000-0005-0000-0000-00006D100000}"/>
    <cellStyle name="20% - Ênfase6 7 36" xfId="4355" xr:uid="{00000000-0005-0000-0000-00006E100000}"/>
    <cellStyle name="20% - Ênfase6 7 36 2" xfId="4356" xr:uid="{00000000-0005-0000-0000-00006F100000}"/>
    <cellStyle name="20% - Ênfase6 7 37" xfId="4357" xr:uid="{00000000-0005-0000-0000-000070100000}"/>
    <cellStyle name="20% - Ênfase6 7 4" xfId="4358" xr:uid="{00000000-0005-0000-0000-000071100000}"/>
    <cellStyle name="20% - Ênfase6 7 4 2" xfId="4359" xr:uid="{00000000-0005-0000-0000-000072100000}"/>
    <cellStyle name="20% - Ênfase6 7 4 2 2" xfId="4360" xr:uid="{00000000-0005-0000-0000-000073100000}"/>
    <cellStyle name="20% - Ênfase6 7 4 3" xfId="4361" xr:uid="{00000000-0005-0000-0000-000074100000}"/>
    <cellStyle name="20% - Ênfase6 7 4 3 2" xfId="4362" xr:uid="{00000000-0005-0000-0000-000075100000}"/>
    <cellStyle name="20% - Ênfase6 7 4 4" xfId="4363" xr:uid="{00000000-0005-0000-0000-000076100000}"/>
    <cellStyle name="20% - Ênfase6 7 4 4 2" xfId="4364" xr:uid="{00000000-0005-0000-0000-000077100000}"/>
    <cellStyle name="20% - Ênfase6 7 4 5" xfId="4365" xr:uid="{00000000-0005-0000-0000-000078100000}"/>
    <cellStyle name="20% - Ênfase6 7 4 5 2" xfId="4366" xr:uid="{00000000-0005-0000-0000-000079100000}"/>
    <cellStyle name="20% - Ênfase6 7 4 6" xfId="4367" xr:uid="{00000000-0005-0000-0000-00007A100000}"/>
    <cellStyle name="20% - Ênfase6 7 5" xfId="4368" xr:uid="{00000000-0005-0000-0000-00007B100000}"/>
    <cellStyle name="20% - Ênfase6 7 5 2" xfId="4369" xr:uid="{00000000-0005-0000-0000-00007C100000}"/>
    <cellStyle name="20% - Ênfase6 7 6" xfId="4370" xr:uid="{00000000-0005-0000-0000-00007D100000}"/>
    <cellStyle name="20% - Ênfase6 7 6 2" xfId="4371" xr:uid="{00000000-0005-0000-0000-00007E100000}"/>
    <cellStyle name="20% - Ênfase6 7 7" xfId="4372" xr:uid="{00000000-0005-0000-0000-00007F100000}"/>
    <cellStyle name="20% - Ênfase6 7 7 2" xfId="4373" xr:uid="{00000000-0005-0000-0000-000080100000}"/>
    <cellStyle name="20% - Ênfase6 7 8" xfId="4374" xr:uid="{00000000-0005-0000-0000-000081100000}"/>
    <cellStyle name="20% - Ênfase6 7 8 2" xfId="4375" xr:uid="{00000000-0005-0000-0000-000082100000}"/>
    <cellStyle name="20% - Ênfase6 7 9" xfId="4376" xr:uid="{00000000-0005-0000-0000-000083100000}"/>
    <cellStyle name="20% - Ênfase6 7 9 2" xfId="4377" xr:uid="{00000000-0005-0000-0000-000084100000}"/>
    <cellStyle name="20% - Ênfase6 8" xfId="4378" xr:uid="{00000000-0005-0000-0000-000085100000}"/>
    <cellStyle name="20% - Ênfase6 8 10" xfId="4379" xr:uid="{00000000-0005-0000-0000-000086100000}"/>
    <cellStyle name="20% - Ênfase6 8 10 2" xfId="4380" xr:uid="{00000000-0005-0000-0000-000087100000}"/>
    <cellStyle name="20% - Ênfase6 8 2" xfId="4381" xr:uid="{00000000-0005-0000-0000-000088100000}"/>
    <cellStyle name="20% - Ênfase6 8 2 2" xfId="4382" xr:uid="{00000000-0005-0000-0000-000089100000}"/>
    <cellStyle name="20% - Ênfase6 8 2 2 2" xfId="25383" xr:uid="{00000000-0005-0000-0000-00008A100000}"/>
    <cellStyle name="20% - Ênfase6 8 2 2 2 2" xfId="26593" xr:uid="{00000000-0005-0000-0000-00008B100000}"/>
    <cellStyle name="20% - Ênfase6 8 2 2 3" xfId="26592" xr:uid="{00000000-0005-0000-0000-00008C100000}"/>
    <cellStyle name="20% - Ênfase6 8 2 3" xfId="25384" xr:uid="{00000000-0005-0000-0000-00008D100000}"/>
    <cellStyle name="20% - Ênfase6 8 2 3 2" xfId="26594" xr:uid="{00000000-0005-0000-0000-00008E100000}"/>
    <cellStyle name="20% - Ênfase6 8 2 4" xfId="26591" xr:uid="{00000000-0005-0000-0000-00008F100000}"/>
    <cellStyle name="20% - Ênfase6 8 3" xfId="4383" xr:uid="{00000000-0005-0000-0000-000090100000}"/>
    <cellStyle name="20% - Ênfase6 8 3 2" xfId="4384" xr:uid="{00000000-0005-0000-0000-000091100000}"/>
    <cellStyle name="20% - Ênfase6 8 3 2 2" xfId="26596" xr:uid="{00000000-0005-0000-0000-000092100000}"/>
    <cellStyle name="20% - Ênfase6 8 3 3" xfId="26595" xr:uid="{00000000-0005-0000-0000-000093100000}"/>
    <cellStyle name="20% - Ênfase6 8 4" xfId="4385" xr:uid="{00000000-0005-0000-0000-000094100000}"/>
    <cellStyle name="20% - Ênfase6 8 4 2" xfId="4386" xr:uid="{00000000-0005-0000-0000-000095100000}"/>
    <cellStyle name="20% - Ênfase6 8 5" xfId="4387" xr:uid="{00000000-0005-0000-0000-000096100000}"/>
    <cellStyle name="20% - Ênfase6 8 5 2" xfId="4388" xr:uid="{00000000-0005-0000-0000-000097100000}"/>
    <cellStyle name="20% - Ênfase6 8 6" xfId="4389" xr:uid="{00000000-0005-0000-0000-000098100000}"/>
    <cellStyle name="20% - Ênfase6 8 6 2" xfId="4390" xr:uid="{00000000-0005-0000-0000-000099100000}"/>
    <cellStyle name="20% - Ênfase6 8 7" xfId="4391" xr:uid="{00000000-0005-0000-0000-00009A100000}"/>
    <cellStyle name="20% - Ênfase6 8 7 2" xfId="4392" xr:uid="{00000000-0005-0000-0000-00009B100000}"/>
    <cellStyle name="20% - Ênfase6 8 8" xfId="4393" xr:uid="{00000000-0005-0000-0000-00009C100000}"/>
    <cellStyle name="20% - Ênfase6 8 8 2" xfId="4394" xr:uid="{00000000-0005-0000-0000-00009D100000}"/>
    <cellStyle name="20% - Ênfase6 8 9" xfId="4395" xr:uid="{00000000-0005-0000-0000-00009E100000}"/>
    <cellStyle name="20% - Ênfase6 8 9 2" xfId="4396" xr:uid="{00000000-0005-0000-0000-00009F100000}"/>
    <cellStyle name="20% - Ênfase6 9" xfId="4397" xr:uid="{00000000-0005-0000-0000-0000A0100000}"/>
    <cellStyle name="20% - Ênfase6 9 10" xfId="4398" xr:uid="{00000000-0005-0000-0000-0000A1100000}"/>
    <cellStyle name="20% - Ênfase6 9 10 2" xfId="4399" xr:uid="{00000000-0005-0000-0000-0000A2100000}"/>
    <cellStyle name="20% - Ênfase6 9 11" xfId="4400" xr:uid="{00000000-0005-0000-0000-0000A3100000}"/>
    <cellStyle name="20% - Ênfase6 9 12" xfId="4401" xr:uid="{00000000-0005-0000-0000-0000A4100000}"/>
    <cellStyle name="20% - Ênfase6 9 2" xfId="4402" xr:uid="{00000000-0005-0000-0000-0000A5100000}"/>
    <cellStyle name="20% - Ênfase6 9 2 2" xfId="4403" xr:uid="{00000000-0005-0000-0000-0000A6100000}"/>
    <cellStyle name="20% - Ênfase6 9 2 2 2" xfId="26598" xr:uid="{00000000-0005-0000-0000-0000A7100000}"/>
    <cellStyle name="20% - Ênfase6 9 2 3" xfId="26597" xr:uid="{00000000-0005-0000-0000-0000A8100000}"/>
    <cellStyle name="20% - Ênfase6 9 3" xfId="4404" xr:uid="{00000000-0005-0000-0000-0000A9100000}"/>
    <cellStyle name="20% - Ênfase6 9 3 2" xfId="4405" xr:uid="{00000000-0005-0000-0000-0000AA100000}"/>
    <cellStyle name="20% - Ênfase6 9 4" xfId="4406" xr:uid="{00000000-0005-0000-0000-0000AB100000}"/>
    <cellStyle name="20% - Ênfase6 9 4 2" xfId="4407" xr:uid="{00000000-0005-0000-0000-0000AC100000}"/>
    <cellStyle name="20% - Ênfase6 9 5" xfId="4408" xr:uid="{00000000-0005-0000-0000-0000AD100000}"/>
    <cellStyle name="20% - Ênfase6 9 5 2" xfId="4409" xr:uid="{00000000-0005-0000-0000-0000AE100000}"/>
    <cellStyle name="20% - Ênfase6 9 6" xfId="4410" xr:uid="{00000000-0005-0000-0000-0000AF100000}"/>
    <cellStyle name="20% - Ênfase6 9 6 2" xfId="4411" xr:uid="{00000000-0005-0000-0000-0000B0100000}"/>
    <cellStyle name="20% - Ênfase6 9 7" xfId="4412" xr:uid="{00000000-0005-0000-0000-0000B1100000}"/>
    <cellStyle name="20% - Ênfase6 9 7 2" xfId="4413" xr:uid="{00000000-0005-0000-0000-0000B2100000}"/>
    <cellStyle name="20% - Ênfase6 9 8" xfId="4414" xr:uid="{00000000-0005-0000-0000-0000B3100000}"/>
    <cellStyle name="20% - Ênfase6 9 8 2" xfId="4415" xr:uid="{00000000-0005-0000-0000-0000B4100000}"/>
    <cellStyle name="20% - Ênfase6 9 9" xfId="4416" xr:uid="{00000000-0005-0000-0000-0000B5100000}"/>
    <cellStyle name="20% - Ênfase6 9 9 2" xfId="4417" xr:uid="{00000000-0005-0000-0000-0000B6100000}"/>
    <cellStyle name="20% - Énfasis1" xfId="4418" xr:uid="{00000000-0005-0000-0000-0000B7100000}"/>
    <cellStyle name="20% - Énfasis2" xfId="4419" xr:uid="{00000000-0005-0000-0000-0000B8100000}"/>
    <cellStyle name="20% - Énfasis3" xfId="4420" xr:uid="{00000000-0005-0000-0000-0000B9100000}"/>
    <cellStyle name="20% - Énfasis4" xfId="4421" xr:uid="{00000000-0005-0000-0000-0000BA100000}"/>
    <cellStyle name="20% - Énfasis5" xfId="4422" xr:uid="{00000000-0005-0000-0000-0000BB100000}"/>
    <cellStyle name="20% - Énfasis6" xfId="4423" xr:uid="{00000000-0005-0000-0000-0000BC100000}"/>
    <cellStyle name="3988,43" xfId="4424" xr:uid="{00000000-0005-0000-0000-0000BD100000}"/>
    <cellStyle name="40% - Accent1" xfId="21" xr:uid="{00000000-0005-0000-0000-0000BE100000}"/>
    <cellStyle name="40% - Accent1 2" xfId="4426" xr:uid="{00000000-0005-0000-0000-0000BF100000}"/>
    <cellStyle name="40% - Accent1 2 2" xfId="25386" xr:uid="{00000000-0005-0000-0000-0000C0100000}"/>
    <cellStyle name="40% - Accent1 2 2 2" xfId="26601" xr:uid="{00000000-0005-0000-0000-0000C1100000}"/>
    <cellStyle name="40% - Accent1 2 3" xfId="26600" xr:uid="{00000000-0005-0000-0000-0000C2100000}"/>
    <cellStyle name="40% - Accent1 2 4" xfId="25385" xr:uid="{00000000-0005-0000-0000-0000C3100000}"/>
    <cellStyle name="40% - Accent1 3" xfId="4427" xr:uid="{00000000-0005-0000-0000-0000C4100000}"/>
    <cellStyle name="40% - Accent1 3 2" xfId="26602" xr:uid="{00000000-0005-0000-0000-0000C5100000}"/>
    <cellStyle name="40% - Accent1 4" xfId="4425" xr:uid="{00000000-0005-0000-0000-0000C6100000}"/>
    <cellStyle name="40% - Accent1 4 2" xfId="26599" xr:uid="{00000000-0005-0000-0000-0000C7100000}"/>
    <cellStyle name="40% - Accent2" xfId="22" xr:uid="{00000000-0005-0000-0000-0000C8100000}"/>
    <cellStyle name="40% - Accent2 2" xfId="4429" xr:uid="{00000000-0005-0000-0000-0000C9100000}"/>
    <cellStyle name="40% - Accent2 2 2" xfId="25388" xr:uid="{00000000-0005-0000-0000-0000CA100000}"/>
    <cellStyle name="40% - Accent2 2 2 2" xfId="26605" xr:uid="{00000000-0005-0000-0000-0000CB100000}"/>
    <cellStyle name="40% - Accent2 2 3" xfId="26604" xr:uid="{00000000-0005-0000-0000-0000CC100000}"/>
    <cellStyle name="40% - Accent2 2 4" xfId="25387" xr:uid="{00000000-0005-0000-0000-0000CD100000}"/>
    <cellStyle name="40% - Accent2 3" xfId="4430" xr:uid="{00000000-0005-0000-0000-0000CE100000}"/>
    <cellStyle name="40% - Accent2 3 2" xfId="26606" xr:uid="{00000000-0005-0000-0000-0000CF100000}"/>
    <cellStyle name="40% - Accent2 4" xfId="4428" xr:uid="{00000000-0005-0000-0000-0000D0100000}"/>
    <cellStyle name="40% - Accent2 4 2" xfId="26603" xr:uid="{00000000-0005-0000-0000-0000D1100000}"/>
    <cellStyle name="40% - Accent3" xfId="23" xr:uid="{00000000-0005-0000-0000-0000D2100000}"/>
    <cellStyle name="40% - Accent3 2" xfId="4432" xr:uid="{00000000-0005-0000-0000-0000D3100000}"/>
    <cellStyle name="40% - Accent3 2 2" xfId="25390" xr:uid="{00000000-0005-0000-0000-0000D4100000}"/>
    <cellStyle name="40% - Accent3 2 2 2" xfId="26609" xr:uid="{00000000-0005-0000-0000-0000D5100000}"/>
    <cellStyle name="40% - Accent3 2 3" xfId="26608" xr:uid="{00000000-0005-0000-0000-0000D6100000}"/>
    <cellStyle name="40% - Accent3 2 4" xfId="25389" xr:uid="{00000000-0005-0000-0000-0000D7100000}"/>
    <cellStyle name="40% - Accent3 3" xfId="4433" xr:uid="{00000000-0005-0000-0000-0000D8100000}"/>
    <cellStyle name="40% - Accent3 3 2" xfId="26610" xr:uid="{00000000-0005-0000-0000-0000D9100000}"/>
    <cellStyle name="40% - Accent3 4" xfId="4431" xr:uid="{00000000-0005-0000-0000-0000DA100000}"/>
    <cellStyle name="40% - Accent3 4 2" xfId="26607" xr:uid="{00000000-0005-0000-0000-0000DB100000}"/>
    <cellStyle name="40% - Accent4" xfId="24" xr:uid="{00000000-0005-0000-0000-0000DC100000}"/>
    <cellStyle name="40% - Accent4 2" xfId="4435" xr:uid="{00000000-0005-0000-0000-0000DD100000}"/>
    <cellStyle name="40% - Accent4 2 2" xfId="25392" xr:uid="{00000000-0005-0000-0000-0000DE100000}"/>
    <cellStyle name="40% - Accent4 2 2 2" xfId="26613" xr:uid="{00000000-0005-0000-0000-0000DF100000}"/>
    <cellStyle name="40% - Accent4 2 3" xfId="26612" xr:uid="{00000000-0005-0000-0000-0000E0100000}"/>
    <cellStyle name="40% - Accent4 2 4" xfId="25391" xr:uid="{00000000-0005-0000-0000-0000E1100000}"/>
    <cellStyle name="40% - Accent4 3" xfId="4436" xr:uid="{00000000-0005-0000-0000-0000E2100000}"/>
    <cellStyle name="40% - Accent4 3 2" xfId="26614" xr:uid="{00000000-0005-0000-0000-0000E3100000}"/>
    <cellStyle name="40% - Accent4 4" xfId="4434" xr:uid="{00000000-0005-0000-0000-0000E4100000}"/>
    <cellStyle name="40% - Accent4 4 2" xfId="26611" xr:uid="{00000000-0005-0000-0000-0000E5100000}"/>
    <cellStyle name="40% - Accent5" xfId="25" xr:uid="{00000000-0005-0000-0000-0000E6100000}"/>
    <cellStyle name="40% - Accent5 2" xfId="4438" xr:uid="{00000000-0005-0000-0000-0000E7100000}"/>
    <cellStyle name="40% - Accent5 2 2" xfId="25394" xr:uid="{00000000-0005-0000-0000-0000E8100000}"/>
    <cellStyle name="40% - Accent5 2 2 2" xfId="26617" xr:uid="{00000000-0005-0000-0000-0000E9100000}"/>
    <cellStyle name="40% - Accent5 2 3" xfId="26616" xr:uid="{00000000-0005-0000-0000-0000EA100000}"/>
    <cellStyle name="40% - Accent5 2 4" xfId="25393" xr:uid="{00000000-0005-0000-0000-0000EB100000}"/>
    <cellStyle name="40% - Accent5 3" xfId="4439" xr:uid="{00000000-0005-0000-0000-0000EC100000}"/>
    <cellStyle name="40% - Accent5 3 2" xfId="26618" xr:uid="{00000000-0005-0000-0000-0000ED100000}"/>
    <cellStyle name="40% - Accent5 4" xfId="4437" xr:uid="{00000000-0005-0000-0000-0000EE100000}"/>
    <cellStyle name="40% - Accent5 4 2" xfId="26615" xr:uid="{00000000-0005-0000-0000-0000EF100000}"/>
    <cellStyle name="40% - Accent6" xfId="26" xr:uid="{00000000-0005-0000-0000-0000F0100000}"/>
    <cellStyle name="40% - Accent6 2" xfId="4441" xr:uid="{00000000-0005-0000-0000-0000F1100000}"/>
    <cellStyle name="40% - Accent6 2 2" xfId="25396" xr:uid="{00000000-0005-0000-0000-0000F2100000}"/>
    <cellStyle name="40% - Accent6 2 2 2" xfId="26621" xr:uid="{00000000-0005-0000-0000-0000F3100000}"/>
    <cellStyle name="40% - Accent6 2 3" xfId="26620" xr:uid="{00000000-0005-0000-0000-0000F4100000}"/>
    <cellStyle name="40% - Accent6 2 4" xfId="25395" xr:uid="{00000000-0005-0000-0000-0000F5100000}"/>
    <cellStyle name="40% - Accent6 3" xfId="4442" xr:uid="{00000000-0005-0000-0000-0000F6100000}"/>
    <cellStyle name="40% - Accent6 3 2" xfId="26622" xr:uid="{00000000-0005-0000-0000-0000F7100000}"/>
    <cellStyle name="40% - Accent6 4" xfId="4440" xr:uid="{00000000-0005-0000-0000-0000F8100000}"/>
    <cellStyle name="40% - Accent6 4 2" xfId="26619" xr:uid="{00000000-0005-0000-0000-0000F9100000}"/>
    <cellStyle name="40% - Cor1" xfId="27" xr:uid="{00000000-0005-0000-0000-0000FA100000}"/>
    <cellStyle name="40% - Cor1 2" xfId="26623" xr:uid="{00000000-0005-0000-0000-0000FB100000}"/>
    <cellStyle name="40% - Cor2" xfId="28" xr:uid="{00000000-0005-0000-0000-0000FC100000}"/>
    <cellStyle name="40% - Cor2 2" xfId="26624" xr:uid="{00000000-0005-0000-0000-0000FD100000}"/>
    <cellStyle name="40% - Cor3" xfId="29" xr:uid="{00000000-0005-0000-0000-0000FE100000}"/>
    <cellStyle name="40% - Cor3 2" xfId="26625" xr:uid="{00000000-0005-0000-0000-0000FF100000}"/>
    <cellStyle name="40% - Cor4" xfId="30" xr:uid="{00000000-0005-0000-0000-000000110000}"/>
    <cellStyle name="40% - Cor4 2" xfId="26626" xr:uid="{00000000-0005-0000-0000-000001110000}"/>
    <cellStyle name="40% - Cor5" xfId="31" xr:uid="{00000000-0005-0000-0000-000002110000}"/>
    <cellStyle name="40% - Cor5 2" xfId="26627" xr:uid="{00000000-0005-0000-0000-000003110000}"/>
    <cellStyle name="40% - Cor6" xfId="32" xr:uid="{00000000-0005-0000-0000-000004110000}"/>
    <cellStyle name="40% - Cor6 2" xfId="26628" xr:uid="{00000000-0005-0000-0000-000005110000}"/>
    <cellStyle name="40% - Ênfase1" xfId="33" builtinId="31" customBuiltin="1"/>
    <cellStyle name="40% - Ênfase1 10" xfId="4443" xr:uid="{00000000-0005-0000-0000-000007110000}"/>
    <cellStyle name="40% - Ênfase1 10 2" xfId="4444" xr:uid="{00000000-0005-0000-0000-000008110000}"/>
    <cellStyle name="40% - Ênfase1 10 2 2" xfId="4445" xr:uid="{00000000-0005-0000-0000-000009110000}"/>
    <cellStyle name="40% - Ênfase1 10 2 2 2" xfId="26630" xr:uid="{00000000-0005-0000-0000-00000A110000}"/>
    <cellStyle name="40% - Ênfase1 10 2 3" xfId="26629" xr:uid="{00000000-0005-0000-0000-00000B110000}"/>
    <cellStyle name="40% - Ênfase1 10 3" xfId="4446" xr:uid="{00000000-0005-0000-0000-00000C110000}"/>
    <cellStyle name="40% - Ênfase1 10 3 2" xfId="4447" xr:uid="{00000000-0005-0000-0000-00000D110000}"/>
    <cellStyle name="40% - Ênfase1 10 4" xfId="4448" xr:uid="{00000000-0005-0000-0000-00000E110000}"/>
    <cellStyle name="40% - Ênfase1 10 4 2" xfId="4449" xr:uid="{00000000-0005-0000-0000-00000F110000}"/>
    <cellStyle name="40% - Ênfase1 10 5" xfId="4450" xr:uid="{00000000-0005-0000-0000-000010110000}"/>
    <cellStyle name="40% - Ênfase1 10 5 2" xfId="4451" xr:uid="{00000000-0005-0000-0000-000011110000}"/>
    <cellStyle name="40% - Ênfase1 10 6" xfId="4452" xr:uid="{00000000-0005-0000-0000-000012110000}"/>
    <cellStyle name="40% - Ênfase1 11" xfId="4453" xr:uid="{00000000-0005-0000-0000-000013110000}"/>
    <cellStyle name="40% - Ênfase1 11 2" xfId="4454" xr:uid="{00000000-0005-0000-0000-000014110000}"/>
    <cellStyle name="40% - Ênfase1 11 2 2" xfId="4455" xr:uid="{00000000-0005-0000-0000-000015110000}"/>
    <cellStyle name="40% - Ênfase1 11 2 3" xfId="26631" xr:uid="{00000000-0005-0000-0000-000016110000}"/>
    <cellStyle name="40% - Ênfase1 11 3" xfId="4456" xr:uid="{00000000-0005-0000-0000-000017110000}"/>
    <cellStyle name="40% - Ênfase1 11 3 2" xfId="4457" xr:uid="{00000000-0005-0000-0000-000018110000}"/>
    <cellStyle name="40% - Ênfase1 11 4" xfId="4458" xr:uid="{00000000-0005-0000-0000-000019110000}"/>
    <cellStyle name="40% - Ênfase1 11 4 2" xfId="4459" xr:uid="{00000000-0005-0000-0000-00001A110000}"/>
    <cellStyle name="40% - Ênfase1 11 5" xfId="4460" xr:uid="{00000000-0005-0000-0000-00001B110000}"/>
    <cellStyle name="40% - Ênfase1 11 5 2" xfId="4461" xr:uid="{00000000-0005-0000-0000-00001C110000}"/>
    <cellStyle name="40% - Ênfase1 11 6" xfId="4462" xr:uid="{00000000-0005-0000-0000-00001D110000}"/>
    <cellStyle name="40% - Ênfase1 11 7" xfId="25397" xr:uid="{00000000-0005-0000-0000-00001E110000}"/>
    <cellStyle name="40% - Ênfase1 12" xfId="4463" xr:uid="{00000000-0005-0000-0000-00001F110000}"/>
    <cellStyle name="40% - Ênfase1 12 2" xfId="4464" xr:uid="{00000000-0005-0000-0000-000020110000}"/>
    <cellStyle name="40% - Ênfase1 12 2 2" xfId="4465" xr:uid="{00000000-0005-0000-0000-000021110000}"/>
    <cellStyle name="40% - Ênfase1 12 2 2 2" xfId="26633" xr:uid="{00000000-0005-0000-0000-000022110000}"/>
    <cellStyle name="40% - Ênfase1 12 2 3" xfId="26632" xr:uid="{00000000-0005-0000-0000-000023110000}"/>
    <cellStyle name="40% - Ênfase1 12 3" xfId="4466" xr:uid="{00000000-0005-0000-0000-000024110000}"/>
    <cellStyle name="40% - Ênfase1 12 3 2" xfId="4467" xr:uid="{00000000-0005-0000-0000-000025110000}"/>
    <cellStyle name="40% - Ênfase1 12 4" xfId="4468" xr:uid="{00000000-0005-0000-0000-000026110000}"/>
    <cellStyle name="40% - Ênfase1 12 4 2" xfId="4469" xr:uid="{00000000-0005-0000-0000-000027110000}"/>
    <cellStyle name="40% - Ênfase1 12 5" xfId="4470" xr:uid="{00000000-0005-0000-0000-000028110000}"/>
    <cellStyle name="40% - Ênfase1 12 5 2" xfId="4471" xr:uid="{00000000-0005-0000-0000-000029110000}"/>
    <cellStyle name="40% - Ênfase1 12 6" xfId="4472" xr:uid="{00000000-0005-0000-0000-00002A110000}"/>
    <cellStyle name="40% - Ênfase1 13" xfId="4473" xr:uid="{00000000-0005-0000-0000-00002B110000}"/>
    <cellStyle name="40% - Ênfase1 13 2" xfId="4474" xr:uid="{00000000-0005-0000-0000-00002C110000}"/>
    <cellStyle name="40% - Ênfase1 14" xfId="4475" xr:uid="{00000000-0005-0000-0000-00002D110000}"/>
    <cellStyle name="40% - Ênfase1 14 2" xfId="4476" xr:uid="{00000000-0005-0000-0000-00002E110000}"/>
    <cellStyle name="40% - Ênfase1 15" xfId="4477" xr:uid="{00000000-0005-0000-0000-00002F110000}"/>
    <cellStyle name="40% - Ênfase1 15 2" xfId="4478" xr:uid="{00000000-0005-0000-0000-000030110000}"/>
    <cellStyle name="40% - Ênfase1 16" xfId="4479" xr:uid="{00000000-0005-0000-0000-000031110000}"/>
    <cellStyle name="40% - Ênfase1 16 2" xfId="4480" xr:uid="{00000000-0005-0000-0000-000032110000}"/>
    <cellStyle name="40% - Ênfase1 17" xfId="4481" xr:uid="{00000000-0005-0000-0000-000033110000}"/>
    <cellStyle name="40% - Ênfase1 17 2" xfId="4482" xr:uid="{00000000-0005-0000-0000-000034110000}"/>
    <cellStyle name="40% - Ênfase1 18" xfId="4483" xr:uid="{00000000-0005-0000-0000-000035110000}"/>
    <cellStyle name="40% - Ênfase1 18 2" xfId="4484" xr:uid="{00000000-0005-0000-0000-000036110000}"/>
    <cellStyle name="40% - Ênfase1 19" xfId="4485" xr:uid="{00000000-0005-0000-0000-000037110000}"/>
    <cellStyle name="40% - Ênfase1 19 2" xfId="4486" xr:uid="{00000000-0005-0000-0000-000038110000}"/>
    <cellStyle name="40% - Ênfase1 2" xfId="4487" xr:uid="{00000000-0005-0000-0000-000039110000}"/>
    <cellStyle name="40% - Ênfase1 2 2" xfId="4488" xr:uid="{00000000-0005-0000-0000-00003A110000}"/>
    <cellStyle name="40% - Ênfase1 2 2 10" xfId="4489" xr:uid="{00000000-0005-0000-0000-00003B110000}"/>
    <cellStyle name="40% - Ênfase1 2 2 10 2" xfId="4490" xr:uid="{00000000-0005-0000-0000-00003C110000}"/>
    <cellStyle name="40% - Ênfase1 2 2 11" xfId="4491" xr:uid="{00000000-0005-0000-0000-00003D110000}"/>
    <cellStyle name="40% - Ênfase1 2 2 11 2" xfId="4492" xr:uid="{00000000-0005-0000-0000-00003E110000}"/>
    <cellStyle name="40% - Ênfase1 2 2 12" xfId="4493" xr:uid="{00000000-0005-0000-0000-00003F110000}"/>
    <cellStyle name="40% - Ênfase1 2 2 12 2" xfId="4494" xr:uid="{00000000-0005-0000-0000-000040110000}"/>
    <cellStyle name="40% - Ênfase1 2 2 13" xfId="25398" xr:uid="{00000000-0005-0000-0000-000041110000}"/>
    <cellStyle name="40% - Ênfase1 2 2 2" xfId="4495" xr:uid="{00000000-0005-0000-0000-000042110000}"/>
    <cellStyle name="40% - Ênfase1 2 2 2 10" xfId="4496" xr:uid="{00000000-0005-0000-0000-000043110000}"/>
    <cellStyle name="40% - Ênfase1 2 2 2 11" xfId="4497" xr:uid="{00000000-0005-0000-0000-000044110000}"/>
    <cellStyle name="40% - Ênfase1 2 2 2 2" xfId="4498" xr:uid="{00000000-0005-0000-0000-000045110000}"/>
    <cellStyle name="40% - Ênfase1 2 2 2 2 2" xfId="25400" xr:uid="{00000000-0005-0000-0000-000046110000}"/>
    <cellStyle name="40% - Ênfase1 2 2 2 2 2 2" xfId="26638" xr:uid="{00000000-0005-0000-0000-000047110000}"/>
    <cellStyle name="40% - Ênfase1 2 2 2 2 3" xfId="26637" xr:uid="{00000000-0005-0000-0000-000048110000}"/>
    <cellStyle name="40% - Ênfase1 2 2 2 2 4" xfId="25399" xr:uid="{00000000-0005-0000-0000-000049110000}"/>
    <cellStyle name="40% - Ênfase1 2 2 2 3" xfId="4499" xr:uid="{00000000-0005-0000-0000-00004A110000}"/>
    <cellStyle name="40% - Ênfase1 2 2 2 3 2" xfId="26639" xr:uid="{00000000-0005-0000-0000-00004B110000}"/>
    <cellStyle name="40% - Ênfase1 2 2 2 3 3" xfId="25401" xr:uid="{00000000-0005-0000-0000-00004C110000}"/>
    <cellStyle name="40% - Ênfase1 2 2 2 4" xfId="4500" xr:uid="{00000000-0005-0000-0000-00004D110000}"/>
    <cellStyle name="40% - Ênfase1 2 2 2 4 2" xfId="26636" xr:uid="{00000000-0005-0000-0000-00004E110000}"/>
    <cellStyle name="40% - Ênfase1 2 2 2 5" xfId="4501" xr:uid="{00000000-0005-0000-0000-00004F110000}"/>
    <cellStyle name="40% - Ênfase1 2 2 2 6" xfId="4502" xr:uid="{00000000-0005-0000-0000-000050110000}"/>
    <cellStyle name="40% - Ênfase1 2 2 2 7" xfId="4503" xr:uid="{00000000-0005-0000-0000-000051110000}"/>
    <cellStyle name="40% - Ênfase1 2 2 2 8" xfId="4504" xr:uid="{00000000-0005-0000-0000-000052110000}"/>
    <cellStyle name="40% - Ênfase1 2 2 2 9" xfId="4505" xr:uid="{00000000-0005-0000-0000-000053110000}"/>
    <cellStyle name="40% - Ênfase1 2 2 3" xfId="4506" xr:uid="{00000000-0005-0000-0000-000054110000}"/>
    <cellStyle name="40% - Ênfase1 2 2 3 2" xfId="25403" xr:uid="{00000000-0005-0000-0000-000055110000}"/>
    <cellStyle name="40% - Ênfase1 2 2 3 2 2" xfId="25404" xr:uid="{00000000-0005-0000-0000-000056110000}"/>
    <cellStyle name="40% - Ênfase1 2 2 3 2 2 2" xfId="26642" xr:uid="{00000000-0005-0000-0000-000057110000}"/>
    <cellStyle name="40% - Ênfase1 2 2 3 2 3" xfId="26641" xr:uid="{00000000-0005-0000-0000-000058110000}"/>
    <cellStyle name="40% - Ênfase1 2 2 3 3" xfId="25405" xr:uid="{00000000-0005-0000-0000-000059110000}"/>
    <cellStyle name="40% - Ênfase1 2 2 3 3 2" xfId="26643" xr:uid="{00000000-0005-0000-0000-00005A110000}"/>
    <cellStyle name="40% - Ênfase1 2 2 3 4" xfId="26640" xr:uid="{00000000-0005-0000-0000-00005B110000}"/>
    <cellStyle name="40% - Ênfase1 2 2 3 5" xfId="25402" xr:uid="{00000000-0005-0000-0000-00005C110000}"/>
    <cellStyle name="40% - Ênfase1 2 2 4" xfId="4507" xr:uid="{00000000-0005-0000-0000-00005D110000}"/>
    <cellStyle name="40% - Ênfase1 2 2 4 2" xfId="26644" xr:uid="{00000000-0005-0000-0000-00005E110000}"/>
    <cellStyle name="40% - Ênfase1 2 2 4 3" xfId="25406" xr:uid="{00000000-0005-0000-0000-00005F110000}"/>
    <cellStyle name="40% - Ênfase1 2 2 5" xfId="4508" xr:uid="{00000000-0005-0000-0000-000060110000}"/>
    <cellStyle name="40% - Ênfase1 2 2 5 2" xfId="4509" xr:uid="{00000000-0005-0000-0000-000061110000}"/>
    <cellStyle name="40% - Ênfase1 2 2 5 3" xfId="26635" xr:uid="{00000000-0005-0000-0000-000062110000}"/>
    <cellStyle name="40% - Ênfase1 2 2 6" xfId="4510" xr:uid="{00000000-0005-0000-0000-000063110000}"/>
    <cellStyle name="40% - Ênfase1 2 2 6 2" xfId="4511" xr:uid="{00000000-0005-0000-0000-000064110000}"/>
    <cellStyle name="40% - Ênfase1 2 2 7" xfId="4512" xr:uid="{00000000-0005-0000-0000-000065110000}"/>
    <cellStyle name="40% - Ênfase1 2 2 7 2" xfId="4513" xr:uid="{00000000-0005-0000-0000-000066110000}"/>
    <cellStyle name="40% - Ênfase1 2 2 8" xfId="4514" xr:uid="{00000000-0005-0000-0000-000067110000}"/>
    <cellStyle name="40% - Ênfase1 2 2 8 2" xfId="4515" xr:uid="{00000000-0005-0000-0000-000068110000}"/>
    <cellStyle name="40% - Ênfase1 2 2 9" xfId="4516" xr:uid="{00000000-0005-0000-0000-000069110000}"/>
    <cellStyle name="40% - Ênfase1 2 2 9 2" xfId="4517" xr:uid="{00000000-0005-0000-0000-00006A110000}"/>
    <cellStyle name="40% - Ênfase1 2 3" xfId="4518" xr:uid="{00000000-0005-0000-0000-00006B110000}"/>
    <cellStyle name="40% - Ênfase1 2 3 2" xfId="25408" xr:uid="{00000000-0005-0000-0000-00006C110000}"/>
    <cellStyle name="40% - Ênfase1 2 3 2 2" xfId="25409" xr:uid="{00000000-0005-0000-0000-00006D110000}"/>
    <cellStyle name="40% - Ênfase1 2 3 2 2 2" xfId="26647" xr:uid="{00000000-0005-0000-0000-00006E110000}"/>
    <cellStyle name="40% - Ênfase1 2 3 2 3" xfId="26646" xr:uid="{00000000-0005-0000-0000-00006F110000}"/>
    <cellStyle name="40% - Ênfase1 2 3 3" xfId="25410" xr:uid="{00000000-0005-0000-0000-000070110000}"/>
    <cellStyle name="40% - Ênfase1 2 3 3 2" xfId="26648" xr:uid="{00000000-0005-0000-0000-000071110000}"/>
    <cellStyle name="40% - Ênfase1 2 3 4" xfId="26645" xr:uid="{00000000-0005-0000-0000-000072110000}"/>
    <cellStyle name="40% - Ênfase1 2 3 5" xfId="25407" xr:uid="{00000000-0005-0000-0000-000073110000}"/>
    <cellStyle name="40% - Ênfase1 2 4" xfId="4519" xr:uid="{00000000-0005-0000-0000-000074110000}"/>
    <cellStyle name="40% - Ênfase1 2 4 2" xfId="25412" xr:uid="{00000000-0005-0000-0000-000075110000}"/>
    <cellStyle name="40% - Ênfase1 2 4 2 2" xfId="25413" xr:uid="{00000000-0005-0000-0000-000076110000}"/>
    <cellStyle name="40% - Ênfase1 2 4 2 2 2" xfId="26651" xr:uid="{00000000-0005-0000-0000-000077110000}"/>
    <cellStyle name="40% - Ênfase1 2 4 2 3" xfId="26650" xr:uid="{00000000-0005-0000-0000-000078110000}"/>
    <cellStyle name="40% - Ênfase1 2 4 3" xfId="25414" xr:uid="{00000000-0005-0000-0000-000079110000}"/>
    <cellStyle name="40% - Ênfase1 2 4 3 2" xfId="26652" xr:uid="{00000000-0005-0000-0000-00007A110000}"/>
    <cellStyle name="40% - Ênfase1 2 4 4" xfId="26649" xr:uid="{00000000-0005-0000-0000-00007B110000}"/>
    <cellStyle name="40% - Ênfase1 2 4 5" xfId="25411" xr:uid="{00000000-0005-0000-0000-00007C110000}"/>
    <cellStyle name="40% - Ênfase1 2 5" xfId="4520" xr:uid="{00000000-0005-0000-0000-00007D110000}"/>
    <cellStyle name="40% - Ênfase1 2 5 10" xfId="4521" xr:uid="{00000000-0005-0000-0000-00007E110000}"/>
    <cellStyle name="40% - Ênfase1 2 5 10 2" xfId="4522" xr:uid="{00000000-0005-0000-0000-00007F110000}"/>
    <cellStyle name="40% - Ênfase1 2 5 2" xfId="4523" xr:uid="{00000000-0005-0000-0000-000080110000}"/>
    <cellStyle name="40% - Ênfase1 2 5 2 2" xfId="4524" xr:uid="{00000000-0005-0000-0000-000081110000}"/>
    <cellStyle name="40% - Ênfase1 2 5 3" xfId="4525" xr:uid="{00000000-0005-0000-0000-000082110000}"/>
    <cellStyle name="40% - Ênfase1 2 5 3 2" xfId="4526" xr:uid="{00000000-0005-0000-0000-000083110000}"/>
    <cellStyle name="40% - Ênfase1 2 5 4" xfId="4527" xr:uid="{00000000-0005-0000-0000-000084110000}"/>
    <cellStyle name="40% - Ênfase1 2 5 4 2" xfId="4528" xr:uid="{00000000-0005-0000-0000-000085110000}"/>
    <cellStyle name="40% - Ênfase1 2 5 5" xfId="4529" xr:uid="{00000000-0005-0000-0000-000086110000}"/>
    <cellStyle name="40% - Ênfase1 2 5 5 2" xfId="4530" xr:uid="{00000000-0005-0000-0000-000087110000}"/>
    <cellStyle name="40% - Ênfase1 2 5 6" xfId="4531" xr:uid="{00000000-0005-0000-0000-000088110000}"/>
    <cellStyle name="40% - Ênfase1 2 5 6 2" xfId="4532" xr:uid="{00000000-0005-0000-0000-000089110000}"/>
    <cellStyle name="40% - Ênfase1 2 5 7" xfId="4533" xr:uid="{00000000-0005-0000-0000-00008A110000}"/>
    <cellStyle name="40% - Ênfase1 2 5 7 2" xfId="4534" xr:uid="{00000000-0005-0000-0000-00008B110000}"/>
    <cellStyle name="40% - Ênfase1 2 5 8" xfId="4535" xr:uid="{00000000-0005-0000-0000-00008C110000}"/>
    <cellStyle name="40% - Ênfase1 2 5 8 2" xfId="4536" xr:uid="{00000000-0005-0000-0000-00008D110000}"/>
    <cellStyle name="40% - Ênfase1 2 5 9" xfId="4537" xr:uid="{00000000-0005-0000-0000-00008E110000}"/>
    <cellStyle name="40% - Ênfase1 2 5 9 2" xfId="4538" xr:uid="{00000000-0005-0000-0000-00008F110000}"/>
    <cellStyle name="40% - Ênfase1 2 6" xfId="4539" xr:uid="{00000000-0005-0000-0000-000090110000}"/>
    <cellStyle name="40% - Ênfase1 2 6 2" xfId="4540" xr:uid="{00000000-0005-0000-0000-000091110000}"/>
    <cellStyle name="40% - Ênfase1 2 6 2 2" xfId="4541" xr:uid="{00000000-0005-0000-0000-000092110000}"/>
    <cellStyle name="40% - Ênfase1 2 6 3" xfId="4542" xr:uid="{00000000-0005-0000-0000-000093110000}"/>
    <cellStyle name="40% - Ênfase1 2 6 3 2" xfId="4543" xr:uid="{00000000-0005-0000-0000-000094110000}"/>
    <cellStyle name="40% - Ênfase1 2 6 4" xfId="4544" xr:uid="{00000000-0005-0000-0000-000095110000}"/>
    <cellStyle name="40% - Ênfase1 2 6 4 2" xfId="4545" xr:uid="{00000000-0005-0000-0000-000096110000}"/>
    <cellStyle name="40% - Ênfase1 2 6 5" xfId="4546" xr:uid="{00000000-0005-0000-0000-000097110000}"/>
    <cellStyle name="40% - Ênfase1 2 6 5 2" xfId="4547" xr:uid="{00000000-0005-0000-0000-000098110000}"/>
    <cellStyle name="40% - Ênfase1 2 6 6" xfId="4548" xr:uid="{00000000-0005-0000-0000-000099110000}"/>
    <cellStyle name="40% - Ênfase1 2 7" xfId="26634" xr:uid="{00000000-0005-0000-0000-00009A110000}"/>
    <cellStyle name="40% - Ênfase1 20" xfId="4549" xr:uid="{00000000-0005-0000-0000-00009B110000}"/>
    <cellStyle name="40% - Ênfase1 20 2" xfId="4550" xr:uid="{00000000-0005-0000-0000-00009C110000}"/>
    <cellStyle name="40% - Ênfase1 21" xfId="4551" xr:uid="{00000000-0005-0000-0000-00009D110000}"/>
    <cellStyle name="40% - Ênfase1 21 2" xfId="4552" xr:uid="{00000000-0005-0000-0000-00009E110000}"/>
    <cellStyle name="40% - Ênfase1 22" xfId="4553" xr:uid="{00000000-0005-0000-0000-00009F110000}"/>
    <cellStyle name="40% - Ênfase1 22 2" xfId="4554" xr:uid="{00000000-0005-0000-0000-0000A0110000}"/>
    <cellStyle name="40% - Ênfase1 23" xfId="4555" xr:uid="{00000000-0005-0000-0000-0000A1110000}"/>
    <cellStyle name="40% - Ênfase1 23 2" xfId="4556" xr:uid="{00000000-0005-0000-0000-0000A2110000}"/>
    <cellStyle name="40% - Ênfase1 24" xfId="4557" xr:uid="{00000000-0005-0000-0000-0000A3110000}"/>
    <cellStyle name="40% - Ênfase1 24 2" xfId="4558" xr:uid="{00000000-0005-0000-0000-0000A4110000}"/>
    <cellStyle name="40% - Ênfase1 25" xfId="4559" xr:uid="{00000000-0005-0000-0000-0000A5110000}"/>
    <cellStyle name="40% - Ênfase1 25 2" xfId="4560" xr:uid="{00000000-0005-0000-0000-0000A6110000}"/>
    <cellStyle name="40% - Ênfase1 26" xfId="4561" xr:uid="{00000000-0005-0000-0000-0000A7110000}"/>
    <cellStyle name="40% - Ênfase1 26 2" xfId="4562" xr:uid="{00000000-0005-0000-0000-0000A8110000}"/>
    <cellStyle name="40% - Ênfase1 27" xfId="4563" xr:uid="{00000000-0005-0000-0000-0000A9110000}"/>
    <cellStyle name="40% - Ênfase1 27 2" xfId="4564" xr:uid="{00000000-0005-0000-0000-0000AA110000}"/>
    <cellStyle name="40% - Ênfase1 28" xfId="4565" xr:uid="{00000000-0005-0000-0000-0000AB110000}"/>
    <cellStyle name="40% - Ênfase1 28 2" xfId="4566" xr:uid="{00000000-0005-0000-0000-0000AC110000}"/>
    <cellStyle name="40% - Ênfase1 29" xfId="4567" xr:uid="{00000000-0005-0000-0000-0000AD110000}"/>
    <cellStyle name="40% - Ênfase1 29 2" xfId="4568" xr:uid="{00000000-0005-0000-0000-0000AE110000}"/>
    <cellStyle name="40% - Ênfase1 3" xfId="4569" xr:uid="{00000000-0005-0000-0000-0000AF110000}"/>
    <cellStyle name="40% - Ênfase1 3 2" xfId="4570" xr:uid="{00000000-0005-0000-0000-0000B0110000}"/>
    <cellStyle name="40% - Ênfase1 3 2 10" xfId="4571" xr:uid="{00000000-0005-0000-0000-0000B1110000}"/>
    <cellStyle name="40% - Ênfase1 3 2 10 2" xfId="4572" xr:uid="{00000000-0005-0000-0000-0000B2110000}"/>
    <cellStyle name="40% - Ênfase1 3 2 11" xfId="4573" xr:uid="{00000000-0005-0000-0000-0000B3110000}"/>
    <cellStyle name="40% - Ênfase1 3 2 11 2" xfId="4574" xr:uid="{00000000-0005-0000-0000-0000B4110000}"/>
    <cellStyle name="40% - Ênfase1 3 2 12" xfId="4575" xr:uid="{00000000-0005-0000-0000-0000B5110000}"/>
    <cellStyle name="40% - Ênfase1 3 2 12 2" xfId="4576" xr:uid="{00000000-0005-0000-0000-0000B6110000}"/>
    <cellStyle name="40% - Ênfase1 3 2 2" xfId="4577" xr:uid="{00000000-0005-0000-0000-0000B7110000}"/>
    <cellStyle name="40% - Ênfase1 3 2 2 10" xfId="4578" xr:uid="{00000000-0005-0000-0000-0000B8110000}"/>
    <cellStyle name="40% - Ênfase1 3 2 2 11" xfId="4579" xr:uid="{00000000-0005-0000-0000-0000B9110000}"/>
    <cellStyle name="40% - Ênfase1 3 2 2 2" xfId="4580" xr:uid="{00000000-0005-0000-0000-0000BA110000}"/>
    <cellStyle name="40% - Ênfase1 3 2 2 2 2" xfId="25416" xr:uid="{00000000-0005-0000-0000-0000BB110000}"/>
    <cellStyle name="40% - Ênfase1 3 2 2 2 2 2" xfId="26656" xr:uid="{00000000-0005-0000-0000-0000BC110000}"/>
    <cellStyle name="40% - Ênfase1 3 2 2 2 3" xfId="26655" xr:uid="{00000000-0005-0000-0000-0000BD110000}"/>
    <cellStyle name="40% - Ênfase1 3 2 2 2 4" xfId="25415" xr:uid="{00000000-0005-0000-0000-0000BE110000}"/>
    <cellStyle name="40% - Ênfase1 3 2 2 3" xfId="4581" xr:uid="{00000000-0005-0000-0000-0000BF110000}"/>
    <cellStyle name="40% - Ênfase1 3 2 2 3 2" xfId="26657" xr:uid="{00000000-0005-0000-0000-0000C0110000}"/>
    <cellStyle name="40% - Ênfase1 3 2 2 3 3" xfId="25417" xr:uid="{00000000-0005-0000-0000-0000C1110000}"/>
    <cellStyle name="40% - Ênfase1 3 2 2 4" xfId="4582" xr:uid="{00000000-0005-0000-0000-0000C2110000}"/>
    <cellStyle name="40% - Ênfase1 3 2 2 4 2" xfId="26654" xr:uid="{00000000-0005-0000-0000-0000C3110000}"/>
    <cellStyle name="40% - Ênfase1 3 2 2 5" xfId="4583" xr:uid="{00000000-0005-0000-0000-0000C4110000}"/>
    <cellStyle name="40% - Ênfase1 3 2 2 6" xfId="4584" xr:uid="{00000000-0005-0000-0000-0000C5110000}"/>
    <cellStyle name="40% - Ênfase1 3 2 2 7" xfId="4585" xr:uid="{00000000-0005-0000-0000-0000C6110000}"/>
    <cellStyle name="40% - Ênfase1 3 2 2 8" xfId="4586" xr:uid="{00000000-0005-0000-0000-0000C7110000}"/>
    <cellStyle name="40% - Ênfase1 3 2 2 9" xfId="4587" xr:uid="{00000000-0005-0000-0000-0000C8110000}"/>
    <cellStyle name="40% - Ênfase1 3 2 3" xfId="4588" xr:uid="{00000000-0005-0000-0000-0000C9110000}"/>
    <cellStyle name="40% - Ênfase1 3 2 3 2" xfId="25419" xr:uid="{00000000-0005-0000-0000-0000CA110000}"/>
    <cellStyle name="40% - Ênfase1 3 2 3 2 2" xfId="26659" xr:uid="{00000000-0005-0000-0000-0000CB110000}"/>
    <cellStyle name="40% - Ênfase1 3 2 3 3" xfId="26658" xr:uid="{00000000-0005-0000-0000-0000CC110000}"/>
    <cellStyle name="40% - Ênfase1 3 2 3 4" xfId="25418" xr:uid="{00000000-0005-0000-0000-0000CD110000}"/>
    <cellStyle name="40% - Ênfase1 3 2 4" xfId="4589" xr:uid="{00000000-0005-0000-0000-0000CE110000}"/>
    <cellStyle name="40% - Ênfase1 3 2 4 2" xfId="26660" xr:uid="{00000000-0005-0000-0000-0000CF110000}"/>
    <cellStyle name="40% - Ênfase1 3 2 4 3" xfId="25420" xr:uid="{00000000-0005-0000-0000-0000D0110000}"/>
    <cellStyle name="40% - Ênfase1 3 2 5" xfId="4590" xr:uid="{00000000-0005-0000-0000-0000D1110000}"/>
    <cellStyle name="40% - Ênfase1 3 2 5 2" xfId="4591" xr:uid="{00000000-0005-0000-0000-0000D2110000}"/>
    <cellStyle name="40% - Ênfase1 3 2 6" xfId="4592" xr:uid="{00000000-0005-0000-0000-0000D3110000}"/>
    <cellStyle name="40% - Ênfase1 3 2 6 2" xfId="4593" xr:uid="{00000000-0005-0000-0000-0000D4110000}"/>
    <cellStyle name="40% - Ênfase1 3 2 7" xfId="4594" xr:uid="{00000000-0005-0000-0000-0000D5110000}"/>
    <cellStyle name="40% - Ênfase1 3 2 7 2" xfId="4595" xr:uid="{00000000-0005-0000-0000-0000D6110000}"/>
    <cellStyle name="40% - Ênfase1 3 2 8" xfId="4596" xr:uid="{00000000-0005-0000-0000-0000D7110000}"/>
    <cellStyle name="40% - Ênfase1 3 2 8 2" xfId="4597" xr:uid="{00000000-0005-0000-0000-0000D8110000}"/>
    <cellStyle name="40% - Ênfase1 3 2 9" xfId="4598" xr:uid="{00000000-0005-0000-0000-0000D9110000}"/>
    <cellStyle name="40% - Ênfase1 3 2 9 2" xfId="4599" xr:uid="{00000000-0005-0000-0000-0000DA110000}"/>
    <cellStyle name="40% - Ênfase1 3 3" xfId="4600" xr:uid="{00000000-0005-0000-0000-0000DB110000}"/>
    <cellStyle name="40% - Ênfase1 3 3 2" xfId="25422" xr:uid="{00000000-0005-0000-0000-0000DC110000}"/>
    <cellStyle name="40% - Ênfase1 3 3 2 2" xfId="25423" xr:uid="{00000000-0005-0000-0000-0000DD110000}"/>
    <cellStyle name="40% - Ênfase1 3 3 2 2 2" xfId="26663" xr:uid="{00000000-0005-0000-0000-0000DE110000}"/>
    <cellStyle name="40% - Ênfase1 3 3 2 3" xfId="26662" xr:uid="{00000000-0005-0000-0000-0000DF110000}"/>
    <cellStyle name="40% - Ênfase1 3 3 3" xfId="25424" xr:uid="{00000000-0005-0000-0000-0000E0110000}"/>
    <cellStyle name="40% - Ênfase1 3 3 3 2" xfId="26664" xr:uid="{00000000-0005-0000-0000-0000E1110000}"/>
    <cellStyle name="40% - Ênfase1 3 3 4" xfId="26661" xr:uid="{00000000-0005-0000-0000-0000E2110000}"/>
    <cellStyle name="40% - Ênfase1 3 3 5" xfId="25421" xr:uid="{00000000-0005-0000-0000-0000E3110000}"/>
    <cellStyle name="40% - Ênfase1 3 4" xfId="4601" xr:uid="{00000000-0005-0000-0000-0000E4110000}"/>
    <cellStyle name="40% - Ênfase1 3 4 2" xfId="26665" xr:uid="{00000000-0005-0000-0000-0000E5110000}"/>
    <cellStyle name="40% - Ênfase1 3 5" xfId="4602" xr:uid="{00000000-0005-0000-0000-0000E6110000}"/>
    <cellStyle name="40% - Ênfase1 3 5 10" xfId="4603" xr:uid="{00000000-0005-0000-0000-0000E7110000}"/>
    <cellStyle name="40% - Ênfase1 3 5 10 2" xfId="4604" xr:uid="{00000000-0005-0000-0000-0000E8110000}"/>
    <cellStyle name="40% - Ênfase1 3 5 2" xfId="4605" xr:uid="{00000000-0005-0000-0000-0000E9110000}"/>
    <cellStyle name="40% - Ênfase1 3 5 2 2" xfId="4606" xr:uid="{00000000-0005-0000-0000-0000EA110000}"/>
    <cellStyle name="40% - Ênfase1 3 5 3" xfId="4607" xr:uid="{00000000-0005-0000-0000-0000EB110000}"/>
    <cellStyle name="40% - Ênfase1 3 5 3 2" xfId="4608" xr:uid="{00000000-0005-0000-0000-0000EC110000}"/>
    <cellStyle name="40% - Ênfase1 3 5 4" xfId="4609" xr:uid="{00000000-0005-0000-0000-0000ED110000}"/>
    <cellStyle name="40% - Ênfase1 3 5 4 2" xfId="4610" xr:uid="{00000000-0005-0000-0000-0000EE110000}"/>
    <cellStyle name="40% - Ênfase1 3 5 5" xfId="4611" xr:uid="{00000000-0005-0000-0000-0000EF110000}"/>
    <cellStyle name="40% - Ênfase1 3 5 5 2" xfId="4612" xr:uid="{00000000-0005-0000-0000-0000F0110000}"/>
    <cellStyle name="40% - Ênfase1 3 5 6" xfId="4613" xr:uid="{00000000-0005-0000-0000-0000F1110000}"/>
    <cellStyle name="40% - Ênfase1 3 5 6 2" xfId="4614" xr:uid="{00000000-0005-0000-0000-0000F2110000}"/>
    <cellStyle name="40% - Ênfase1 3 5 7" xfId="4615" xr:uid="{00000000-0005-0000-0000-0000F3110000}"/>
    <cellStyle name="40% - Ênfase1 3 5 7 2" xfId="4616" xr:uid="{00000000-0005-0000-0000-0000F4110000}"/>
    <cellStyle name="40% - Ênfase1 3 5 8" xfId="4617" xr:uid="{00000000-0005-0000-0000-0000F5110000}"/>
    <cellStyle name="40% - Ênfase1 3 5 8 2" xfId="4618" xr:uid="{00000000-0005-0000-0000-0000F6110000}"/>
    <cellStyle name="40% - Ênfase1 3 5 9" xfId="4619" xr:uid="{00000000-0005-0000-0000-0000F7110000}"/>
    <cellStyle name="40% - Ênfase1 3 5 9 2" xfId="4620" xr:uid="{00000000-0005-0000-0000-0000F8110000}"/>
    <cellStyle name="40% - Ênfase1 3 6" xfId="4621" xr:uid="{00000000-0005-0000-0000-0000F9110000}"/>
    <cellStyle name="40% - Ênfase1 3 6 2" xfId="4622" xr:uid="{00000000-0005-0000-0000-0000FA110000}"/>
    <cellStyle name="40% - Ênfase1 3 6 2 2" xfId="4623" xr:uid="{00000000-0005-0000-0000-0000FB110000}"/>
    <cellStyle name="40% - Ênfase1 3 6 3" xfId="4624" xr:uid="{00000000-0005-0000-0000-0000FC110000}"/>
    <cellStyle name="40% - Ênfase1 3 6 3 2" xfId="4625" xr:uid="{00000000-0005-0000-0000-0000FD110000}"/>
    <cellStyle name="40% - Ênfase1 3 6 4" xfId="4626" xr:uid="{00000000-0005-0000-0000-0000FE110000}"/>
    <cellStyle name="40% - Ênfase1 3 6 4 2" xfId="4627" xr:uid="{00000000-0005-0000-0000-0000FF110000}"/>
    <cellStyle name="40% - Ênfase1 3 6 5" xfId="4628" xr:uid="{00000000-0005-0000-0000-000000120000}"/>
    <cellStyle name="40% - Ênfase1 3 6 5 2" xfId="4629" xr:uid="{00000000-0005-0000-0000-000001120000}"/>
    <cellStyle name="40% - Ênfase1 3 6 6" xfId="4630" xr:uid="{00000000-0005-0000-0000-000002120000}"/>
    <cellStyle name="40% - Ênfase1 3 7" xfId="25425" xr:uid="{00000000-0005-0000-0000-000003120000}"/>
    <cellStyle name="40% - Ênfase1 3 7 2" xfId="26666" xr:uid="{00000000-0005-0000-0000-000004120000}"/>
    <cellStyle name="40% - Ênfase1 3 8" xfId="26653" xr:uid="{00000000-0005-0000-0000-000005120000}"/>
    <cellStyle name="40% - Ênfase1 30" xfId="4631" xr:uid="{00000000-0005-0000-0000-000006120000}"/>
    <cellStyle name="40% - Ênfase1 30 2" xfId="4632" xr:uid="{00000000-0005-0000-0000-000007120000}"/>
    <cellStyle name="40% - Ênfase1 31" xfId="4633" xr:uid="{00000000-0005-0000-0000-000008120000}"/>
    <cellStyle name="40% - Ênfase1 31 2" xfId="4634" xr:uid="{00000000-0005-0000-0000-000009120000}"/>
    <cellStyle name="40% - Ênfase1 32" xfId="4635" xr:uid="{00000000-0005-0000-0000-00000A120000}"/>
    <cellStyle name="40% - Ênfase1 32 2" xfId="4636" xr:uid="{00000000-0005-0000-0000-00000B120000}"/>
    <cellStyle name="40% - Ênfase1 33" xfId="4637" xr:uid="{00000000-0005-0000-0000-00000C120000}"/>
    <cellStyle name="40% - Ênfase1 33 2" xfId="4638" xr:uid="{00000000-0005-0000-0000-00000D120000}"/>
    <cellStyle name="40% - Ênfase1 34" xfId="4639" xr:uid="{00000000-0005-0000-0000-00000E120000}"/>
    <cellStyle name="40% - Ênfase1 34 2" xfId="4640" xr:uid="{00000000-0005-0000-0000-00000F120000}"/>
    <cellStyle name="40% - Ênfase1 35" xfId="4641" xr:uid="{00000000-0005-0000-0000-000010120000}"/>
    <cellStyle name="40% - Ênfase1 35 2" xfId="4642" xr:uid="{00000000-0005-0000-0000-000011120000}"/>
    <cellStyle name="40% - Ênfase1 36" xfId="4643" xr:uid="{00000000-0005-0000-0000-000012120000}"/>
    <cellStyle name="40% - Ênfase1 36 2" xfId="4644" xr:uid="{00000000-0005-0000-0000-000013120000}"/>
    <cellStyle name="40% - Ênfase1 37" xfId="4645" xr:uid="{00000000-0005-0000-0000-000014120000}"/>
    <cellStyle name="40% - Ênfase1 37 2" xfId="4646" xr:uid="{00000000-0005-0000-0000-000015120000}"/>
    <cellStyle name="40% - Ênfase1 38" xfId="4647" xr:uid="{00000000-0005-0000-0000-000016120000}"/>
    <cellStyle name="40% - Ênfase1 38 2" xfId="4648" xr:uid="{00000000-0005-0000-0000-000017120000}"/>
    <cellStyle name="40% - Ênfase1 39" xfId="4649" xr:uid="{00000000-0005-0000-0000-000018120000}"/>
    <cellStyle name="40% - Ênfase1 39 2" xfId="4650" xr:uid="{00000000-0005-0000-0000-000019120000}"/>
    <cellStyle name="40% - Ênfase1 4" xfId="4651" xr:uid="{00000000-0005-0000-0000-00001A120000}"/>
    <cellStyle name="40% - Ênfase1 4 2" xfId="4652" xr:uid="{00000000-0005-0000-0000-00001B120000}"/>
    <cellStyle name="40% - Ênfase1 4 2 10" xfId="4653" xr:uid="{00000000-0005-0000-0000-00001C120000}"/>
    <cellStyle name="40% - Ênfase1 4 2 10 2" xfId="4654" xr:uid="{00000000-0005-0000-0000-00001D120000}"/>
    <cellStyle name="40% - Ênfase1 4 2 11" xfId="4655" xr:uid="{00000000-0005-0000-0000-00001E120000}"/>
    <cellStyle name="40% - Ênfase1 4 2 11 2" xfId="4656" xr:uid="{00000000-0005-0000-0000-00001F120000}"/>
    <cellStyle name="40% - Ênfase1 4 2 12" xfId="4657" xr:uid="{00000000-0005-0000-0000-000020120000}"/>
    <cellStyle name="40% - Ênfase1 4 2 12 2" xfId="4658" xr:uid="{00000000-0005-0000-0000-000021120000}"/>
    <cellStyle name="40% - Ênfase1 4 2 2" xfId="4659" xr:uid="{00000000-0005-0000-0000-000022120000}"/>
    <cellStyle name="40% - Ênfase1 4 2 2 10" xfId="4660" xr:uid="{00000000-0005-0000-0000-000023120000}"/>
    <cellStyle name="40% - Ênfase1 4 2 2 11" xfId="4661" xr:uid="{00000000-0005-0000-0000-000024120000}"/>
    <cellStyle name="40% - Ênfase1 4 2 2 2" xfId="4662" xr:uid="{00000000-0005-0000-0000-000025120000}"/>
    <cellStyle name="40% - Ênfase1 4 2 2 2 2" xfId="25427" xr:uid="{00000000-0005-0000-0000-000026120000}"/>
    <cellStyle name="40% - Ênfase1 4 2 2 2 2 2" xfId="26670" xr:uid="{00000000-0005-0000-0000-000027120000}"/>
    <cellStyle name="40% - Ênfase1 4 2 2 2 3" xfId="26669" xr:uid="{00000000-0005-0000-0000-000028120000}"/>
    <cellStyle name="40% - Ênfase1 4 2 2 2 4" xfId="25426" xr:uid="{00000000-0005-0000-0000-000029120000}"/>
    <cellStyle name="40% - Ênfase1 4 2 2 3" xfId="4663" xr:uid="{00000000-0005-0000-0000-00002A120000}"/>
    <cellStyle name="40% - Ênfase1 4 2 2 3 2" xfId="26671" xr:uid="{00000000-0005-0000-0000-00002B120000}"/>
    <cellStyle name="40% - Ênfase1 4 2 2 3 3" xfId="25428" xr:uid="{00000000-0005-0000-0000-00002C120000}"/>
    <cellStyle name="40% - Ênfase1 4 2 2 4" xfId="4664" xr:uid="{00000000-0005-0000-0000-00002D120000}"/>
    <cellStyle name="40% - Ênfase1 4 2 2 4 2" xfId="26668" xr:uid="{00000000-0005-0000-0000-00002E120000}"/>
    <cellStyle name="40% - Ênfase1 4 2 2 5" xfId="4665" xr:uid="{00000000-0005-0000-0000-00002F120000}"/>
    <cellStyle name="40% - Ênfase1 4 2 2 6" xfId="4666" xr:uid="{00000000-0005-0000-0000-000030120000}"/>
    <cellStyle name="40% - Ênfase1 4 2 2 7" xfId="4667" xr:uid="{00000000-0005-0000-0000-000031120000}"/>
    <cellStyle name="40% - Ênfase1 4 2 2 8" xfId="4668" xr:uid="{00000000-0005-0000-0000-000032120000}"/>
    <cellStyle name="40% - Ênfase1 4 2 2 9" xfId="4669" xr:uid="{00000000-0005-0000-0000-000033120000}"/>
    <cellStyle name="40% - Ênfase1 4 2 3" xfId="4670" xr:uid="{00000000-0005-0000-0000-000034120000}"/>
    <cellStyle name="40% - Ênfase1 4 2 3 2" xfId="25430" xr:uid="{00000000-0005-0000-0000-000035120000}"/>
    <cellStyle name="40% - Ênfase1 4 2 3 2 2" xfId="26673" xr:uid="{00000000-0005-0000-0000-000036120000}"/>
    <cellStyle name="40% - Ênfase1 4 2 3 3" xfId="26672" xr:uid="{00000000-0005-0000-0000-000037120000}"/>
    <cellStyle name="40% - Ênfase1 4 2 3 4" xfId="25429" xr:uid="{00000000-0005-0000-0000-000038120000}"/>
    <cellStyle name="40% - Ênfase1 4 2 4" xfId="4671" xr:uid="{00000000-0005-0000-0000-000039120000}"/>
    <cellStyle name="40% - Ênfase1 4 2 4 2" xfId="26674" xr:uid="{00000000-0005-0000-0000-00003A120000}"/>
    <cellStyle name="40% - Ênfase1 4 2 4 3" xfId="25431" xr:uid="{00000000-0005-0000-0000-00003B120000}"/>
    <cellStyle name="40% - Ênfase1 4 2 5" xfId="4672" xr:uid="{00000000-0005-0000-0000-00003C120000}"/>
    <cellStyle name="40% - Ênfase1 4 2 5 2" xfId="4673" xr:uid="{00000000-0005-0000-0000-00003D120000}"/>
    <cellStyle name="40% - Ênfase1 4 2 6" xfId="4674" xr:uid="{00000000-0005-0000-0000-00003E120000}"/>
    <cellStyle name="40% - Ênfase1 4 2 6 2" xfId="4675" xr:uid="{00000000-0005-0000-0000-00003F120000}"/>
    <cellStyle name="40% - Ênfase1 4 2 7" xfId="4676" xr:uid="{00000000-0005-0000-0000-000040120000}"/>
    <cellStyle name="40% - Ênfase1 4 2 7 2" xfId="4677" xr:uid="{00000000-0005-0000-0000-000041120000}"/>
    <cellStyle name="40% - Ênfase1 4 2 8" xfId="4678" xr:uid="{00000000-0005-0000-0000-000042120000}"/>
    <cellStyle name="40% - Ênfase1 4 2 8 2" xfId="4679" xr:uid="{00000000-0005-0000-0000-000043120000}"/>
    <cellStyle name="40% - Ênfase1 4 2 9" xfId="4680" xr:uid="{00000000-0005-0000-0000-000044120000}"/>
    <cellStyle name="40% - Ênfase1 4 2 9 2" xfId="4681" xr:uid="{00000000-0005-0000-0000-000045120000}"/>
    <cellStyle name="40% - Ênfase1 4 3" xfId="4682" xr:uid="{00000000-0005-0000-0000-000046120000}"/>
    <cellStyle name="40% - Ênfase1 4 3 2" xfId="25433" xr:uid="{00000000-0005-0000-0000-000047120000}"/>
    <cellStyle name="40% - Ênfase1 4 3 2 2" xfId="25434" xr:uid="{00000000-0005-0000-0000-000048120000}"/>
    <cellStyle name="40% - Ênfase1 4 3 2 2 2" xfId="26677" xr:uid="{00000000-0005-0000-0000-000049120000}"/>
    <cellStyle name="40% - Ênfase1 4 3 2 3" xfId="26676" xr:uid="{00000000-0005-0000-0000-00004A120000}"/>
    <cellStyle name="40% - Ênfase1 4 3 3" xfId="25435" xr:uid="{00000000-0005-0000-0000-00004B120000}"/>
    <cellStyle name="40% - Ênfase1 4 3 3 2" xfId="26678" xr:uid="{00000000-0005-0000-0000-00004C120000}"/>
    <cellStyle name="40% - Ênfase1 4 3 4" xfId="26675" xr:uid="{00000000-0005-0000-0000-00004D120000}"/>
    <cellStyle name="40% - Ênfase1 4 3 5" xfId="25432" xr:uid="{00000000-0005-0000-0000-00004E120000}"/>
    <cellStyle name="40% - Ênfase1 4 4" xfId="4683" xr:uid="{00000000-0005-0000-0000-00004F120000}"/>
    <cellStyle name="40% - Ênfase1 4 4 2" xfId="26679" xr:uid="{00000000-0005-0000-0000-000050120000}"/>
    <cellStyle name="40% - Ênfase1 4 5" xfId="4684" xr:uid="{00000000-0005-0000-0000-000051120000}"/>
    <cellStyle name="40% - Ênfase1 4 5 10" xfId="4685" xr:uid="{00000000-0005-0000-0000-000052120000}"/>
    <cellStyle name="40% - Ênfase1 4 5 10 2" xfId="4686" xr:uid="{00000000-0005-0000-0000-000053120000}"/>
    <cellStyle name="40% - Ênfase1 4 5 2" xfId="4687" xr:uid="{00000000-0005-0000-0000-000054120000}"/>
    <cellStyle name="40% - Ênfase1 4 5 2 2" xfId="4688" xr:uid="{00000000-0005-0000-0000-000055120000}"/>
    <cellStyle name="40% - Ênfase1 4 5 3" xfId="4689" xr:uid="{00000000-0005-0000-0000-000056120000}"/>
    <cellStyle name="40% - Ênfase1 4 5 3 2" xfId="4690" xr:uid="{00000000-0005-0000-0000-000057120000}"/>
    <cellStyle name="40% - Ênfase1 4 5 4" xfId="4691" xr:uid="{00000000-0005-0000-0000-000058120000}"/>
    <cellStyle name="40% - Ênfase1 4 5 4 2" xfId="4692" xr:uid="{00000000-0005-0000-0000-000059120000}"/>
    <cellStyle name="40% - Ênfase1 4 5 5" xfId="4693" xr:uid="{00000000-0005-0000-0000-00005A120000}"/>
    <cellStyle name="40% - Ênfase1 4 5 5 2" xfId="4694" xr:uid="{00000000-0005-0000-0000-00005B120000}"/>
    <cellStyle name="40% - Ênfase1 4 5 6" xfId="4695" xr:uid="{00000000-0005-0000-0000-00005C120000}"/>
    <cellStyle name="40% - Ênfase1 4 5 6 2" xfId="4696" xr:uid="{00000000-0005-0000-0000-00005D120000}"/>
    <cellStyle name="40% - Ênfase1 4 5 7" xfId="4697" xr:uid="{00000000-0005-0000-0000-00005E120000}"/>
    <cellStyle name="40% - Ênfase1 4 5 7 2" xfId="4698" xr:uid="{00000000-0005-0000-0000-00005F120000}"/>
    <cellStyle name="40% - Ênfase1 4 5 8" xfId="4699" xr:uid="{00000000-0005-0000-0000-000060120000}"/>
    <cellStyle name="40% - Ênfase1 4 5 8 2" xfId="4700" xr:uid="{00000000-0005-0000-0000-000061120000}"/>
    <cellStyle name="40% - Ênfase1 4 5 9" xfId="4701" xr:uid="{00000000-0005-0000-0000-000062120000}"/>
    <cellStyle name="40% - Ênfase1 4 5 9 2" xfId="4702" xr:uid="{00000000-0005-0000-0000-000063120000}"/>
    <cellStyle name="40% - Ênfase1 4 6" xfId="4703" xr:uid="{00000000-0005-0000-0000-000064120000}"/>
    <cellStyle name="40% - Ênfase1 4 6 2" xfId="4704" xr:uid="{00000000-0005-0000-0000-000065120000}"/>
    <cellStyle name="40% - Ênfase1 4 6 2 2" xfId="4705" xr:uid="{00000000-0005-0000-0000-000066120000}"/>
    <cellStyle name="40% - Ênfase1 4 6 3" xfId="4706" xr:uid="{00000000-0005-0000-0000-000067120000}"/>
    <cellStyle name="40% - Ênfase1 4 6 3 2" xfId="4707" xr:uid="{00000000-0005-0000-0000-000068120000}"/>
    <cellStyle name="40% - Ênfase1 4 6 4" xfId="4708" xr:uid="{00000000-0005-0000-0000-000069120000}"/>
    <cellStyle name="40% - Ênfase1 4 6 4 2" xfId="4709" xr:uid="{00000000-0005-0000-0000-00006A120000}"/>
    <cellStyle name="40% - Ênfase1 4 6 5" xfId="4710" xr:uid="{00000000-0005-0000-0000-00006B120000}"/>
    <cellStyle name="40% - Ênfase1 4 6 5 2" xfId="4711" xr:uid="{00000000-0005-0000-0000-00006C120000}"/>
    <cellStyle name="40% - Ênfase1 4 6 6" xfId="4712" xr:uid="{00000000-0005-0000-0000-00006D120000}"/>
    <cellStyle name="40% - Ênfase1 4 7" xfId="26667" xr:uid="{00000000-0005-0000-0000-00006E120000}"/>
    <cellStyle name="40% - Ênfase1 40" xfId="4713" xr:uid="{00000000-0005-0000-0000-00006F120000}"/>
    <cellStyle name="40% - Ênfase1 40 2" xfId="4714" xr:uid="{00000000-0005-0000-0000-000070120000}"/>
    <cellStyle name="40% - Ênfase1 41" xfId="4715" xr:uid="{00000000-0005-0000-0000-000071120000}"/>
    <cellStyle name="40% - Ênfase1 41 2" xfId="4716" xr:uid="{00000000-0005-0000-0000-000072120000}"/>
    <cellStyle name="40% - Ênfase1 42" xfId="4717" xr:uid="{00000000-0005-0000-0000-000073120000}"/>
    <cellStyle name="40% - Ênfase1 42 2" xfId="4718" xr:uid="{00000000-0005-0000-0000-000074120000}"/>
    <cellStyle name="40% - Ênfase1 43" xfId="4719" xr:uid="{00000000-0005-0000-0000-000075120000}"/>
    <cellStyle name="40% - Ênfase1 43 2" xfId="4720" xr:uid="{00000000-0005-0000-0000-000076120000}"/>
    <cellStyle name="40% - Ênfase1 44" xfId="4721" xr:uid="{00000000-0005-0000-0000-000077120000}"/>
    <cellStyle name="40% - Ênfase1 44 2" xfId="4722" xr:uid="{00000000-0005-0000-0000-000078120000}"/>
    <cellStyle name="40% - Ênfase1 45" xfId="4723" xr:uid="{00000000-0005-0000-0000-000079120000}"/>
    <cellStyle name="40% - Ênfase1 45 2" xfId="4724" xr:uid="{00000000-0005-0000-0000-00007A120000}"/>
    <cellStyle name="40% - Ênfase1 46" xfId="4725" xr:uid="{00000000-0005-0000-0000-00007B120000}"/>
    <cellStyle name="40% - Ênfase1 46 2" xfId="4726" xr:uid="{00000000-0005-0000-0000-00007C120000}"/>
    <cellStyle name="40% - Ênfase1 47" xfId="4727" xr:uid="{00000000-0005-0000-0000-00007D120000}"/>
    <cellStyle name="40% - Ênfase1 47 2" xfId="4728" xr:uid="{00000000-0005-0000-0000-00007E120000}"/>
    <cellStyle name="40% - Ênfase1 48" xfId="4729" xr:uid="{00000000-0005-0000-0000-00007F120000}"/>
    <cellStyle name="40% - Ênfase1 48 2" xfId="4730" xr:uid="{00000000-0005-0000-0000-000080120000}"/>
    <cellStyle name="40% - Ênfase1 49" xfId="4731" xr:uid="{00000000-0005-0000-0000-000081120000}"/>
    <cellStyle name="40% - Ênfase1 49 2" xfId="4732" xr:uid="{00000000-0005-0000-0000-000082120000}"/>
    <cellStyle name="40% - Ênfase1 5" xfId="4733" xr:uid="{00000000-0005-0000-0000-000083120000}"/>
    <cellStyle name="40% - Ênfase1 5 2" xfId="4734" xr:uid="{00000000-0005-0000-0000-000084120000}"/>
    <cellStyle name="40% - Ênfase1 5 2 2" xfId="4735" xr:uid="{00000000-0005-0000-0000-000085120000}"/>
    <cellStyle name="40% - Ênfase1 5 2 2 2" xfId="25437" xr:uid="{00000000-0005-0000-0000-000086120000}"/>
    <cellStyle name="40% - Ênfase1 5 2 2 2 2" xfId="25438" xr:uid="{00000000-0005-0000-0000-000087120000}"/>
    <cellStyle name="40% - Ênfase1 5 2 2 2 2 2" xfId="26682" xr:uid="{00000000-0005-0000-0000-000088120000}"/>
    <cellStyle name="40% - Ênfase1 5 2 2 2 3" xfId="26681" xr:uid="{00000000-0005-0000-0000-000089120000}"/>
    <cellStyle name="40% - Ênfase1 5 2 2 3" xfId="25439" xr:uid="{00000000-0005-0000-0000-00008A120000}"/>
    <cellStyle name="40% - Ênfase1 5 2 2 3 2" xfId="26683" xr:uid="{00000000-0005-0000-0000-00008B120000}"/>
    <cellStyle name="40% - Ênfase1 5 2 2 4" xfId="26680" xr:uid="{00000000-0005-0000-0000-00008C120000}"/>
    <cellStyle name="40% - Ênfase1 5 2 2 5" xfId="25436" xr:uid="{00000000-0005-0000-0000-00008D120000}"/>
    <cellStyle name="40% - Ênfase1 5 2 3" xfId="4736" xr:uid="{00000000-0005-0000-0000-00008E120000}"/>
    <cellStyle name="40% - Ênfase1 5 2 3 2" xfId="25441" xr:uid="{00000000-0005-0000-0000-00008F120000}"/>
    <cellStyle name="40% - Ênfase1 5 2 3 2 2" xfId="26685" xr:uid="{00000000-0005-0000-0000-000090120000}"/>
    <cellStyle name="40% - Ênfase1 5 2 3 3" xfId="26684" xr:uid="{00000000-0005-0000-0000-000091120000}"/>
    <cellStyle name="40% - Ênfase1 5 2 3 4" xfId="25440" xr:uid="{00000000-0005-0000-0000-000092120000}"/>
    <cellStyle name="40% - Ênfase1 5 2 4" xfId="4737" xr:uid="{00000000-0005-0000-0000-000093120000}"/>
    <cellStyle name="40% - Ênfase1 5 2 4 2" xfId="26686" xr:uid="{00000000-0005-0000-0000-000094120000}"/>
    <cellStyle name="40% - Ênfase1 5 2 4 3" xfId="25442" xr:uid="{00000000-0005-0000-0000-000095120000}"/>
    <cellStyle name="40% - Ênfase1 5 2 5" xfId="4738" xr:uid="{00000000-0005-0000-0000-000096120000}"/>
    <cellStyle name="40% - Ênfase1 5 2 5 2" xfId="4739" xr:uid="{00000000-0005-0000-0000-000097120000}"/>
    <cellStyle name="40% - Ênfase1 5 2 6" xfId="4740" xr:uid="{00000000-0005-0000-0000-000098120000}"/>
    <cellStyle name="40% - Ênfase1 5 2 6 2" xfId="4741" xr:uid="{00000000-0005-0000-0000-000099120000}"/>
    <cellStyle name="40% - Ênfase1 5 2 7" xfId="4742" xr:uid="{00000000-0005-0000-0000-00009A120000}"/>
    <cellStyle name="40% - Ênfase1 5 2 7 2" xfId="4743" xr:uid="{00000000-0005-0000-0000-00009B120000}"/>
    <cellStyle name="40% - Ênfase1 5 2 8" xfId="4744" xr:uid="{00000000-0005-0000-0000-00009C120000}"/>
    <cellStyle name="40% - Ênfase1 5 2 8 2" xfId="4745" xr:uid="{00000000-0005-0000-0000-00009D120000}"/>
    <cellStyle name="40% - Ênfase1 5 2 9" xfId="4746" xr:uid="{00000000-0005-0000-0000-00009E120000}"/>
    <cellStyle name="40% - Ênfase1 5 3" xfId="4747" xr:uid="{00000000-0005-0000-0000-00009F120000}"/>
    <cellStyle name="40% - Ênfase1 5 3 2" xfId="25444" xr:uid="{00000000-0005-0000-0000-0000A0120000}"/>
    <cellStyle name="40% - Ênfase1 5 3 2 2" xfId="25445" xr:uid="{00000000-0005-0000-0000-0000A1120000}"/>
    <cellStyle name="40% - Ênfase1 5 3 2 2 2" xfId="26689" xr:uid="{00000000-0005-0000-0000-0000A2120000}"/>
    <cellStyle name="40% - Ênfase1 5 3 2 3" xfId="26688" xr:uid="{00000000-0005-0000-0000-0000A3120000}"/>
    <cellStyle name="40% - Ênfase1 5 3 3" xfId="25446" xr:uid="{00000000-0005-0000-0000-0000A4120000}"/>
    <cellStyle name="40% - Ênfase1 5 3 3 2" xfId="26690" xr:uid="{00000000-0005-0000-0000-0000A5120000}"/>
    <cellStyle name="40% - Ênfase1 5 3 4" xfId="26687" xr:uid="{00000000-0005-0000-0000-0000A6120000}"/>
    <cellStyle name="40% - Ênfase1 5 3 5" xfId="25443" xr:uid="{00000000-0005-0000-0000-0000A7120000}"/>
    <cellStyle name="40% - Ênfase1 5 4" xfId="4748" xr:uid="{00000000-0005-0000-0000-0000A8120000}"/>
    <cellStyle name="40% - Ênfase1 5 4 2" xfId="25448" xr:uid="{00000000-0005-0000-0000-0000A9120000}"/>
    <cellStyle name="40% - Ênfase1 5 4 2 2" xfId="26692" xr:uid="{00000000-0005-0000-0000-0000AA120000}"/>
    <cellStyle name="40% - Ênfase1 5 4 3" xfId="26691" xr:uid="{00000000-0005-0000-0000-0000AB120000}"/>
    <cellStyle name="40% - Ênfase1 5 4 4" xfId="25447" xr:uid="{00000000-0005-0000-0000-0000AC120000}"/>
    <cellStyle name="40% - Ênfase1 5 5" xfId="4749" xr:uid="{00000000-0005-0000-0000-0000AD120000}"/>
    <cellStyle name="40% - Ênfase1 5 5 2" xfId="4750" xr:uid="{00000000-0005-0000-0000-0000AE120000}"/>
    <cellStyle name="40% - Ênfase1 5 5 2 2" xfId="4751" xr:uid="{00000000-0005-0000-0000-0000AF120000}"/>
    <cellStyle name="40% - Ênfase1 5 5 3" xfId="4752" xr:uid="{00000000-0005-0000-0000-0000B0120000}"/>
    <cellStyle name="40% - Ênfase1 5 5 3 2" xfId="4753" xr:uid="{00000000-0005-0000-0000-0000B1120000}"/>
    <cellStyle name="40% - Ênfase1 5 5 4" xfId="4754" xr:uid="{00000000-0005-0000-0000-0000B2120000}"/>
    <cellStyle name="40% - Ênfase1 5 5 4 2" xfId="4755" xr:uid="{00000000-0005-0000-0000-0000B3120000}"/>
    <cellStyle name="40% - Ênfase1 5 5 5" xfId="4756" xr:uid="{00000000-0005-0000-0000-0000B4120000}"/>
    <cellStyle name="40% - Ênfase1 5 5 5 2" xfId="4757" xr:uid="{00000000-0005-0000-0000-0000B5120000}"/>
    <cellStyle name="40% - Ênfase1 5 5 6" xfId="4758" xr:uid="{00000000-0005-0000-0000-0000B6120000}"/>
    <cellStyle name="40% - Ênfase1 5 6" xfId="4759" xr:uid="{00000000-0005-0000-0000-0000B7120000}"/>
    <cellStyle name="40% - Ênfase1 5 6 2" xfId="4760" xr:uid="{00000000-0005-0000-0000-0000B8120000}"/>
    <cellStyle name="40% - Ênfase1 5 6 2 2" xfId="4761" xr:uid="{00000000-0005-0000-0000-0000B9120000}"/>
    <cellStyle name="40% - Ênfase1 5 6 3" xfId="4762" xr:uid="{00000000-0005-0000-0000-0000BA120000}"/>
    <cellStyle name="40% - Ênfase1 5 6 3 2" xfId="4763" xr:uid="{00000000-0005-0000-0000-0000BB120000}"/>
    <cellStyle name="40% - Ênfase1 5 6 4" xfId="4764" xr:uid="{00000000-0005-0000-0000-0000BC120000}"/>
    <cellStyle name="40% - Ênfase1 5 6 4 2" xfId="4765" xr:uid="{00000000-0005-0000-0000-0000BD120000}"/>
    <cellStyle name="40% - Ênfase1 5 6 5" xfId="4766" xr:uid="{00000000-0005-0000-0000-0000BE120000}"/>
    <cellStyle name="40% - Ênfase1 5 6 5 2" xfId="4767" xr:uid="{00000000-0005-0000-0000-0000BF120000}"/>
    <cellStyle name="40% - Ênfase1 5 6 6" xfId="4768" xr:uid="{00000000-0005-0000-0000-0000C0120000}"/>
    <cellStyle name="40% - Ênfase1 50" xfId="4769" xr:uid="{00000000-0005-0000-0000-0000C1120000}"/>
    <cellStyle name="40% - Ênfase1 50 2" xfId="4770" xr:uid="{00000000-0005-0000-0000-0000C2120000}"/>
    <cellStyle name="40% - Ênfase1 51" xfId="4771" xr:uid="{00000000-0005-0000-0000-0000C3120000}"/>
    <cellStyle name="40% - Ênfase1 51 2" xfId="4772" xr:uid="{00000000-0005-0000-0000-0000C4120000}"/>
    <cellStyle name="40% - Ênfase1 52" xfId="4773" xr:uid="{00000000-0005-0000-0000-0000C5120000}"/>
    <cellStyle name="40% - Ênfase1 52 2" xfId="4774" xr:uid="{00000000-0005-0000-0000-0000C6120000}"/>
    <cellStyle name="40% - Ênfase1 53" xfId="4775" xr:uid="{00000000-0005-0000-0000-0000C7120000}"/>
    <cellStyle name="40% - Ênfase1 53 2" xfId="4776" xr:uid="{00000000-0005-0000-0000-0000C8120000}"/>
    <cellStyle name="40% - Ênfase1 54" xfId="4777" xr:uid="{00000000-0005-0000-0000-0000C9120000}"/>
    <cellStyle name="40% - Ênfase1 54 2" xfId="4778" xr:uid="{00000000-0005-0000-0000-0000CA120000}"/>
    <cellStyle name="40% - Ênfase1 55" xfId="4779" xr:uid="{00000000-0005-0000-0000-0000CB120000}"/>
    <cellStyle name="40% - Ênfase1 55 2" xfId="4780" xr:uid="{00000000-0005-0000-0000-0000CC120000}"/>
    <cellStyle name="40% - Ênfase1 6" xfId="4781" xr:uid="{00000000-0005-0000-0000-0000CD120000}"/>
    <cellStyle name="40% - Ênfase1 6 10" xfId="4782" xr:uid="{00000000-0005-0000-0000-0000CE120000}"/>
    <cellStyle name="40% - Ênfase1 6 10 2" xfId="4783" xr:uid="{00000000-0005-0000-0000-0000CF120000}"/>
    <cellStyle name="40% - Ênfase1 6 11" xfId="4784" xr:uid="{00000000-0005-0000-0000-0000D0120000}"/>
    <cellStyle name="40% - Ênfase1 6 11 2" xfId="4785" xr:uid="{00000000-0005-0000-0000-0000D1120000}"/>
    <cellStyle name="40% - Ênfase1 6 12" xfId="4786" xr:uid="{00000000-0005-0000-0000-0000D2120000}"/>
    <cellStyle name="40% - Ênfase1 6 12 2" xfId="4787" xr:uid="{00000000-0005-0000-0000-0000D3120000}"/>
    <cellStyle name="40% - Ênfase1 6 13" xfId="4788" xr:uid="{00000000-0005-0000-0000-0000D4120000}"/>
    <cellStyle name="40% - Ênfase1 6 13 2" xfId="4789" xr:uid="{00000000-0005-0000-0000-0000D5120000}"/>
    <cellStyle name="40% - Ênfase1 6 14" xfId="4790" xr:uid="{00000000-0005-0000-0000-0000D6120000}"/>
    <cellStyle name="40% - Ênfase1 6 14 2" xfId="4791" xr:uid="{00000000-0005-0000-0000-0000D7120000}"/>
    <cellStyle name="40% - Ênfase1 6 15" xfId="4792" xr:uid="{00000000-0005-0000-0000-0000D8120000}"/>
    <cellStyle name="40% - Ênfase1 6 15 2" xfId="4793" xr:uid="{00000000-0005-0000-0000-0000D9120000}"/>
    <cellStyle name="40% - Ênfase1 6 16" xfId="4794" xr:uid="{00000000-0005-0000-0000-0000DA120000}"/>
    <cellStyle name="40% - Ênfase1 6 16 2" xfId="4795" xr:uid="{00000000-0005-0000-0000-0000DB120000}"/>
    <cellStyle name="40% - Ênfase1 6 17" xfId="4796" xr:uid="{00000000-0005-0000-0000-0000DC120000}"/>
    <cellStyle name="40% - Ênfase1 6 17 2" xfId="4797" xr:uid="{00000000-0005-0000-0000-0000DD120000}"/>
    <cellStyle name="40% - Ênfase1 6 18" xfId="4798" xr:uid="{00000000-0005-0000-0000-0000DE120000}"/>
    <cellStyle name="40% - Ênfase1 6 18 2" xfId="4799" xr:uid="{00000000-0005-0000-0000-0000DF120000}"/>
    <cellStyle name="40% - Ênfase1 6 19" xfId="4800" xr:uid="{00000000-0005-0000-0000-0000E0120000}"/>
    <cellStyle name="40% - Ênfase1 6 19 2" xfId="4801" xr:uid="{00000000-0005-0000-0000-0000E1120000}"/>
    <cellStyle name="40% - Ênfase1 6 2" xfId="4802" xr:uid="{00000000-0005-0000-0000-0000E2120000}"/>
    <cellStyle name="40% - Ênfase1 6 2 2" xfId="4803" xr:uid="{00000000-0005-0000-0000-0000E3120000}"/>
    <cellStyle name="40% - Ênfase1 6 2 2 2" xfId="4804" xr:uid="{00000000-0005-0000-0000-0000E4120000}"/>
    <cellStyle name="40% - Ênfase1 6 2 2 2 2" xfId="26694" xr:uid="{00000000-0005-0000-0000-0000E5120000}"/>
    <cellStyle name="40% - Ênfase1 6 2 2 3" xfId="26693" xr:uid="{00000000-0005-0000-0000-0000E6120000}"/>
    <cellStyle name="40% - Ênfase1 6 2 3" xfId="4805" xr:uid="{00000000-0005-0000-0000-0000E7120000}"/>
    <cellStyle name="40% - Ênfase1 6 2 3 2" xfId="4806" xr:uid="{00000000-0005-0000-0000-0000E8120000}"/>
    <cellStyle name="40% - Ênfase1 6 2 4" xfId="4807" xr:uid="{00000000-0005-0000-0000-0000E9120000}"/>
    <cellStyle name="40% - Ênfase1 6 2 4 2" xfId="4808" xr:uid="{00000000-0005-0000-0000-0000EA120000}"/>
    <cellStyle name="40% - Ênfase1 6 2 5" xfId="4809" xr:uid="{00000000-0005-0000-0000-0000EB120000}"/>
    <cellStyle name="40% - Ênfase1 6 2 5 2" xfId="4810" xr:uid="{00000000-0005-0000-0000-0000EC120000}"/>
    <cellStyle name="40% - Ênfase1 6 2 6" xfId="4811" xr:uid="{00000000-0005-0000-0000-0000ED120000}"/>
    <cellStyle name="40% - Ênfase1 6 20" xfId="4812" xr:uid="{00000000-0005-0000-0000-0000EE120000}"/>
    <cellStyle name="40% - Ênfase1 6 20 2" xfId="4813" xr:uid="{00000000-0005-0000-0000-0000EF120000}"/>
    <cellStyle name="40% - Ênfase1 6 21" xfId="4814" xr:uid="{00000000-0005-0000-0000-0000F0120000}"/>
    <cellStyle name="40% - Ênfase1 6 21 2" xfId="4815" xr:uid="{00000000-0005-0000-0000-0000F1120000}"/>
    <cellStyle name="40% - Ênfase1 6 22" xfId="4816" xr:uid="{00000000-0005-0000-0000-0000F2120000}"/>
    <cellStyle name="40% - Ênfase1 6 22 2" xfId="4817" xr:uid="{00000000-0005-0000-0000-0000F3120000}"/>
    <cellStyle name="40% - Ênfase1 6 23" xfId="4818" xr:uid="{00000000-0005-0000-0000-0000F4120000}"/>
    <cellStyle name="40% - Ênfase1 6 23 2" xfId="4819" xr:uid="{00000000-0005-0000-0000-0000F5120000}"/>
    <cellStyle name="40% - Ênfase1 6 24" xfId="4820" xr:uid="{00000000-0005-0000-0000-0000F6120000}"/>
    <cellStyle name="40% - Ênfase1 6 24 2" xfId="4821" xr:uid="{00000000-0005-0000-0000-0000F7120000}"/>
    <cellStyle name="40% - Ênfase1 6 25" xfId="4822" xr:uid="{00000000-0005-0000-0000-0000F8120000}"/>
    <cellStyle name="40% - Ênfase1 6 25 2" xfId="4823" xr:uid="{00000000-0005-0000-0000-0000F9120000}"/>
    <cellStyle name="40% - Ênfase1 6 26" xfId="4824" xr:uid="{00000000-0005-0000-0000-0000FA120000}"/>
    <cellStyle name="40% - Ênfase1 6 26 2" xfId="4825" xr:uid="{00000000-0005-0000-0000-0000FB120000}"/>
    <cellStyle name="40% - Ênfase1 6 27" xfId="4826" xr:uid="{00000000-0005-0000-0000-0000FC120000}"/>
    <cellStyle name="40% - Ênfase1 6 27 2" xfId="4827" xr:uid="{00000000-0005-0000-0000-0000FD120000}"/>
    <cellStyle name="40% - Ênfase1 6 28" xfId="4828" xr:uid="{00000000-0005-0000-0000-0000FE120000}"/>
    <cellStyle name="40% - Ênfase1 6 28 2" xfId="4829" xr:uid="{00000000-0005-0000-0000-0000FF120000}"/>
    <cellStyle name="40% - Ênfase1 6 29" xfId="4830" xr:uid="{00000000-0005-0000-0000-000000130000}"/>
    <cellStyle name="40% - Ênfase1 6 29 2" xfId="4831" xr:uid="{00000000-0005-0000-0000-000001130000}"/>
    <cellStyle name="40% - Ênfase1 6 3" xfId="4832" xr:uid="{00000000-0005-0000-0000-000002130000}"/>
    <cellStyle name="40% - Ênfase1 6 3 2" xfId="4833" xr:uid="{00000000-0005-0000-0000-000003130000}"/>
    <cellStyle name="40% - Ênfase1 6 3 2 2" xfId="4834" xr:uid="{00000000-0005-0000-0000-000004130000}"/>
    <cellStyle name="40% - Ênfase1 6 3 3" xfId="4835" xr:uid="{00000000-0005-0000-0000-000005130000}"/>
    <cellStyle name="40% - Ênfase1 6 3 3 2" xfId="4836" xr:uid="{00000000-0005-0000-0000-000006130000}"/>
    <cellStyle name="40% - Ênfase1 6 3 4" xfId="4837" xr:uid="{00000000-0005-0000-0000-000007130000}"/>
    <cellStyle name="40% - Ênfase1 6 3 4 2" xfId="4838" xr:uid="{00000000-0005-0000-0000-000008130000}"/>
    <cellStyle name="40% - Ênfase1 6 3 5" xfId="4839" xr:uid="{00000000-0005-0000-0000-000009130000}"/>
    <cellStyle name="40% - Ênfase1 6 3 5 2" xfId="4840" xr:uid="{00000000-0005-0000-0000-00000A130000}"/>
    <cellStyle name="40% - Ênfase1 6 3 6" xfId="4841" xr:uid="{00000000-0005-0000-0000-00000B130000}"/>
    <cellStyle name="40% - Ênfase1 6 30" xfId="4842" xr:uid="{00000000-0005-0000-0000-00000C130000}"/>
    <cellStyle name="40% - Ênfase1 6 30 2" xfId="4843" xr:uid="{00000000-0005-0000-0000-00000D130000}"/>
    <cellStyle name="40% - Ênfase1 6 31" xfId="4844" xr:uid="{00000000-0005-0000-0000-00000E130000}"/>
    <cellStyle name="40% - Ênfase1 6 31 2" xfId="4845" xr:uid="{00000000-0005-0000-0000-00000F130000}"/>
    <cellStyle name="40% - Ênfase1 6 32" xfId="4846" xr:uid="{00000000-0005-0000-0000-000010130000}"/>
    <cellStyle name="40% - Ênfase1 6 32 2" xfId="4847" xr:uid="{00000000-0005-0000-0000-000011130000}"/>
    <cellStyle name="40% - Ênfase1 6 33" xfId="4848" xr:uid="{00000000-0005-0000-0000-000012130000}"/>
    <cellStyle name="40% - Ênfase1 6 33 2" xfId="4849" xr:uid="{00000000-0005-0000-0000-000013130000}"/>
    <cellStyle name="40% - Ênfase1 6 34" xfId="4850" xr:uid="{00000000-0005-0000-0000-000014130000}"/>
    <cellStyle name="40% - Ênfase1 6 34 2" xfId="4851" xr:uid="{00000000-0005-0000-0000-000015130000}"/>
    <cellStyle name="40% - Ênfase1 6 35" xfId="4852" xr:uid="{00000000-0005-0000-0000-000016130000}"/>
    <cellStyle name="40% - Ênfase1 6 35 2" xfId="4853" xr:uid="{00000000-0005-0000-0000-000017130000}"/>
    <cellStyle name="40% - Ênfase1 6 36" xfId="4854" xr:uid="{00000000-0005-0000-0000-000018130000}"/>
    <cellStyle name="40% - Ênfase1 6 36 2" xfId="4855" xr:uid="{00000000-0005-0000-0000-000019130000}"/>
    <cellStyle name="40% - Ênfase1 6 37" xfId="4856" xr:uid="{00000000-0005-0000-0000-00001A130000}"/>
    <cellStyle name="40% - Ênfase1 6 4" xfId="4857" xr:uid="{00000000-0005-0000-0000-00001B130000}"/>
    <cellStyle name="40% - Ênfase1 6 4 2" xfId="4858" xr:uid="{00000000-0005-0000-0000-00001C130000}"/>
    <cellStyle name="40% - Ênfase1 6 4 2 2" xfId="4859" xr:uid="{00000000-0005-0000-0000-00001D130000}"/>
    <cellStyle name="40% - Ênfase1 6 4 3" xfId="4860" xr:uid="{00000000-0005-0000-0000-00001E130000}"/>
    <cellStyle name="40% - Ênfase1 6 4 3 2" xfId="4861" xr:uid="{00000000-0005-0000-0000-00001F130000}"/>
    <cellStyle name="40% - Ênfase1 6 4 4" xfId="4862" xr:uid="{00000000-0005-0000-0000-000020130000}"/>
    <cellStyle name="40% - Ênfase1 6 4 4 2" xfId="4863" xr:uid="{00000000-0005-0000-0000-000021130000}"/>
    <cellStyle name="40% - Ênfase1 6 4 5" xfId="4864" xr:uid="{00000000-0005-0000-0000-000022130000}"/>
    <cellStyle name="40% - Ênfase1 6 4 5 2" xfId="4865" xr:uid="{00000000-0005-0000-0000-000023130000}"/>
    <cellStyle name="40% - Ênfase1 6 4 6" xfId="4866" xr:uid="{00000000-0005-0000-0000-000024130000}"/>
    <cellStyle name="40% - Ênfase1 6 5" xfId="4867" xr:uid="{00000000-0005-0000-0000-000025130000}"/>
    <cellStyle name="40% - Ênfase1 6 5 2" xfId="4868" xr:uid="{00000000-0005-0000-0000-000026130000}"/>
    <cellStyle name="40% - Ênfase1 6 6" xfId="4869" xr:uid="{00000000-0005-0000-0000-000027130000}"/>
    <cellStyle name="40% - Ênfase1 6 6 2" xfId="4870" xr:uid="{00000000-0005-0000-0000-000028130000}"/>
    <cellStyle name="40% - Ênfase1 6 7" xfId="4871" xr:uid="{00000000-0005-0000-0000-000029130000}"/>
    <cellStyle name="40% - Ênfase1 6 7 2" xfId="4872" xr:uid="{00000000-0005-0000-0000-00002A130000}"/>
    <cellStyle name="40% - Ênfase1 6 8" xfId="4873" xr:uid="{00000000-0005-0000-0000-00002B130000}"/>
    <cellStyle name="40% - Ênfase1 6 8 2" xfId="4874" xr:uid="{00000000-0005-0000-0000-00002C130000}"/>
    <cellStyle name="40% - Ênfase1 6 9" xfId="4875" xr:uid="{00000000-0005-0000-0000-00002D130000}"/>
    <cellStyle name="40% - Ênfase1 6 9 2" xfId="4876" xr:uid="{00000000-0005-0000-0000-00002E130000}"/>
    <cellStyle name="40% - Ênfase1 7" xfId="4877" xr:uid="{00000000-0005-0000-0000-00002F130000}"/>
    <cellStyle name="40% - Ênfase1 7 10" xfId="4878" xr:uid="{00000000-0005-0000-0000-000030130000}"/>
    <cellStyle name="40% - Ênfase1 7 10 2" xfId="4879" xr:uid="{00000000-0005-0000-0000-000031130000}"/>
    <cellStyle name="40% - Ênfase1 7 11" xfId="4880" xr:uid="{00000000-0005-0000-0000-000032130000}"/>
    <cellStyle name="40% - Ênfase1 7 11 2" xfId="4881" xr:uid="{00000000-0005-0000-0000-000033130000}"/>
    <cellStyle name="40% - Ênfase1 7 12" xfId="4882" xr:uid="{00000000-0005-0000-0000-000034130000}"/>
    <cellStyle name="40% - Ênfase1 7 12 2" xfId="4883" xr:uid="{00000000-0005-0000-0000-000035130000}"/>
    <cellStyle name="40% - Ênfase1 7 13" xfId="4884" xr:uid="{00000000-0005-0000-0000-000036130000}"/>
    <cellStyle name="40% - Ênfase1 7 13 2" xfId="4885" xr:uid="{00000000-0005-0000-0000-000037130000}"/>
    <cellStyle name="40% - Ênfase1 7 14" xfId="4886" xr:uid="{00000000-0005-0000-0000-000038130000}"/>
    <cellStyle name="40% - Ênfase1 7 14 2" xfId="4887" xr:uid="{00000000-0005-0000-0000-000039130000}"/>
    <cellStyle name="40% - Ênfase1 7 15" xfId="4888" xr:uid="{00000000-0005-0000-0000-00003A130000}"/>
    <cellStyle name="40% - Ênfase1 7 15 2" xfId="4889" xr:uid="{00000000-0005-0000-0000-00003B130000}"/>
    <cellStyle name="40% - Ênfase1 7 16" xfId="4890" xr:uid="{00000000-0005-0000-0000-00003C130000}"/>
    <cellStyle name="40% - Ênfase1 7 16 2" xfId="4891" xr:uid="{00000000-0005-0000-0000-00003D130000}"/>
    <cellStyle name="40% - Ênfase1 7 17" xfId="4892" xr:uid="{00000000-0005-0000-0000-00003E130000}"/>
    <cellStyle name="40% - Ênfase1 7 17 2" xfId="4893" xr:uid="{00000000-0005-0000-0000-00003F130000}"/>
    <cellStyle name="40% - Ênfase1 7 18" xfId="4894" xr:uid="{00000000-0005-0000-0000-000040130000}"/>
    <cellStyle name="40% - Ênfase1 7 18 2" xfId="4895" xr:uid="{00000000-0005-0000-0000-000041130000}"/>
    <cellStyle name="40% - Ênfase1 7 19" xfId="4896" xr:uid="{00000000-0005-0000-0000-000042130000}"/>
    <cellStyle name="40% - Ênfase1 7 19 2" xfId="4897" xr:uid="{00000000-0005-0000-0000-000043130000}"/>
    <cellStyle name="40% - Ênfase1 7 2" xfId="4898" xr:uid="{00000000-0005-0000-0000-000044130000}"/>
    <cellStyle name="40% - Ênfase1 7 2 2" xfId="4899" xr:uid="{00000000-0005-0000-0000-000045130000}"/>
    <cellStyle name="40% - Ênfase1 7 2 2 2" xfId="4900" xr:uid="{00000000-0005-0000-0000-000046130000}"/>
    <cellStyle name="40% - Ênfase1 7 2 2 2 2" xfId="26696" xr:uid="{00000000-0005-0000-0000-000047130000}"/>
    <cellStyle name="40% - Ênfase1 7 2 2 3" xfId="26695" xr:uid="{00000000-0005-0000-0000-000048130000}"/>
    <cellStyle name="40% - Ênfase1 7 2 3" xfId="4901" xr:uid="{00000000-0005-0000-0000-000049130000}"/>
    <cellStyle name="40% - Ênfase1 7 2 3 2" xfId="4902" xr:uid="{00000000-0005-0000-0000-00004A130000}"/>
    <cellStyle name="40% - Ênfase1 7 2 4" xfId="4903" xr:uid="{00000000-0005-0000-0000-00004B130000}"/>
    <cellStyle name="40% - Ênfase1 7 2 4 2" xfId="4904" xr:uid="{00000000-0005-0000-0000-00004C130000}"/>
    <cellStyle name="40% - Ênfase1 7 2 5" xfId="4905" xr:uid="{00000000-0005-0000-0000-00004D130000}"/>
    <cellStyle name="40% - Ênfase1 7 2 5 2" xfId="4906" xr:uid="{00000000-0005-0000-0000-00004E130000}"/>
    <cellStyle name="40% - Ênfase1 7 2 6" xfId="4907" xr:uid="{00000000-0005-0000-0000-00004F130000}"/>
    <cellStyle name="40% - Ênfase1 7 20" xfId="4908" xr:uid="{00000000-0005-0000-0000-000050130000}"/>
    <cellStyle name="40% - Ênfase1 7 20 2" xfId="4909" xr:uid="{00000000-0005-0000-0000-000051130000}"/>
    <cellStyle name="40% - Ênfase1 7 21" xfId="4910" xr:uid="{00000000-0005-0000-0000-000052130000}"/>
    <cellStyle name="40% - Ênfase1 7 21 2" xfId="4911" xr:uid="{00000000-0005-0000-0000-000053130000}"/>
    <cellStyle name="40% - Ênfase1 7 22" xfId="4912" xr:uid="{00000000-0005-0000-0000-000054130000}"/>
    <cellStyle name="40% - Ênfase1 7 22 2" xfId="4913" xr:uid="{00000000-0005-0000-0000-000055130000}"/>
    <cellStyle name="40% - Ênfase1 7 23" xfId="4914" xr:uid="{00000000-0005-0000-0000-000056130000}"/>
    <cellStyle name="40% - Ênfase1 7 23 2" xfId="4915" xr:uid="{00000000-0005-0000-0000-000057130000}"/>
    <cellStyle name="40% - Ênfase1 7 24" xfId="4916" xr:uid="{00000000-0005-0000-0000-000058130000}"/>
    <cellStyle name="40% - Ênfase1 7 24 2" xfId="4917" xr:uid="{00000000-0005-0000-0000-000059130000}"/>
    <cellStyle name="40% - Ênfase1 7 25" xfId="4918" xr:uid="{00000000-0005-0000-0000-00005A130000}"/>
    <cellStyle name="40% - Ênfase1 7 25 2" xfId="4919" xr:uid="{00000000-0005-0000-0000-00005B130000}"/>
    <cellStyle name="40% - Ênfase1 7 26" xfId="4920" xr:uid="{00000000-0005-0000-0000-00005C130000}"/>
    <cellStyle name="40% - Ênfase1 7 26 2" xfId="4921" xr:uid="{00000000-0005-0000-0000-00005D130000}"/>
    <cellStyle name="40% - Ênfase1 7 27" xfId="4922" xr:uid="{00000000-0005-0000-0000-00005E130000}"/>
    <cellStyle name="40% - Ênfase1 7 27 2" xfId="4923" xr:uid="{00000000-0005-0000-0000-00005F130000}"/>
    <cellStyle name="40% - Ênfase1 7 28" xfId="4924" xr:uid="{00000000-0005-0000-0000-000060130000}"/>
    <cellStyle name="40% - Ênfase1 7 28 2" xfId="4925" xr:uid="{00000000-0005-0000-0000-000061130000}"/>
    <cellStyle name="40% - Ênfase1 7 29" xfId="4926" xr:uid="{00000000-0005-0000-0000-000062130000}"/>
    <cellStyle name="40% - Ênfase1 7 29 2" xfId="4927" xr:uid="{00000000-0005-0000-0000-000063130000}"/>
    <cellStyle name="40% - Ênfase1 7 3" xfId="4928" xr:uid="{00000000-0005-0000-0000-000064130000}"/>
    <cellStyle name="40% - Ênfase1 7 3 2" xfId="4929" xr:uid="{00000000-0005-0000-0000-000065130000}"/>
    <cellStyle name="40% - Ênfase1 7 3 2 2" xfId="4930" xr:uid="{00000000-0005-0000-0000-000066130000}"/>
    <cellStyle name="40% - Ênfase1 7 3 3" xfId="4931" xr:uid="{00000000-0005-0000-0000-000067130000}"/>
    <cellStyle name="40% - Ênfase1 7 3 3 2" xfId="4932" xr:uid="{00000000-0005-0000-0000-000068130000}"/>
    <cellStyle name="40% - Ênfase1 7 3 4" xfId="4933" xr:uid="{00000000-0005-0000-0000-000069130000}"/>
    <cellStyle name="40% - Ênfase1 7 3 4 2" xfId="4934" xr:uid="{00000000-0005-0000-0000-00006A130000}"/>
    <cellStyle name="40% - Ênfase1 7 3 5" xfId="4935" xr:uid="{00000000-0005-0000-0000-00006B130000}"/>
    <cellStyle name="40% - Ênfase1 7 3 5 2" xfId="4936" xr:uid="{00000000-0005-0000-0000-00006C130000}"/>
    <cellStyle name="40% - Ênfase1 7 3 6" xfId="4937" xr:uid="{00000000-0005-0000-0000-00006D130000}"/>
    <cellStyle name="40% - Ênfase1 7 30" xfId="4938" xr:uid="{00000000-0005-0000-0000-00006E130000}"/>
    <cellStyle name="40% - Ênfase1 7 30 2" xfId="4939" xr:uid="{00000000-0005-0000-0000-00006F130000}"/>
    <cellStyle name="40% - Ênfase1 7 31" xfId="4940" xr:uid="{00000000-0005-0000-0000-000070130000}"/>
    <cellStyle name="40% - Ênfase1 7 31 2" xfId="4941" xr:uid="{00000000-0005-0000-0000-000071130000}"/>
    <cellStyle name="40% - Ênfase1 7 32" xfId="4942" xr:uid="{00000000-0005-0000-0000-000072130000}"/>
    <cellStyle name="40% - Ênfase1 7 32 2" xfId="4943" xr:uid="{00000000-0005-0000-0000-000073130000}"/>
    <cellStyle name="40% - Ênfase1 7 33" xfId="4944" xr:uid="{00000000-0005-0000-0000-000074130000}"/>
    <cellStyle name="40% - Ênfase1 7 33 2" xfId="4945" xr:uid="{00000000-0005-0000-0000-000075130000}"/>
    <cellStyle name="40% - Ênfase1 7 34" xfId="4946" xr:uid="{00000000-0005-0000-0000-000076130000}"/>
    <cellStyle name="40% - Ênfase1 7 34 2" xfId="4947" xr:uid="{00000000-0005-0000-0000-000077130000}"/>
    <cellStyle name="40% - Ênfase1 7 35" xfId="4948" xr:uid="{00000000-0005-0000-0000-000078130000}"/>
    <cellStyle name="40% - Ênfase1 7 35 2" xfId="4949" xr:uid="{00000000-0005-0000-0000-000079130000}"/>
    <cellStyle name="40% - Ênfase1 7 36" xfId="4950" xr:uid="{00000000-0005-0000-0000-00007A130000}"/>
    <cellStyle name="40% - Ênfase1 7 36 2" xfId="4951" xr:uid="{00000000-0005-0000-0000-00007B130000}"/>
    <cellStyle name="40% - Ênfase1 7 37" xfId="4952" xr:uid="{00000000-0005-0000-0000-00007C130000}"/>
    <cellStyle name="40% - Ênfase1 7 4" xfId="4953" xr:uid="{00000000-0005-0000-0000-00007D130000}"/>
    <cellStyle name="40% - Ênfase1 7 4 2" xfId="4954" xr:uid="{00000000-0005-0000-0000-00007E130000}"/>
    <cellStyle name="40% - Ênfase1 7 4 2 2" xfId="4955" xr:uid="{00000000-0005-0000-0000-00007F130000}"/>
    <cellStyle name="40% - Ênfase1 7 4 3" xfId="4956" xr:uid="{00000000-0005-0000-0000-000080130000}"/>
    <cellStyle name="40% - Ênfase1 7 4 3 2" xfId="4957" xr:uid="{00000000-0005-0000-0000-000081130000}"/>
    <cellStyle name="40% - Ênfase1 7 4 4" xfId="4958" xr:uid="{00000000-0005-0000-0000-000082130000}"/>
    <cellStyle name="40% - Ênfase1 7 4 4 2" xfId="4959" xr:uid="{00000000-0005-0000-0000-000083130000}"/>
    <cellStyle name="40% - Ênfase1 7 4 5" xfId="4960" xr:uid="{00000000-0005-0000-0000-000084130000}"/>
    <cellStyle name="40% - Ênfase1 7 4 5 2" xfId="4961" xr:uid="{00000000-0005-0000-0000-000085130000}"/>
    <cellStyle name="40% - Ênfase1 7 4 6" xfId="4962" xr:uid="{00000000-0005-0000-0000-000086130000}"/>
    <cellStyle name="40% - Ênfase1 7 5" xfId="4963" xr:uid="{00000000-0005-0000-0000-000087130000}"/>
    <cellStyle name="40% - Ênfase1 7 5 2" xfId="4964" xr:uid="{00000000-0005-0000-0000-000088130000}"/>
    <cellStyle name="40% - Ênfase1 7 6" xfId="4965" xr:uid="{00000000-0005-0000-0000-000089130000}"/>
    <cellStyle name="40% - Ênfase1 7 6 2" xfId="4966" xr:uid="{00000000-0005-0000-0000-00008A130000}"/>
    <cellStyle name="40% - Ênfase1 7 7" xfId="4967" xr:uid="{00000000-0005-0000-0000-00008B130000}"/>
    <cellStyle name="40% - Ênfase1 7 7 2" xfId="4968" xr:uid="{00000000-0005-0000-0000-00008C130000}"/>
    <cellStyle name="40% - Ênfase1 7 8" xfId="4969" xr:uid="{00000000-0005-0000-0000-00008D130000}"/>
    <cellStyle name="40% - Ênfase1 7 8 2" xfId="4970" xr:uid="{00000000-0005-0000-0000-00008E130000}"/>
    <cellStyle name="40% - Ênfase1 7 9" xfId="4971" xr:uid="{00000000-0005-0000-0000-00008F130000}"/>
    <cellStyle name="40% - Ênfase1 7 9 2" xfId="4972" xr:uid="{00000000-0005-0000-0000-000090130000}"/>
    <cellStyle name="40% - Ênfase1 8" xfId="4973" xr:uid="{00000000-0005-0000-0000-000091130000}"/>
    <cellStyle name="40% - Ênfase1 8 10" xfId="4974" xr:uid="{00000000-0005-0000-0000-000092130000}"/>
    <cellStyle name="40% - Ênfase1 8 10 2" xfId="4975" xr:uid="{00000000-0005-0000-0000-000093130000}"/>
    <cellStyle name="40% - Ênfase1 8 2" xfId="4976" xr:uid="{00000000-0005-0000-0000-000094130000}"/>
    <cellStyle name="40% - Ênfase1 8 2 2" xfId="4977" xr:uid="{00000000-0005-0000-0000-000095130000}"/>
    <cellStyle name="40% - Ênfase1 8 2 2 2" xfId="25449" xr:uid="{00000000-0005-0000-0000-000096130000}"/>
    <cellStyle name="40% - Ênfase1 8 2 2 2 2" xfId="26699" xr:uid="{00000000-0005-0000-0000-000097130000}"/>
    <cellStyle name="40% - Ênfase1 8 2 2 3" xfId="26698" xr:uid="{00000000-0005-0000-0000-000098130000}"/>
    <cellStyle name="40% - Ênfase1 8 2 3" xfId="25450" xr:uid="{00000000-0005-0000-0000-000099130000}"/>
    <cellStyle name="40% - Ênfase1 8 2 3 2" xfId="26700" xr:uid="{00000000-0005-0000-0000-00009A130000}"/>
    <cellStyle name="40% - Ênfase1 8 2 4" xfId="26697" xr:uid="{00000000-0005-0000-0000-00009B130000}"/>
    <cellStyle name="40% - Ênfase1 8 3" xfId="4978" xr:uid="{00000000-0005-0000-0000-00009C130000}"/>
    <cellStyle name="40% - Ênfase1 8 3 2" xfId="4979" xr:uid="{00000000-0005-0000-0000-00009D130000}"/>
    <cellStyle name="40% - Ênfase1 8 3 2 2" xfId="26702" xr:uid="{00000000-0005-0000-0000-00009E130000}"/>
    <cellStyle name="40% - Ênfase1 8 3 3" xfId="26701" xr:uid="{00000000-0005-0000-0000-00009F130000}"/>
    <cellStyle name="40% - Ênfase1 8 4" xfId="4980" xr:uid="{00000000-0005-0000-0000-0000A0130000}"/>
    <cellStyle name="40% - Ênfase1 8 4 2" xfId="4981" xr:uid="{00000000-0005-0000-0000-0000A1130000}"/>
    <cellStyle name="40% - Ênfase1 8 5" xfId="4982" xr:uid="{00000000-0005-0000-0000-0000A2130000}"/>
    <cellStyle name="40% - Ênfase1 8 5 2" xfId="4983" xr:uid="{00000000-0005-0000-0000-0000A3130000}"/>
    <cellStyle name="40% - Ênfase1 8 6" xfId="4984" xr:uid="{00000000-0005-0000-0000-0000A4130000}"/>
    <cellStyle name="40% - Ênfase1 8 6 2" xfId="4985" xr:uid="{00000000-0005-0000-0000-0000A5130000}"/>
    <cellStyle name="40% - Ênfase1 8 7" xfId="4986" xr:uid="{00000000-0005-0000-0000-0000A6130000}"/>
    <cellStyle name="40% - Ênfase1 8 7 2" xfId="4987" xr:uid="{00000000-0005-0000-0000-0000A7130000}"/>
    <cellStyle name="40% - Ênfase1 8 8" xfId="4988" xr:uid="{00000000-0005-0000-0000-0000A8130000}"/>
    <cellStyle name="40% - Ênfase1 8 8 2" xfId="4989" xr:uid="{00000000-0005-0000-0000-0000A9130000}"/>
    <cellStyle name="40% - Ênfase1 8 9" xfId="4990" xr:uid="{00000000-0005-0000-0000-0000AA130000}"/>
    <cellStyle name="40% - Ênfase1 8 9 2" xfId="4991" xr:uid="{00000000-0005-0000-0000-0000AB130000}"/>
    <cellStyle name="40% - Ênfase1 9" xfId="4992" xr:uid="{00000000-0005-0000-0000-0000AC130000}"/>
    <cellStyle name="40% - Ênfase1 9 10" xfId="4993" xr:uid="{00000000-0005-0000-0000-0000AD130000}"/>
    <cellStyle name="40% - Ênfase1 9 10 2" xfId="4994" xr:uid="{00000000-0005-0000-0000-0000AE130000}"/>
    <cellStyle name="40% - Ênfase1 9 11" xfId="4995" xr:uid="{00000000-0005-0000-0000-0000AF130000}"/>
    <cellStyle name="40% - Ênfase1 9 12" xfId="4996" xr:uid="{00000000-0005-0000-0000-0000B0130000}"/>
    <cellStyle name="40% - Ênfase1 9 2" xfId="4997" xr:uid="{00000000-0005-0000-0000-0000B1130000}"/>
    <cellStyle name="40% - Ênfase1 9 2 2" xfId="4998" xr:uid="{00000000-0005-0000-0000-0000B2130000}"/>
    <cellStyle name="40% - Ênfase1 9 2 2 2" xfId="26704" xr:uid="{00000000-0005-0000-0000-0000B3130000}"/>
    <cellStyle name="40% - Ênfase1 9 2 3" xfId="26703" xr:uid="{00000000-0005-0000-0000-0000B4130000}"/>
    <cellStyle name="40% - Ênfase1 9 3" xfId="4999" xr:uid="{00000000-0005-0000-0000-0000B5130000}"/>
    <cellStyle name="40% - Ênfase1 9 3 2" xfId="5000" xr:uid="{00000000-0005-0000-0000-0000B6130000}"/>
    <cellStyle name="40% - Ênfase1 9 4" xfId="5001" xr:uid="{00000000-0005-0000-0000-0000B7130000}"/>
    <cellStyle name="40% - Ênfase1 9 4 2" xfId="5002" xr:uid="{00000000-0005-0000-0000-0000B8130000}"/>
    <cellStyle name="40% - Ênfase1 9 5" xfId="5003" xr:uid="{00000000-0005-0000-0000-0000B9130000}"/>
    <cellStyle name="40% - Ênfase1 9 5 2" xfId="5004" xr:uid="{00000000-0005-0000-0000-0000BA130000}"/>
    <cellStyle name="40% - Ênfase1 9 6" xfId="5005" xr:uid="{00000000-0005-0000-0000-0000BB130000}"/>
    <cellStyle name="40% - Ênfase1 9 6 2" xfId="5006" xr:uid="{00000000-0005-0000-0000-0000BC130000}"/>
    <cellStyle name="40% - Ênfase1 9 7" xfId="5007" xr:uid="{00000000-0005-0000-0000-0000BD130000}"/>
    <cellStyle name="40% - Ênfase1 9 7 2" xfId="5008" xr:uid="{00000000-0005-0000-0000-0000BE130000}"/>
    <cellStyle name="40% - Ênfase1 9 8" xfId="5009" xr:uid="{00000000-0005-0000-0000-0000BF130000}"/>
    <cellStyle name="40% - Ênfase1 9 8 2" xfId="5010" xr:uid="{00000000-0005-0000-0000-0000C0130000}"/>
    <cellStyle name="40% - Ênfase1 9 9" xfId="5011" xr:uid="{00000000-0005-0000-0000-0000C1130000}"/>
    <cellStyle name="40% - Ênfase1 9 9 2" xfId="5012" xr:uid="{00000000-0005-0000-0000-0000C2130000}"/>
    <cellStyle name="40% - Ênfase2" xfId="34" builtinId="35" customBuiltin="1"/>
    <cellStyle name="40% - Ênfase2 10" xfId="5013" xr:uid="{00000000-0005-0000-0000-0000C4130000}"/>
    <cellStyle name="40% - Ênfase2 10 2" xfId="5014" xr:uid="{00000000-0005-0000-0000-0000C5130000}"/>
    <cellStyle name="40% - Ênfase2 10 2 2" xfId="5015" xr:uid="{00000000-0005-0000-0000-0000C6130000}"/>
    <cellStyle name="40% - Ênfase2 10 2 2 2" xfId="26706" xr:uid="{00000000-0005-0000-0000-0000C7130000}"/>
    <cellStyle name="40% - Ênfase2 10 2 3" xfId="26705" xr:uid="{00000000-0005-0000-0000-0000C8130000}"/>
    <cellStyle name="40% - Ênfase2 10 3" xfId="5016" xr:uid="{00000000-0005-0000-0000-0000C9130000}"/>
    <cellStyle name="40% - Ênfase2 10 3 2" xfId="5017" xr:uid="{00000000-0005-0000-0000-0000CA130000}"/>
    <cellStyle name="40% - Ênfase2 10 4" xfId="5018" xr:uid="{00000000-0005-0000-0000-0000CB130000}"/>
    <cellStyle name="40% - Ênfase2 10 4 2" xfId="5019" xr:uid="{00000000-0005-0000-0000-0000CC130000}"/>
    <cellStyle name="40% - Ênfase2 10 5" xfId="5020" xr:uid="{00000000-0005-0000-0000-0000CD130000}"/>
    <cellStyle name="40% - Ênfase2 10 5 2" xfId="5021" xr:uid="{00000000-0005-0000-0000-0000CE130000}"/>
    <cellStyle name="40% - Ênfase2 10 6" xfId="5022" xr:uid="{00000000-0005-0000-0000-0000CF130000}"/>
    <cellStyle name="40% - Ênfase2 11" xfId="5023" xr:uid="{00000000-0005-0000-0000-0000D0130000}"/>
    <cellStyle name="40% - Ênfase2 11 2" xfId="5024" xr:uid="{00000000-0005-0000-0000-0000D1130000}"/>
    <cellStyle name="40% - Ênfase2 11 2 2" xfId="5025" xr:uid="{00000000-0005-0000-0000-0000D2130000}"/>
    <cellStyle name="40% - Ênfase2 11 2 3" xfId="26707" xr:uid="{00000000-0005-0000-0000-0000D3130000}"/>
    <cellStyle name="40% - Ênfase2 11 3" xfId="5026" xr:uid="{00000000-0005-0000-0000-0000D4130000}"/>
    <cellStyle name="40% - Ênfase2 11 3 2" xfId="5027" xr:uid="{00000000-0005-0000-0000-0000D5130000}"/>
    <cellStyle name="40% - Ênfase2 11 4" xfId="5028" xr:uid="{00000000-0005-0000-0000-0000D6130000}"/>
    <cellStyle name="40% - Ênfase2 11 4 2" xfId="5029" xr:uid="{00000000-0005-0000-0000-0000D7130000}"/>
    <cellStyle name="40% - Ênfase2 11 5" xfId="5030" xr:uid="{00000000-0005-0000-0000-0000D8130000}"/>
    <cellStyle name="40% - Ênfase2 11 5 2" xfId="5031" xr:uid="{00000000-0005-0000-0000-0000D9130000}"/>
    <cellStyle name="40% - Ênfase2 11 6" xfId="5032" xr:uid="{00000000-0005-0000-0000-0000DA130000}"/>
    <cellStyle name="40% - Ênfase2 11 7" xfId="25451" xr:uid="{00000000-0005-0000-0000-0000DB130000}"/>
    <cellStyle name="40% - Ênfase2 12" xfId="5033" xr:uid="{00000000-0005-0000-0000-0000DC130000}"/>
    <cellStyle name="40% - Ênfase2 12 2" xfId="5034" xr:uid="{00000000-0005-0000-0000-0000DD130000}"/>
    <cellStyle name="40% - Ênfase2 12 2 2" xfId="5035" xr:uid="{00000000-0005-0000-0000-0000DE130000}"/>
    <cellStyle name="40% - Ênfase2 12 2 2 2" xfId="26709" xr:uid="{00000000-0005-0000-0000-0000DF130000}"/>
    <cellStyle name="40% - Ênfase2 12 2 3" xfId="26708" xr:uid="{00000000-0005-0000-0000-0000E0130000}"/>
    <cellStyle name="40% - Ênfase2 12 3" xfId="5036" xr:uid="{00000000-0005-0000-0000-0000E1130000}"/>
    <cellStyle name="40% - Ênfase2 12 3 2" xfId="5037" xr:uid="{00000000-0005-0000-0000-0000E2130000}"/>
    <cellStyle name="40% - Ênfase2 12 4" xfId="5038" xr:uid="{00000000-0005-0000-0000-0000E3130000}"/>
    <cellStyle name="40% - Ênfase2 12 4 2" xfId="5039" xr:uid="{00000000-0005-0000-0000-0000E4130000}"/>
    <cellStyle name="40% - Ênfase2 12 5" xfId="5040" xr:uid="{00000000-0005-0000-0000-0000E5130000}"/>
    <cellStyle name="40% - Ênfase2 12 5 2" xfId="5041" xr:uid="{00000000-0005-0000-0000-0000E6130000}"/>
    <cellStyle name="40% - Ênfase2 12 6" xfId="5042" xr:uid="{00000000-0005-0000-0000-0000E7130000}"/>
    <cellStyle name="40% - Ênfase2 13" xfId="5043" xr:uid="{00000000-0005-0000-0000-0000E8130000}"/>
    <cellStyle name="40% - Ênfase2 13 2" xfId="5044" xr:uid="{00000000-0005-0000-0000-0000E9130000}"/>
    <cellStyle name="40% - Ênfase2 14" xfId="5045" xr:uid="{00000000-0005-0000-0000-0000EA130000}"/>
    <cellStyle name="40% - Ênfase2 14 2" xfId="5046" xr:uid="{00000000-0005-0000-0000-0000EB130000}"/>
    <cellStyle name="40% - Ênfase2 15" xfId="5047" xr:uid="{00000000-0005-0000-0000-0000EC130000}"/>
    <cellStyle name="40% - Ênfase2 15 2" xfId="5048" xr:uid="{00000000-0005-0000-0000-0000ED130000}"/>
    <cellStyle name="40% - Ênfase2 16" xfId="5049" xr:uid="{00000000-0005-0000-0000-0000EE130000}"/>
    <cellStyle name="40% - Ênfase2 16 2" xfId="5050" xr:uid="{00000000-0005-0000-0000-0000EF130000}"/>
    <cellStyle name="40% - Ênfase2 17" xfId="5051" xr:uid="{00000000-0005-0000-0000-0000F0130000}"/>
    <cellStyle name="40% - Ênfase2 17 2" xfId="5052" xr:uid="{00000000-0005-0000-0000-0000F1130000}"/>
    <cellStyle name="40% - Ênfase2 18" xfId="5053" xr:uid="{00000000-0005-0000-0000-0000F2130000}"/>
    <cellStyle name="40% - Ênfase2 18 2" xfId="5054" xr:uid="{00000000-0005-0000-0000-0000F3130000}"/>
    <cellStyle name="40% - Ênfase2 19" xfId="5055" xr:uid="{00000000-0005-0000-0000-0000F4130000}"/>
    <cellStyle name="40% - Ênfase2 19 2" xfId="5056" xr:uid="{00000000-0005-0000-0000-0000F5130000}"/>
    <cellStyle name="40% - Ênfase2 2" xfId="5057" xr:uid="{00000000-0005-0000-0000-0000F6130000}"/>
    <cellStyle name="40% - Ênfase2 2 2" xfId="5058" xr:uid="{00000000-0005-0000-0000-0000F7130000}"/>
    <cellStyle name="40% - Ênfase2 2 2 10" xfId="5059" xr:uid="{00000000-0005-0000-0000-0000F8130000}"/>
    <cellStyle name="40% - Ênfase2 2 2 10 2" xfId="5060" xr:uid="{00000000-0005-0000-0000-0000F9130000}"/>
    <cellStyle name="40% - Ênfase2 2 2 11" xfId="5061" xr:uid="{00000000-0005-0000-0000-0000FA130000}"/>
    <cellStyle name="40% - Ênfase2 2 2 11 2" xfId="5062" xr:uid="{00000000-0005-0000-0000-0000FB130000}"/>
    <cellStyle name="40% - Ênfase2 2 2 12" xfId="5063" xr:uid="{00000000-0005-0000-0000-0000FC130000}"/>
    <cellStyle name="40% - Ênfase2 2 2 12 2" xfId="5064" xr:uid="{00000000-0005-0000-0000-0000FD130000}"/>
    <cellStyle name="40% - Ênfase2 2 2 2" xfId="5065" xr:uid="{00000000-0005-0000-0000-0000FE130000}"/>
    <cellStyle name="40% - Ênfase2 2 2 2 10" xfId="5066" xr:uid="{00000000-0005-0000-0000-0000FF130000}"/>
    <cellStyle name="40% - Ênfase2 2 2 2 11" xfId="5067" xr:uid="{00000000-0005-0000-0000-000000140000}"/>
    <cellStyle name="40% - Ênfase2 2 2 2 2" xfId="5068" xr:uid="{00000000-0005-0000-0000-000001140000}"/>
    <cellStyle name="40% - Ênfase2 2 2 2 2 2" xfId="25453" xr:uid="{00000000-0005-0000-0000-000002140000}"/>
    <cellStyle name="40% - Ênfase2 2 2 2 2 2 2" xfId="26714" xr:uid="{00000000-0005-0000-0000-000003140000}"/>
    <cellStyle name="40% - Ênfase2 2 2 2 2 3" xfId="26713" xr:uid="{00000000-0005-0000-0000-000004140000}"/>
    <cellStyle name="40% - Ênfase2 2 2 2 2 4" xfId="25452" xr:uid="{00000000-0005-0000-0000-000005140000}"/>
    <cellStyle name="40% - Ênfase2 2 2 2 3" xfId="5069" xr:uid="{00000000-0005-0000-0000-000006140000}"/>
    <cellStyle name="40% - Ênfase2 2 2 2 3 2" xfId="26715" xr:uid="{00000000-0005-0000-0000-000007140000}"/>
    <cellStyle name="40% - Ênfase2 2 2 2 3 3" xfId="25454" xr:uid="{00000000-0005-0000-0000-000008140000}"/>
    <cellStyle name="40% - Ênfase2 2 2 2 4" xfId="5070" xr:uid="{00000000-0005-0000-0000-000009140000}"/>
    <cellStyle name="40% - Ênfase2 2 2 2 4 2" xfId="26712" xr:uid="{00000000-0005-0000-0000-00000A140000}"/>
    <cellStyle name="40% - Ênfase2 2 2 2 5" xfId="5071" xr:uid="{00000000-0005-0000-0000-00000B140000}"/>
    <cellStyle name="40% - Ênfase2 2 2 2 6" xfId="5072" xr:uid="{00000000-0005-0000-0000-00000C140000}"/>
    <cellStyle name="40% - Ênfase2 2 2 2 7" xfId="5073" xr:uid="{00000000-0005-0000-0000-00000D140000}"/>
    <cellStyle name="40% - Ênfase2 2 2 2 8" xfId="5074" xr:uid="{00000000-0005-0000-0000-00000E140000}"/>
    <cellStyle name="40% - Ênfase2 2 2 2 9" xfId="5075" xr:uid="{00000000-0005-0000-0000-00000F140000}"/>
    <cellStyle name="40% - Ênfase2 2 2 3" xfId="5076" xr:uid="{00000000-0005-0000-0000-000010140000}"/>
    <cellStyle name="40% - Ênfase2 2 2 3 2" xfId="25456" xr:uid="{00000000-0005-0000-0000-000011140000}"/>
    <cellStyle name="40% - Ênfase2 2 2 3 2 2" xfId="25457" xr:uid="{00000000-0005-0000-0000-000012140000}"/>
    <cellStyle name="40% - Ênfase2 2 2 3 2 2 2" xfId="26718" xr:uid="{00000000-0005-0000-0000-000013140000}"/>
    <cellStyle name="40% - Ênfase2 2 2 3 2 3" xfId="26717" xr:uid="{00000000-0005-0000-0000-000014140000}"/>
    <cellStyle name="40% - Ênfase2 2 2 3 3" xfId="25458" xr:uid="{00000000-0005-0000-0000-000015140000}"/>
    <cellStyle name="40% - Ênfase2 2 2 3 3 2" xfId="26719" xr:uid="{00000000-0005-0000-0000-000016140000}"/>
    <cellStyle name="40% - Ênfase2 2 2 3 4" xfId="26716" xr:uid="{00000000-0005-0000-0000-000017140000}"/>
    <cellStyle name="40% - Ênfase2 2 2 3 5" xfId="25455" xr:uid="{00000000-0005-0000-0000-000018140000}"/>
    <cellStyle name="40% - Ênfase2 2 2 4" xfId="5077" xr:uid="{00000000-0005-0000-0000-000019140000}"/>
    <cellStyle name="40% - Ênfase2 2 2 4 2" xfId="26720" xr:uid="{00000000-0005-0000-0000-00001A140000}"/>
    <cellStyle name="40% - Ênfase2 2 2 5" xfId="5078" xr:uid="{00000000-0005-0000-0000-00001B140000}"/>
    <cellStyle name="40% - Ênfase2 2 2 5 2" xfId="5079" xr:uid="{00000000-0005-0000-0000-00001C140000}"/>
    <cellStyle name="40% - Ênfase2 2 2 5 3" xfId="26711" xr:uid="{00000000-0005-0000-0000-00001D140000}"/>
    <cellStyle name="40% - Ênfase2 2 2 6" xfId="5080" xr:uid="{00000000-0005-0000-0000-00001E140000}"/>
    <cellStyle name="40% - Ênfase2 2 2 6 2" xfId="5081" xr:uid="{00000000-0005-0000-0000-00001F140000}"/>
    <cellStyle name="40% - Ênfase2 2 2 7" xfId="5082" xr:uid="{00000000-0005-0000-0000-000020140000}"/>
    <cellStyle name="40% - Ênfase2 2 2 7 2" xfId="5083" xr:uid="{00000000-0005-0000-0000-000021140000}"/>
    <cellStyle name="40% - Ênfase2 2 2 8" xfId="5084" xr:uid="{00000000-0005-0000-0000-000022140000}"/>
    <cellStyle name="40% - Ênfase2 2 2 8 2" xfId="5085" xr:uid="{00000000-0005-0000-0000-000023140000}"/>
    <cellStyle name="40% - Ênfase2 2 2 9" xfId="5086" xr:uid="{00000000-0005-0000-0000-000024140000}"/>
    <cellStyle name="40% - Ênfase2 2 2 9 2" xfId="5087" xr:uid="{00000000-0005-0000-0000-000025140000}"/>
    <cellStyle name="40% - Ênfase2 2 3" xfId="5088" xr:uid="{00000000-0005-0000-0000-000026140000}"/>
    <cellStyle name="40% - Ênfase2 2 3 2" xfId="25460" xr:uid="{00000000-0005-0000-0000-000027140000}"/>
    <cellStyle name="40% - Ênfase2 2 3 2 2" xfId="25461" xr:uid="{00000000-0005-0000-0000-000028140000}"/>
    <cellStyle name="40% - Ênfase2 2 3 2 2 2" xfId="26723" xr:uid="{00000000-0005-0000-0000-000029140000}"/>
    <cellStyle name="40% - Ênfase2 2 3 2 3" xfId="26722" xr:uid="{00000000-0005-0000-0000-00002A140000}"/>
    <cellStyle name="40% - Ênfase2 2 3 3" xfId="25462" xr:uid="{00000000-0005-0000-0000-00002B140000}"/>
    <cellStyle name="40% - Ênfase2 2 3 3 2" xfId="26724" xr:uid="{00000000-0005-0000-0000-00002C140000}"/>
    <cellStyle name="40% - Ênfase2 2 3 4" xfId="26721" xr:uid="{00000000-0005-0000-0000-00002D140000}"/>
    <cellStyle name="40% - Ênfase2 2 3 5" xfId="25459" xr:uid="{00000000-0005-0000-0000-00002E140000}"/>
    <cellStyle name="40% - Ênfase2 2 4" xfId="5089" xr:uid="{00000000-0005-0000-0000-00002F140000}"/>
    <cellStyle name="40% - Ênfase2 2 4 2" xfId="25464" xr:uid="{00000000-0005-0000-0000-000030140000}"/>
    <cellStyle name="40% - Ênfase2 2 4 2 2" xfId="25465" xr:uid="{00000000-0005-0000-0000-000031140000}"/>
    <cellStyle name="40% - Ênfase2 2 4 2 2 2" xfId="26727" xr:uid="{00000000-0005-0000-0000-000032140000}"/>
    <cellStyle name="40% - Ênfase2 2 4 2 3" xfId="26726" xr:uid="{00000000-0005-0000-0000-000033140000}"/>
    <cellStyle name="40% - Ênfase2 2 4 3" xfId="25466" xr:uid="{00000000-0005-0000-0000-000034140000}"/>
    <cellStyle name="40% - Ênfase2 2 4 3 2" xfId="26728" xr:uid="{00000000-0005-0000-0000-000035140000}"/>
    <cellStyle name="40% - Ênfase2 2 4 4" xfId="26725" xr:uid="{00000000-0005-0000-0000-000036140000}"/>
    <cellStyle name="40% - Ênfase2 2 4 5" xfId="25463" xr:uid="{00000000-0005-0000-0000-000037140000}"/>
    <cellStyle name="40% - Ênfase2 2 5" xfId="5090" xr:uid="{00000000-0005-0000-0000-000038140000}"/>
    <cellStyle name="40% - Ênfase2 2 5 10" xfId="5091" xr:uid="{00000000-0005-0000-0000-000039140000}"/>
    <cellStyle name="40% - Ênfase2 2 5 10 2" xfId="5092" xr:uid="{00000000-0005-0000-0000-00003A140000}"/>
    <cellStyle name="40% - Ênfase2 2 5 2" xfId="5093" xr:uid="{00000000-0005-0000-0000-00003B140000}"/>
    <cellStyle name="40% - Ênfase2 2 5 2 2" xfId="5094" xr:uid="{00000000-0005-0000-0000-00003C140000}"/>
    <cellStyle name="40% - Ênfase2 2 5 3" xfId="5095" xr:uid="{00000000-0005-0000-0000-00003D140000}"/>
    <cellStyle name="40% - Ênfase2 2 5 3 2" xfId="5096" xr:uid="{00000000-0005-0000-0000-00003E140000}"/>
    <cellStyle name="40% - Ênfase2 2 5 4" xfId="5097" xr:uid="{00000000-0005-0000-0000-00003F140000}"/>
    <cellStyle name="40% - Ênfase2 2 5 4 2" xfId="5098" xr:uid="{00000000-0005-0000-0000-000040140000}"/>
    <cellStyle name="40% - Ênfase2 2 5 5" xfId="5099" xr:uid="{00000000-0005-0000-0000-000041140000}"/>
    <cellStyle name="40% - Ênfase2 2 5 5 2" xfId="5100" xr:uid="{00000000-0005-0000-0000-000042140000}"/>
    <cellStyle name="40% - Ênfase2 2 5 6" xfId="5101" xr:uid="{00000000-0005-0000-0000-000043140000}"/>
    <cellStyle name="40% - Ênfase2 2 5 6 2" xfId="5102" xr:uid="{00000000-0005-0000-0000-000044140000}"/>
    <cellStyle name="40% - Ênfase2 2 5 7" xfId="5103" xr:uid="{00000000-0005-0000-0000-000045140000}"/>
    <cellStyle name="40% - Ênfase2 2 5 7 2" xfId="5104" xr:uid="{00000000-0005-0000-0000-000046140000}"/>
    <cellStyle name="40% - Ênfase2 2 5 8" xfId="5105" xr:uid="{00000000-0005-0000-0000-000047140000}"/>
    <cellStyle name="40% - Ênfase2 2 5 8 2" xfId="5106" xr:uid="{00000000-0005-0000-0000-000048140000}"/>
    <cellStyle name="40% - Ênfase2 2 5 9" xfId="5107" xr:uid="{00000000-0005-0000-0000-000049140000}"/>
    <cellStyle name="40% - Ênfase2 2 5 9 2" xfId="5108" xr:uid="{00000000-0005-0000-0000-00004A140000}"/>
    <cellStyle name="40% - Ênfase2 2 6" xfId="5109" xr:uid="{00000000-0005-0000-0000-00004B140000}"/>
    <cellStyle name="40% - Ênfase2 2 6 2" xfId="5110" xr:uid="{00000000-0005-0000-0000-00004C140000}"/>
    <cellStyle name="40% - Ênfase2 2 6 2 2" xfId="5111" xr:uid="{00000000-0005-0000-0000-00004D140000}"/>
    <cellStyle name="40% - Ênfase2 2 6 3" xfId="5112" xr:uid="{00000000-0005-0000-0000-00004E140000}"/>
    <cellStyle name="40% - Ênfase2 2 6 3 2" xfId="5113" xr:uid="{00000000-0005-0000-0000-00004F140000}"/>
    <cellStyle name="40% - Ênfase2 2 6 4" xfId="5114" xr:uid="{00000000-0005-0000-0000-000050140000}"/>
    <cellStyle name="40% - Ênfase2 2 6 4 2" xfId="5115" xr:uid="{00000000-0005-0000-0000-000051140000}"/>
    <cellStyle name="40% - Ênfase2 2 6 5" xfId="5116" xr:uid="{00000000-0005-0000-0000-000052140000}"/>
    <cellStyle name="40% - Ênfase2 2 6 5 2" xfId="5117" xr:uid="{00000000-0005-0000-0000-000053140000}"/>
    <cellStyle name="40% - Ênfase2 2 6 6" xfId="5118" xr:uid="{00000000-0005-0000-0000-000054140000}"/>
    <cellStyle name="40% - Ênfase2 2 7" xfId="26710" xr:uid="{00000000-0005-0000-0000-000055140000}"/>
    <cellStyle name="40% - Ênfase2 20" xfId="5119" xr:uid="{00000000-0005-0000-0000-000056140000}"/>
    <cellStyle name="40% - Ênfase2 20 2" xfId="5120" xr:uid="{00000000-0005-0000-0000-000057140000}"/>
    <cellStyle name="40% - Ênfase2 21" xfId="5121" xr:uid="{00000000-0005-0000-0000-000058140000}"/>
    <cellStyle name="40% - Ênfase2 21 2" xfId="5122" xr:uid="{00000000-0005-0000-0000-000059140000}"/>
    <cellStyle name="40% - Ênfase2 22" xfId="5123" xr:uid="{00000000-0005-0000-0000-00005A140000}"/>
    <cellStyle name="40% - Ênfase2 22 2" xfId="5124" xr:uid="{00000000-0005-0000-0000-00005B140000}"/>
    <cellStyle name="40% - Ênfase2 23" xfId="5125" xr:uid="{00000000-0005-0000-0000-00005C140000}"/>
    <cellStyle name="40% - Ênfase2 23 2" xfId="5126" xr:uid="{00000000-0005-0000-0000-00005D140000}"/>
    <cellStyle name="40% - Ênfase2 24" xfId="5127" xr:uid="{00000000-0005-0000-0000-00005E140000}"/>
    <cellStyle name="40% - Ênfase2 24 2" xfId="5128" xr:uid="{00000000-0005-0000-0000-00005F140000}"/>
    <cellStyle name="40% - Ênfase2 25" xfId="5129" xr:uid="{00000000-0005-0000-0000-000060140000}"/>
    <cellStyle name="40% - Ênfase2 25 2" xfId="5130" xr:uid="{00000000-0005-0000-0000-000061140000}"/>
    <cellStyle name="40% - Ênfase2 26" xfId="5131" xr:uid="{00000000-0005-0000-0000-000062140000}"/>
    <cellStyle name="40% - Ênfase2 26 2" xfId="5132" xr:uid="{00000000-0005-0000-0000-000063140000}"/>
    <cellStyle name="40% - Ênfase2 27" xfId="5133" xr:uid="{00000000-0005-0000-0000-000064140000}"/>
    <cellStyle name="40% - Ênfase2 27 2" xfId="5134" xr:uid="{00000000-0005-0000-0000-000065140000}"/>
    <cellStyle name="40% - Ênfase2 28" xfId="5135" xr:uid="{00000000-0005-0000-0000-000066140000}"/>
    <cellStyle name="40% - Ênfase2 28 2" xfId="5136" xr:uid="{00000000-0005-0000-0000-000067140000}"/>
    <cellStyle name="40% - Ênfase2 29" xfId="5137" xr:uid="{00000000-0005-0000-0000-000068140000}"/>
    <cellStyle name="40% - Ênfase2 29 2" xfId="5138" xr:uid="{00000000-0005-0000-0000-000069140000}"/>
    <cellStyle name="40% - Ênfase2 3" xfId="5139" xr:uid="{00000000-0005-0000-0000-00006A140000}"/>
    <cellStyle name="40% - Ênfase2 3 2" xfId="5140" xr:uid="{00000000-0005-0000-0000-00006B140000}"/>
    <cellStyle name="40% - Ênfase2 3 2 10" xfId="5141" xr:uid="{00000000-0005-0000-0000-00006C140000}"/>
    <cellStyle name="40% - Ênfase2 3 2 10 2" xfId="5142" xr:uid="{00000000-0005-0000-0000-00006D140000}"/>
    <cellStyle name="40% - Ênfase2 3 2 11" xfId="5143" xr:uid="{00000000-0005-0000-0000-00006E140000}"/>
    <cellStyle name="40% - Ênfase2 3 2 11 2" xfId="5144" xr:uid="{00000000-0005-0000-0000-00006F140000}"/>
    <cellStyle name="40% - Ênfase2 3 2 12" xfId="5145" xr:uid="{00000000-0005-0000-0000-000070140000}"/>
    <cellStyle name="40% - Ênfase2 3 2 12 2" xfId="5146" xr:uid="{00000000-0005-0000-0000-000071140000}"/>
    <cellStyle name="40% - Ênfase2 3 2 2" xfId="5147" xr:uid="{00000000-0005-0000-0000-000072140000}"/>
    <cellStyle name="40% - Ênfase2 3 2 2 10" xfId="5148" xr:uid="{00000000-0005-0000-0000-000073140000}"/>
    <cellStyle name="40% - Ênfase2 3 2 2 11" xfId="5149" xr:uid="{00000000-0005-0000-0000-000074140000}"/>
    <cellStyle name="40% - Ênfase2 3 2 2 2" xfId="5150" xr:uid="{00000000-0005-0000-0000-000075140000}"/>
    <cellStyle name="40% - Ênfase2 3 2 2 2 2" xfId="25468" xr:uid="{00000000-0005-0000-0000-000076140000}"/>
    <cellStyle name="40% - Ênfase2 3 2 2 2 2 2" xfId="26732" xr:uid="{00000000-0005-0000-0000-000077140000}"/>
    <cellStyle name="40% - Ênfase2 3 2 2 2 3" xfId="26731" xr:uid="{00000000-0005-0000-0000-000078140000}"/>
    <cellStyle name="40% - Ênfase2 3 2 2 2 4" xfId="25467" xr:uid="{00000000-0005-0000-0000-000079140000}"/>
    <cellStyle name="40% - Ênfase2 3 2 2 3" xfId="5151" xr:uid="{00000000-0005-0000-0000-00007A140000}"/>
    <cellStyle name="40% - Ênfase2 3 2 2 3 2" xfId="26733" xr:uid="{00000000-0005-0000-0000-00007B140000}"/>
    <cellStyle name="40% - Ênfase2 3 2 2 3 3" xfId="25469" xr:uid="{00000000-0005-0000-0000-00007C140000}"/>
    <cellStyle name="40% - Ênfase2 3 2 2 4" xfId="5152" xr:uid="{00000000-0005-0000-0000-00007D140000}"/>
    <cellStyle name="40% - Ênfase2 3 2 2 4 2" xfId="26730" xr:uid="{00000000-0005-0000-0000-00007E140000}"/>
    <cellStyle name="40% - Ênfase2 3 2 2 5" xfId="5153" xr:uid="{00000000-0005-0000-0000-00007F140000}"/>
    <cellStyle name="40% - Ênfase2 3 2 2 6" xfId="5154" xr:uid="{00000000-0005-0000-0000-000080140000}"/>
    <cellStyle name="40% - Ênfase2 3 2 2 7" xfId="5155" xr:uid="{00000000-0005-0000-0000-000081140000}"/>
    <cellStyle name="40% - Ênfase2 3 2 2 8" xfId="5156" xr:uid="{00000000-0005-0000-0000-000082140000}"/>
    <cellStyle name="40% - Ênfase2 3 2 2 9" xfId="5157" xr:uid="{00000000-0005-0000-0000-000083140000}"/>
    <cellStyle name="40% - Ênfase2 3 2 3" xfId="5158" xr:uid="{00000000-0005-0000-0000-000084140000}"/>
    <cellStyle name="40% - Ênfase2 3 2 3 2" xfId="25471" xr:uid="{00000000-0005-0000-0000-000085140000}"/>
    <cellStyle name="40% - Ênfase2 3 2 3 2 2" xfId="26735" xr:uid="{00000000-0005-0000-0000-000086140000}"/>
    <cellStyle name="40% - Ênfase2 3 2 3 3" xfId="26734" xr:uid="{00000000-0005-0000-0000-000087140000}"/>
    <cellStyle name="40% - Ênfase2 3 2 3 4" xfId="25470" xr:uid="{00000000-0005-0000-0000-000088140000}"/>
    <cellStyle name="40% - Ênfase2 3 2 4" xfId="5159" xr:uid="{00000000-0005-0000-0000-000089140000}"/>
    <cellStyle name="40% - Ênfase2 3 2 4 2" xfId="26736" xr:uid="{00000000-0005-0000-0000-00008A140000}"/>
    <cellStyle name="40% - Ênfase2 3 2 4 3" xfId="25472" xr:uid="{00000000-0005-0000-0000-00008B140000}"/>
    <cellStyle name="40% - Ênfase2 3 2 5" xfId="5160" xr:uid="{00000000-0005-0000-0000-00008C140000}"/>
    <cellStyle name="40% - Ênfase2 3 2 5 2" xfId="5161" xr:uid="{00000000-0005-0000-0000-00008D140000}"/>
    <cellStyle name="40% - Ênfase2 3 2 6" xfId="5162" xr:uid="{00000000-0005-0000-0000-00008E140000}"/>
    <cellStyle name="40% - Ênfase2 3 2 6 2" xfId="5163" xr:uid="{00000000-0005-0000-0000-00008F140000}"/>
    <cellStyle name="40% - Ênfase2 3 2 7" xfId="5164" xr:uid="{00000000-0005-0000-0000-000090140000}"/>
    <cellStyle name="40% - Ênfase2 3 2 7 2" xfId="5165" xr:uid="{00000000-0005-0000-0000-000091140000}"/>
    <cellStyle name="40% - Ênfase2 3 2 8" xfId="5166" xr:uid="{00000000-0005-0000-0000-000092140000}"/>
    <cellStyle name="40% - Ênfase2 3 2 8 2" xfId="5167" xr:uid="{00000000-0005-0000-0000-000093140000}"/>
    <cellStyle name="40% - Ênfase2 3 2 9" xfId="5168" xr:uid="{00000000-0005-0000-0000-000094140000}"/>
    <cellStyle name="40% - Ênfase2 3 2 9 2" xfId="5169" xr:uid="{00000000-0005-0000-0000-000095140000}"/>
    <cellStyle name="40% - Ênfase2 3 3" xfId="5170" xr:uid="{00000000-0005-0000-0000-000096140000}"/>
    <cellStyle name="40% - Ênfase2 3 3 2" xfId="25474" xr:uid="{00000000-0005-0000-0000-000097140000}"/>
    <cellStyle name="40% - Ênfase2 3 3 2 2" xfId="25475" xr:uid="{00000000-0005-0000-0000-000098140000}"/>
    <cellStyle name="40% - Ênfase2 3 3 2 2 2" xfId="26739" xr:uid="{00000000-0005-0000-0000-000099140000}"/>
    <cellStyle name="40% - Ênfase2 3 3 2 3" xfId="26738" xr:uid="{00000000-0005-0000-0000-00009A140000}"/>
    <cellStyle name="40% - Ênfase2 3 3 3" xfId="25476" xr:uid="{00000000-0005-0000-0000-00009B140000}"/>
    <cellStyle name="40% - Ênfase2 3 3 3 2" xfId="26740" xr:uid="{00000000-0005-0000-0000-00009C140000}"/>
    <cellStyle name="40% - Ênfase2 3 3 4" xfId="26737" xr:uid="{00000000-0005-0000-0000-00009D140000}"/>
    <cellStyle name="40% - Ênfase2 3 3 5" xfId="25473" xr:uid="{00000000-0005-0000-0000-00009E140000}"/>
    <cellStyle name="40% - Ênfase2 3 4" xfId="5171" xr:uid="{00000000-0005-0000-0000-00009F140000}"/>
    <cellStyle name="40% - Ênfase2 3 4 2" xfId="26741" xr:uid="{00000000-0005-0000-0000-0000A0140000}"/>
    <cellStyle name="40% - Ênfase2 3 5" xfId="5172" xr:uid="{00000000-0005-0000-0000-0000A1140000}"/>
    <cellStyle name="40% - Ênfase2 3 5 10" xfId="5173" xr:uid="{00000000-0005-0000-0000-0000A2140000}"/>
    <cellStyle name="40% - Ênfase2 3 5 10 2" xfId="5174" xr:uid="{00000000-0005-0000-0000-0000A3140000}"/>
    <cellStyle name="40% - Ênfase2 3 5 2" xfId="5175" xr:uid="{00000000-0005-0000-0000-0000A4140000}"/>
    <cellStyle name="40% - Ênfase2 3 5 2 2" xfId="5176" xr:uid="{00000000-0005-0000-0000-0000A5140000}"/>
    <cellStyle name="40% - Ênfase2 3 5 3" xfId="5177" xr:uid="{00000000-0005-0000-0000-0000A6140000}"/>
    <cellStyle name="40% - Ênfase2 3 5 3 2" xfId="5178" xr:uid="{00000000-0005-0000-0000-0000A7140000}"/>
    <cellStyle name="40% - Ênfase2 3 5 4" xfId="5179" xr:uid="{00000000-0005-0000-0000-0000A8140000}"/>
    <cellStyle name="40% - Ênfase2 3 5 4 2" xfId="5180" xr:uid="{00000000-0005-0000-0000-0000A9140000}"/>
    <cellStyle name="40% - Ênfase2 3 5 5" xfId="5181" xr:uid="{00000000-0005-0000-0000-0000AA140000}"/>
    <cellStyle name="40% - Ênfase2 3 5 5 2" xfId="5182" xr:uid="{00000000-0005-0000-0000-0000AB140000}"/>
    <cellStyle name="40% - Ênfase2 3 5 6" xfId="5183" xr:uid="{00000000-0005-0000-0000-0000AC140000}"/>
    <cellStyle name="40% - Ênfase2 3 5 6 2" xfId="5184" xr:uid="{00000000-0005-0000-0000-0000AD140000}"/>
    <cellStyle name="40% - Ênfase2 3 5 7" xfId="5185" xr:uid="{00000000-0005-0000-0000-0000AE140000}"/>
    <cellStyle name="40% - Ênfase2 3 5 7 2" xfId="5186" xr:uid="{00000000-0005-0000-0000-0000AF140000}"/>
    <cellStyle name="40% - Ênfase2 3 5 8" xfId="5187" xr:uid="{00000000-0005-0000-0000-0000B0140000}"/>
    <cellStyle name="40% - Ênfase2 3 5 8 2" xfId="5188" xr:uid="{00000000-0005-0000-0000-0000B1140000}"/>
    <cellStyle name="40% - Ênfase2 3 5 9" xfId="5189" xr:uid="{00000000-0005-0000-0000-0000B2140000}"/>
    <cellStyle name="40% - Ênfase2 3 5 9 2" xfId="5190" xr:uid="{00000000-0005-0000-0000-0000B3140000}"/>
    <cellStyle name="40% - Ênfase2 3 6" xfId="5191" xr:uid="{00000000-0005-0000-0000-0000B4140000}"/>
    <cellStyle name="40% - Ênfase2 3 6 2" xfId="5192" xr:uid="{00000000-0005-0000-0000-0000B5140000}"/>
    <cellStyle name="40% - Ênfase2 3 6 2 2" xfId="5193" xr:uid="{00000000-0005-0000-0000-0000B6140000}"/>
    <cellStyle name="40% - Ênfase2 3 6 3" xfId="5194" xr:uid="{00000000-0005-0000-0000-0000B7140000}"/>
    <cellStyle name="40% - Ênfase2 3 6 3 2" xfId="5195" xr:uid="{00000000-0005-0000-0000-0000B8140000}"/>
    <cellStyle name="40% - Ênfase2 3 6 4" xfId="5196" xr:uid="{00000000-0005-0000-0000-0000B9140000}"/>
    <cellStyle name="40% - Ênfase2 3 6 4 2" xfId="5197" xr:uid="{00000000-0005-0000-0000-0000BA140000}"/>
    <cellStyle name="40% - Ênfase2 3 6 5" xfId="5198" xr:uid="{00000000-0005-0000-0000-0000BB140000}"/>
    <cellStyle name="40% - Ênfase2 3 6 5 2" xfId="5199" xr:uid="{00000000-0005-0000-0000-0000BC140000}"/>
    <cellStyle name="40% - Ênfase2 3 6 6" xfId="5200" xr:uid="{00000000-0005-0000-0000-0000BD140000}"/>
    <cellStyle name="40% - Ênfase2 3 7" xfId="25477" xr:uid="{00000000-0005-0000-0000-0000BE140000}"/>
    <cellStyle name="40% - Ênfase2 3 7 2" xfId="26742" xr:uid="{00000000-0005-0000-0000-0000BF140000}"/>
    <cellStyle name="40% - Ênfase2 3 8" xfId="26729" xr:uid="{00000000-0005-0000-0000-0000C0140000}"/>
    <cellStyle name="40% - Ênfase2 30" xfId="5201" xr:uid="{00000000-0005-0000-0000-0000C1140000}"/>
    <cellStyle name="40% - Ênfase2 30 2" xfId="5202" xr:uid="{00000000-0005-0000-0000-0000C2140000}"/>
    <cellStyle name="40% - Ênfase2 31" xfId="5203" xr:uid="{00000000-0005-0000-0000-0000C3140000}"/>
    <cellStyle name="40% - Ênfase2 31 2" xfId="5204" xr:uid="{00000000-0005-0000-0000-0000C4140000}"/>
    <cellStyle name="40% - Ênfase2 32" xfId="5205" xr:uid="{00000000-0005-0000-0000-0000C5140000}"/>
    <cellStyle name="40% - Ênfase2 32 2" xfId="5206" xr:uid="{00000000-0005-0000-0000-0000C6140000}"/>
    <cellStyle name="40% - Ênfase2 33" xfId="5207" xr:uid="{00000000-0005-0000-0000-0000C7140000}"/>
    <cellStyle name="40% - Ênfase2 33 2" xfId="5208" xr:uid="{00000000-0005-0000-0000-0000C8140000}"/>
    <cellStyle name="40% - Ênfase2 34" xfId="5209" xr:uid="{00000000-0005-0000-0000-0000C9140000}"/>
    <cellStyle name="40% - Ênfase2 34 2" xfId="5210" xr:uid="{00000000-0005-0000-0000-0000CA140000}"/>
    <cellStyle name="40% - Ênfase2 35" xfId="5211" xr:uid="{00000000-0005-0000-0000-0000CB140000}"/>
    <cellStyle name="40% - Ênfase2 35 2" xfId="5212" xr:uid="{00000000-0005-0000-0000-0000CC140000}"/>
    <cellStyle name="40% - Ênfase2 36" xfId="5213" xr:uid="{00000000-0005-0000-0000-0000CD140000}"/>
    <cellStyle name="40% - Ênfase2 36 2" xfId="5214" xr:uid="{00000000-0005-0000-0000-0000CE140000}"/>
    <cellStyle name="40% - Ênfase2 37" xfId="5215" xr:uid="{00000000-0005-0000-0000-0000CF140000}"/>
    <cellStyle name="40% - Ênfase2 37 2" xfId="5216" xr:uid="{00000000-0005-0000-0000-0000D0140000}"/>
    <cellStyle name="40% - Ênfase2 38" xfId="5217" xr:uid="{00000000-0005-0000-0000-0000D1140000}"/>
    <cellStyle name="40% - Ênfase2 38 2" xfId="5218" xr:uid="{00000000-0005-0000-0000-0000D2140000}"/>
    <cellStyle name="40% - Ênfase2 39" xfId="5219" xr:uid="{00000000-0005-0000-0000-0000D3140000}"/>
    <cellStyle name="40% - Ênfase2 39 2" xfId="5220" xr:uid="{00000000-0005-0000-0000-0000D4140000}"/>
    <cellStyle name="40% - Ênfase2 4" xfId="5221" xr:uid="{00000000-0005-0000-0000-0000D5140000}"/>
    <cellStyle name="40% - Ênfase2 4 2" xfId="5222" xr:uid="{00000000-0005-0000-0000-0000D6140000}"/>
    <cellStyle name="40% - Ênfase2 4 2 10" xfId="5223" xr:uid="{00000000-0005-0000-0000-0000D7140000}"/>
    <cellStyle name="40% - Ênfase2 4 2 10 2" xfId="5224" xr:uid="{00000000-0005-0000-0000-0000D8140000}"/>
    <cellStyle name="40% - Ênfase2 4 2 11" xfId="5225" xr:uid="{00000000-0005-0000-0000-0000D9140000}"/>
    <cellStyle name="40% - Ênfase2 4 2 11 2" xfId="5226" xr:uid="{00000000-0005-0000-0000-0000DA140000}"/>
    <cellStyle name="40% - Ênfase2 4 2 12" xfId="5227" xr:uid="{00000000-0005-0000-0000-0000DB140000}"/>
    <cellStyle name="40% - Ênfase2 4 2 12 2" xfId="5228" xr:uid="{00000000-0005-0000-0000-0000DC140000}"/>
    <cellStyle name="40% - Ênfase2 4 2 2" xfId="5229" xr:uid="{00000000-0005-0000-0000-0000DD140000}"/>
    <cellStyle name="40% - Ênfase2 4 2 2 10" xfId="5230" xr:uid="{00000000-0005-0000-0000-0000DE140000}"/>
    <cellStyle name="40% - Ênfase2 4 2 2 11" xfId="5231" xr:uid="{00000000-0005-0000-0000-0000DF140000}"/>
    <cellStyle name="40% - Ênfase2 4 2 2 2" xfId="5232" xr:uid="{00000000-0005-0000-0000-0000E0140000}"/>
    <cellStyle name="40% - Ênfase2 4 2 2 2 2" xfId="25479" xr:uid="{00000000-0005-0000-0000-0000E1140000}"/>
    <cellStyle name="40% - Ênfase2 4 2 2 2 2 2" xfId="26746" xr:uid="{00000000-0005-0000-0000-0000E2140000}"/>
    <cellStyle name="40% - Ênfase2 4 2 2 2 3" xfId="26745" xr:uid="{00000000-0005-0000-0000-0000E3140000}"/>
    <cellStyle name="40% - Ênfase2 4 2 2 2 4" xfId="25478" xr:uid="{00000000-0005-0000-0000-0000E4140000}"/>
    <cellStyle name="40% - Ênfase2 4 2 2 3" xfId="5233" xr:uid="{00000000-0005-0000-0000-0000E5140000}"/>
    <cellStyle name="40% - Ênfase2 4 2 2 3 2" xfId="26747" xr:uid="{00000000-0005-0000-0000-0000E6140000}"/>
    <cellStyle name="40% - Ênfase2 4 2 2 3 3" xfId="25480" xr:uid="{00000000-0005-0000-0000-0000E7140000}"/>
    <cellStyle name="40% - Ênfase2 4 2 2 4" xfId="5234" xr:uid="{00000000-0005-0000-0000-0000E8140000}"/>
    <cellStyle name="40% - Ênfase2 4 2 2 4 2" xfId="26744" xr:uid="{00000000-0005-0000-0000-0000E9140000}"/>
    <cellStyle name="40% - Ênfase2 4 2 2 5" xfId="5235" xr:uid="{00000000-0005-0000-0000-0000EA140000}"/>
    <cellStyle name="40% - Ênfase2 4 2 2 6" xfId="5236" xr:uid="{00000000-0005-0000-0000-0000EB140000}"/>
    <cellStyle name="40% - Ênfase2 4 2 2 7" xfId="5237" xr:uid="{00000000-0005-0000-0000-0000EC140000}"/>
    <cellStyle name="40% - Ênfase2 4 2 2 8" xfId="5238" xr:uid="{00000000-0005-0000-0000-0000ED140000}"/>
    <cellStyle name="40% - Ênfase2 4 2 2 9" xfId="5239" xr:uid="{00000000-0005-0000-0000-0000EE140000}"/>
    <cellStyle name="40% - Ênfase2 4 2 3" xfId="5240" xr:uid="{00000000-0005-0000-0000-0000EF140000}"/>
    <cellStyle name="40% - Ênfase2 4 2 3 2" xfId="25482" xr:uid="{00000000-0005-0000-0000-0000F0140000}"/>
    <cellStyle name="40% - Ênfase2 4 2 3 2 2" xfId="26749" xr:uid="{00000000-0005-0000-0000-0000F1140000}"/>
    <cellStyle name="40% - Ênfase2 4 2 3 3" xfId="26748" xr:uid="{00000000-0005-0000-0000-0000F2140000}"/>
    <cellStyle name="40% - Ênfase2 4 2 3 4" xfId="25481" xr:uid="{00000000-0005-0000-0000-0000F3140000}"/>
    <cellStyle name="40% - Ênfase2 4 2 4" xfId="5241" xr:uid="{00000000-0005-0000-0000-0000F4140000}"/>
    <cellStyle name="40% - Ênfase2 4 2 4 2" xfId="26750" xr:uid="{00000000-0005-0000-0000-0000F5140000}"/>
    <cellStyle name="40% - Ênfase2 4 2 4 3" xfId="25483" xr:uid="{00000000-0005-0000-0000-0000F6140000}"/>
    <cellStyle name="40% - Ênfase2 4 2 5" xfId="5242" xr:uid="{00000000-0005-0000-0000-0000F7140000}"/>
    <cellStyle name="40% - Ênfase2 4 2 5 2" xfId="5243" xr:uid="{00000000-0005-0000-0000-0000F8140000}"/>
    <cellStyle name="40% - Ênfase2 4 2 6" xfId="5244" xr:uid="{00000000-0005-0000-0000-0000F9140000}"/>
    <cellStyle name="40% - Ênfase2 4 2 6 2" xfId="5245" xr:uid="{00000000-0005-0000-0000-0000FA140000}"/>
    <cellStyle name="40% - Ênfase2 4 2 7" xfId="5246" xr:uid="{00000000-0005-0000-0000-0000FB140000}"/>
    <cellStyle name="40% - Ênfase2 4 2 7 2" xfId="5247" xr:uid="{00000000-0005-0000-0000-0000FC140000}"/>
    <cellStyle name="40% - Ênfase2 4 2 8" xfId="5248" xr:uid="{00000000-0005-0000-0000-0000FD140000}"/>
    <cellStyle name="40% - Ênfase2 4 2 8 2" xfId="5249" xr:uid="{00000000-0005-0000-0000-0000FE140000}"/>
    <cellStyle name="40% - Ênfase2 4 2 9" xfId="5250" xr:uid="{00000000-0005-0000-0000-0000FF140000}"/>
    <cellStyle name="40% - Ênfase2 4 2 9 2" xfId="5251" xr:uid="{00000000-0005-0000-0000-000000150000}"/>
    <cellStyle name="40% - Ênfase2 4 3" xfId="5252" xr:uid="{00000000-0005-0000-0000-000001150000}"/>
    <cellStyle name="40% - Ênfase2 4 3 2" xfId="25485" xr:uid="{00000000-0005-0000-0000-000002150000}"/>
    <cellStyle name="40% - Ênfase2 4 3 2 2" xfId="25486" xr:uid="{00000000-0005-0000-0000-000003150000}"/>
    <cellStyle name="40% - Ênfase2 4 3 2 2 2" xfId="26753" xr:uid="{00000000-0005-0000-0000-000004150000}"/>
    <cellStyle name="40% - Ênfase2 4 3 2 3" xfId="26752" xr:uid="{00000000-0005-0000-0000-000005150000}"/>
    <cellStyle name="40% - Ênfase2 4 3 3" xfId="25487" xr:uid="{00000000-0005-0000-0000-000006150000}"/>
    <cellStyle name="40% - Ênfase2 4 3 3 2" xfId="26754" xr:uid="{00000000-0005-0000-0000-000007150000}"/>
    <cellStyle name="40% - Ênfase2 4 3 4" xfId="26751" xr:uid="{00000000-0005-0000-0000-000008150000}"/>
    <cellStyle name="40% - Ênfase2 4 3 5" xfId="25484" xr:uid="{00000000-0005-0000-0000-000009150000}"/>
    <cellStyle name="40% - Ênfase2 4 4" xfId="5253" xr:uid="{00000000-0005-0000-0000-00000A150000}"/>
    <cellStyle name="40% - Ênfase2 4 4 2" xfId="26755" xr:uid="{00000000-0005-0000-0000-00000B150000}"/>
    <cellStyle name="40% - Ênfase2 4 5" xfId="5254" xr:uid="{00000000-0005-0000-0000-00000C150000}"/>
    <cellStyle name="40% - Ênfase2 4 5 10" xfId="5255" xr:uid="{00000000-0005-0000-0000-00000D150000}"/>
    <cellStyle name="40% - Ênfase2 4 5 10 2" xfId="5256" xr:uid="{00000000-0005-0000-0000-00000E150000}"/>
    <cellStyle name="40% - Ênfase2 4 5 2" xfId="5257" xr:uid="{00000000-0005-0000-0000-00000F150000}"/>
    <cellStyle name="40% - Ênfase2 4 5 2 2" xfId="5258" xr:uid="{00000000-0005-0000-0000-000010150000}"/>
    <cellStyle name="40% - Ênfase2 4 5 3" xfId="5259" xr:uid="{00000000-0005-0000-0000-000011150000}"/>
    <cellStyle name="40% - Ênfase2 4 5 3 2" xfId="5260" xr:uid="{00000000-0005-0000-0000-000012150000}"/>
    <cellStyle name="40% - Ênfase2 4 5 4" xfId="5261" xr:uid="{00000000-0005-0000-0000-000013150000}"/>
    <cellStyle name="40% - Ênfase2 4 5 4 2" xfId="5262" xr:uid="{00000000-0005-0000-0000-000014150000}"/>
    <cellStyle name="40% - Ênfase2 4 5 5" xfId="5263" xr:uid="{00000000-0005-0000-0000-000015150000}"/>
    <cellStyle name="40% - Ênfase2 4 5 5 2" xfId="5264" xr:uid="{00000000-0005-0000-0000-000016150000}"/>
    <cellStyle name="40% - Ênfase2 4 5 6" xfId="5265" xr:uid="{00000000-0005-0000-0000-000017150000}"/>
    <cellStyle name="40% - Ênfase2 4 5 6 2" xfId="5266" xr:uid="{00000000-0005-0000-0000-000018150000}"/>
    <cellStyle name="40% - Ênfase2 4 5 7" xfId="5267" xr:uid="{00000000-0005-0000-0000-000019150000}"/>
    <cellStyle name="40% - Ênfase2 4 5 7 2" xfId="5268" xr:uid="{00000000-0005-0000-0000-00001A150000}"/>
    <cellStyle name="40% - Ênfase2 4 5 8" xfId="5269" xr:uid="{00000000-0005-0000-0000-00001B150000}"/>
    <cellStyle name="40% - Ênfase2 4 5 8 2" xfId="5270" xr:uid="{00000000-0005-0000-0000-00001C150000}"/>
    <cellStyle name="40% - Ênfase2 4 5 9" xfId="5271" xr:uid="{00000000-0005-0000-0000-00001D150000}"/>
    <cellStyle name="40% - Ênfase2 4 5 9 2" xfId="5272" xr:uid="{00000000-0005-0000-0000-00001E150000}"/>
    <cellStyle name="40% - Ênfase2 4 6" xfId="5273" xr:uid="{00000000-0005-0000-0000-00001F150000}"/>
    <cellStyle name="40% - Ênfase2 4 6 2" xfId="5274" xr:uid="{00000000-0005-0000-0000-000020150000}"/>
    <cellStyle name="40% - Ênfase2 4 6 2 2" xfId="5275" xr:uid="{00000000-0005-0000-0000-000021150000}"/>
    <cellStyle name="40% - Ênfase2 4 6 3" xfId="5276" xr:uid="{00000000-0005-0000-0000-000022150000}"/>
    <cellStyle name="40% - Ênfase2 4 6 3 2" xfId="5277" xr:uid="{00000000-0005-0000-0000-000023150000}"/>
    <cellStyle name="40% - Ênfase2 4 6 4" xfId="5278" xr:uid="{00000000-0005-0000-0000-000024150000}"/>
    <cellStyle name="40% - Ênfase2 4 6 4 2" xfId="5279" xr:uid="{00000000-0005-0000-0000-000025150000}"/>
    <cellStyle name="40% - Ênfase2 4 6 5" xfId="5280" xr:uid="{00000000-0005-0000-0000-000026150000}"/>
    <cellStyle name="40% - Ênfase2 4 6 5 2" xfId="5281" xr:uid="{00000000-0005-0000-0000-000027150000}"/>
    <cellStyle name="40% - Ênfase2 4 6 6" xfId="5282" xr:uid="{00000000-0005-0000-0000-000028150000}"/>
    <cellStyle name="40% - Ênfase2 4 7" xfId="26743" xr:uid="{00000000-0005-0000-0000-000029150000}"/>
    <cellStyle name="40% - Ênfase2 40" xfId="5283" xr:uid="{00000000-0005-0000-0000-00002A150000}"/>
    <cellStyle name="40% - Ênfase2 40 2" xfId="5284" xr:uid="{00000000-0005-0000-0000-00002B150000}"/>
    <cellStyle name="40% - Ênfase2 41" xfId="5285" xr:uid="{00000000-0005-0000-0000-00002C150000}"/>
    <cellStyle name="40% - Ênfase2 41 2" xfId="5286" xr:uid="{00000000-0005-0000-0000-00002D150000}"/>
    <cellStyle name="40% - Ênfase2 42" xfId="5287" xr:uid="{00000000-0005-0000-0000-00002E150000}"/>
    <cellStyle name="40% - Ênfase2 42 2" xfId="5288" xr:uid="{00000000-0005-0000-0000-00002F150000}"/>
    <cellStyle name="40% - Ênfase2 43" xfId="5289" xr:uid="{00000000-0005-0000-0000-000030150000}"/>
    <cellStyle name="40% - Ênfase2 43 2" xfId="5290" xr:uid="{00000000-0005-0000-0000-000031150000}"/>
    <cellStyle name="40% - Ênfase2 44" xfId="5291" xr:uid="{00000000-0005-0000-0000-000032150000}"/>
    <cellStyle name="40% - Ênfase2 44 2" xfId="5292" xr:uid="{00000000-0005-0000-0000-000033150000}"/>
    <cellStyle name="40% - Ênfase2 45" xfId="5293" xr:uid="{00000000-0005-0000-0000-000034150000}"/>
    <cellStyle name="40% - Ênfase2 45 2" xfId="5294" xr:uid="{00000000-0005-0000-0000-000035150000}"/>
    <cellStyle name="40% - Ênfase2 46" xfId="5295" xr:uid="{00000000-0005-0000-0000-000036150000}"/>
    <cellStyle name="40% - Ênfase2 46 2" xfId="5296" xr:uid="{00000000-0005-0000-0000-000037150000}"/>
    <cellStyle name="40% - Ênfase2 47" xfId="5297" xr:uid="{00000000-0005-0000-0000-000038150000}"/>
    <cellStyle name="40% - Ênfase2 47 2" xfId="5298" xr:uid="{00000000-0005-0000-0000-000039150000}"/>
    <cellStyle name="40% - Ênfase2 48" xfId="5299" xr:uid="{00000000-0005-0000-0000-00003A150000}"/>
    <cellStyle name="40% - Ênfase2 48 2" xfId="5300" xr:uid="{00000000-0005-0000-0000-00003B150000}"/>
    <cellStyle name="40% - Ênfase2 49" xfId="5301" xr:uid="{00000000-0005-0000-0000-00003C150000}"/>
    <cellStyle name="40% - Ênfase2 49 2" xfId="5302" xr:uid="{00000000-0005-0000-0000-00003D150000}"/>
    <cellStyle name="40% - Ênfase2 5" xfId="5303" xr:uid="{00000000-0005-0000-0000-00003E150000}"/>
    <cellStyle name="40% - Ênfase2 5 2" xfId="5304" xr:uid="{00000000-0005-0000-0000-00003F150000}"/>
    <cellStyle name="40% - Ênfase2 5 2 2" xfId="5305" xr:uid="{00000000-0005-0000-0000-000040150000}"/>
    <cellStyle name="40% - Ênfase2 5 2 2 2" xfId="25489" xr:uid="{00000000-0005-0000-0000-000041150000}"/>
    <cellStyle name="40% - Ênfase2 5 2 2 2 2" xfId="25490" xr:uid="{00000000-0005-0000-0000-000042150000}"/>
    <cellStyle name="40% - Ênfase2 5 2 2 2 2 2" xfId="26758" xr:uid="{00000000-0005-0000-0000-000043150000}"/>
    <cellStyle name="40% - Ênfase2 5 2 2 2 3" xfId="26757" xr:uid="{00000000-0005-0000-0000-000044150000}"/>
    <cellStyle name="40% - Ênfase2 5 2 2 3" xfId="25491" xr:uid="{00000000-0005-0000-0000-000045150000}"/>
    <cellStyle name="40% - Ênfase2 5 2 2 3 2" xfId="26759" xr:uid="{00000000-0005-0000-0000-000046150000}"/>
    <cellStyle name="40% - Ênfase2 5 2 2 4" xfId="26756" xr:uid="{00000000-0005-0000-0000-000047150000}"/>
    <cellStyle name="40% - Ênfase2 5 2 2 5" xfId="25488" xr:uid="{00000000-0005-0000-0000-000048150000}"/>
    <cellStyle name="40% - Ênfase2 5 2 3" xfId="5306" xr:uid="{00000000-0005-0000-0000-000049150000}"/>
    <cellStyle name="40% - Ênfase2 5 2 3 2" xfId="25493" xr:uid="{00000000-0005-0000-0000-00004A150000}"/>
    <cellStyle name="40% - Ênfase2 5 2 3 2 2" xfId="26761" xr:uid="{00000000-0005-0000-0000-00004B150000}"/>
    <cellStyle name="40% - Ênfase2 5 2 3 3" xfId="26760" xr:uid="{00000000-0005-0000-0000-00004C150000}"/>
    <cellStyle name="40% - Ênfase2 5 2 3 4" xfId="25492" xr:uid="{00000000-0005-0000-0000-00004D150000}"/>
    <cellStyle name="40% - Ênfase2 5 2 4" xfId="5307" xr:uid="{00000000-0005-0000-0000-00004E150000}"/>
    <cellStyle name="40% - Ênfase2 5 2 4 2" xfId="26762" xr:uid="{00000000-0005-0000-0000-00004F150000}"/>
    <cellStyle name="40% - Ênfase2 5 2 4 3" xfId="25494" xr:uid="{00000000-0005-0000-0000-000050150000}"/>
    <cellStyle name="40% - Ênfase2 5 2 5" xfId="5308" xr:uid="{00000000-0005-0000-0000-000051150000}"/>
    <cellStyle name="40% - Ênfase2 5 2 5 2" xfId="5309" xr:uid="{00000000-0005-0000-0000-000052150000}"/>
    <cellStyle name="40% - Ênfase2 5 2 6" xfId="5310" xr:uid="{00000000-0005-0000-0000-000053150000}"/>
    <cellStyle name="40% - Ênfase2 5 2 6 2" xfId="5311" xr:uid="{00000000-0005-0000-0000-000054150000}"/>
    <cellStyle name="40% - Ênfase2 5 2 7" xfId="5312" xr:uid="{00000000-0005-0000-0000-000055150000}"/>
    <cellStyle name="40% - Ênfase2 5 2 7 2" xfId="5313" xr:uid="{00000000-0005-0000-0000-000056150000}"/>
    <cellStyle name="40% - Ênfase2 5 2 8" xfId="5314" xr:uid="{00000000-0005-0000-0000-000057150000}"/>
    <cellStyle name="40% - Ênfase2 5 2 8 2" xfId="5315" xr:uid="{00000000-0005-0000-0000-000058150000}"/>
    <cellStyle name="40% - Ênfase2 5 2 9" xfId="5316" xr:uid="{00000000-0005-0000-0000-000059150000}"/>
    <cellStyle name="40% - Ênfase2 5 3" xfId="5317" xr:uid="{00000000-0005-0000-0000-00005A150000}"/>
    <cellStyle name="40% - Ênfase2 5 3 2" xfId="25496" xr:uid="{00000000-0005-0000-0000-00005B150000}"/>
    <cellStyle name="40% - Ênfase2 5 3 2 2" xfId="25497" xr:uid="{00000000-0005-0000-0000-00005C150000}"/>
    <cellStyle name="40% - Ênfase2 5 3 2 2 2" xfId="26765" xr:uid="{00000000-0005-0000-0000-00005D150000}"/>
    <cellStyle name="40% - Ênfase2 5 3 2 3" xfId="26764" xr:uid="{00000000-0005-0000-0000-00005E150000}"/>
    <cellStyle name="40% - Ênfase2 5 3 3" xfId="25498" xr:uid="{00000000-0005-0000-0000-00005F150000}"/>
    <cellStyle name="40% - Ênfase2 5 3 3 2" xfId="26766" xr:uid="{00000000-0005-0000-0000-000060150000}"/>
    <cellStyle name="40% - Ênfase2 5 3 4" xfId="26763" xr:uid="{00000000-0005-0000-0000-000061150000}"/>
    <cellStyle name="40% - Ênfase2 5 3 5" xfId="25495" xr:uid="{00000000-0005-0000-0000-000062150000}"/>
    <cellStyle name="40% - Ênfase2 5 4" xfId="5318" xr:uid="{00000000-0005-0000-0000-000063150000}"/>
    <cellStyle name="40% - Ênfase2 5 4 2" xfId="25500" xr:uid="{00000000-0005-0000-0000-000064150000}"/>
    <cellStyle name="40% - Ênfase2 5 4 2 2" xfId="26768" xr:uid="{00000000-0005-0000-0000-000065150000}"/>
    <cellStyle name="40% - Ênfase2 5 4 3" xfId="26767" xr:uid="{00000000-0005-0000-0000-000066150000}"/>
    <cellStyle name="40% - Ênfase2 5 4 4" xfId="25499" xr:uid="{00000000-0005-0000-0000-000067150000}"/>
    <cellStyle name="40% - Ênfase2 5 5" xfId="5319" xr:uid="{00000000-0005-0000-0000-000068150000}"/>
    <cellStyle name="40% - Ênfase2 5 5 2" xfId="5320" xr:uid="{00000000-0005-0000-0000-000069150000}"/>
    <cellStyle name="40% - Ênfase2 5 5 2 2" xfId="5321" xr:uid="{00000000-0005-0000-0000-00006A150000}"/>
    <cellStyle name="40% - Ênfase2 5 5 3" xfId="5322" xr:uid="{00000000-0005-0000-0000-00006B150000}"/>
    <cellStyle name="40% - Ênfase2 5 5 3 2" xfId="5323" xr:uid="{00000000-0005-0000-0000-00006C150000}"/>
    <cellStyle name="40% - Ênfase2 5 5 4" xfId="5324" xr:uid="{00000000-0005-0000-0000-00006D150000}"/>
    <cellStyle name="40% - Ênfase2 5 5 4 2" xfId="5325" xr:uid="{00000000-0005-0000-0000-00006E150000}"/>
    <cellStyle name="40% - Ênfase2 5 5 5" xfId="5326" xr:uid="{00000000-0005-0000-0000-00006F150000}"/>
    <cellStyle name="40% - Ênfase2 5 5 5 2" xfId="5327" xr:uid="{00000000-0005-0000-0000-000070150000}"/>
    <cellStyle name="40% - Ênfase2 5 5 6" xfId="5328" xr:uid="{00000000-0005-0000-0000-000071150000}"/>
    <cellStyle name="40% - Ênfase2 5 6" xfId="5329" xr:uid="{00000000-0005-0000-0000-000072150000}"/>
    <cellStyle name="40% - Ênfase2 5 6 2" xfId="5330" xr:uid="{00000000-0005-0000-0000-000073150000}"/>
    <cellStyle name="40% - Ênfase2 5 6 2 2" xfId="5331" xr:uid="{00000000-0005-0000-0000-000074150000}"/>
    <cellStyle name="40% - Ênfase2 5 6 3" xfId="5332" xr:uid="{00000000-0005-0000-0000-000075150000}"/>
    <cellStyle name="40% - Ênfase2 5 6 3 2" xfId="5333" xr:uid="{00000000-0005-0000-0000-000076150000}"/>
    <cellStyle name="40% - Ênfase2 5 6 4" xfId="5334" xr:uid="{00000000-0005-0000-0000-000077150000}"/>
    <cellStyle name="40% - Ênfase2 5 6 4 2" xfId="5335" xr:uid="{00000000-0005-0000-0000-000078150000}"/>
    <cellStyle name="40% - Ênfase2 5 6 5" xfId="5336" xr:uid="{00000000-0005-0000-0000-000079150000}"/>
    <cellStyle name="40% - Ênfase2 5 6 5 2" xfId="5337" xr:uid="{00000000-0005-0000-0000-00007A150000}"/>
    <cellStyle name="40% - Ênfase2 5 6 6" xfId="5338" xr:uid="{00000000-0005-0000-0000-00007B150000}"/>
    <cellStyle name="40% - Ênfase2 50" xfId="5339" xr:uid="{00000000-0005-0000-0000-00007C150000}"/>
    <cellStyle name="40% - Ênfase2 50 2" xfId="5340" xr:uid="{00000000-0005-0000-0000-00007D150000}"/>
    <cellStyle name="40% - Ênfase2 51" xfId="5341" xr:uid="{00000000-0005-0000-0000-00007E150000}"/>
    <cellStyle name="40% - Ênfase2 51 2" xfId="5342" xr:uid="{00000000-0005-0000-0000-00007F150000}"/>
    <cellStyle name="40% - Ênfase2 52" xfId="5343" xr:uid="{00000000-0005-0000-0000-000080150000}"/>
    <cellStyle name="40% - Ênfase2 52 2" xfId="5344" xr:uid="{00000000-0005-0000-0000-000081150000}"/>
    <cellStyle name="40% - Ênfase2 53" xfId="5345" xr:uid="{00000000-0005-0000-0000-000082150000}"/>
    <cellStyle name="40% - Ênfase2 53 2" xfId="5346" xr:uid="{00000000-0005-0000-0000-000083150000}"/>
    <cellStyle name="40% - Ênfase2 54" xfId="5347" xr:uid="{00000000-0005-0000-0000-000084150000}"/>
    <cellStyle name="40% - Ênfase2 54 2" xfId="5348" xr:uid="{00000000-0005-0000-0000-000085150000}"/>
    <cellStyle name="40% - Ênfase2 55" xfId="5349" xr:uid="{00000000-0005-0000-0000-000086150000}"/>
    <cellStyle name="40% - Ênfase2 55 2" xfId="5350" xr:uid="{00000000-0005-0000-0000-000087150000}"/>
    <cellStyle name="40% - Ênfase2 6" xfId="5351" xr:uid="{00000000-0005-0000-0000-000088150000}"/>
    <cellStyle name="40% - Ênfase2 6 10" xfId="5352" xr:uid="{00000000-0005-0000-0000-000089150000}"/>
    <cellStyle name="40% - Ênfase2 6 10 2" xfId="5353" xr:uid="{00000000-0005-0000-0000-00008A150000}"/>
    <cellStyle name="40% - Ênfase2 6 11" xfId="5354" xr:uid="{00000000-0005-0000-0000-00008B150000}"/>
    <cellStyle name="40% - Ênfase2 6 11 2" xfId="5355" xr:uid="{00000000-0005-0000-0000-00008C150000}"/>
    <cellStyle name="40% - Ênfase2 6 12" xfId="5356" xr:uid="{00000000-0005-0000-0000-00008D150000}"/>
    <cellStyle name="40% - Ênfase2 6 12 2" xfId="5357" xr:uid="{00000000-0005-0000-0000-00008E150000}"/>
    <cellStyle name="40% - Ênfase2 6 13" xfId="5358" xr:uid="{00000000-0005-0000-0000-00008F150000}"/>
    <cellStyle name="40% - Ênfase2 6 13 2" xfId="5359" xr:uid="{00000000-0005-0000-0000-000090150000}"/>
    <cellStyle name="40% - Ênfase2 6 14" xfId="5360" xr:uid="{00000000-0005-0000-0000-000091150000}"/>
    <cellStyle name="40% - Ênfase2 6 14 2" xfId="5361" xr:uid="{00000000-0005-0000-0000-000092150000}"/>
    <cellStyle name="40% - Ênfase2 6 15" xfId="5362" xr:uid="{00000000-0005-0000-0000-000093150000}"/>
    <cellStyle name="40% - Ênfase2 6 15 2" xfId="5363" xr:uid="{00000000-0005-0000-0000-000094150000}"/>
    <cellStyle name="40% - Ênfase2 6 16" xfId="5364" xr:uid="{00000000-0005-0000-0000-000095150000}"/>
    <cellStyle name="40% - Ênfase2 6 16 2" xfId="5365" xr:uid="{00000000-0005-0000-0000-000096150000}"/>
    <cellStyle name="40% - Ênfase2 6 17" xfId="5366" xr:uid="{00000000-0005-0000-0000-000097150000}"/>
    <cellStyle name="40% - Ênfase2 6 17 2" xfId="5367" xr:uid="{00000000-0005-0000-0000-000098150000}"/>
    <cellStyle name="40% - Ênfase2 6 18" xfId="5368" xr:uid="{00000000-0005-0000-0000-000099150000}"/>
    <cellStyle name="40% - Ênfase2 6 18 2" xfId="5369" xr:uid="{00000000-0005-0000-0000-00009A150000}"/>
    <cellStyle name="40% - Ênfase2 6 19" xfId="5370" xr:uid="{00000000-0005-0000-0000-00009B150000}"/>
    <cellStyle name="40% - Ênfase2 6 19 2" xfId="5371" xr:uid="{00000000-0005-0000-0000-00009C150000}"/>
    <cellStyle name="40% - Ênfase2 6 2" xfId="5372" xr:uid="{00000000-0005-0000-0000-00009D150000}"/>
    <cellStyle name="40% - Ênfase2 6 2 2" xfId="5373" xr:uid="{00000000-0005-0000-0000-00009E150000}"/>
    <cellStyle name="40% - Ênfase2 6 2 2 2" xfId="5374" xr:uid="{00000000-0005-0000-0000-00009F150000}"/>
    <cellStyle name="40% - Ênfase2 6 2 2 2 2" xfId="26770" xr:uid="{00000000-0005-0000-0000-0000A0150000}"/>
    <cellStyle name="40% - Ênfase2 6 2 2 3" xfId="26769" xr:uid="{00000000-0005-0000-0000-0000A1150000}"/>
    <cellStyle name="40% - Ênfase2 6 2 3" xfId="5375" xr:uid="{00000000-0005-0000-0000-0000A2150000}"/>
    <cellStyle name="40% - Ênfase2 6 2 3 2" xfId="5376" xr:uid="{00000000-0005-0000-0000-0000A3150000}"/>
    <cellStyle name="40% - Ênfase2 6 2 4" xfId="5377" xr:uid="{00000000-0005-0000-0000-0000A4150000}"/>
    <cellStyle name="40% - Ênfase2 6 2 4 2" xfId="5378" xr:uid="{00000000-0005-0000-0000-0000A5150000}"/>
    <cellStyle name="40% - Ênfase2 6 2 5" xfId="5379" xr:uid="{00000000-0005-0000-0000-0000A6150000}"/>
    <cellStyle name="40% - Ênfase2 6 2 5 2" xfId="5380" xr:uid="{00000000-0005-0000-0000-0000A7150000}"/>
    <cellStyle name="40% - Ênfase2 6 2 6" xfId="5381" xr:uid="{00000000-0005-0000-0000-0000A8150000}"/>
    <cellStyle name="40% - Ênfase2 6 20" xfId="5382" xr:uid="{00000000-0005-0000-0000-0000A9150000}"/>
    <cellStyle name="40% - Ênfase2 6 20 2" xfId="5383" xr:uid="{00000000-0005-0000-0000-0000AA150000}"/>
    <cellStyle name="40% - Ênfase2 6 21" xfId="5384" xr:uid="{00000000-0005-0000-0000-0000AB150000}"/>
    <cellStyle name="40% - Ênfase2 6 21 2" xfId="5385" xr:uid="{00000000-0005-0000-0000-0000AC150000}"/>
    <cellStyle name="40% - Ênfase2 6 22" xfId="5386" xr:uid="{00000000-0005-0000-0000-0000AD150000}"/>
    <cellStyle name="40% - Ênfase2 6 22 2" xfId="5387" xr:uid="{00000000-0005-0000-0000-0000AE150000}"/>
    <cellStyle name="40% - Ênfase2 6 23" xfId="5388" xr:uid="{00000000-0005-0000-0000-0000AF150000}"/>
    <cellStyle name="40% - Ênfase2 6 23 2" xfId="5389" xr:uid="{00000000-0005-0000-0000-0000B0150000}"/>
    <cellStyle name="40% - Ênfase2 6 24" xfId="5390" xr:uid="{00000000-0005-0000-0000-0000B1150000}"/>
    <cellStyle name="40% - Ênfase2 6 24 2" xfId="5391" xr:uid="{00000000-0005-0000-0000-0000B2150000}"/>
    <cellStyle name="40% - Ênfase2 6 25" xfId="5392" xr:uid="{00000000-0005-0000-0000-0000B3150000}"/>
    <cellStyle name="40% - Ênfase2 6 25 2" xfId="5393" xr:uid="{00000000-0005-0000-0000-0000B4150000}"/>
    <cellStyle name="40% - Ênfase2 6 26" xfId="5394" xr:uid="{00000000-0005-0000-0000-0000B5150000}"/>
    <cellStyle name="40% - Ênfase2 6 26 2" xfId="5395" xr:uid="{00000000-0005-0000-0000-0000B6150000}"/>
    <cellStyle name="40% - Ênfase2 6 27" xfId="5396" xr:uid="{00000000-0005-0000-0000-0000B7150000}"/>
    <cellStyle name="40% - Ênfase2 6 27 2" xfId="5397" xr:uid="{00000000-0005-0000-0000-0000B8150000}"/>
    <cellStyle name="40% - Ênfase2 6 28" xfId="5398" xr:uid="{00000000-0005-0000-0000-0000B9150000}"/>
    <cellStyle name="40% - Ênfase2 6 28 2" xfId="5399" xr:uid="{00000000-0005-0000-0000-0000BA150000}"/>
    <cellStyle name="40% - Ênfase2 6 29" xfId="5400" xr:uid="{00000000-0005-0000-0000-0000BB150000}"/>
    <cellStyle name="40% - Ênfase2 6 29 2" xfId="5401" xr:uid="{00000000-0005-0000-0000-0000BC150000}"/>
    <cellStyle name="40% - Ênfase2 6 3" xfId="5402" xr:uid="{00000000-0005-0000-0000-0000BD150000}"/>
    <cellStyle name="40% - Ênfase2 6 3 2" xfId="5403" xr:uid="{00000000-0005-0000-0000-0000BE150000}"/>
    <cellStyle name="40% - Ênfase2 6 3 2 2" xfId="5404" xr:uid="{00000000-0005-0000-0000-0000BF150000}"/>
    <cellStyle name="40% - Ênfase2 6 3 3" xfId="5405" xr:uid="{00000000-0005-0000-0000-0000C0150000}"/>
    <cellStyle name="40% - Ênfase2 6 3 3 2" xfId="5406" xr:uid="{00000000-0005-0000-0000-0000C1150000}"/>
    <cellStyle name="40% - Ênfase2 6 3 4" xfId="5407" xr:uid="{00000000-0005-0000-0000-0000C2150000}"/>
    <cellStyle name="40% - Ênfase2 6 3 4 2" xfId="5408" xr:uid="{00000000-0005-0000-0000-0000C3150000}"/>
    <cellStyle name="40% - Ênfase2 6 3 5" xfId="5409" xr:uid="{00000000-0005-0000-0000-0000C4150000}"/>
    <cellStyle name="40% - Ênfase2 6 3 5 2" xfId="5410" xr:uid="{00000000-0005-0000-0000-0000C5150000}"/>
    <cellStyle name="40% - Ênfase2 6 3 6" xfId="5411" xr:uid="{00000000-0005-0000-0000-0000C6150000}"/>
    <cellStyle name="40% - Ênfase2 6 30" xfId="5412" xr:uid="{00000000-0005-0000-0000-0000C7150000}"/>
    <cellStyle name="40% - Ênfase2 6 30 2" xfId="5413" xr:uid="{00000000-0005-0000-0000-0000C8150000}"/>
    <cellStyle name="40% - Ênfase2 6 31" xfId="5414" xr:uid="{00000000-0005-0000-0000-0000C9150000}"/>
    <cellStyle name="40% - Ênfase2 6 31 2" xfId="5415" xr:uid="{00000000-0005-0000-0000-0000CA150000}"/>
    <cellStyle name="40% - Ênfase2 6 32" xfId="5416" xr:uid="{00000000-0005-0000-0000-0000CB150000}"/>
    <cellStyle name="40% - Ênfase2 6 32 2" xfId="5417" xr:uid="{00000000-0005-0000-0000-0000CC150000}"/>
    <cellStyle name="40% - Ênfase2 6 33" xfId="5418" xr:uid="{00000000-0005-0000-0000-0000CD150000}"/>
    <cellStyle name="40% - Ênfase2 6 33 2" xfId="5419" xr:uid="{00000000-0005-0000-0000-0000CE150000}"/>
    <cellStyle name="40% - Ênfase2 6 34" xfId="5420" xr:uid="{00000000-0005-0000-0000-0000CF150000}"/>
    <cellStyle name="40% - Ênfase2 6 34 2" xfId="5421" xr:uid="{00000000-0005-0000-0000-0000D0150000}"/>
    <cellStyle name="40% - Ênfase2 6 35" xfId="5422" xr:uid="{00000000-0005-0000-0000-0000D1150000}"/>
    <cellStyle name="40% - Ênfase2 6 35 2" xfId="5423" xr:uid="{00000000-0005-0000-0000-0000D2150000}"/>
    <cellStyle name="40% - Ênfase2 6 36" xfId="5424" xr:uid="{00000000-0005-0000-0000-0000D3150000}"/>
    <cellStyle name="40% - Ênfase2 6 36 2" xfId="5425" xr:uid="{00000000-0005-0000-0000-0000D4150000}"/>
    <cellStyle name="40% - Ênfase2 6 37" xfId="5426" xr:uid="{00000000-0005-0000-0000-0000D5150000}"/>
    <cellStyle name="40% - Ênfase2 6 4" xfId="5427" xr:uid="{00000000-0005-0000-0000-0000D6150000}"/>
    <cellStyle name="40% - Ênfase2 6 4 2" xfId="5428" xr:uid="{00000000-0005-0000-0000-0000D7150000}"/>
    <cellStyle name="40% - Ênfase2 6 4 2 2" xfId="5429" xr:uid="{00000000-0005-0000-0000-0000D8150000}"/>
    <cellStyle name="40% - Ênfase2 6 4 3" xfId="5430" xr:uid="{00000000-0005-0000-0000-0000D9150000}"/>
    <cellStyle name="40% - Ênfase2 6 4 3 2" xfId="5431" xr:uid="{00000000-0005-0000-0000-0000DA150000}"/>
    <cellStyle name="40% - Ênfase2 6 4 4" xfId="5432" xr:uid="{00000000-0005-0000-0000-0000DB150000}"/>
    <cellStyle name="40% - Ênfase2 6 4 4 2" xfId="5433" xr:uid="{00000000-0005-0000-0000-0000DC150000}"/>
    <cellStyle name="40% - Ênfase2 6 4 5" xfId="5434" xr:uid="{00000000-0005-0000-0000-0000DD150000}"/>
    <cellStyle name="40% - Ênfase2 6 4 5 2" xfId="5435" xr:uid="{00000000-0005-0000-0000-0000DE150000}"/>
    <cellStyle name="40% - Ênfase2 6 4 6" xfId="5436" xr:uid="{00000000-0005-0000-0000-0000DF150000}"/>
    <cellStyle name="40% - Ênfase2 6 5" xfId="5437" xr:uid="{00000000-0005-0000-0000-0000E0150000}"/>
    <cellStyle name="40% - Ênfase2 6 5 2" xfId="5438" xr:uid="{00000000-0005-0000-0000-0000E1150000}"/>
    <cellStyle name="40% - Ênfase2 6 6" xfId="5439" xr:uid="{00000000-0005-0000-0000-0000E2150000}"/>
    <cellStyle name="40% - Ênfase2 6 6 2" xfId="5440" xr:uid="{00000000-0005-0000-0000-0000E3150000}"/>
    <cellStyle name="40% - Ênfase2 6 7" xfId="5441" xr:uid="{00000000-0005-0000-0000-0000E4150000}"/>
    <cellStyle name="40% - Ênfase2 6 7 2" xfId="5442" xr:uid="{00000000-0005-0000-0000-0000E5150000}"/>
    <cellStyle name="40% - Ênfase2 6 8" xfId="5443" xr:uid="{00000000-0005-0000-0000-0000E6150000}"/>
    <cellStyle name="40% - Ênfase2 6 8 2" xfId="5444" xr:uid="{00000000-0005-0000-0000-0000E7150000}"/>
    <cellStyle name="40% - Ênfase2 6 9" xfId="5445" xr:uid="{00000000-0005-0000-0000-0000E8150000}"/>
    <cellStyle name="40% - Ênfase2 6 9 2" xfId="5446" xr:uid="{00000000-0005-0000-0000-0000E9150000}"/>
    <cellStyle name="40% - Ênfase2 7" xfId="5447" xr:uid="{00000000-0005-0000-0000-0000EA150000}"/>
    <cellStyle name="40% - Ênfase2 7 10" xfId="5448" xr:uid="{00000000-0005-0000-0000-0000EB150000}"/>
    <cellStyle name="40% - Ênfase2 7 10 2" xfId="5449" xr:uid="{00000000-0005-0000-0000-0000EC150000}"/>
    <cellStyle name="40% - Ênfase2 7 11" xfId="5450" xr:uid="{00000000-0005-0000-0000-0000ED150000}"/>
    <cellStyle name="40% - Ênfase2 7 11 2" xfId="5451" xr:uid="{00000000-0005-0000-0000-0000EE150000}"/>
    <cellStyle name="40% - Ênfase2 7 12" xfId="5452" xr:uid="{00000000-0005-0000-0000-0000EF150000}"/>
    <cellStyle name="40% - Ênfase2 7 12 2" xfId="5453" xr:uid="{00000000-0005-0000-0000-0000F0150000}"/>
    <cellStyle name="40% - Ênfase2 7 13" xfId="5454" xr:uid="{00000000-0005-0000-0000-0000F1150000}"/>
    <cellStyle name="40% - Ênfase2 7 13 2" xfId="5455" xr:uid="{00000000-0005-0000-0000-0000F2150000}"/>
    <cellStyle name="40% - Ênfase2 7 14" xfId="5456" xr:uid="{00000000-0005-0000-0000-0000F3150000}"/>
    <cellStyle name="40% - Ênfase2 7 14 2" xfId="5457" xr:uid="{00000000-0005-0000-0000-0000F4150000}"/>
    <cellStyle name="40% - Ênfase2 7 15" xfId="5458" xr:uid="{00000000-0005-0000-0000-0000F5150000}"/>
    <cellStyle name="40% - Ênfase2 7 15 2" xfId="5459" xr:uid="{00000000-0005-0000-0000-0000F6150000}"/>
    <cellStyle name="40% - Ênfase2 7 16" xfId="5460" xr:uid="{00000000-0005-0000-0000-0000F7150000}"/>
    <cellStyle name="40% - Ênfase2 7 16 2" xfId="5461" xr:uid="{00000000-0005-0000-0000-0000F8150000}"/>
    <cellStyle name="40% - Ênfase2 7 17" xfId="5462" xr:uid="{00000000-0005-0000-0000-0000F9150000}"/>
    <cellStyle name="40% - Ênfase2 7 17 2" xfId="5463" xr:uid="{00000000-0005-0000-0000-0000FA150000}"/>
    <cellStyle name="40% - Ênfase2 7 18" xfId="5464" xr:uid="{00000000-0005-0000-0000-0000FB150000}"/>
    <cellStyle name="40% - Ênfase2 7 18 2" xfId="5465" xr:uid="{00000000-0005-0000-0000-0000FC150000}"/>
    <cellStyle name="40% - Ênfase2 7 19" xfId="5466" xr:uid="{00000000-0005-0000-0000-0000FD150000}"/>
    <cellStyle name="40% - Ênfase2 7 19 2" xfId="5467" xr:uid="{00000000-0005-0000-0000-0000FE150000}"/>
    <cellStyle name="40% - Ênfase2 7 2" xfId="5468" xr:uid="{00000000-0005-0000-0000-0000FF150000}"/>
    <cellStyle name="40% - Ênfase2 7 2 2" xfId="5469" xr:uid="{00000000-0005-0000-0000-000000160000}"/>
    <cellStyle name="40% - Ênfase2 7 2 2 2" xfId="5470" xr:uid="{00000000-0005-0000-0000-000001160000}"/>
    <cellStyle name="40% - Ênfase2 7 2 2 2 2" xfId="26772" xr:uid="{00000000-0005-0000-0000-000002160000}"/>
    <cellStyle name="40% - Ênfase2 7 2 2 3" xfId="26771" xr:uid="{00000000-0005-0000-0000-000003160000}"/>
    <cellStyle name="40% - Ênfase2 7 2 3" xfId="5471" xr:uid="{00000000-0005-0000-0000-000004160000}"/>
    <cellStyle name="40% - Ênfase2 7 2 3 2" xfId="5472" xr:uid="{00000000-0005-0000-0000-000005160000}"/>
    <cellStyle name="40% - Ênfase2 7 2 4" xfId="5473" xr:uid="{00000000-0005-0000-0000-000006160000}"/>
    <cellStyle name="40% - Ênfase2 7 2 4 2" xfId="5474" xr:uid="{00000000-0005-0000-0000-000007160000}"/>
    <cellStyle name="40% - Ênfase2 7 2 5" xfId="5475" xr:uid="{00000000-0005-0000-0000-000008160000}"/>
    <cellStyle name="40% - Ênfase2 7 2 5 2" xfId="5476" xr:uid="{00000000-0005-0000-0000-000009160000}"/>
    <cellStyle name="40% - Ênfase2 7 2 6" xfId="5477" xr:uid="{00000000-0005-0000-0000-00000A160000}"/>
    <cellStyle name="40% - Ênfase2 7 20" xfId="5478" xr:uid="{00000000-0005-0000-0000-00000B160000}"/>
    <cellStyle name="40% - Ênfase2 7 20 2" xfId="5479" xr:uid="{00000000-0005-0000-0000-00000C160000}"/>
    <cellStyle name="40% - Ênfase2 7 21" xfId="5480" xr:uid="{00000000-0005-0000-0000-00000D160000}"/>
    <cellStyle name="40% - Ênfase2 7 21 2" xfId="5481" xr:uid="{00000000-0005-0000-0000-00000E160000}"/>
    <cellStyle name="40% - Ênfase2 7 22" xfId="5482" xr:uid="{00000000-0005-0000-0000-00000F160000}"/>
    <cellStyle name="40% - Ênfase2 7 22 2" xfId="5483" xr:uid="{00000000-0005-0000-0000-000010160000}"/>
    <cellStyle name="40% - Ênfase2 7 23" xfId="5484" xr:uid="{00000000-0005-0000-0000-000011160000}"/>
    <cellStyle name="40% - Ênfase2 7 23 2" xfId="5485" xr:uid="{00000000-0005-0000-0000-000012160000}"/>
    <cellStyle name="40% - Ênfase2 7 24" xfId="5486" xr:uid="{00000000-0005-0000-0000-000013160000}"/>
    <cellStyle name="40% - Ênfase2 7 24 2" xfId="5487" xr:uid="{00000000-0005-0000-0000-000014160000}"/>
    <cellStyle name="40% - Ênfase2 7 25" xfId="5488" xr:uid="{00000000-0005-0000-0000-000015160000}"/>
    <cellStyle name="40% - Ênfase2 7 25 2" xfId="5489" xr:uid="{00000000-0005-0000-0000-000016160000}"/>
    <cellStyle name="40% - Ênfase2 7 26" xfId="5490" xr:uid="{00000000-0005-0000-0000-000017160000}"/>
    <cellStyle name="40% - Ênfase2 7 26 2" xfId="5491" xr:uid="{00000000-0005-0000-0000-000018160000}"/>
    <cellStyle name="40% - Ênfase2 7 27" xfId="5492" xr:uid="{00000000-0005-0000-0000-000019160000}"/>
    <cellStyle name="40% - Ênfase2 7 27 2" xfId="5493" xr:uid="{00000000-0005-0000-0000-00001A160000}"/>
    <cellStyle name="40% - Ênfase2 7 28" xfId="5494" xr:uid="{00000000-0005-0000-0000-00001B160000}"/>
    <cellStyle name="40% - Ênfase2 7 28 2" xfId="5495" xr:uid="{00000000-0005-0000-0000-00001C160000}"/>
    <cellStyle name="40% - Ênfase2 7 29" xfId="5496" xr:uid="{00000000-0005-0000-0000-00001D160000}"/>
    <cellStyle name="40% - Ênfase2 7 29 2" xfId="5497" xr:uid="{00000000-0005-0000-0000-00001E160000}"/>
    <cellStyle name="40% - Ênfase2 7 3" xfId="5498" xr:uid="{00000000-0005-0000-0000-00001F160000}"/>
    <cellStyle name="40% - Ênfase2 7 3 2" xfId="5499" xr:uid="{00000000-0005-0000-0000-000020160000}"/>
    <cellStyle name="40% - Ênfase2 7 3 2 2" xfId="5500" xr:uid="{00000000-0005-0000-0000-000021160000}"/>
    <cellStyle name="40% - Ênfase2 7 3 3" xfId="5501" xr:uid="{00000000-0005-0000-0000-000022160000}"/>
    <cellStyle name="40% - Ênfase2 7 3 3 2" xfId="5502" xr:uid="{00000000-0005-0000-0000-000023160000}"/>
    <cellStyle name="40% - Ênfase2 7 3 4" xfId="5503" xr:uid="{00000000-0005-0000-0000-000024160000}"/>
    <cellStyle name="40% - Ênfase2 7 3 4 2" xfId="5504" xr:uid="{00000000-0005-0000-0000-000025160000}"/>
    <cellStyle name="40% - Ênfase2 7 3 5" xfId="5505" xr:uid="{00000000-0005-0000-0000-000026160000}"/>
    <cellStyle name="40% - Ênfase2 7 3 5 2" xfId="5506" xr:uid="{00000000-0005-0000-0000-000027160000}"/>
    <cellStyle name="40% - Ênfase2 7 3 6" xfId="5507" xr:uid="{00000000-0005-0000-0000-000028160000}"/>
    <cellStyle name="40% - Ênfase2 7 30" xfId="5508" xr:uid="{00000000-0005-0000-0000-000029160000}"/>
    <cellStyle name="40% - Ênfase2 7 30 2" xfId="5509" xr:uid="{00000000-0005-0000-0000-00002A160000}"/>
    <cellStyle name="40% - Ênfase2 7 31" xfId="5510" xr:uid="{00000000-0005-0000-0000-00002B160000}"/>
    <cellStyle name="40% - Ênfase2 7 31 2" xfId="5511" xr:uid="{00000000-0005-0000-0000-00002C160000}"/>
    <cellStyle name="40% - Ênfase2 7 32" xfId="5512" xr:uid="{00000000-0005-0000-0000-00002D160000}"/>
    <cellStyle name="40% - Ênfase2 7 32 2" xfId="5513" xr:uid="{00000000-0005-0000-0000-00002E160000}"/>
    <cellStyle name="40% - Ênfase2 7 33" xfId="5514" xr:uid="{00000000-0005-0000-0000-00002F160000}"/>
    <cellStyle name="40% - Ênfase2 7 33 2" xfId="5515" xr:uid="{00000000-0005-0000-0000-000030160000}"/>
    <cellStyle name="40% - Ênfase2 7 34" xfId="5516" xr:uid="{00000000-0005-0000-0000-000031160000}"/>
    <cellStyle name="40% - Ênfase2 7 34 2" xfId="5517" xr:uid="{00000000-0005-0000-0000-000032160000}"/>
    <cellStyle name="40% - Ênfase2 7 35" xfId="5518" xr:uid="{00000000-0005-0000-0000-000033160000}"/>
    <cellStyle name="40% - Ênfase2 7 35 2" xfId="5519" xr:uid="{00000000-0005-0000-0000-000034160000}"/>
    <cellStyle name="40% - Ênfase2 7 36" xfId="5520" xr:uid="{00000000-0005-0000-0000-000035160000}"/>
    <cellStyle name="40% - Ênfase2 7 36 2" xfId="5521" xr:uid="{00000000-0005-0000-0000-000036160000}"/>
    <cellStyle name="40% - Ênfase2 7 37" xfId="5522" xr:uid="{00000000-0005-0000-0000-000037160000}"/>
    <cellStyle name="40% - Ênfase2 7 4" xfId="5523" xr:uid="{00000000-0005-0000-0000-000038160000}"/>
    <cellStyle name="40% - Ênfase2 7 4 2" xfId="5524" xr:uid="{00000000-0005-0000-0000-000039160000}"/>
    <cellStyle name="40% - Ênfase2 7 4 2 2" xfId="5525" xr:uid="{00000000-0005-0000-0000-00003A160000}"/>
    <cellStyle name="40% - Ênfase2 7 4 3" xfId="5526" xr:uid="{00000000-0005-0000-0000-00003B160000}"/>
    <cellStyle name="40% - Ênfase2 7 4 3 2" xfId="5527" xr:uid="{00000000-0005-0000-0000-00003C160000}"/>
    <cellStyle name="40% - Ênfase2 7 4 4" xfId="5528" xr:uid="{00000000-0005-0000-0000-00003D160000}"/>
    <cellStyle name="40% - Ênfase2 7 4 4 2" xfId="5529" xr:uid="{00000000-0005-0000-0000-00003E160000}"/>
    <cellStyle name="40% - Ênfase2 7 4 5" xfId="5530" xr:uid="{00000000-0005-0000-0000-00003F160000}"/>
    <cellStyle name="40% - Ênfase2 7 4 5 2" xfId="5531" xr:uid="{00000000-0005-0000-0000-000040160000}"/>
    <cellStyle name="40% - Ênfase2 7 4 6" xfId="5532" xr:uid="{00000000-0005-0000-0000-000041160000}"/>
    <cellStyle name="40% - Ênfase2 7 5" xfId="5533" xr:uid="{00000000-0005-0000-0000-000042160000}"/>
    <cellStyle name="40% - Ênfase2 7 5 2" xfId="5534" xr:uid="{00000000-0005-0000-0000-000043160000}"/>
    <cellStyle name="40% - Ênfase2 7 6" xfId="5535" xr:uid="{00000000-0005-0000-0000-000044160000}"/>
    <cellStyle name="40% - Ênfase2 7 6 2" xfId="5536" xr:uid="{00000000-0005-0000-0000-000045160000}"/>
    <cellStyle name="40% - Ênfase2 7 7" xfId="5537" xr:uid="{00000000-0005-0000-0000-000046160000}"/>
    <cellStyle name="40% - Ênfase2 7 7 2" xfId="5538" xr:uid="{00000000-0005-0000-0000-000047160000}"/>
    <cellStyle name="40% - Ênfase2 7 8" xfId="5539" xr:uid="{00000000-0005-0000-0000-000048160000}"/>
    <cellStyle name="40% - Ênfase2 7 8 2" xfId="5540" xr:uid="{00000000-0005-0000-0000-000049160000}"/>
    <cellStyle name="40% - Ênfase2 7 9" xfId="5541" xr:uid="{00000000-0005-0000-0000-00004A160000}"/>
    <cellStyle name="40% - Ênfase2 7 9 2" xfId="5542" xr:uid="{00000000-0005-0000-0000-00004B160000}"/>
    <cellStyle name="40% - Ênfase2 8" xfId="5543" xr:uid="{00000000-0005-0000-0000-00004C160000}"/>
    <cellStyle name="40% - Ênfase2 8 10" xfId="5544" xr:uid="{00000000-0005-0000-0000-00004D160000}"/>
    <cellStyle name="40% - Ênfase2 8 10 2" xfId="5545" xr:uid="{00000000-0005-0000-0000-00004E160000}"/>
    <cellStyle name="40% - Ênfase2 8 2" xfId="5546" xr:uid="{00000000-0005-0000-0000-00004F160000}"/>
    <cellStyle name="40% - Ênfase2 8 2 2" xfId="5547" xr:uid="{00000000-0005-0000-0000-000050160000}"/>
    <cellStyle name="40% - Ênfase2 8 2 2 2" xfId="25501" xr:uid="{00000000-0005-0000-0000-000051160000}"/>
    <cellStyle name="40% - Ênfase2 8 2 2 2 2" xfId="26775" xr:uid="{00000000-0005-0000-0000-000052160000}"/>
    <cellStyle name="40% - Ênfase2 8 2 2 3" xfId="26774" xr:uid="{00000000-0005-0000-0000-000053160000}"/>
    <cellStyle name="40% - Ênfase2 8 2 3" xfId="25502" xr:uid="{00000000-0005-0000-0000-000054160000}"/>
    <cellStyle name="40% - Ênfase2 8 2 3 2" xfId="26776" xr:uid="{00000000-0005-0000-0000-000055160000}"/>
    <cellStyle name="40% - Ênfase2 8 2 4" xfId="26773" xr:uid="{00000000-0005-0000-0000-000056160000}"/>
    <cellStyle name="40% - Ênfase2 8 3" xfId="5548" xr:uid="{00000000-0005-0000-0000-000057160000}"/>
    <cellStyle name="40% - Ênfase2 8 3 2" xfId="5549" xr:uid="{00000000-0005-0000-0000-000058160000}"/>
    <cellStyle name="40% - Ênfase2 8 3 2 2" xfId="26778" xr:uid="{00000000-0005-0000-0000-000059160000}"/>
    <cellStyle name="40% - Ênfase2 8 3 3" xfId="26777" xr:uid="{00000000-0005-0000-0000-00005A160000}"/>
    <cellStyle name="40% - Ênfase2 8 4" xfId="5550" xr:uid="{00000000-0005-0000-0000-00005B160000}"/>
    <cellStyle name="40% - Ênfase2 8 4 2" xfId="5551" xr:uid="{00000000-0005-0000-0000-00005C160000}"/>
    <cellStyle name="40% - Ênfase2 8 5" xfId="5552" xr:uid="{00000000-0005-0000-0000-00005D160000}"/>
    <cellStyle name="40% - Ênfase2 8 5 2" xfId="5553" xr:uid="{00000000-0005-0000-0000-00005E160000}"/>
    <cellStyle name="40% - Ênfase2 8 6" xfId="5554" xr:uid="{00000000-0005-0000-0000-00005F160000}"/>
    <cellStyle name="40% - Ênfase2 8 6 2" xfId="5555" xr:uid="{00000000-0005-0000-0000-000060160000}"/>
    <cellStyle name="40% - Ênfase2 8 7" xfId="5556" xr:uid="{00000000-0005-0000-0000-000061160000}"/>
    <cellStyle name="40% - Ênfase2 8 7 2" xfId="5557" xr:uid="{00000000-0005-0000-0000-000062160000}"/>
    <cellStyle name="40% - Ênfase2 8 8" xfId="5558" xr:uid="{00000000-0005-0000-0000-000063160000}"/>
    <cellStyle name="40% - Ênfase2 8 8 2" xfId="5559" xr:uid="{00000000-0005-0000-0000-000064160000}"/>
    <cellStyle name="40% - Ênfase2 8 9" xfId="5560" xr:uid="{00000000-0005-0000-0000-000065160000}"/>
    <cellStyle name="40% - Ênfase2 8 9 2" xfId="5561" xr:uid="{00000000-0005-0000-0000-000066160000}"/>
    <cellStyle name="40% - Ênfase2 9" xfId="5562" xr:uid="{00000000-0005-0000-0000-000067160000}"/>
    <cellStyle name="40% - Ênfase2 9 10" xfId="5563" xr:uid="{00000000-0005-0000-0000-000068160000}"/>
    <cellStyle name="40% - Ênfase2 9 10 2" xfId="5564" xr:uid="{00000000-0005-0000-0000-000069160000}"/>
    <cellStyle name="40% - Ênfase2 9 11" xfId="5565" xr:uid="{00000000-0005-0000-0000-00006A160000}"/>
    <cellStyle name="40% - Ênfase2 9 12" xfId="5566" xr:uid="{00000000-0005-0000-0000-00006B160000}"/>
    <cellStyle name="40% - Ênfase2 9 2" xfId="5567" xr:uid="{00000000-0005-0000-0000-00006C160000}"/>
    <cellStyle name="40% - Ênfase2 9 2 2" xfId="5568" xr:uid="{00000000-0005-0000-0000-00006D160000}"/>
    <cellStyle name="40% - Ênfase2 9 2 2 2" xfId="26780" xr:uid="{00000000-0005-0000-0000-00006E160000}"/>
    <cellStyle name="40% - Ênfase2 9 2 3" xfId="26779" xr:uid="{00000000-0005-0000-0000-00006F160000}"/>
    <cellStyle name="40% - Ênfase2 9 3" xfId="5569" xr:uid="{00000000-0005-0000-0000-000070160000}"/>
    <cellStyle name="40% - Ênfase2 9 3 2" xfId="5570" xr:uid="{00000000-0005-0000-0000-000071160000}"/>
    <cellStyle name="40% - Ênfase2 9 4" xfId="5571" xr:uid="{00000000-0005-0000-0000-000072160000}"/>
    <cellStyle name="40% - Ênfase2 9 4 2" xfId="5572" xr:uid="{00000000-0005-0000-0000-000073160000}"/>
    <cellStyle name="40% - Ênfase2 9 5" xfId="5573" xr:uid="{00000000-0005-0000-0000-000074160000}"/>
    <cellStyle name="40% - Ênfase2 9 5 2" xfId="5574" xr:uid="{00000000-0005-0000-0000-000075160000}"/>
    <cellStyle name="40% - Ênfase2 9 6" xfId="5575" xr:uid="{00000000-0005-0000-0000-000076160000}"/>
    <cellStyle name="40% - Ênfase2 9 6 2" xfId="5576" xr:uid="{00000000-0005-0000-0000-000077160000}"/>
    <cellStyle name="40% - Ênfase2 9 7" xfId="5577" xr:uid="{00000000-0005-0000-0000-000078160000}"/>
    <cellStyle name="40% - Ênfase2 9 7 2" xfId="5578" xr:uid="{00000000-0005-0000-0000-000079160000}"/>
    <cellStyle name="40% - Ênfase2 9 8" xfId="5579" xr:uid="{00000000-0005-0000-0000-00007A160000}"/>
    <cellStyle name="40% - Ênfase2 9 8 2" xfId="5580" xr:uid="{00000000-0005-0000-0000-00007B160000}"/>
    <cellStyle name="40% - Ênfase2 9 9" xfId="5581" xr:uid="{00000000-0005-0000-0000-00007C160000}"/>
    <cellStyle name="40% - Ênfase2 9 9 2" xfId="5582" xr:uid="{00000000-0005-0000-0000-00007D160000}"/>
    <cellStyle name="40% - Ênfase3" xfId="35" builtinId="39" customBuiltin="1"/>
    <cellStyle name="40% - Ênfase3 10" xfId="5583" xr:uid="{00000000-0005-0000-0000-00007F160000}"/>
    <cellStyle name="40% - Ênfase3 10 2" xfId="5584" xr:uid="{00000000-0005-0000-0000-000080160000}"/>
    <cellStyle name="40% - Ênfase3 10 2 2" xfId="5585" xr:uid="{00000000-0005-0000-0000-000081160000}"/>
    <cellStyle name="40% - Ênfase3 10 2 2 2" xfId="26782" xr:uid="{00000000-0005-0000-0000-000082160000}"/>
    <cellStyle name="40% - Ênfase3 10 2 3" xfId="26781" xr:uid="{00000000-0005-0000-0000-000083160000}"/>
    <cellStyle name="40% - Ênfase3 10 3" xfId="5586" xr:uid="{00000000-0005-0000-0000-000084160000}"/>
    <cellStyle name="40% - Ênfase3 10 3 2" xfId="5587" xr:uid="{00000000-0005-0000-0000-000085160000}"/>
    <cellStyle name="40% - Ênfase3 10 4" xfId="5588" xr:uid="{00000000-0005-0000-0000-000086160000}"/>
    <cellStyle name="40% - Ênfase3 10 4 2" xfId="5589" xr:uid="{00000000-0005-0000-0000-000087160000}"/>
    <cellStyle name="40% - Ênfase3 10 5" xfId="5590" xr:uid="{00000000-0005-0000-0000-000088160000}"/>
    <cellStyle name="40% - Ênfase3 10 5 2" xfId="5591" xr:uid="{00000000-0005-0000-0000-000089160000}"/>
    <cellStyle name="40% - Ênfase3 10 6" xfId="5592" xr:uid="{00000000-0005-0000-0000-00008A160000}"/>
    <cellStyle name="40% - Ênfase3 11" xfId="5593" xr:uid="{00000000-0005-0000-0000-00008B160000}"/>
    <cellStyle name="40% - Ênfase3 11 2" xfId="5594" xr:uid="{00000000-0005-0000-0000-00008C160000}"/>
    <cellStyle name="40% - Ênfase3 11 2 2" xfId="5595" xr:uid="{00000000-0005-0000-0000-00008D160000}"/>
    <cellStyle name="40% - Ênfase3 11 2 3" xfId="26783" xr:uid="{00000000-0005-0000-0000-00008E160000}"/>
    <cellStyle name="40% - Ênfase3 11 3" xfId="5596" xr:uid="{00000000-0005-0000-0000-00008F160000}"/>
    <cellStyle name="40% - Ênfase3 11 3 2" xfId="5597" xr:uid="{00000000-0005-0000-0000-000090160000}"/>
    <cellStyle name="40% - Ênfase3 11 4" xfId="5598" xr:uid="{00000000-0005-0000-0000-000091160000}"/>
    <cellStyle name="40% - Ênfase3 11 4 2" xfId="5599" xr:uid="{00000000-0005-0000-0000-000092160000}"/>
    <cellStyle name="40% - Ênfase3 11 5" xfId="5600" xr:uid="{00000000-0005-0000-0000-000093160000}"/>
    <cellStyle name="40% - Ênfase3 11 5 2" xfId="5601" xr:uid="{00000000-0005-0000-0000-000094160000}"/>
    <cellStyle name="40% - Ênfase3 11 6" xfId="5602" xr:uid="{00000000-0005-0000-0000-000095160000}"/>
    <cellStyle name="40% - Ênfase3 11 7" xfId="25503" xr:uid="{00000000-0005-0000-0000-000096160000}"/>
    <cellStyle name="40% - Ênfase3 12" xfId="5603" xr:uid="{00000000-0005-0000-0000-000097160000}"/>
    <cellStyle name="40% - Ênfase3 12 2" xfId="5604" xr:uid="{00000000-0005-0000-0000-000098160000}"/>
    <cellStyle name="40% - Ênfase3 12 2 2" xfId="5605" xr:uid="{00000000-0005-0000-0000-000099160000}"/>
    <cellStyle name="40% - Ênfase3 12 2 2 2" xfId="26785" xr:uid="{00000000-0005-0000-0000-00009A160000}"/>
    <cellStyle name="40% - Ênfase3 12 2 3" xfId="26784" xr:uid="{00000000-0005-0000-0000-00009B160000}"/>
    <cellStyle name="40% - Ênfase3 12 3" xfId="5606" xr:uid="{00000000-0005-0000-0000-00009C160000}"/>
    <cellStyle name="40% - Ênfase3 12 3 2" xfId="5607" xr:uid="{00000000-0005-0000-0000-00009D160000}"/>
    <cellStyle name="40% - Ênfase3 12 4" xfId="5608" xr:uid="{00000000-0005-0000-0000-00009E160000}"/>
    <cellStyle name="40% - Ênfase3 12 4 2" xfId="5609" xr:uid="{00000000-0005-0000-0000-00009F160000}"/>
    <cellStyle name="40% - Ênfase3 12 5" xfId="5610" xr:uid="{00000000-0005-0000-0000-0000A0160000}"/>
    <cellStyle name="40% - Ênfase3 12 5 2" xfId="5611" xr:uid="{00000000-0005-0000-0000-0000A1160000}"/>
    <cellStyle name="40% - Ênfase3 12 6" xfId="5612" xr:uid="{00000000-0005-0000-0000-0000A2160000}"/>
    <cellStyle name="40% - Ênfase3 13" xfId="5613" xr:uid="{00000000-0005-0000-0000-0000A3160000}"/>
    <cellStyle name="40% - Ênfase3 13 2" xfId="5614" xr:uid="{00000000-0005-0000-0000-0000A4160000}"/>
    <cellStyle name="40% - Ênfase3 14" xfId="5615" xr:uid="{00000000-0005-0000-0000-0000A5160000}"/>
    <cellStyle name="40% - Ênfase3 14 2" xfId="5616" xr:uid="{00000000-0005-0000-0000-0000A6160000}"/>
    <cellStyle name="40% - Ênfase3 15" xfId="5617" xr:uid="{00000000-0005-0000-0000-0000A7160000}"/>
    <cellStyle name="40% - Ênfase3 15 2" xfId="5618" xr:uid="{00000000-0005-0000-0000-0000A8160000}"/>
    <cellStyle name="40% - Ênfase3 16" xfId="5619" xr:uid="{00000000-0005-0000-0000-0000A9160000}"/>
    <cellStyle name="40% - Ênfase3 16 2" xfId="5620" xr:uid="{00000000-0005-0000-0000-0000AA160000}"/>
    <cellStyle name="40% - Ênfase3 17" xfId="5621" xr:uid="{00000000-0005-0000-0000-0000AB160000}"/>
    <cellStyle name="40% - Ênfase3 17 2" xfId="5622" xr:uid="{00000000-0005-0000-0000-0000AC160000}"/>
    <cellStyle name="40% - Ênfase3 18" xfId="5623" xr:uid="{00000000-0005-0000-0000-0000AD160000}"/>
    <cellStyle name="40% - Ênfase3 18 2" xfId="5624" xr:uid="{00000000-0005-0000-0000-0000AE160000}"/>
    <cellStyle name="40% - Ênfase3 19" xfId="5625" xr:uid="{00000000-0005-0000-0000-0000AF160000}"/>
    <cellStyle name="40% - Ênfase3 19 2" xfId="5626" xr:uid="{00000000-0005-0000-0000-0000B0160000}"/>
    <cellStyle name="40% - Ênfase3 2" xfId="5627" xr:uid="{00000000-0005-0000-0000-0000B1160000}"/>
    <cellStyle name="40% - Ênfase3 2 2" xfId="5628" xr:uid="{00000000-0005-0000-0000-0000B2160000}"/>
    <cellStyle name="40% - Ênfase3 2 2 10" xfId="5629" xr:uid="{00000000-0005-0000-0000-0000B3160000}"/>
    <cellStyle name="40% - Ênfase3 2 2 10 2" xfId="5630" xr:uid="{00000000-0005-0000-0000-0000B4160000}"/>
    <cellStyle name="40% - Ênfase3 2 2 11" xfId="5631" xr:uid="{00000000-0005-0000-0000-0000B5160000}"/>
    <cellStyle name="40% - Ênfase3 2 2 11 2" xfId="5632" xr:uid="{00000000-0005-0000-0000-0000B6160000}"/>
    <cellStyle name="40% - Ênfase3 2 2 12" xfId="5633" xr:uid="{00000000-0005-0000-0000-0000B7160000}"/>
    <cellStyle name="40% - Ênfase3 2 2 12 2" xfId="5634" xr:uid="{00000000-0005-0000-0000-0000B8160000}"/>
    <cellStyle name="40% - Ênfase3 2 2 2" xfId="5635" xr:uid="{00000000-0005-0000-0000-0000B9160000}"/>
    <cellStyle name="40% - Ênfase3 2 2 2 10" xfId="5636" xr:uid="{00000000-0005-0000-0000-0000BA160000}"/>
    <cellStyle name="40% - Ênfase3 2 2 2 11" xfId="5637" xr:uid="{00000000-0005-0000-0000-0000BB160000}"/>
    <cellStyle name="40% - Ênfase3 2 2 2 2" xfId="5638" xr:uid="{00000000-0005-0000-0000-0000BC160000}"/>
    <cellStyle name="40% - Ênfase3 2 2 2 2 2" xfId="25505" xr:uid="{00000000-0005-0000-0000-0000BD160000}"/>
    <cellStyle name="40% - Ênfase3 2 2 2 2 2 2" xfId="26790" xr:uid="{00000000-0005-0000-0000-0000BE160000}"/>
    <cellStyle name="40% - Ênfase3 2 2 2 2 3" xfId="26789" xr:uid="{00000000-0005-0000-0000-0000BF160000}"/>
    <cellStyle name="40% - Ênfase3 2 2 2 2 4" xfId="25504" xr:uid="{00000000-0005-0000-0000-0000C0160000}"/>
    <cellStyle name="40% - Ênfase3 2 2 2 3" xfId="5639" xr:uid="{00000000-0005-0000-0000-0000C1160000}"/>
    <cellStyle name="40% - Ênfase3 2 2 2 3 2" xfId="26791" xr:uid="{00000000-0005-0000-0000-0000C2160000}"/>
    <cellStyle name="40% - Ênfase3 2 2 2 3 3" xfId="25506" xr:uid="{00000000-0005-0000-0000-0000C3160000}"/>
    <cellStyle name="40% - Ênfase3 2 2 2 4" xfId="5640" xr:uid="{00000000-0005-0000-0000-0000C4160000}"/>
    <cellStyle name="40% - Ênfase3 2 2 2 4 2" xfId="26788" xr:uid="{00000000-0005-0000-0000-0000C5160000}"/>
    <cellStyle name="40% - Ênfase3 2 2 2 5" xfId="5641" xr:uid="{00000000-0005-0000-0000-0000C6160000}"/>
    <cellStyle name="40% - Ênfase3 2 2 2 6" xfId="5642" xr:uid="{00000000-0005-0000-0000-0000C7160000}"/>
    <cellStyle name="40% - Ênfase3 2 2 2 7" xfId="5643" xr:uid="{00000000-0005-0000-0000-0000C8160000}"/>
    <cellStyle name="40% - Ênfase3 2 2 2 8" xfId="5644" xr:uid="{00000000-0005-0000-0000-0000C9160000}"/>
    <cellStyle name="40% - Ênfase3 2 2 2 9" xfId="5645" xr:uid="{00000000-0005-0000-0000-0000CA160000}"/>
    <cellStyle name="40% - Ênfase3 2 2 3" xfId="5646" xr:uid="{00000000-0005-0000-0000-0000CB160000}"/>
    <cellStyle name="40% - Ênfase3 2 2 3 2" xfId="25508" xr:uid="{00000000-0005-0000-0000-0000CC160000}"/>
    <cellStyle name="40% - Ênfase3 2 2 3 2 2" xfId="25509" xr:uid="{00000000-0005-0000-0000-0000CD160000}"/>
    <cellStyle name="40% - Ênfase3 2 2 3 2 2 2" xfId="26794" xr:uid="{00000000-0005-0000-0000-0000CE160000}"/>
    <cellStyle name="40% - Ênfase3 2 2 3 2 3" xfId="26793" xr:uid="{00000000-0005-0000-0000-0000CF160000}"/>
    <cellStyle name="40% - Ênfase3 2 2 3 3" xfId="25510" xr:uid="{00000000-0005-0000-0000-0000D0160000}"/>
    <cellStyle name="40% - Ênfase3 2 2 3 3 2" xfId="26795" xr:uid="{00000000-0005-0000-0000-0000D1160000}"/>
    <cellStyle name="40% - Ênfase3 2 2 3 4" xfId="26792" xr:uid="{00000000-0005-0000-0000-0000D2160000}"/>
    <cellStyle name="40% - Ênfase3 2 2 3 5" xfId="25507" xr:uid="{00000000-0005-0000-0000-0000D3160000}"/>
    <cellStyle name="40% - Ênfase3 2 2 4" xfId="5647" xr:uid="{00000000-0005-0000-0000-0000D4160000}"/>
    <cellStyle name="40% - Ênfase3 2 2 4 2" xfId="26796" xr:uid="{00000000-0005-0000-0000-0000D5160000}"/>
    <cellStyle name="40% - Ênfase3 2 2 4 3" xfId="25511" xr:uid="{00000000-0005-0000-0000-0000D6160000}"/>
    <cellStyle name="40% - Ênfase3 2 2 5" xfId="5648" xr:uid="{00000000-0005-0000-0000-0000D7160000}"/>
    <cellStyle name="40% - Ênfase3 2 2 5 2" xfId="5649" xr:uid="{00000000-0005-0000-0000-0000D8160000}"/>
    <cellStyle name="40% - Ênfase3 2 2 5 3" xfId="26787" xr:uid="{00000000-0005-0000-0000-0000D9160000}"/>
    <cellStyle name="40% - Ênfase3 2 2 6" xfId="5650" xr:uid="{00000000-0005-0000-0000-0000DA160000}"/>
    <cellStyle name="40% - Ênfase3 2 2 6 2" xfId="5651" xr:uid="{00000000-0005-0000-0000-0000DB160000}"/>
    <cellStyle name="40% - Ênfase3 2 2 7" xfId="5652" xr:uid="{00000000-0005-0000-0000-0000DC160000}"/>
    <cellStyle name="40% - Ênfase3 2 2 7 2" xfId="5653" xr:uid="{00000000-0005-0000-0000-0000DD160000}"/>
    <cellStyle name="40% - Ênfase3 2 2 8" xfId="5654" xr:uid="{00000000-0005-0000-0000-0000DE160000}"/>
    <cellStyle name="40% - Ênfase3 2 2 8 2" xfId="5655" xr:uid="{00000000-0005-0000-0000-0000DF160000}"/>
    <cellStyle name="40% - Ênfase3 2 2 9" xfId="5656" xr:uid="{00000000-0005-0000-0000-0000E0160000}"/>
    <cellStyle name="40% - Ênfase3 2 2 9 2" xfId="5657" xr:uid="{00000000-0005-0000-0000-0000E1160000}"/>
    <cellStyle name="40% - Ênfase3 2 3" xfId="5658" xr:uid="{00000000-0005-0000-0000-0000E2160000}"/>
    <cellStyle name="40% - Ênfase3 2 3 2" xfId="25513" xr:uid="{00000000-0005-0000-0000-0000E3160000}"/>
    <cellStyle name="40% - Ênfase3 2 3 2 2" xfId="25514" xr:uid="{00000000-0005-0000-0000-0000E4160000}"/>
    <cellStyle name="40% - Ênfase3 2 3 2 2 2" xfId="26799" xr:uid="{00000000-0005-0000-0000-0000E5160000}"/>
    <cellStyle name="40% - Ênfase3 2 3 2 3" xfId="26798" xr:uid="{00000000-0005-0000-0000-0000E6160000}"/>
    <cellStyle name="40% - Ênfase3 2 3 3" xfId="25515" xr:uid="{00000000-0005-0000-0000-0000E7160000}"/>
    <cellStyle name="40% - Ênfase3 2 3 3 2" xfId="26800" xr:uid="{00000000-0005-0000-0000-0000E8160000}"/>
    <cellStyle name="40% - Ênfase3 2 3 4" xfId="26797" xr:uid="{00000000-0005-0000-0000-0000E9160000}"/>
    <cellStyle name="40% - Ênfase3 2 3 5" xfId="25512" xr:uid="{00000000-0005-0000-0000-0000EA160000}"/>
    <cellStyle name="40% - Ênfase3 2 4" xfId="5659" xr:uid="{00000000-0005-0000-0000-0000EB160000}"/>
    <cellStyle name="40% - Ênfase3 2 4 2" xfId="25517" xr:uid="{00000000-0005-0000-0000-0000EC160000}"/>
    <cellStyle name="40% - Ênfase3 2 4 2 2" xfId="25518" xr:uid="{00000000-0005-0000-0000-0000ED160000}"/>
    <cellStyle name="40% - Ênfase3 2 4 2 2 2" xfId="26803" xr:uid="{00000000-0005-0000-0000-0000EE160000}"/>
    <cellStyle name="40% - Ênfase3 2 4 2 3" xfId="26802" xr:uid="{00000000-0005-0000-0000-0000EF160000}"/>
    <cellStyle name="40% - Ênfase3 2 4 3" xfId="25519" xr:uid="{00000000-0005-0000-0000-0000F0160000}"/>
    <cellStyle name="40% - Ênfase3 2 4 3 2" xfId="26804" xr:uid="{00000000-0005-0000-0000-0000F1160000}"/>
    <cellStyle name="40% - Ênfase3 2 4 4" xfId="26801" xr:uid="{00000000-0005-0000-0000-0000F2160000}"/>
    <cellStyle name="40% - Ênfase3 2 4 5" xfId="25516" xr:uid="{00000000-0005-0000-0000-0000F3160000}"/>
    <cellStyle name="40% - Ênfase3 2 5" xfId="5660" xr:uid="{00000000-0005-0000-0000-0000F4160000}"/>
    <cellStyle name="40% - Ênfase3 2 5 10" xfId="5661" xr:uid="{00000000-0005-0000-0000-0000F5160000}"/>
    <cellStyle name="40% - Ênfase3 2 5 10 2" xfId="5662" xr:uid="{00000000-0005-0000-0000-0000F6160000}"/>
    <cellStyle name="40% - Ênfase3 2 5 2" xfId="5663" xr:uid="{00000000-0005-0000-0000-0000F7160000}"/>
    <cellStyle name="40% - Ênfase3 2 5 2 2" xfId="5664" xr:uid="{00000000-0005-0000-0000-0000F8160000}"/>
    <cellStyle name="40% - Ênfase3 2 5 3" xfId="5665" xr:uid="{00000000-0005-0000-0000-0000F9160000}"/>
    <cellStyle name="40% - Ênfase3 2 5 3 2" xfId="5666" xr:uid="{00000000-0005-0000-0000-0000FA160000}"/>
    <cellStyle name="40% - Ênfase3 2 5 4" xfId="5667" xr:uid="{00000000-0005-0000-0000-0000FB160000}"/>
    <cellStyle name="40% - Ênfase3 2 5 4 2" xfId="5668" xr:uid="{00000000-0005-0000-0000-0000FC160000}"/>
    <cellStyle name="40% - Ênfase3 2 5 5" xfId="5669" xr:uid="{00000000-0005-0000-0000-0000FD160000}"/>
    <cellStyle name="40% - Ênfase3 2 5 5 2" xfId="5670" xr:uid="{00000000-0005-0000-0000-0000FE160000}"/>
    <cellStyle name="40% - Ênfase3 2 5 6" xfId="5671" xr:uid="{00000000-0005-0000-0000-0000FF160000}"/>
    <cellStyle name="40% - Ênfase3 2 5 6 2" xfId="5672" xr:uid="{00000000-0005-0000-0000-000000170000}"/>
    <cellStyle name="40% - Ênfase3 2 5 7" xfId="5673" xr:uid="{00000000-0005-0000-0000-000001170000}"/>
    <cellStyle name="40% - Ênfase3 2 5 7 2" xfId="5674" xr:uid="{00000000-0005-0000-0000-000002170000}"/>
    <cellStyle name="40% - Ênfase3 2 5 8" xfId="5675" xr:uid="{00000000-0005-0000-0000-000003170000}"/>
    <cellStyle name="40% - Ênfase3 2 5 8 2" xfId="5676" xr:uid="{00000000-0005-0000-0000-000004170000}"/>
    <cellStyle name="40% - Ênfase3 2 5 9" xfId="5677" xr:uid="{00000000-0005-0000-0000-000005170000}"/>
    <cellStyle name="40% - Ênfase3 2 5 9 2" xfId="5678" xr:uid="{00000000-0005-0000-0000-000006170000}"/>
    <cellStyle name="40% - Ênfase3 2 6" xfId="5679" xr:uid="{00000000-0005-0000-0000-000007170000}"/>
    <cellStyle name="40% - Ênfase3 2 6 2" xfId="5680" xr:uid="{00000000-0005-0000-0000-000008170000}"/>
    <cellStyle name="40% - Ênfase3 2 6 2 2" xfId="5681" xr:uid="{00000000-0005-0000-0000-000009170000}"/>
    <cellStyle name="40% - Ênfase3 2 6 3" xfId="5682" xr:uid="{00000000-0005-0000-0000-00000A170000}"/>
    <cellStyle name="40% - Ênfase3 2 6 3 2" xfId="5683" xr:uid="{00000000-0005-0000-0000-00000B170000}"/>
    <cellStyle name="40% - Ênfase3 2 6 4" xfId="5684" xr:uid="{00000000-0005-0000-0000-00000C170000}"/>
    <cellStyle name="40% - Ênfase3 2 6 4 2" xfId="5685" xr:uid="{00000000-0005-0000-0000-00000D170000}"/>
    <cellStyle name="40% - Ênfase3 2 6 5" xfId="5686" xr:uid="{00000000-0005-0000-0000-00000E170000}"/>
    <cellStyle name="40% - Ênfase3 2 6 5 2" xfId="5687" xr:uid="{00000000-0005-0000-0000-00000F170000}"/>
    <cellStyle name="40% - Ênfase3 2 6 6" xfId="5688" xr:uid="{00000000-0005-0000-0000-000010170000}"/>
    <cellStyle name="40% - Ênfase3 2 7" xfId="26786" xr:uid="{00000000-0005-0000-0000-000011170000}"/>
    <cellStyle name="40% - Ênfase3 20" xfId="5689" xr:uid="{00000000-0005-0000-0000-000012170000}"/>
    <cellStyle name="40% - Ênfase3 20 2" xfId="5690" xr:uid="{00000000-0005-0000-0000-000013170000}"/>
    <cellStyle name="40% - Ênfase3 21" xfId="5691" xr:uid="{00000000-0005-0000-0000-000014170000}"/>
    <cellStyle name="40% - Ênfase3 21 2" xfId="5692" xr:uid="{00000000-0005-0000-0000-000015170000}"/>
    <cellStyle name="40% - Ênfase3 22" xfId="5693" xr:uid="{00000000-0005-0000-0000-000016170000}"/>
    <cellStyle name="40% - Ênfase3 22 2" xfId="5694" xr:uid="{00000000-0005-0000-0000-000017170000}"/>
    <cellStyle name="40% - Ênfase3 23" xfId="5695" xr:uid="{00000000-0005-0000-0000-000018170000}"/>
    <cellStyle name="40% - Ênfase3 23 2" xfId="5696" xr:uid="{00000000-0005-0000-0000-000019170000}"/>
    <cellStyle name="40% - Ênfase3 24" xfId="5697" xr:uid="{00000000-0005-0000-0000-00001A170000}"/>
    <cellStyle name="40% - Ênfase3 24 2" xfId="5698" xr:uid="{00000000-0005-0000-0000-00001B170000}"/>
    <cellStyle name="40% - Ênfase3 25" xfId="5699" xr:uid="{00000000-0005-0000-0000-00001C170000}"/>
    <cellStyle name="40% - Ênfase3 25 2" xfId="5700" xr:uid="{00000000-0005-0000-0000-00001D170000}"/>
    <cellStyle name="40% - Ênfase3 26" xfId="5701" xr:uid="{00000000-0005-0000-0000-00001E170000}"/>
    <cellStyle name="40% - Ênfase3 26 2" xfId="5702" xr:uid="{00000000-0005-0000-0000-00001F170000}"/>
    <cellStyle name="40% - Ênfase3 27" xfId="5703" xr:uid="{00000000-0005-0000-0000-000020170000}"/>
    <cellStyle name="40% - Ênfase3 27 2" xfId="5704" xr:uid="{00000000-0005-0000-0000-000021170000}"/>
    <cellStyle name="40% - Ênfase3 28" xfId="5705" xr:uid="{00000000-0005-0000-0000-000022170000}"/>
    <cellStyle name="40% - Ênfase3 28 2" xfId="5706" xr:uid="{00000000-0005-0000-0000-000023170000}"/>
    <cellStyle name="40% - Ênfase3 29" xfId="5707" xr:uid="{00000000-0005-0000-0000-000024170000}"/>
    <cellStyle name="40% - Ênfase3 29 2" xfId="5708" xr:uid="{00000000-0005-0000-0000-000025170000}"/>
    <cellStyle name="40% - Ênfase3 3" xfId="5709" xr:uid="{00000000-0005-0000-0000-000026170000}"/>
    <cellStyle name="40% - Ênfase3 3 2" xfId="5710" xr:uid="{00000000-0005-0000-0000-000027170000}"/>
    <cellStyle name="40% - Ênfase3 3 2 10" xfId="5711" xr:uid="{00000000-0005-0000-0000-000028170000}"/>
    <cellStyle name="40% - Ênfase3 3 2 10 2" xfId="5712" xr:uid="{00000000-0005-0000-0000-000029170000}"/>
    <cellStyle name="40% - Ênfase3 3 2 11" xfId="5713" xr:uid="{00000000-0005-0000-0000-00002A170000}"/>
    <cellStyle name="40% - Ênfase3 3 2 11 2" xfId="5714" xr:uid="{00000000-0005-0000-0000-00002B170000}"/>
    <cellStyle name="40% - Ênfase3 3 2 12" xfId="5715" xr:uid="{00000000-0005-0000-0000-00002C170000}"/>
    <cellStyle name="40% - Ênfase3 3 2 12 2" xfId="5716" xr:uid="{00000000-0005-0000-0000-00002D170000}"/>
    <cellStyle name="40% - Ênfase3 3 2 2" xfId="5717" xr:uid="{00000000-0005-0000-0000-00002E170000}"/>
    <cellStyle name="40% - Ênfase3 3 2 2 10" xfId="5718" xr:uid="{00000000-0005-0000-0000-00002F170000}"/>
    <cellStyle name="40% - Ênfase3 3 2 2 11" xfId="5719" xr:uid="{00000000-0005-0000-0000-000030170000}"/>
    <cellStyle name="40% - Ênfase3 3 2 2 2" xfId="5720" xr:uid="{00000000-0005-0000-0000-000031170000}"/>
    <cellStyle name="40% - Ênfase3 3 2 2 2 2" xfId="25521" xr:uid="{00000000-0005-0000-0000-000032170000}"/>
    <cellStyle name="40% - Ênfase3 3 2 2 2 2 2" xfId="26808" xr:uid="{00000000-0005-0000-0000-000033170000}"/>
    <cellStyle name="40% - Ênfase3 3 2 2 2 3" xfId="26807" xr:uid="{00000000-0005-0000-0000-000034170000}"/>
    <cellStyle name="40% - Ênfase3 3 2 2 2 4" xfId="25520" xr:uid="{00000000-0005-0000-0000-000035170000}"/>
    <cellStyle name="40% - Ênfase3 3 2 2 3" xfId="5721" xr:uid="{00000000-0005-0000-0000-000036170000}"/>
    <cellStyle name="40% - Ênfase3 3 2 2 3 2" xfId="26809" xr:uid="{00000000-0005-0000-0000-000037170000}"/>
    <cellStyle name="40% - Ênfase3 3 2 2 3 3" xfId="25522" xr:uid="{00000000-0005-0000-0000-000038170000}"/>
    <cellStyle name="40% - Ênfase3 3 2 2 4" xfId="5722" xr:uid="{00000000-0005-0000-0000-000039170000}"/>
    <cellStyle name="40% - Ênfase3 3 2 2 4 2" xfId="26806" xr:uid="{00000000-0005-0000-0000-00003A170000}"/>
    <cellStyle name="40% - Ênfase3 3 2 2 5" xfId="5723" xr:uid="{00000000-0005-0000-0000-00003B170000}"/>
    <cellStyle name="40% - Ênfase3 3 2 2 6" xfId="5724" xr:uid="{00000000-0005-0000-0000-00003C170000}"/>
    <cellStyle name="40% - Ênfase3 3 2 2 7" xfId="5725" xr:uid="{00000000-0005-0000-0000-00003D170000}"/>
    <cellStyle name="40% - Ênfase3 3 2 2 8" xfId="5726" xr:uid="{00000000-0005-0000-0000-00003E170000}"/>
    <cellStyle name="40% - Ênfase3 3 2 2 9" xfId="5727" xr:uid="{00000000-0005-0000-0000-00003F170000}"/>
    <cellStyle name="40% - Ênfase3 3 2 3" xfId="5728" xr:uid="{00000000-0005-0000-0000-000040170000}"/>
    <cellStyle name="40% - Ênfase3 3 2 3 2" xfId="25524" xr:uid="{00000000-0005-0000-0000-000041170000}"/>
    <cellStyle name="40% - Ênfase3 3 2 3 2 2" xfId="26811" xr:uid="{00000000-0005-0000-0000-000042170000}"/>
    <cellStyle name="40% - Ênfase3 3 2 3 3" xfId="26810" xr:uid="{00000000-0005-0000-0000-000043170000}"/>
    <cellStyle name="40% - Ênfase3 3 2 3 4" xfId="25523" xr:uid="{00000000-0005-0000-0000-000044170000}"/>
    <cellStyle name="40% - Ênfase3 3 2 4" xfId="5729" xr:uid="{00000000-0005-0000-0000-000045170000}"/>
    <cellStyle name="40% - Ênfase3 3 2 4 2" xfId="26812" xr:uid="{00000000-0005-0000-0000-000046170000}"/>
    <cellStyle name="40% - Ênfase3 3 2 4 3" xfId="25525" xr:uid="{00000000-0005-0000-0000-000047170000}"/>
    <cellStyle name="40% - Ênfase3 3 2 5" xfId="5730" xr:uid="{00000000-0005-0000-0000-000048170000}"/>
    <cellStyle name="40% - Ênfase3 3 2 5 2" xfId="5731" xr:uid="{00000000-0005-0000-0000-000049170000}"/>
    <cellStyle name="40% - Ênfase3 3 2 6" xfId="5732" xr:uid="{00000000-0005-0000-0000-00004A170000}"/>
    <cellStyle name="40% - Ênfase3 3 2 6 2" xfId="5733" xr:uid="{00000000-0005-0000-0000-00004B170000}"/>
    <cellStyle name="40% - Ênfase3 3 2 7" xfId="5734" xr:uid="{00000000-0005-0000-0000-00004C170000}"/>
    <cellStyle name="40% - Ênfase3 3 2 7 2" xfId="5735" xr:uid="{00000000-0005-0000-0000-00004D170000}"/>
    <cellStyle name="40% - Ênfase3 3 2 8" xfId="5736" xr:uid="{00000000-0005-0000-0000-00004E170000}"/>
    <cellStyle name="40% - Ênfase3 3 2 8 2" xfId="5737" xr:uid="{00000000-0005-0000-0000-00004F170000}"/>
    <cellStyle name="40% - Ênfase3 3 2 9" xfId="5738" xr:uid="{00000000-0005-0000-0000-000050170000}"/>
    <cellStyle name="40% - Ênfase3 3 2 9 2" xfId="5739" xr:uid="{00000000-0005-0000-0000-000051170000}"/>
    <cellStyle name="40% - Ênfase3 3 3" xfId="5740" xr:uid="{00000000-0005-0000-0000-000052170000}"/>
    <cellStyle name="40% - Ênfase3 3 3 2" xfId="25527" xr:uid="{00000000-0005-0000-0000-000053170000}"/>
    <cellStyle name="40% - Ênfase3 3 3 2 2" xfId="25528" xr:uid="{00000000-0005-0000-0000-000054170000}"/>
    <cellStyle name="40% - Ênfase3 3 3 2 2 2" xfId="26815" xr:uid="{00000000-0005-0000-0000-000055170000}"/>
    <cellStyle name="40% - Ênfase3 3 3 2 3" xfId="26814" xr:uid="{00000000-0005-0000-0000-000056170000}"/>
    <cellStyle name="40% - Ênfase3 3 3 3" xfId="25529" xr:uid="{00000000-0005-0000-0000-000057170000}"/>
    <cellStyle name="40% - Ênfase3 3 3 3 2" xfId="26816" xr:uid="{00000000-0005-0000-0000-000058170000}"/>
    <cellStyle name="40% - Ênfase3 3 3 4" xfId="26813" xr:uid="{00000000-0005-0000-0000-000059170000}"/>
    <cellStyle name="40% - Ênfase3 3 3 5" xfId="25526" xr:uid="{00000000-0005-0000-0000-00005A170000}"/>
    <cellStyle name="40% - Ênfase3 3 4" xfId="5741" xr:uid="{00000000-0005-0000-0000-00005B170000}"/>
    <cellStyle name="40% - Ênfase3 3 4 2" xfId="26817" xr:uid="{00000000-0005-0000-0000-00005C170000}"/>
    <cellStyle name="40% - Ênfase3 3 5" xfId="5742" xr:uid="{00000000-0005-0000-0000-00005D170000}"/>
    <cellStyle name="40% - Ênfase3 3 5 10" xfId="5743" xr:uid="{00000000-0005-0000-0000-00005E170000}"/>
    <cellStyle name="40% - Ênfase3 3 5 10 2" xfId="5744" xr:uid="{00000000-0005-0000-0000-00005F170000}"/>
    <cellStyle name="40% - Ênfase3 3 5 2" xfId="5745" xr:uid="{00000000-0005-0000-0000-000060170000}"/>
    <cellStyle name="40% - Ênfase3 3 5 2 2" xfId="5746" xr:uid="{00000000-0005-0000-0000-000061170000}"/>
    <cellStyle name="40% - Ênfase3 3 5 3" xfId="5747" xr:uid="{00000000-0005-0000-0000-000062170000}"/>
    <cellStyle name="40% - Ênfase3 3 5 3 2" xfId="5748" xr:uid="{00000000-0005-0000-0000-000063170000}"/>
    <cellStyle name="40% - Ênfase3 3 5 4" xfId="5749" xr:uid="{00000000-0005-0000-0000-000064170000}"/>
    <cellStyle name="40% - Ênfase3 3 5 4 2" xfId="5750" xr:uid="{00000000-0005-0000-0000-000065170000}"/>
    <cellStyle name="40% - Ênfase3 3 5 5" xfId="5751" xr:uid="{00000000-0005-0000-0000-000066170000}"/>
    <cellStyle name="40% - Ênfase3 3 5 5 2" xfId="5752" xr:uid="{00000000-0005-0000-0000-000067170000}"/>
    <cellStyle name="40% - Ênfase3 3 5 6" xfId="5753" xr:uid="{00000000-0005-0000-0000-000068170000}"/>
    <cellStyle name="40% - Ênfase3 3 5 6 2" xfId="5754" xr:uid="{00000000-0005-0000-0000-000069170000}"/>
    <cellStyle name="40% - Ênfase3 3 5 7" xfId="5755" xr:uid="{00000000-0005-0000-0000-00006A170000}"/>
    <cellStyle name="40% - Ênfase3 3 5 7 2" xfId="5756" xr:uid="{00000000-0005-0000-0000-00006B170000}"/>
    <cellStyle name="40% - Ênfase3 3 5 8" xfId="5757" xr:uid="{00000000-0005-0000-0000-00006C170000}"/>
    <cellStyle name="40% - Ênfase3 3 5 8 2" xfId="5758" xr:uid="{00000000-0005-0000-0000-00006D170000}"/>
    <cellStyle name="40% - Ênfase3 3 5 9" xfId="5759" xr:uid="{00000000-0005-0000-0000-00006E170000}"/>
    <cellStyle name="40% - Ênfase3 3 5 9 2" xfId="5760" xr:uid="{00000000-0005-0000-0000-00006F170000}"/>
    <cellStyle name="40% - Ênfase3 3 6" xfId="5761" xr:uid="{00000000-0005-0000-0000-000070170000}"/>
    <cellStyle name="40% - Ênfase3 3 6 2" xfId="5762" xr:uid="{00000000-0005-0000-0000-000071170000}"/>
    <cellStyle name="40% - Ênfase3 3 6 2 2" xfId="5763" xr:uid="{00000000-0005-0000-0000-000072170000}"/>
    <cellStyle name="40% - Ênfase3 3 6 3" xfId="5764" xr:uid="{00000000-0005-0000-0000-000073170000}"/>
    <cellStyle name="40% - Ênfase3 3 6 3 2" xfId="5765" xr:uid="{00000000-0005-0000-0000-000074170000}"/>
    <cellStyle name="40% - Ênfase3 3 6 4" xfId="5766" xr:uid="{00000000-0005-0000-0000-000075170000}"/>
    <cellStyle name="40% - Ênfase3 3 6 4 2" xfId="5767" xr:uid="{00000000-0005-0000-0000-000076170000}"/>
    <cellStyle name="40% - Ênfase3 3 6 5" xfId="5768" xr:uid="{00000000-0005-0000-0000-000077170000}"/>
    <cellStyle name="40% - Ênfase3 3 6 5 2" xfId="5769" xr:uid="{00000000-0005-0000-0000-000078170000}"/>
    <cellStyle name="40% - Ênfase3 3 6 6" xfId="5770" xr:uid="{00000000-0005-0000-0000-000079170000}"/>
    <cellStyle name="40% - Ênfase3 3 7" xfId="25530" xr:uid="{00000000-0005-0000-0000-00007A170000}"/>
    <cellStyle name="40% - Ênfase3 3 7 2" xfId="26818" xr:uid="{00000000-0005-0000-0000-00007B170000}"/>
    <cellStyle name="40% - Ênfase3 3 8" xfId="26805" xr:uid="{00000000-0005-0000-0000-00007C170000}"/>
    <cellStyle name="40% - Ênfase3 30" xfId="5771" xr:uid="{00000000-0005-0000-0000-00007D170000}"/>
    <cellStyle name="40% - Ênfase3 30 2" xfId="5772" xr:uid="{00000000-0005-0000-0000-00007E170000}"/>
    <cellStyle name="40% - Ênfase3 31" xfId="5773" xr:uid="{00000000-0005-0000-0000-00007F170000}"/>
    <cellStyle name="40% - Ênfase3 31 2" xfId="5774" xr:uid="{00000000-0005-0000-0000-000080170000}"/>
    <cellStyle name="40% - Ênfase3 32" xfId="5775" xr:uid="{00000000-0005-0000-0000-000081170000}"/>
    <cellStyle name="40% - Ênfase3 32 2" xfId="5776" xr:uid="{00000000-0005-0000-0000-000082170000}"/>
    <cellStyle name="40% - Ênfase3 33" xfId="5777" xr:uid="{00000000-0005-0000-0000-000083170000}"/>
    <cellStyle name="40% - Ênfase3 33 2" xfId="5778" xr:uid="{00000000-0005-0000-0000-000084170000}"/>
    <cellStyle name="40% - Ênfase3 34" xfId="5779" xr:uid="{00000000-0005-0000-0000-000085170000}"/>
    <cellStyle name="40% - Ênfase3 34 2" xfId="5780" xr:uid="{00000000-0005-0000-0000-000086170000}"/>
    <cellStyle name="40% - Ênfase3 35" xfId="5781" xr:uid="{00000000-0005-0000-0000-000087170000}"/>
    <cellStyle name="40% - Ênfase3 35 2" xfId="5782" xr:uid="{00000000-0005-0000-0000-000088170000}"/>
    <cellStyle name="40% - Ênfase3 36" xfId="5783" xr:uid="{00000000-0005-0000-0000-000089170000}"/>
    <cellStyle name="40% - Ênfase3 36 2" xfId="5784" xr:uid="{00000000-0005-0000-0000-00008A170000}"/>
    <cellStyle name="40% - Ênfase3 37" xfId="5785" xr:uid="{00000000-0005-0000-0000-00008B170000}"/>
    <cellStyle name="40% - Ênfase3 37 2" xfId="5786" xr:uid="{00000000-0005-0000-0000-00008C170000}"/>
    <cellStyle name="40% - Ênfase3 38" xfId="5787" xr:uid="{00000000-0005-0000-0000-00008D170000}"/>
    <cellStyle name="40% - Ênfase3 38 2" xfId="5788" xr:uid="{00000000-0005-0000-0000-00008E170000}"/>
    <cellStyle name="40% - Ênfase3 39" xfId="5789" xr:uid="{00000000-0005-0000-0000-00008F170000}"/>
    <cellStyle name="40% - Ênfase3 39 2" xfId="5790" xr:uid="{00000000-0005-0000-0000-000090170000}"/>
    <cellStyle name="40% - Ênfase3 4" xfId="5791" xr:uid="{00000000-0005-0000-0000-000091170000}"/>
    <cellStyle name="40% - Ênfase3 4 2" xfId="5792" xr:uid="{00000000-0005-0000-0000-000092170000}"/>
    <cellStyle name="40% - Ênfase3 4 2 10" xfId="5793" xr:uid="{00000000-0005-0000-0000-000093170000}"/>
    <cellStyle name="40% - Ênfase3 4 2 10 2" xfId="5794" xr:uid="{00000000-0005-0000-0000-000094170000}"/>
    <cellStyle name="40% - Ênfase3 4 2 11" xfId="5795" xr:uid="{00000000-0005-0000-0000-000095170000}"/>
    <cellStyle name="40% - Ênfase3 4 2 11 2" xfId="5796" xr:uid="{00000000-0005-0000-0000-000096170000}"/>
    <cellStyle name="40% - Ênfase3 4 2 12" xfId="5797" xr:uid="{00000000-0005-0000-0000-000097170000}"/>
    <cellStyle name="40% - Ênfase3 4 2 12 2" xfId="5798" xr:uid="{00000000-0005-0000-0000-000098170000}"/>
    <cellStyle name="40% - Ênfase3 4 2 2" xfId="5799" xr:uid="{00000000-0005-0000-0000-000099170000}"/>
    <cellStyle name="40% - Ênfase3 4 2 2 10" xfId="5800" xr:uid="{00000000-0005-0000-0000-00009A170000}"/>
    <cellStyle name="40% - Ênfase3 4 2 2 11" xfId="5801" xr:uid="{00000000-0005-0000-0000-00009B170000}"/>
    <cellStyle name="40% - Ênfase3 4 2 2 2" xfId="5802" xr:uid="{00000000-0005-0000-0000-00009C170000}"/>
    <cellStyle name="40% - Ênfase3 4 2 2 2 2" xfId="25532" xr:uid="{00000000-0005-0000-0000-00009D170000}"/>
    <cellStyle name="40% - Ênfase3 4 2 2 2 2 2" xfId="26822" xr:uid="{00000000-0005-0000-0000-00009E170000}"/>
    <cellStyle name="40% - Ênfase3 4 2 2 2 3" xfId="26821" xr:uid="{00000000-0005-0000-0000-00009F170000}"/>
    <cellStyle name="40% - Ênfase3 4 2 2 2 4" xfId="25531" xr:uid="{00000000-0005-0000-0000-0000A0170000}"/>
    <cellStyle name="40% - Ênfase3 4 2 2 3" xfId="5803" xr:uid="{00000000-0005-0000-0000-0000A1170000}"/>
    <cellStyle name="40% - Ênfase3 4 2 2 3 2" xfId="26823" xr:uid="{00000000-0005-0000-0000-0000A2170000}"/>
    <cellStyle name="40% - Ênfase3 4 2 2 3 3" xfId="25533" xr:uid="{00000000-0005-0000-0000-0000A3170000}"/>
    <cellStyle name="40% - Ênfase3 4 2 2 4" xfId="5804" xr:uid="{00000000-0005-0000-0000-0000A4170000}"/>
    <cellStyle name="40% - Ênfase3 4 2 2 4 2" xfId="26820" xr:uid="{00000000-0005-0000-0000-0000A5170000}"/>
    <cellStyle name="40% - Ênfase3 4 2 2 5" xfId="5805" xr:uid="{00000000-0005-0000-0000-0000A6170000}"/>
    <cellStyle name="40% - Ênfase3 4 2 2 6" xfId="5806" xr:uid="{00000000-0005-0000-0000-0000A7170000}"/>
    <cellStyle name="40% - Ênfase3 4 2 2 7" xfId="5807" xr:uid="{00000000-0005-0000-0000-0000A8170000}"/>
    <cellStyle name="40% - Ênfase3 4 2 2 8" xfId="5808" xr:uid="{00000000-0005-0000-0000-0000A9170000}"/>
    <cellStyle name="40% - Ênfase3 4 2 2 9" xfId="5809" xr:uid="{00000000-0005-0000-0000-0000AA170000}"/>
    <cellStyle name="40% - Ênfase3 4 2 3" xfId="5810" xr:uid="{00000000-0005-0000-0000-0000AB170000}"/>
    <cellStyle name="40% - Ênfase3 4 2 3 2" xfId="25535" xr:uid="{00000000-0005-0000-0000-0000AC170000}"/>
    <cellStyle name="40% - Ênfase3 4 2 3 2 2" xfId="26825" xr:uid="{00000000-0005-0000-0000-0000AD170000}"/>
    <cellStyle name="40% - Ênfase3 4 2 3 3" xfId="26824" xr:uid="{00000000-0005-0000-0000-0000AE170000}"/>
    <cellStyle name="40% - Ênfase3 4 2 3 4" xfId="25534" xr:uid="{00000000-0005-0000-0000-0000AF170000}"/>
    <cellStyle name="40% - Ênfase3 4 2 4" xfId="5811" xr:uid="{00000000-0005-0000-0000-0000B0170000}"/>
    <cellStyle name="40% - Ênfase3 4 2 4 2" xfId="26826" xr:uid="{00000000-0005-0000-0000-0000B1170000}"/>
    <cellStyle name="40% - Ênfase3 4 2 4 3" xfId="25536" xr:uid="{00000000-0005-0000-0000-0000B2170000}"/>
    <cellStyle name="40% - Ênfase3 4 2 5" xfId="5812" xr:uid="{00000000-0005-0000-0000-0000B3170000}"/>
    <cellStyle name="40% - Ênfase3 4 2 5 2" xfId="5813" xr:uid="{00000000-0005-0000-0000-0000B4170000}"/>
    <cellStyle name="40% - Ênfase3 4 2 6" xfId="5814" xr:uid="{00000000-0005-0000-0000-0000B5170000}"/>
    <cellStyle name="40% - Ênfase3 4 2 6 2" xfId="5815" xr:uid="{00000000-0005-0000-0000-0000B6170000}"/>
    <cellStyle name="40% - Ênfase3 4 2 7" xfId="5816" xr:uid="{00000000-0005-0000-0000-0000B7170000}"/>
    <cellStyle name="40% - Ênfase3 4 2 7 2" xfId="5817" xr:uid="{00000000-0005-0000-0000-0000B8170000}"/>
    <cellStyle name="40% - Ênfase3 4 2 8" xfId="5818" xr:uid="{00000000-0005-0000-0000-0000B9170000}"/>
    <cellStyle name="40% - Ênfase3 4 2 8 2" xfId="5819" xr:uid="{00000000-0005-0000-0000-0000BA170000}"/>
    <cellStyle name="40% - Ênfase3 4 2 9" xfId="5820" xr:uid="{00000000-0005-0000-0000-0000BB170000}"/>
    <cellStyle name="40% - Ênfase3 4 2 9 2" xfId="5821" xr:uid="{00000000-0005-0000-0000-0000BC170000}"/>
    <cellStyle name="40% - Ênfase3 4 3" xfId="5822" xr:uid="{00000000-0005-0000-0000-0000BD170000}"/>
    <cellStyle name="40% - Ênfase3 4 3 2" xfId="25538" xr:uid="{00000000-0005-0000-0000-0000BE170000}"/>
    <cellStyle name="40% - Ênfase3 4 3 2 2" xfId="25539" xr:uid="{00000000-0005-0000-0000-0000BF170000}"/>
    <cellStyle name="40% - Ênfase3 4 3 2 2 2" xfId="26829" xr:uid="{00000000-0005-0000-0000-0000C0170000}"/>
    <cellStyle name="40% - Ênfase3 4 3 2 3" xfId="26828" xr:uid="{00000000-0005-0000-0000-0000C1170000}"/>
    <cellStyle name="40% - Ênfase3 4 3 3" xfId="25540" xr:uid="{00000000-0005-0000-0000-0000C2170000}"/>
    <cellStyle name="40% - Ênfase3 4 3 3 2" xfId="26830" xr:uid="{00000000-0005-0000-0000-0000C3170000}"/>
    <cellStyle name="40% - Ênfase3 4 3 4" xfId="26827" xr:uid="{00000000-0005-0000-0000-0000C4170000}"/>
    <cellStyle name="40% - Ênfase3 4 3 5" xfId="25537" xr:uid="{00000000-0005-0000-0000-0000C5170000}"/>
    <cellStyle name="40% - Ênfase3 4 4" xfId="5823" xr:uid="{00000000-0005-0000-0000-0000C6170000}"/>
    <cellStyle name="40% - Ênfase3 4 4 2" xfId="26831" xr:uid="{00000000-0005-0000-0000-0000C7170000}"/>
    <cellStyle name="40% - Ênfase3 4 5" xfId="5824" xr:uid="{00000000-0005-0000-0000-0000C8170000}"/>
    <cellStyle name="40% - Ênfase3 4 5 10" xfId="5825" xr:uid="{00000000-0005-0000-0000-0000C9170000}"/>
    <cellStyle name="40% - Ênfase3 4 5 10 2" xfId="5826" xr:uid="{00000000-0005-0000-0000-0000CA170000}"/>
    <cellStyle name="40% - Ênfase3 4 5 2" xfId="5827" xr:uid="{00000000-0005-0000-0000-0000CB170000}"/>
    <cellStyle name="40% - Ênfase3 4 5 2 2" xfId="5828" xr:uid="{00000000-0005-0000-0000-0000CC170000}"/>
    <cellStyle name="40% - Ênfase3 4 5 3" xfId="5829" xr:uid="{00000000-0005-0000-0000-0000CD170000}"/>
    <cellStyle name="40% - Ênfase3 4 5 3 2" xfId="5830" xr:uid="{00000000-0005-0000-0000-0000CE170000}"/>
    <cellStyle name="40% - Ênfase3 4 5 4" xfId="5831" xr:uid="{00000000-0005-0000-0000-0000CF170000}"/>
    <cellStyle name="40% - Ênfase3 4 5 4 2" xfId="5832" xr:uid="{00000000-0005-0000-0000-0000D0170000}"/>
    <cellStyle name="40% - Ênfase3 4 5 5" xfId="5833" xr:uid="{00000000-0005-0000-0000-0000D1170000}"/>
    <cellStyle name="40% - Ênfase3 4 5 5 2" xfId="5834" xr:uid="{00000000-0005-0000-0000-0000D2170000}"/>
    <cellStyle name="40% - Ênfase3 4 5 6" xfId="5835" xr:uid="{00000000-0005-0000-0000-0000D3170000}"/>
    <cellStyle name="40% - Ênfase3 4 5 6 2" xfId="5836" xr:uid="{00000000-0005-0000-0000-0000D4170000}"/>
    <cellStyle name="40% - Ênfase3 4 5 7" xfId="5837" xr:uid="{00000000-0005-0000-0000-0000D5170000}"/>
    <cellStyle name="40% - Ênfase3 4 5 7 2" xfId="5838" xr:uid="{00000000-0005-0000-0000-0000D6170000}"/>
    <cellStyle name="40% - Ênfase3 4 5 8" xfId="5839" xr:uid="{00000000-0005-0000-0000-0000D7170000}"/>
    <cellStyle name="40% - Ênfase3 4 5 8 2" xfId="5840" xr:uid="{00000000-0005-0000-0000-0000D8170000}"/>
    <cellStyle name="40% - Ênfase3 4 5 9" xfId="5841" xr:uid="{00000000-0005-0000-0000-0000D9170000}"/>
    <cellStyle name="40% - Ênfase3 4 5 9 2" xfId="5842" xr:uid="{00000000-0005-0000-0000-0000DA170000}"/>
    <cellStyle name="40% - Ênfase3 4 6" xfId="5843" xr:uid="{00000000-0005-0000-0000-0000DB170000}"/>
    <cellStyle name="40% - Ênfase3 4 6 2" xfId="5844" xr:uid="{00000000-0005-0000-0000-0000DC170000}"/>
    <cellStyle name="40% - Ênfase3 4 6 2 2" xfId="5845" xr:uid="{00000000-0005-0000-0000-0000DD170000}"/>
    <cellStyle name="40% - Ênfase3 4 6 3" xfId="5846" xr:uid="{00000000-0005-0000-0000-0000DE170000}"/>
    <cellStyle name="40% - Ênfase3 4 6 3 2" xfId="5847" xr:uid="{00000000-0005-0000-0000-0000DF170000}"/>
    <cellStyle name="40% - Ênfase3 4 6 4" xfId="5848" xr:uid="{00000000-0005-0000-0000-0000E0170000}"/>
    <cellStyle name="40% - Ênfase3 4 6 4 2" xfId="5849" xr:uid="{00000000-0005-0000-0000-0000E1170000}"/>
    <cellStyle name="40% - Ênfase3 4 6 5" xfId="5850" xr:uid="{00000000-0005-0000-0000-0000E2170000}"/>
    <cellStyle name="40% - Ênfase3 4 6 5 2" xfId="5851" xr:uid="{00000000-0005-0000-0000-0000E3170000}"/>
    <cellStyle name="40% - Ênfase3 4 6 6" xfId="5852" xr:uid="{00000000-0005-0000-0000-0000E4170000}"/>
    <cellStyle name="40% - Ênfase3 4 7" xfId="26819" xr:uid="{00000000-0005-0000-0000-0000E5170000}"/>
    <cellStyle name="40% - Ênfase3 40" xfId="5853" xr:uid="{00000000-0005-0000-0000-0000E6170000}"/>
    <cellStyle name="40% - Ênfase3 40 2" xfId="5854" xr:uid="{00000000-0005-0000-0000-0000E7170000}"/>
    <cellStyle name="40% - Ênfase3 41" xfId="5855" xr:uid="{00000000-0005-0000-0000-0000E8170000}"/>
    <cellStyle name="40% - Ênfase3 41 2" xfId="5856" xr:uid="{00000000-0005-0000-0000-0000E9170000}"/>
    <cellStyle name="40% - Ênfase3 42" xfId="5857" xr:uid="{00000000-0005-0000-0000-0000EA170000}"/>
    <cellStyle name="40% - Ênfase3 42 2" xfId="5858" xr:uid="{00000000-0005-0000-0000-0000EB170000}"/>
    <cellStyle name="40% - Ênfase3 43" xfId="5859" xr:uid="{00000000-0005-0000-0000-0000EC170000}"/>
    <cellStyle name="40% - Ênfase3 43 2" xfId="5860" xr:uid="{00000000-0005-0000-0000-0000ED170000}"/>
    <cellStyle name="40% - Ênfase3 44" xfId="5861" xr:uid="{00000000-0005-0000-0000-0000EE170000}"/>
    <cellStyle name="40% - Ênfase3 44 2" xfId="5862" xr:uid="{00000000-0005-0000-0000-0000EF170000}"/>
    <cellStyle name="40% - Ênfase3 45" xfId="5863" xr:uid="{00000000-0005-0000-0000-0000F0170000}"/>
    <cellStyle name="40% - Ênfase3 45 2" xfId="5864" xr:uid="{00000000-0005-0000-0000-0000F1170000}"/>
    <cellStyle name="40% - Ênfase3 46" xfId="5865" xr:uid="{00000000-0005-0000-0000-0000F2170000}"/>
    <cellStyle name="40% - Ênfase3 46 2" xfId="5866" xr:uid="{00000000-0005-0000-0000-0000F3170000}"/>
    <cellStyle name="40% - Ênfase3 47" xfId="5867" xr:uid="{00000000-0005-0000-0000-0000F4170000}"/>
    <cellStyle name="40% - Ênfase3 47 2" xfId="5868" xr:uid="{00000000-0005-0000-0000-0000F5170000}"/>
    <cellStyle name="40% - Ênfase3 48" xfId="5869" xr:uid="{00000000-0005-0000-0000-0000F6170000}"/>
    <cellStyle name="40% - Ênfase3 48 2" xfId="5870" xr:uid="{00000000-0005-0000-0000-0000F7170000}"/>
    <cellStyle name="40% - Ênfase3 49" xfId="5871" xr:uid="{00000000-0005-0000-0000-0000F8170000}"/>
    <cellStyle name="40% - Ênfase3 49 2" xfId="5872" xr:uid="{00000000-0005-0000-0000-0000F9170000}"/>
    <cellStyle name="40% - Ênfase3 5" xfId="5873" xr:uid="{00000000-0005-0000-0000-0000FA170000}"/>
    <cellStyle name="40% - Ênfase3 5 2" xfId="5874" xr:uid="{00000000-0005-0000-0000-0000FB170000}"/>
    <cellStyle name="40% - Ênfase3 5 2 2" xfId="5875" xr:uid="{00000000-0005-0000-0000-0000FC170000}"/>
    <cellStyle name="40% - Ênfase3 5 2 2 2" xfId="25542" xr:uid="{00000000-0005-0000-0000-0000FD170000}"/>
    <cellStyle name="40% - Ênfase3 5 2 2 2 2" xfId="25543" xr:uid="{00000000-0005-0000-0000-0000FE170000}"/>
    <cellStyle name="40% - Ênfase3 5 2 2 2 2 2" xfId="26834" xr:uid="{00000000-0005-0000-0000-0000FF170000}"/>
    <cellStyle name="40% - Ênfase3 5 2 2 2 3" xfId="26833" xr:uid="{00000000-0005-0000-0000-000000180000}"/>
    <cellStyle name="40% - Ênfase3 5 2 2 3" xfId="25544" xr:uid="{00000000-0005-0000-0000-000001180000}"/>
    <cellStyle name="40% - Ênfase3 5 2 2 3 2" xfId="26835" xr:uid="{00000000-0005-0000-0000-000002180000}"/>
    <cellStyle name="40% - Ênfase3 5 2 2 4" xfId="26832" xr:uid="{00000000-0005-0000-0000-000003180000}"/>
    <cellStyle name="40% - Ênfase3 5 2 2 5" xfId="25541" xr:uid="{00000000-0005-0000-0000-000004180000}"/>
    <cellStyle name="40% - Ênfase3 5 2 3" xfId="5876" xr:uid="{00000000-0005-0000-0000-000005180000}"/>
    <cellStyle name="40% - Ênfase3 5 2 3 2" xfId="25546" xr:uid="{00000000-0005-0000-0000-000006180000}"/>
    <cellStyle name="40% - Ênfase3 5 2 3 2 2" xfId="26837" xr:uid="{00000000-0005-0000-0000-000007180000}"/>
    <cellStyle name="40% - Ênfase3 5 2 3 3" xfId="26836" xr:uid="{00000000-0005-0000-0000-000008180000}"/>
    <cellStyle name="40% - Ênfase3 5 2 3 4" xfId="25545" xr:uid="{00000000-0005-0000-0000-000009180000}"/>
    <cellStyle name="40% - Ênfase3 5 2 4" xfId="5877" xr:uid="{00000000-0005-0000-0000-00000A180000}"/>
    <cellStyle name="40% - Ênfase3 5 2 4 2" xfId="26838" xr:uid="{00000000-0005-0000-0000-00000B180000}"/>
    <cellStyle name="40% - Ênfase3 5 2 4 3" xfId="25547" xr:uid="{00000000-0005-0000-0000-00000C180000}"/>
    <cellStyle name="40% - Ênfase3 5 2 5" xfId="5878" xr:uid="{00000000-0005-0000-0000-00000D180000}"/>
    <cellStyle name="40% - Ênfase3 5 2 5 2" xfId="5879" xr:uid="{00000000-0005-0000-0000-00000E180000}"/>
    <cellStyle name="40% - Ênfase3 5 2 6" xfId="5880" xr:uid="{00000000-0005-0000-0000-00000F180000}"/>
    <cellStyle name="40% - Ênfase3 5 2 6 2" xfId="5881" xr:uid="{00000000-0005-0000-0000-000010180000}"/>
    <cellStyle name="40% - Ênfase3 5 2 7" xfId="5882" xr:uid="{00000000-0005-0000-0000-000011180000}"/>
    <cellStyle name="40% - Ênfase3 5 2 7 2" xfId="5883" xr:uid="{00000000-0005-0000-0000-000012180000}"/>
    <cellStyle name="40% - Ênfase3 5 2 8" xfId="5884" xr:uid="{00000000-0005-0000-0000-000013180000}"/>
    <cellStyle name="40% - Ênfase3 5 2 8 2" xfId="5885" xr:uid="{00000000-0005-0000-0000-000014180000}"/>
    <cellStyle name="40% - Ênfase3 5 2 9" xfId="5886" xr:uid="{00000000-0005-0000-0000-000015180000}"/>
    <cellStyle name="40% - Ênfase3 5 3" xfId="5887" xr:uid="{00000000-0005-0000-0000-000016180000}"/>
    <cellStyle name="40% - Ênfase3 5 3 2" xfId="25549" xr:uid="{00000000-0005-0000-0000-000017180000}"/>
    <cellStyle name="40% - Ênfase3 5 3 2 2" xfId="25550" xr:uid="{00000000-0005-0000-0000-000018180000}"/>
    <cellStyle name="40% - Ênfase3 5 3 2 2 2" xfId="26841" xr:uid="{00000000-0005-0000-0000-000019180000}"/>
    <cellStyle name="40% - Ênfase3 5 3 2 3" xfId="26840" xr:uid="{00000000-0005-0000-0000-00001A180000}"/>
    <cellStyle name="40% - Ênfase3 5 3 3" xfId="25551" xr:uid="{00000000-0005-0000-0000-00001B180000}"/>
    <cellStyle name="40% - Ênfase3 5 3 3 2" xfId="26842" xr:uid="{00000000-0005-0000-0000-00001C180000}"/>
    <cellStyle name="40% - Ênfase3 5 3 4" xfId="26839" xr:uid="{00000000-0005-0000-0000-00001D180000}"/>
    <cellStyle name="40% - Ênfase3 5 3 5" xfId="25548" xr:uid="{00000000-0005-0000-0000-00001E180000}"/>
    <cellStyle name="40% - Ênfase3 5 4" xfId="5888" xr:uid="{00000000-0005-0000-0000-00001F180000}"/>
    <cellStyle name="40% - Ênfase3 5 4 2" xfId="25553" xr:uid="{00000000-0005-0000-0000-000020180000}"/>
    <cellStyle name="40% - Ênfase3 5 4 2 2" xfId="26844" xr:uid="{00000000-0005-0000-0000-000021180000}"/>
    <cellStyle name="40% - Ênfase3 5 4 3" xfId="26843" xr:uid="{00000000-0005-0000-0000-000022180000}"/>
    <cellStyle name="40% - Ênfase3 5 4 4" xfId="25552" xr:uid="{00000000-0005-0000-0000-000023180000}"/>
    <cellStyle name="40% - Ênfase3 5 5" xfId="5889" xr:uid="{00000000-0005-0000-0000-000024180000}"/>
    <cellStyle name="40% - Ênfase3 5 5 2" xfId="5890" xr:uid="{00000000-0005-0000-0000-000025180000}"/>
    <cellStyle name="40% - Ênfase3 5 5 2 2" xfId="5891" xr:uid="{00000000-0005-0000-0000-000026180000}"/>
    <cellStyle name="40% - Ênfase3 5 5 3" xfId="5892" xr:uid="{00000000-0005-0000-0000-000027180000}"/>
    <cellStyle name="40% - Ênfase3 5 5 3 2" xfId="5893" xr:uid="{00000000-0005-0000-0000-000028180000}"/>
    <cellStyle name="40% - Ênfase3 5 5 4" xfId="5894" xr:uid="{00000000-0005-0000-0000-000029180000}"/>
    <cellStyle name="40% - Ênfase3 5 5 4 2" xfId="5895" xr:uid="{00000000-0005-0000-0000-00002A180000}"/>
    <cellStyle name="40% - Ênfase3 5 5 5" xfId="5896" xr:uid="{00000000-0005-0000-0000-00002B180000}"/>
    <cellStyle name="40% - Ênfase3 5 5 5 2" xfId="5897" xr:uid="{00000000-0005-0000-0000-00002C180000}"/>
    <cellStyle name="40% - Ênfase3 5 5 6" xfId="5898" xr:uid="{00000000-0005-0000-0000-00002D180000}"/>
    <cellStyle name="40% - Ênfase3 5 6" xfId="5899" xr:uid="{00000000-0005-0000-0000-00002E180000}"/>
    <cellStyle name="40% - Ênfase3 5 6 2" xfId="5900" xr:uid="{00000000-0005-0000-0000-00002F180000}"/>
    <cellStyle name="40% - Ênfase3 5 6 2 2" xfId="5901" xr:uid="{00000000-0005-0000-0000-000030180000}"/>
    <cellStyle name="40% - Ênfase3 5 6 3" xfId="5902" xr:uid="{00000000-0005-0000-0000-000031180000}"/>
    <cellStyle name="40% - Ênfase3 5 6 3 2" xfId="5903" xr:uid="{00000000-0005-0000-0000-000032180000}"/>
    <cellStyle name="40% - Ênfase3 5 6 4" xfId="5904" xr:uid="{00000000-0005-0000-0000-000033180000}"/>
    <cellStyle name="40% - Ênfase3 5 6 4 2" xfId="5905" xr:uid="{00000000-0005-0000-0000-000034180000}"/>
    <cellStyle name="40% - Ênfase3 5 6 5" xfId="5906" xr:uid="{00000000-0005-0000-0000-000035180000}"/>
    <cellStyle name="40% - Ênfase3 5 6 5 2" xfId="5907" xr:uid="{00000000-0005-0000-0000-000036180000}"/>
    <cellStyle name="40% - Ênfase3 5 6 6" xfId="5908" xr:uid="{00000000-0005-0000-0000-000037180000}"/>
    <cellStyle name="40% - Ênfase3 50" xfId="5909" xr:uid="{00000000-0005-0000-0000-000038180000}"/>
    <cellStyle name="40% - Ênfase3 50 2" xfId="5910" xr:uid="{00000000-0005-0000-0000-000039180000}"/>
    <cellStyle name="40% - Ênfase3 51" xfId="5911" xr:uid="{00000000-0005-0000-0000-00003A180000}"/>
    <cellStyle name="40% - Ênfase3 51 2" xfId="5912" xr:uid="{00000000-0005-0000-0000-00003B180000}"/>
    <cellStyle name="40% - Ênfase3 52" xfId="5913" xr:uid="{00000000-0005-0000-0000-00003C180000}"/>
    <cellStyle name="40% - Ênfase3 52 2" xfId="5914" xr:uid="{00000000-0005-0000-0000-00003D180000}"/>
    <cellStyle name="40% - Ênfase3 53" xfId="5915" xr:uid="{00000000-0005-0000-0000-00003E180000}"/>
    <cellStyle name="40% - Ênfase3 53 2" xfId="5916" xr:uid="{00000000-0005-0000-0000-00003F180000}"/>
    <cellStyle name="40% - Ênfase3 54" xfId="5917" xr:uid="{00000000-0005-0000-0000-000040180000}"/>
    <cellStyle name="40% - Ênfase3 54 2" xfId="5918" xr:uid="{00000000-0005-0000-0000-000041180000}"/>
    <cellStyle name="40% - Ênfase3 55" xfId="5919" xr:uid="{00000000-0005-0000-0000-000042180000}"/>
    <cellStyle name="40% - Ênfase3 55 2" xfId="5920" xr:uid="{00000000-0005-0000-0000-000043180000}"/>
    <cellStyle name="40% - Ênfase3 6" xfId="5921" xr:uid="{00000000-0005-0000-0000-000044180000}"/>
    <cellStyle name="40% - Ênfase3 6 10" xfId="5922" xr:uid="{00000000-0005-0000-0000-000045180000}"/>
    <cellStyle name="40% - Ênfase3 6 10 2" xfId="5923" xr:uid="{00000000-0005-0000-0000-000046180000}"/>
    <cellStyle name="40% - Ênfase3 6 11" xfId="5924" xr:uid="{00000000-0005-0000-0000-000047180000}"/>
    <cellStyle name="40% - Ênfase3 6 11 2" xfId="5925" xr:uid="{00000000-0005-0000-0000-000048180000}"/>
    <cellStyle name="40% - Ênfase3 6 12" xfId="5926" xr:uid="{00000000-0005-0000-0000-000049180000}"/>
    <cellStyle name="40% - Ênfase3 6 12 2" xfId="5927" xr:uid="{00000000-0005-0000-0000-00004A180000}"/>
    <cellStyle name="40% - Ênfase3 6 13" xfId="5928" xr:uid="{00000000-0005-0000-0000-00004B180000}"/>
    <cellStyle name="40% - Ênfase3 6 13 2" xfId="5929" xr:uid="{00000000-0005-0000-0000-00004C180000}"/>
    <cellStyle name="40% - Ênfase3 6 14" xfId="5930" xr:uid="{00000000-0005-0000-0000-00004D180000}"/>
    <cellStyle name="40% - Ênfase3 6 14 2" xfId="5931" xr:uid="{00000000-0005-0000-0000-00004E180000}"/>
    <cellStyle name="40% - Ênfase3 6 15" xfId="5932" xr:uid="{00000000-0005-0000-0000-00004F180000}"/>
    <cellStyle name="40% - Ênfase3 6 15 2" xfId="5933" xr:uid="{00000000-0005-0000-0000-000050180000}"/>
    <cellStyle name="40% - Ênfase3 6 16" xfId="5934" xr:uid="{00000000-0005-0000-0000-000051180000}"/>
    <cellStyle name="40% - Ênfase3 6 16 2" xfId="5935" xr:uid="{00000000-0005-0000-0000-000052180000}"/>
    <cellStyle name="40% - Ênfase3 6 17" xfId="5936" xr:uid="{00000000-0005-0000-0000-000053180000}"/>
    <cellStyle name="40% - Ênfase3 6 17 2" xfId="5937" xr:uid="{00000000-0005-0000-0000-000054180000}"/>
    <cellStyle name="40% - Ênfase3 6 18" xfId="5938" xr:uid="{00000000-0005-0000-0000-000055180000}"/>
    <cellStyle name="40% - Ênfase3 6 18 2" xfId="5939" xr:uid="{00000000-0005-0000-0000-000056180000}"/>
    <cellStyle name="40% - Ênfase3 6 19" xfId="5940" xr:uid="{00000000-0005-0000-0000-000057180000}"/>
    <cellStyle name="40% - Ênfase3 6 19 2" xfId="5941" xr:uid="{00000000-0005-0000-0000-000058180000}"/>
    <cellStyle name="40% - Ênfase3 6 2" xfId="5942" xr:uid="{00000000-0005-0000-0000-000059180000}"/>
    <cellStyle name="40% - Ênfase3 6 2 2" xfId="5943" xr:uid="{00000000-0005-0000-0000-00005A180000}"/>
    <cellStyle name="40% - Ênfase3 6 2 2 2" xfId="5944" xr:uid="{00000000-0005-0000-0000-00005B180000}"/>
    <cellStyle name="40% - Ênfase3 6 2 2 2 2" xfId="26846" xr:uid="{00000000-0005-0000-0000-00005C180000}"/>
    <cellStyle name="40% - Ênfase3 6 2 2 3" xfId="26845" xr:uid="{00000000-0005-0000-0000-00005D180000}"/>
    <cellStyle name="40% - Ênfase3 6 2 3" xfId="5945" xr:uid="{00000000-0005-0000-0000-00005E180000}"/>
    <cellStyle name="40% - Ênfase3 6 2 3 2" xfId="5946" xr:uid="{00000000-0005-0000-0000-00005F180000}"/>
    <cellStyle name="40% - Ênfase3 6 2 4" xfId="5947" xr:uid="{00000000-0005-0000-0000-000060180000}"/>
    <cellStyle name="40% - Ênfase3 6 2 4 2" xfId="5948" xr:uid="{00000000-0005-0000-0000-000061180000}"/>
    <cellStyle name="40% - Ênfase3 6 2 5" xfId="5949" xr:uid="{00000000-0005-0000-0000-000062180000}"/>
    <cellStyle name="40% - Ênfase3 6 2 5 2" xfId="5950" xr:uid="{00000000-0005-0000-0000-000063180000}"/>
    <cellStyle name="40% - Ênfase3 6 2 6" xfId="5951" xr:uid="{00000000-0005-0000-0000-000064180000}"/>
    <cellStyle name="40% - Ênfase3 6 20" xfId="5952" xr:uid="{00000000-0005-0000-0000-000065180000}"/>
    <cellStyle name="40% - Ênfase3 6 20 2" xfId="5953" xr:uid="{00000000-0005-0000-0000-000066180000}"/>
    <cellStyle name="40% - Ênfase3 6 21" xfId="5954" xr:uid="{00000000-0005-0000-0000-000067180000}"/>
    <cellStyle name="40% - Ênfase3 6 21 2" xfId="5955" xr:uid="{00000000-0005-0000-0000-000068180000}"/>
    <cellStyle name="40% - Ênfase3 6 22" xfId="5956" xr:uid="{00000000-0005-0000-0000-000069180000}"/>
    <cellStyle name="40% - Ênfase3 6 22 2" xfId="5957" xr:uid="{00000000-0005-0000-0000-00006A180000}"/>
    <cellStyle name="40% - Ênfase3 6 23" xfId="5958" xr:uid="{00000000-0005-0000-0000-00006B180000}"/>
    <cellStyle name="40% - Ênfase3 6 23 2" xfId="5959" xr:uid="{00000000-0005-0000-0000-00006C180000}"/>
    <cellStyle name="40% - Ênfase3 6 24" xfId="5960" xr:uid="{00000000-0005-0000-0000-00006D180000}"/>
    <cellStyle name="40% - Ênfase3 6 24 2" xfId="5961" xr:uid="{00000000-0005-0000-0000-00006E180000}"/>
    <cellStyle name="40% - Ênfase3 6 25" xfId="5962" xr:uid="{00000000-0005-0000-0000-00006F180000}"/>
    <cellStyle name="40% - Ênfase3 6 25 2" xfId="5963" xr:uid="{00000000-0005-0000-0000-000070180000}"/>
    <cellStyle name="40% - Ênfase3 6 26" xfId="5964" xr:uid="{00000000-0005-0000-0000-000071180000}"/>
    <cellStyle name="40% - Ênfase3 6 26 2" xfId="5965" xr:uid="{00000000-0005-0000-0000-000072180000}"/>
    <cellStyle name="40% - Ênfase3 6 27" xfId="5966" xr:uid="{00000000-0005-0000-0000-000073180000}"/>
    <cellStyle name="40% - Ênfase3 6 27 2" xfId="5967" xr:uid="{00000000-0005-0000-0000-000074180000}"/>
    <cellStyle name="40% - Ênfase3 6 28" xfId="5968" xr:uid="{00000000-0005-0000-0000-000075180000}"/>
    <cellStyle name="40% - Ênfase3 6 28 2" xfId="5969" xr:uid="{00000000-0005-0000-0000-000076180000}"/>
    <cellStyle name="40% - Ênfase3 6 29" xfId="5970" xr:uid="{00000000-0005-0000-0000-000077180000}"/>
    <cellStyle name="40% - Ênfase3 6 29 2" xfId="5971" xr:uid="{00000000-0005-0000-0000-000078180000}"/>
    <cellStyle name="40% - Ênfase3 6 3" xfId="5972" xr:uid="{00000000-0005-0000-0000-000079180000}"/>
    <cellStyle name="40% - Ênfase3 6 3 2" xfId="5973" xr:uid="{00000000-0005-0000-0000-00007A180000}"/>
    <cellStyle name="40% - Ênfase3 6 3 2 2" xfId="5974" xr:uid="{00000000-0005-0000-0000-00007B180000}"/>
    <cellStyle name="40% - Ênfase3 6 3 3" xfId="5975" xr:uid="{00000000-0005-0000-0000-00007C180000}"/>
    <cellStyle name="40% - Ênfase3 6 3 3 2" xfId="5976" xr:uid="{00000000-0005-0000-0000-00007D180000}"/>
    <cellStyle name="40% - Ênfase3 6 3 4" xfId="5977" xr:uid="{00000000-0005-0000-0000-00007E180000}"/>
    <cellStyle name="40% - Ênfase3 6 3 4 2" xfId="5978" xr:uid="{00000000-0005-0000-0000-00007F180000}"/>
    <cellStyle name="40% - Ênfase3 6 3 5" xfId="5979" xr:uid="{00000000-0005-0000-0000-000080180000}"/>
    <cellStyle name="40% - Ênfase3 6 3 5 2" xfId="5980" xr:uid="{00000000-0005-0000-0000-000081180000}"/>
    <cellStyle name="40% - Ênfase3 6 3 6" xfId="5981" xr:uid="{00000000-0005-0000-0000-000082180000}"/>
    <cellStyle name="40% - Ênfase3 6 30" xfId="5982" xr:uid="{00000000-0005-0000-0000-000083180000}"/>
    <cellStyle name="40% - Ênfase3 6 30 2" xfId="5983" xr:uid="{00000000-0005-0000-0000-000084180000}"/>
    <cellStyle name="40% - Ênfase3 6 31" xfId="5984" xr:uid="{00000000-0005-0000-0000-000085180000}"/>
    <cellStyle name="40% - Ênfase3 6 31 2" xfId="5985" xr:uid="{00000000-0005-0000-0000-000086180000}"/>
    <cellStyle name="40% - Ênfase3 6 32" xfId="5986" xr:uid="{00000000-0005-0000-0000-000087180000}"/>
    <cellStyle name="40% - Ênfase3 6 32 2" xfId="5987" xr:uid="{00000000-0005-0000-0000-000088180000}"/>
    <cellStyle name="40% - Ênfase3 6 33" xfId="5988" xr:uid="{00000000-0005-0000-0000-000089180000}"/>
    <cellStyle name="40% - Ênfase3 6 33 2" xfId="5989" xr:uid="{00000000-0005-0000-0000-00008A180000}"/>
    <cellStyle name="40% - Ênfase3 6 34" xfId="5990" xr:uid="{00000000-0005-0000-0000-00008B180000}"/>
    <cellStyle name="40% - Ênfase3 6 34 2" xfId="5991" xr:uid="{00000000-0005-0000-0000-00008C180000}"/>
    <cellStyle name="40% - Ênfase3 6 35" xfId="5992" xr:uid="{00000000-0005-0000-0000-00008D180000}"/>
    <cellStyle name="40% - Ênfase3 6 35 2" xfId="5993" xr:uid="{00000000-0005-0000-0000-00008E180000}"/>
    <cellStyle name="40% - Ênfase3 6 36" xfId="5994" xr:uid="{00000000-0005-0000-0000-00008F180000}"/>
    <cellStyle name="40% - Ênfase3 6 36 2" xfId="5995" xr:uid="{00000000-0005-0000-0000-000090180000}"/>
    <cellStyle name="40% - Ênfase3 6 37" xfId="5996" xr:uid="{00000000-0005-0000-0000-000091180000}"/>
    <cellStyle name="40% - Ênfase3 6 4" xfId="5997" xr:uid="{00000000-0005-0000-0000-000092180000}"/>
    <cellStyle name="40% - Ênfase3 6 4 2" xfId="5998" xr:uid="{00000000-0005-0000-0000-000093180000}"/>
    <cellStyle name="40% - Ênfase3 6 4 2 2" xfId="5999" xr:uid="{00000000-0005-0000-0000-000094180000}"/>
    <cellStyle name="40% - Ênfase3 6 4 3" xfId="6000" xr:uid="{00000000-0005-0000-0000-000095180000}"/>
    <cellStyle name="40% - Ênfase3 6 4 3 2" xfId="6001" xr:uid="{00000000-0005-0000-0000-000096180000}"/>
    <cellStyle name="40% - Ênfase3 6 4 4" xfId="6002" xr:uid="{00000000-0005-0000-0000-000097180000}"/>
    <cellStyle name="40% - Ênfase3 6 4 4 2" xfId="6003" xr:uid="{00000000-0005-0000-0000-000098180000}"/>
    <cellStyle name="40% - Ênfase3 6 4 5" xfId="6004" xr:uid="{00000000-0005-0000-0000-000099180000}"/>
    <cellStyle name="40% - Ênfase3 6 4 5 2" xfId="6005" xr:uid="{00000000-0005-0000-0000-00009A180000}"/>
    <cellStyle name="40% - Ênfase3 6 4 6" xfId="6006" xr:uid="{00000000-0005-0000-0000-00009B180000}"/>
    <cellStyle name="40% - Ênfase3 6 5" xfId="6007" xr:uid="{00000000-0005-0000-0000-00009C180000}"/>
    <cellStyle name="40% - Ênfase3 6 5 2" xfId="6008" xr:uid="{00000000-0005-0000-0000-00009D180000}"/>
    <cellStyle name="40% - Ênfase3 6 6" xfId="6009" xr:uid="{00000000-0005-0000-0000-00009E180000}"/>
    <cellStyle name="40% - Ênfase3 6 6 2" xfId="6010" xr:uid="{00000000-0005-0000-0000-00009F180000}"/>
    <cellStyle name="40% - Ênfase3 6 7" xfId="6011" xr:uid="{00000000-0005-0000-0000-0000A0180000}"/>
    <cellStyle name="40% - Ênfase3 6 7 2" xfId="6012" xr:uid="{00000000-0005-0000-0000-0000A1180000}"/>
    <cellStyle name="40% - Ênfase3 6 8" xfId="6013" xr:uid="{00000000-0005-0000-0000-0000A2180000}"/>
    <cellStyle name="40% - Ênfase3 6 8 2" xfId="6014" xr:uid="{00000000-0005-0000-0000-0000A3180000}"/>
    <cellStyle name="40% - Ênfase3 6 9" xfId="6015" xr:uid="{00000000-0005-0000-0000-0000A4180000}"/>
    <cellStyle name="40% - Ênfase3 6 9 2" xfId="6016" xr:uid="{00000000-0005-0000-0000-0000A5180000}"/>
    <cellStyle name="40% - Ênfase3 7" xfId="6017" xr:uid="{00000000-0005-0000-0000-0000A6180000}"/>
    <cellStyle name="40% - Ênfase3 7 10" xfId="6018" xr:uid="{00000000-0005-0000-0000-0000A7180000}"/>
    <cellStyle name="40% - Ênfase3 7 10 2" xfId="6019" xr:uid="{00000000-0005-0000-0000-0000A8180000}"/>
    <cellStyle name="40% - Ênfase3 7 11" xfId="6020" xr:uid="{00000000-0005-0000-0000-0000A9180000}"/>
    <cellStyle name="40% - Ênfase3 7 11 2" xfId="6021" xr:uid="{00000000-0005-0000-0000-0000AA180000}"/>
    <cellStyle name="40% - Ênfase3 7 12" xfId="6022" xr:uid="{00000000-0005-0000-0000-0000AB180000}"/>
    <cellStyle name="40% - Ênfase3 7 12 2" xfId="6023" xr:uid="{00000000-0005-0000-0000-0000AC180000}"/>
    <cellStyle name="40% - Ênfase3 7 13" xfId="6024" xr:uid="{00000000-0005-0000-0000-0000AD180000}"/>
    <cellStyle name="40% - Ênfase3 7 13 2" xfId="6025" xr:uid="{00000000-0005-0000-0000-0000AE180000}"/>
    <cellStyle name="40% - Ênfase3 7 14" xfId="6026" xr:uid="{00000000-0005-0000-0000-0000AF180000}"/>
    <cellStyle name="40% - Ênfase3 7 14 2" xfId="6027" xr:uid="{00000000-0005-0000-0000-0000B0180000}"/>
    <cellStyle name="40% - Ênfase3 7 15" xfId="6028" xr:uid="{00000000-0005-0000-0000-0000B1180000}"/>
    <cellStyle name="40% - Ênfase3 7 15 2" xfId="6029" xr:uid="{00000000-0005-0000-0000-0000B2180000}"/>
    <cellStyle name="40% - Ênfase3 7 16" xfId="6030" xr:uid="{00000000-0005-0000-0000-0000B3180000}"/>
    <cellStyle name="40% - Ênfase3 7 16 2" xfId="6031" xr:uid="{00000000-0005-0000-0000-0000B4180000}"/>
    <cellStyle name="40% - Ênfase3 7 17" xfId="6032" xr:uid="{00000000-0005-0000-0000-0000B5180000}"/>
    <cellStyle name="40% - Ênfase3 7 17 2" xfId="6033" xr:uid="{00000000-0005-0000-0000-0000B6180000}"/>
    <cellStyle name="40% - Ênfase3 7 18" xfId="6034" xr:uid="{00000000-0005-0000-0000-0000B7180000}"/>
    <cellStyle name="40% - Ênfase3 7 18 2" xfId="6035" xr:uid="{00000000-0005-0000-0000-0000B8180000}"/>
    <cellStyle name="40% - Ênfase3 7 19" xfId="6036" xr:uid="{00000000-0005-0000-0000-0000B9180000}"/>
    <cellStyle name="40% - Ênfase3 7 19 2" xfId="6037" xr:uid="{00000000-0005-0000-0000-0000BA180000}"/>
    <cellStyle name="40% - Ênfase3 7 2" xfId="6038" xr:uid="{00000000-0005-0000-0000-0000BB180000}"/>
    <cellStyle name="40% - Ênfase3 7 2 2" xfId="6039" xr:uid="{00000000-0005-0000-0000-0000BC180000}"/>
    <cellStyle name="40% - Ênfase3 7 2 2 2" xfId="6040" xr:uid="{00000000-0005-0000-0000-0000BD180000}"/>
    <cellStyle name="40% - Ênfase3 7 2 2 2 2" xfId="26848" xr:uid="{00000000-0005-0000-0000-0000BE180000}"/>
    <cellStyle name="40% - Ênfase3 7 2 2 3" xfId="26847" xr:uid="{00000000-0005-0000-0000-0000BF180000}"/>
    <cellStyle name="40% - Ênfase3 7 2 3" xfId="6041" xr:uid="{00000000-0005-0000-0000-0000C0180000}"/>
    <cellStyle name="40% - Ênfase3 7 2 3 2" xfId="6042" xr:uid="{00000000-0005-0000-0000-0000C1180000}"/>
    <cellStyle name="40% - Ênfase3 7 2 4" xfId="6043" xr:uid="{00000000-0005-0000-0000-0000C2180000}"/>
    <cellStyle name="40% - Ênfase3 7 2 4 2" xfId="6044" xr:uid="{00000000-0005-0000-0000-0000C3180000}"/>
    <cellStyle name="40% - Ênfase3 7 2 5" xfId="6045" xr:uid="{00000000-0005-0000-0000-0000C4180000}"/>
    <cellStyle name="40% - Ênfase3 7 2 5 2" xfId="6046" xr:uid="{00000000-0005-0000-0000-0000C5180000}"/>
    <cellStyle name="40% - Ênfase3 7 2 6" xfId="6047" xr:uid="{00000000-0005-0000-0000-0000C6180000}"/>
    <cellStyle name="40% - Ênfase3 7 20" xfId="6048" xr:uid="{00000000-0005-0000-0000-0000C7180000}"/>
    <cellStyle name="40% - Ênfase3 7 20 2" xfId="6049" xr:uid="{00000000-0005-0000-0000-0000C8180000}"/>
    <cellStyle name="40% - Ênfase3 7 21" xfId="6050" xr:uid="{00000000-0005-0000-0000-0000C9180000}"/>
    <cellStyle name="40% - Ênfase3 7 21 2" xfId="6051" xr:uid="{00000000-0005-0000-0000-0000CA180000}"/>
    <cellStyle name="40% - Ênfase3 7 22" xfId="6052" xr:uid="{00000000-0005-0000-0000-0000CB180000}"/>
    <cellStyle name="40% - Ênfase3 7 22 2" xfId="6053" xr:uid="{00000000-0005-0000-0000-0000CC180000}"/>
    <cellStyle name="40% - Ênfase3 7 23" xfId="6054" xr:uid="{00000000-0005-0000-0000-0000CD180000}"/>
    <cellStyle name="40% - Ênfase3 7 23 2" xfId="6055" xr:uid="{00000000-0005-0000-0000-0000CE180000}"/>
    <cellStyle name="40% - Ênfase3 7 24" xfId="6056" xr:uid="{00000000-0005-0000-0000-0000CF180000}"/>
    <cellStyle name="40% - Ênfase3 7 24 2" xfId="6057" xr:uid="{00000000-0005-0000-0000-0000D0180000}"/>
    <cellStyle name="40% - Ênfase3 7 25" xfId="6058" xr:uid="{00000000-0005-0000-0000-0000D1180000}"/>
    <cellStyle name="40% - Ênfase3 7 25 2" xfId="6059" xr:uid="{00000000-0005-0000-0000-0000D2180000}"/>
    <cellStyle name="40% - Ênfase3 7 26" xfId="6060" xr:uid="{00000000-0005-0000-0000-0000D3180000}"/>
    <cellStyle name="40% - Ênfase3 7 26 2" xfId="6061" xr:uid="{00000000-0005-0000-0000-0000D4180000}"/>
    <cellStyle name="40% - Ênfase3 7 27" xfId="6062" xr:uid="{00000000-0005-0000-0000-0000D5180000}"/>
    <cellStyle name="40% - Ênfase3 7 27 2" xfId="6063" xr:uid="{00000000-0005-0000-0000-0000D6180000}"/>
    <cellStyle name="40% - Ênfase3 7 28" xfId="6064" xr:uid="{00000000-0005-0000-0000-0000D7180000}"/>
    <cellStyle name="40% - Ênfase3 7 28 2" xfId="6065" xr:uid="{00000000-0005-0000-0000-0000D8180000}"/>
    <cellStyle name="40% - Ênfase3 7 29" xfId="6066" xr:uid="{00000000-0005-0000-0000-0000D9180000}"/>
    <cellStyle name="40% - Ênfase3 7 29 2" xfId="6067" xr:uid="{00000000-0005-0000-0000-0000DA180000}"/>
    <cellStyle name="40% - Ênfase3 7 3" xfId="6068" xr:uid="{00000000-0005-0000-0000-0000DB180000}"/>
    <cellStyle name="40% - Ênfase3 7 3 2" xfId="6069" xr:uid="{00000000-0005-0000-0000-0000DC180000}"/>
    <cellStyle name="40% - Ênfase3 7 3 2 2" xfId="6070" xr:uid="{00000000-0005-0000-0000-0000DD180000}"/>
    <cellStyle name="40% - Ênfase3 7 3 3" xfId="6071" xr:uid="{00000000-0005-0000-0000-0000DE180000}"/>
    <cellStyle name="40% - Ênfase3 7 3 3 2" xfId="6072" xr:uid="{00000000-0005-0000-0000-0000DF180000}"/>
    <cellStyle name="40% - Ênfase3 7 3 4" xfId="6073" xr:uid="{00000000-0005-0000-0000-0000E0180000}"/>
    <cellStyle name="40% - Ênfase3 7 3 4 2" xfId="6074" xr:uid="{00000000-0005-0000-0000-0000E1180000}"/>
    <cellStyle name="40% - Ênfase3 7 3 5" xfId="6075" xr:uid="{00000000-0005-0000-0000-0000E2180000}"/>
    <cellStyle name="40% - Ênfase3 7 3 5 2" xfId="6076" xr:uid="{00000000-0005-0000-0000-0000E3180000}"/>
    <cellStyle name="40% - Ênfase3 7 3 6" xfId="6077" xr:uid="{00000000-0005-0000-0000-0000E4180000}"/>
    <cellStyle name="40% - Ênfase3 7 30" xfId="6078" xr:uid="{00000000-0005-0000-0000-0000E5180000}"/>
    <cellStyle name="40% - Ênfase3 7 30 2" xfId="6079" xr:uid="{00000000-0005-0000-0000-0000E6180000}"/>
    <cellStyle name="40% - Ênfase3 7 31" xfId="6080" xr:uid="{00000000-0005-0000-0000-0000E7180000}"/>
    <cellStyle name="40% - Ênfase3 7 31 2" xfId="6081" xr:uid="{00000000-0005-0000-0000-0000E8180000}"/>
    <cellStyle name="40% - Ênfase3 7 32" xfId="6082" xr:uid="{00000000-0005-0000-0000-0000E9180000}"/>
    <cellStyle name="40% - Ênfase3 7 32 2" xfId="6083" xr:uid="{00000000-0005-0000-0000-0000EA180000}"/>
    <cellStyle name="40% - Ênfase3 7 33" xfId="6084" xr:uid="{00000000-0005-0000-0000-0000EB180000}"/>
    <cellStyle name="40% - Ênfase3 7 33 2" xfId="6085" xr:uid="{00000000-0005-0000-0000-0000EC180000}"/>
    <cellStyle name="40% - Ênfase3 7 34" xfId="6086" xr:uid="{00000000-0005-0000-0000-0000ED180000}"/>
    <cellStyle name="40% - Ênfase3 7 34 2" xfId="6087" xr:uid="{00000000-0005-0000-0000-0000EE180000}"/>
    <cellStyle name="40% - Ênfase3 7 35" xfId="6088" xr:uid="{00000000-0005-0000-0000-0000EF180000}"/>
    <cellStyle name="40% - Ênfase3 7 35 2" xfId="6089" xr:uid="{00000000-0005-0000-0000-0000F0180000}"/>
    <cellStyle name="40% - Ênfase3 7 36" xfId="6090" xr:uid="{00000000-0005-0000-0000-0000F1180000}"/>
    <cellStyle name="40% - Ênfase3 7 36 2" xfId="6091" xr:uid="{00000000-0005-0000-0000-0000F2180000}"/>
    <cellStyle name="40% - Ênfase3 7 37" xfId="6092" xr:uid="{00000000-0005-0000-0000-0000F3180000}"/>
    <cellStyle name="40% - Ênfase3 7 4" xfId="6093" xr:uid="{00000000-0005-0000-0000-0000F4180000}"/>
    <cellStyle name="40% - Ênfase3 7 4 2" xfId="6094" xr:uid="{00000000-0005-0000-0000-0000F5180000}"/>
    <cellStyle name="40% - Ênfase3 7 4 2 2" xfId="6095" xr:uid="{00000000-0005-0000-0000-0000F6180000}"/>
    <cellStyle name="40% - Ênfase3 7 4 3" xfId="6096" xr:uid="{00000000-0005-0000-0000-0000F7180000}"/>
    <cellStyle name="40% - Ênfase3 7 4 3 2" xfId="6097" xr:uid="{00000000-0005-0000-0000-0000F8180000}"/>
    <cellStyle name="40% - Ênfase3 7 4 4" xfId="6098" xr:uid="{00000000-0005-0000-0000-0000F9180000}"/>
    <cellStyle name="40% - Ênfase3 7 4 4 2" xfId="6099" xr:uid="{00000000-0005-0000-0000-0000FA180000}"/>
    <cellStyle name="40% - Ênfase3 7 4 5" xfId="6100" xr:uid="{00000000-0005-0000-0000-0000FB180000}"/>
    <cellStyle name="40% - Ênfase3 7 4 5 2" xfId="6101" xr:uid="{00000000-0005-0000-0000-0000FC180000}"/>
    <cellStyle name="40% - Ênfase3 7 4 6" xfId="6102" xr:uid="{00000000-0005-0000-0000-0000FD180000}"/>
    <cellStyle name="40% - Ênfase3 7 5" xfId="6103" xr:uid="{00000000-0005-0000-0000-0000FE180000}"/>
    <cellStyle name="40% - Ênfase3 7 5 2" xfId="6104" xr:uid="{00000000-0005-0000-0000-0000FF180000}"/>
    <cellStyle name="40% - Ênfase3 7 6" xfId="6105" xr:uid="{00000000-0005-0000-0000-000000190000}"/>
    <cellStyle name="40% - Ênfase3 7 6 2" xfId="6106" xr:uid="{00000000-0005-0000-0000-000001190000}"/>
    <cellStyle name="40% - Ênfase3 7 7" xfId="6107" xr:uid="{00000000-0005-0000-0000-000002190000}"/>
    <cellStyle name="40% - Ênfase3 7 7 2" xfId="6108" xr:uid="{00000000-0005-0000-0000-000003190000}"/>
    <cellStyle name="40% - Ênfase3 7 8" xfId="6109" xr:uid="{00000000-0005-0000-0000-000004190000}"/>
    <cellStyle name="40% - Ênfase3 7 8 2" xfId="6110" xr:uid="{00000000-0005-0000-0000-000005190000}"/>
    <cellStyle name="40% - Ênfase3 7 9" xfId="6111" xr:uid="{00000000-0005-0000-0000-000006190000}"/>
    <cellStyle name="40% - Ênfase3 7 9 2" xfId="6112" xr:uid="{00000000-0005-0000-0000-000007190000}"/>
    <cellStyle name="40% - Ênfase3 8" xfId="6113" xr:uid="{00000000-0005-0000-0000-000008190000}"/>
    <cellStyle name="40% - Ênfase3 8 10" xfId="6114" xr:uid="{00000000-0005-0000-0000-000009190000}"/>
    <cellStyle name="40% - Ênfase3 8 10 2" xfId="6115" xr:uid="{00000000-0005-0000-0000-00000A190000}"/>
    <cellStyle name="40% - Ênfase3 8 2" xfId="6116" xr:uid="{00000000-0005-0000-0000-00000B190000}"/>
    <cellStyle name="40% - Ênfase3 8 2 2" xfId="6117" xr:uid="{00000000-0005-0000-0000-00000C190000}"/>
    <cellStyle name="40% - Ênfase3 8 2 2 2" xfId="25554" xr:uid="{00000000-0005-0000-0000-00000D190000}"/>
    <cellStyle name="40% - Ênfase3 8 2 2 2 2" xfId="26851" xr:uid="{00000000-0005-0000-0000-00000E190000}"/>
    <cellStyle name="40% - Ênfase3 8 2 2 3" xfId="26850" xr:uid="{00000000-0005-0000-0000-00000F190000}"/>
    <cellStyle name="40% - Ênfase3 8 2 3" xfId="25555" xr:uid="{00000000-0005-0000-0000-000010190000}"/>
    <cellStyle name="40% - Ênfase3 8 2 3 2" xfId="26852" xr:uid="{00000000-0005-0000-0000-000011190000}"/>
    <cellStyle name="40% - Ênfase3 8 2 4" xfId="26849" xr:uid="{00000000-0005-0000-0000-000012190000}"/>
    <cellStyle name="40% - Ênfase3 8 3" xfId="6118" xr:uid="{00000000-0005-0000-0000-000013190000}"/>
    <cellStyle name="40% - Ênfase3 8 3 2" xfId="6119" xr:uid="{00000000-0005-0000-0000-000014190000}"/>
    <cellStyle name="40% - Ênfase3 8 3 2 2" xfId="26854" xr:uid="{00000000-0005-0000-0000-000015190000}"/>
    <cellStyle name="40% - Ênfase3 8 3 3" xfId="26853" xr:uid="{00000000-0005-0000-0000-000016190000}"/>
    <cellStyle name="40% - Ênfase3 8 4" xfId="6120" xr:uid="{00000000-0005-0000-0000-000017190000}"/>
    <cellStyle name="40% - Ênfase3 8 4 2" xfId="6121" xr:uid="{00000000-0005-0000-0000-000018190000}"/>
    <cellStyle name="40% - Ênfase3 8 5" xfId="6122" xr:uid="{00000000-0005-0000-0000-000019190000}"/>
    <cellStyle name="40% - Ênfase3 8 5 2" xfId="6123" xr:uid="{00000000-0005-0000-0000-00001A190000}"/>
    <cellStyle name="40% - Ênfase3 8 6" xfId="6124" xr:uid="{00000000-0005-0000-0000-00001B190000}"/>
    <cellStyle name="40% - Ênfase3 8 6 2" xfId="6125" xr:uid="{00000000-0005-0000-0000-00001C190000}"/>
    <cellStyle name="40% - Ênfase3 8 7" xfId="6126" xr:uid="{00000000-0005-0000-0000-00001D190000}"/>
    <cellStyle name="40% - Ênfase3 8 7 2" xfId="6127" xr:uid="{00000000-0005-0000-0000-00001E190000}"/>
    <cellStyle name="40% - Ênfase3 8 8" xfId="6128" xr:uid="{00000000-0005-0000-0000-00001F190000}"/>
    <cellStyle name="40% - Ênfase3 8 8 2" xfId="6129" xr:uid="{00000000-0005-0000-0000-000020190000}"/>
    <cellStyle name="40% - Ênfase3 8 9" xfId="6130" xr:uid="{00000000-0005-0000-0000-000021190000}"/>
    <cellStyle name="40% - Ênfase3 8 9 2" xfId="6131" xr:uid="{00000000-0005-0000-0000-000022190000}"/>
    <cellStyle name="40% - Ênfase3 9" xfId="6132" xr:uid="{00000000-0005-0000-0000-000023190000}"/>
    <cellStyle name="40% - Ênfase3 9 10" xfId="6133" xr:uid="{00000000-0005-0000-0000-000024190000}"/>
    <cellStyle name="40% - Ênfase3 9 10 2" xfId="6134" xr:uid="{00000000-0005-0000-0000-000025190000}"/>
    <cellStyle name="40% - Ênfase3 9 11" xfId="6135" xr:uid="{00000000-0005-0000-0000-000026190000}"/>
    <cellStyle name="40% - Ênfase3 9 12" xfId="6136" xr:uid="{00000000-0005-0000-0000-000027190000}"/>
    <cellStyle name="40% - Ênfase3 9 2" xfId="6137" xr:uid="{00000000-0005-0000-0000-000028190000}"/>
    <cellStyle name="40% - Ênfase3 9 2 2" xfId="6138" xr:uid="{00000000-0005-0000-0000-000029190000}"/>
    <cellStyle name="40% - Ênfase3 9 2 2 2" xfId="26856" xr:uid="{00000000-0005-0000-0000-00002A190000}"/>
    <cellStyle name="40% - Ênfase3 9 2 3" xfId="26855" xr:uid="{00000000-0005-0000-0000-00002B190000}"/>
    <cellStyle name="40% - Ênfase3 9 3" xfId="6139" xr:uid="{00000000-0005-0000-0000-00002C190000}"/>
    <cellStyle name="40% - Ênfase3 9 3 2" xfId="6140" xr:uid="{00000000-0005-0000-0000-00002D190000}"/>
    <cellStyle name="40% - Ênfase3 9 4" xfId="6141" xr:uid="{00000000-0005-0000-0000-00002E190000}"/>
    <cellStyle name="40% - Ênfase3 9 4 2" xfId="6142" xr:uid="{00000000-0005-0000-0000-00002F190000}"/>
    <cellStyle name="40% - Ênfase3 9 5" xfId="6143" xr:uid="{00000000-0005-0000-0000-000030190000}"/>
    <cellStyle name="40% - Ênfase3 9 5 2" xfId="6144" xr:uid="{00000000-0005-0000-0000-000031190000}"/>
    <cellStyle name="40% - Ênfase3 9 6" xfId="6145" xr:uid="{00000000-0005-0000-0000-000032190000}"/>
    <cellStyle name="40% - Ênfase3 9 6 2" xfId="6146" xr:uid="{00000000-0005-0000-0000-000033190000}"/>
    <cellStyle name="40% - Ênfase3 9 7" xfId="6147" xr:uid="{00000000-0005-0000-0000-000034190000}"/>
    <cellStyle name="40% - Ênfase3 9 7 2" xfId="6148" xr:uid="{00000000-0005-0000-0000-000035190000}"/>
    <cellStyle name="40% - Ênfase3 9 8" xfId="6149" xr:uid="{00000000-0005-0000-0000-000036190000}"/>
    <cellStyle name="40% - Ênfase3 9 8 2" xfId="6150" xr:uid="{00000000-0005-0000-0000-000037190000}"/>
    <cellStyle name="40% - Ênfase3 9 9" xfId="6151" xr:uid="{00000000-0005-0000-0000-000038190000}"/>
    <cellStyle name="40% - Ênfase3 9 9 2" xfId="6152" xr:uid="{00000000-0005-0000-0000-000039190000}"/>
    <cellStyle name="40% - Ênfase4" xfId="36" builtinId="43" customBuiltin="1"/>
    <cellStyle name="40% - Ênfase4 10" xfId="6153" xr:uid="{00000000-0005-0000-0000-00003B190000}"/>
    <cellStyle name="40% - Ênfase4 10 2" xfId="6154" xr:uid="{00000000-0005-0000-0000-00003C190000}"/>
    <cellStyle name="40% - Ênfase4 10 2 2" xfId="6155" xr:uid="{00000000-0005-0000-0000-00003D190000}"/>
    <cellStyle name="40% - Ênfase4 10 2 2 2" xfId="26858" xr:uid="{00000000-0005-0000-0000-00003E190000}"/>
    <cellStyle name="40% - Ênfase4 10 2 3" xfId="26857" xr:uid="{00000000-0005-0000-0000-00003F190000}"/>
    <cellStyle name="40% - Ênfase4 10 3" xfId="6156" xr:uid="{00000000-0005-0000-0000-000040190000}"/>
    <cellStyle name="40% - Ênfase4 10 3 2" xfId="6157" xr:uid="{00000000-0005-0000-0000-000041190000}"/>
    <cellStyle name="40% - Ênfase4 10 4" xfId="6158" xr:uid="{00000000-0005-0000-0000-000042190000}"/>
    <cellStyle name="40% - Ênfase4 10 4 2" xfId="6159" xr:uid="{00000000-0005-0000-0000-000043190000}"/>
    <cellStyle name="40% - Ênfase4 10 5" xfId="6160" xr:uid="{00000000-0005-0000-0000-000044190000}"/>
    <cellStyle name="40% - Ênfase4 10 5 2" xfId="6161" xr:uid="{00000000-0005-0000-0000-000045190000}"/>
    <cellStyle name="40% - Ênfase4 10 6" xfId="6162" xr:uid="{00000000-0005-0000-0000-000046190000}"/>
    <cellStyle name="40% - Ênfase4 11" xfId="6163" xr:uid="{00000000-0005-0000-0000-000047190000}"/>
    <cellStyle name="40% - Ênfase4 11 2" xfId="6164" xr:uid="{00000000-0005-0000-0000-000048190000}"/>
    <cellStyle name="40% - Ênfase4 11 2 2" xfId="6165" xr:uid="{00000000-0005-0000-0000-000049190000}"/>
    <cellStyle name="40% - Ênfase4 11 2 3" xfId="26859" xr:uid="{00000000-0005-0000-0000-00004A190000}"/>
    <cellStyle name="40% - Ênfase4 11 3" xfId="6166" xr:uid="{00000000-0005-0000-0000-00004B190000}"/>
    <cellStyle name="40% - Ênfase4 11 3 2" xfId="6167" xr:uid="{00000000-0005-0000-0000-00004C190000}"/>
    <cellStyle name="40% - Ênfase4 11 4" xfId="6168" xr:uid="{00000000-0005-0000-0000-00004D190000}"/>
    <cellStyle name="40% - Ênfase4 11 4 2" xfId="6169" xr:uid="{00000000-0005-0000-0000-00004E190000}"/>
    <cellStyle name="40% - Ênfase4 11 5" xfId="6170" xr:uid="{00000000-0005-0000-0000-00004F190000}"/>
    <cellStyle name="40% - Ênfase4 11 5 2" xfId="6171" xr:uid="{00000000-0005-0000-0000-000050190000}"/>
    <cellStyle name="40% - Ênfase4 11 6" xfId="6172" xr:uid="{00000000-0005-0000-0000-000051190000}"/>
    <cellStyle name="40% - Ênfase4 11 7" xfId="25556" xr:uid="{00000000-0005-0000-0000-000052190000}"/>
    <cellStyle name="40% - Ênfase4 12" xfId="6173" xr:uid="{00000000-0005-0000-0000-000053190000}"/>
    <cellStyle name="40% - Ênfase4 12 2" xfId="6174" xr:uid="{00000000-0005-0000-0000-000054190000}"/>
    <cellStyle name="40% - Ênfase4 12 2 2" xfId="6175" xr:uid="{00000000-0005-0000-0000-000055190000}"/>
    <cellStyle name="40% - Ênfase4 12 2 2 2" xfId="26861" xr:uid="{00000000-0005-0000-0000-000056190000}"/>
    <cellStyle name="40% - Ênfase4 12 2 3" xfId="26860" xr:uid="{00000000-0005-0000-0000-000057190000}"/>
    <cellStyle name="40% - Ênfase4 12 3" xfId="6176" xr:uid="{00000000-0005-0000-0000-000058190000}"/>
    <cellStyle name="40% - Ênfase4 12 3 2" xfId="6177" xr:uid="{00000000-0005-0000-0000-000059190000}"/>
    <cellStyle name="40% - Ênfase4 12 4" xfId="6178" xr:uid="{00000000-0005-0000-0000-00005A190000}"/>
    <cellStyle name="40% - Ênfase4 12 4 2" xfId="6179" xr:uid="{00000000-0005-0000-0000-00005B190000}"/>
    <cellStyle name="40% - Ênfase4 12 5" xfId="6180" xr:uid="{00000000-0005-0000-0000-00005C190000}"/>
    <cellStyle name="40% - Ênfase4 12 5 2" xfId="6181" xr:uid="{00000000-0005-0000-0000-00005D190000}"/>
    <cellStyle name="40% - Ênfase4 12 6" xfId="6182" xr:uid="{00000000-0005-0000-0000-00005E190000}"/>
    <cellStyle name="40% - Ênfase4 13" xfId="6183" xr:uid="{00000000-0005-0000-0000-00005F190000}"/>
    <cellStyle name="40% - Ênfase4 13 2" xfId="6184" xr:uid="{00000000-0005-0000-0000-000060190000}"/>
    <cellStyle name="40% - Ênfase4 14" xfId="6185" xr:uid="{00000000-0005-0000-0000-000061190000}"/>
    <cellStyle name="40% - Ênfase4 14 2" xfId="6186" xr:uid="{00000000-0005-0000-0000-000062190000}"/>
    <cellStyle name="40% - Ênfase4 15" xfId="6187" xr:uid="{00000000-0005-0000-0000-000063190000}"/>
    <cellStyle name="40% - Ênfase4 15 2" xfId="6188" xr:uid="{00000000-0005-0000-0000-000064190000}"/>
    <cellStyle name="40% - Ênfase4 16" xfId="6189" xr:uid="{00000000-0005-0000-0000-000065190000}"/>
    <cellStyle name="40% - Ênfase4 16 2" xfId="6190" xr:uid="{00000000-0005-0000-0000-000066190000}"/>
    <cellStyle name="40% - Ênfase4 17" xfId="6191" xr:uid="{00000000-0005-0000-0000-000067190000}"/>
    <cellStyle name="40% - Ênfase4 17 2" xfId="6192" xr:uid="{00000000-0005-0000-0000-000068190000}"/>
    <cellStyle name="40% - Ênfase4 18" xfId="6193" xr:uid="{00000000-0005-0000-0000-000069190000}"/>
    <cellStyle name="40% - Ênfase4 18 2" xfId="6194" xr:uid="{00000000-0005-0000-0000-00006A190000}"/>
    <cellStyle name="40% - Ênfase4 19" xfId="6195" xr:uid="{00000000-0005-0000-0000-00006B190000}"/>
    <cellStyle name="40% - Ênfase4 19 2" xfId="6196" xr:uid="{00000000-0005-0000-0000-00006C190000}"/>
    <cellStyle name="40% - Ênfase4 2" xfId="6197" xr:uid="{00000000-0005-0000-0000-00006D190000}"/>
    <cellStyle name="40% - Ênfase4 2 2" xfId="6198" xr:uid="{00000000-0005-0000-0000-00006E190000}"/>
    <cellStyle name="40% - Ênfase4 2 2 10" xfId="6199" xr:uid="{00000000-0005-0000-0000-00006F190000}"/>
    <cellStyle name="40% - Ênfase4 2 2 10 2" xfId="6200" xr:uid="{00000000-0005-0000-0000-000070190000}"/>
    <cellStyle name="40% - Ênfase4 2 2 11" xfId="6201" xr:uid="{00000000-0005-0000-0000-000071190000}"/>
    <cellStyle name="40% - Ênfase4 2 2 11 2" xfId="6202" xr:uid="{00000000-0005-0000-0000-000072190000}"/>
    <cellStyle name="40% - Ênfase4 2 2 12" xfId="6203" xr:uid="{00000000-0005-0000-0000-000073190000}"/>
    <cellStyle name="40% - Ênfase4 2 2 12 2" xfId="6204" xr:uid="{00000000-0005-0000-0000-000074190000}"/>
    <cellStyle name="40% - Ênfase4 2 2 13" xfId="25557" xr:uid="{00000000-0005-0000-0000-000075190000}"/>
    <cellStyle name="40% - Ênfase4 2 2 2" xfId="6205" xr:uid="{00000000-0005-0000-0000-000076190000}"/>
    <cellStyle name="40% - Ênfase4 2 2 2 10" xfId="6206" xr:uid="{00000000-0005-0000-0000-000077190000}"/>
    <cellStyle name="40% - Ênfase4 2 2 2 11" xfId="6207" xr:uid="{00000000-0005-0000-0000-000078190000}"/>
    <cellStyle name="40% - Ênfase4 2 2 2 2" xfId="6208" xr:uid="{00000000-0005-0000-0000-000079190000}"/>
    <cellStyle name="40% - Ênfase4 2 2 2 2 2" xfId="25559" xr:uid="{00000000-0005-0000-0000-00007A190000}"/>
    <cellStyle name="40% - Ênfase4 2 2 2 2 2 2" xfId="26866" xr:uid="{00000000-0005-0000-0000-00007B190000}"/>
    <cellStyle name="40% - Ênfase4 2 2 2 2 3" xfId="26865" xr:uid="{00000000-0005-0000-0000-00007C190000}"/>
    <cellStyle name="40% - Ênfase4 2 2 2 2 4" xfId="25558" xr:uid="{00000000-0005-0000-0000-00007D190000}"/>
    <cellStyle name="40% - Ênfase4 2 2 2 3" xfId="6209" xr:uid="{00000000-0005-0000-0000-00007E190000}"/>
    <cellStyle name="40% - Ênfase4 2 2 2 3 2" xfId="26867" xr:uid="{00000000-0005-0000-0000-00007F190000}"/>
    <cellStyle name="40% - Ênfase4 2 2 2 3 3" xfId="25560" xr:uid="{00000000-0005-0000-0000-000080190000}"/>
    <cellStyle name="40% - Ênfase4 2 2 2 4" xfId="6210" xr:uid="{00000000-0005-0000-0000-000081190000}"/>
    <cellStyle name="40% - Ênfase4 2 2 2 4 2" xfId="26864" xr:uid="{00000000-0005-0000-0000-000082190000}"/>
    <cellStyle name="40% - Ênfase4 2 2 2 5" xfId="6211" xr:uid="{00000000-0005-0000-0000-000083190000}"/>
    <cellStyle name="40% - Ênfase4 2 2 2 6" xfId="6212" xr:uid="{00000000-0005-0000-0000-000084190000}"/>
    <cellStyle name="40% - Ênfase4 2 2 2 7" xfId="6213" xr:uid="{00000000-0005-0000-0000-000085190000}"/>
    <cellStyle name="40% - Ênfase4 2 2 2 8" xfId="6214" xr:uid="{00000000-0005-0000-0000-000086190000}"/>
    <cellStyle name="40% - Ênfase4 2 2 2 9" xfId="6215" xr:uid="{00000000-0005-0000-0000-000087190000}"/>
    <cellStyle name="40% - Ênfase4 2 2 3" xfId="6216" xr:uid="{00000000-0005-0000-0000-000088190000}"/>
    <cellStyle name="40% - Ênfase4 2 2 3 2" xfId="25562" xr:uid="{00000000-0005-0000-0000-000089190000}"/>
    <cellStyle name="40% - Ênfase4 2 2 3 2 2" xfId="25563" xr:uid="{00000000-0005-0000-0000-00008A190000}"/>
    <cellStyle name="40% - Ênfase4 2 2 3 2 2 2" xfId="26870" xr:uid="{00000000-0005-0000-0000-00008B190000}"/>
    <cellStyle name="40% - Ênfase4 2 2 3 2 3" xfId="26869" xr:uid="{00000000-0005-0000-0000-00008C190000}"/>
    <cellStyle name="40% - Ênfase4 2 2 3 3" xfId="25564" xr:uid="{00000000-0005-0000-0000-00008D190000}"/>
    <cellStyle name="40% - Ênfase4 2 2 3 3 2" xfId="26871" xr:uid="{00000000-0005-0000-0000-00008E190000}"/>
    <cellStyle name="40% - Ênfase4 2 2 3 4" xfId="26868" xr:uid="{00000000-0005-0000-0000-00008F190000}"/>
    <cellStyle name="40% - Ênfase4 2 2 3 5" xfId="25561" xr:uid="{00000000-0005-0000-0000-000090190000}"/>
    <cellStyle name="40% - Ênfase4 2 2 4" xfId="6217" xr:uid="{00000000-0005-0000-0000-000091190000}"/>
    <cellStyle name="40% - Ênfase4 2 2 4 2" xfId="26872" xr:uid="{00000000-0005-0000-0000-000092190000}"/>
    <cellStyle name="40% - Ênfase4 2 2 4 3" xfId="25565" xr:uid="{00000000-0005-0000-0000-000093190000}"/>
    <cellStyle name="40% - Ênfase4 2 2 5" xfId="6218" xr:uid="{00000000-0005-0000-0000-000094190000}"/>
    <cellStyle name="40% - Ênfase4 2 2 5 2" xfId="6219" xr:uid="{00000000-0005-0000-0000-000095190000}"/>
    <cellStyle name="40% - Ênfase4 2 2 5 3" xfId="26863" xr:uid="{00000000-0005-0000-0000-000096190000}"/>
    <cellStyle name="40% - Ênfase4 2 2 6" xfId="6220" xr:uid="{00000000-0005-0000-0000-000097190000}"/>
    <cellStyle name="40% - Ênfase4 2 2 6 2" xfId="6221" xr:uid="{00000000-0005-0000-0000-000098190000}"/>
    <cellStyle name="40% - Ênfase4 2 2 7" xfId="6222" xr:uid="{00000000-0005-0000-0000-000099190000}"/>
    <cellStyle name="40% - Ênfase4 2 2 7 2" xfId="6223" xr:uid="{00000000-0005-0000-0000-00009A190000}"/>
    <cellStyle name="40% - Ênfase4 2 2 8" xfId="6224" xr:uid="{00000000-0005-0000-0000-00009B190000}"/>
    <cellStyle name="40% - Ênfase4 2 2 8 2" xfId="6225" xr:uid="{00000000-0005-0000-0000-00009C190000}"/>
    <cellStyle name="40% - Ênfase4 2 2 9" xfId="6226" xr:uid="{00000000-0005-0000-0000-00009D190000}"/>
    <cellStyle name="40% - Ênfase4 2 2 9 2" xfId="6227" xr:uid="{00000000-0005-0000-0000-00009E190000}"/>
    <cellStyle name="40% - Ênfase4 2 3" xfId="6228" xr:uid="{00000000-0005-0000-0000-00009F190000}"/>
    <cellStyle name="40% - Ênfase4 2 3 2" xfId="25567" xr:uid="{00000000-0005-0000-0000-0000A0190000}"/>
    <cellStyle name="40% - Ênfase4 2 3 2 2" xfId="25568" xr:uid="{00000000-0005-0000-0000-0000A1190000}"/>
    <cellStyle name="40% - Ênfase4 2 3 2 2 2" xfId="26875" xr:uid="{00000000-0005-0000-0000-0000A2190000}"/>
    <cellStyle name="40% - Ênfase4 2 3 2 3" xfId="26874" xr:uid="{00000000-0005-0000-0000-0000A3190000}"/>
    <cellStyle name="40% - Ênfase4 2 3 3" xfId="25569" xr:uid="{00000000-0005-0000-0000-0000A4190000}"/>
    <cellStyle name="40% - Ênfase4 2 3 3 2" xfId="26876" xr:uid="{00000000-0005-0000-0000-0000A5190000}"/>
    <cellStyle name="40% - Ênfase4 2 3 4" xfId="26873" xr:uid="{00000000-0005-0000-0000-0000A6190000}"/>
    <cellStyle name="40% - Ênfase4 2 3 5" xfId="25566" xr:uid="{00000000-0005-0000-0000-0000A7190000}"/>
    <cellStyle name="40% - Ênfase4 2 4" xfId="6229" xr:uid="{00000000-0005-0000-0000-0000A8190000}"/>
    <cellStyle name="40% - Ênfase4 2 4 2" xfId="25571" xr:uid="{00000000-0005-0000-0000-0000A9190000}"/>
    <cellStyle name="40% - Ênfase4 2 4 2 2" xfId="25572" xr:uid="{00000000-0005-0000-0000-0000AA190000}"/>
    <cellStyle name="40% - Ênfase4 2 4 2 2 2" xfId="26879" xr:uid="{00000000-0005-0000-0000-0000AB190000}"/>
    <cellStyle name="40% - Ênfase4 2 4 2 3" xfId="26878" xr:uid="{00000000-0005-0000-0000-0000AC190000}"/>
    <cellStyle name="40% - Ênfase4 2 4 3" xfId="25573" xr:uid="{00000000-0005-0000-0000-0000AD190000}"/>
    <cellStyle name="40% - Ênfase4 2 4 3 2" xfId="26880" xr:uid="{00000000-0005-0000-0000-0000AE190000}"/>
    <cellStyle name="40% - Ênfase4 2 4 4" xfId="26877" xr:uid="{00000000-0005-0000-0000-0000AF190000}"/>
    <cellStyle name="40% - Ênfase4 2 4 5" xfId="25570" xr:uid="{00000000-0005-0000-0000-0000B0190000}"/>
    <cellStyle name="40% - Ênfase4 2 5" xfId="6230" xr:uid="{00000000-0005-0000-0000-0000B1190000}"/>
    <cellStyle name="40% - Ênfase4 2 5 10" xfId="6231" xr:uid="{00000000-0005-0000-0000-0000B2190000}"/>
    <cellStyle name="40% - Ênfase4 2 5 10 2" xfId="6232" xr:uid="{00000000-0005-0000-0000-0000B3190000}"/>
    <cellStyle name="40% - Ênfase4 2 5 2" xfId="6233" xr:uid="{00000000-0005-0000-0000-0000B4190000}"/>
    <cellStyle name="40% - Ênfase4 2 5 2 2" xfId="6234" xr:uid="{00000000-0005-0000-0000-0000B5190000}"/>
    <cellStyle name="40% - Ênfase4 2 5 3" xfId="6235" xr:uid="{00000000-0005-0000-0000-0000B6190000}"/>
    <cellStyle name="40% - Ênfase4 2 5 3 2" xfId="6236" xr:uid="{00000000-0005-0000-0000-0000B7190000}"/>
    <cellStyle name="40% - Ênfase4 2 5 4" xfId="6237" xr:uid="{00000000-0005-0000-0000-0000B8190000}"/>
    <cellStyle name="40% - Ênfase4 2 5 4 2" xfId="6238" xr:uid="{00000000-0005-0000-0000-0000B9190000}"/>
    <cellStyle name="40% - Ênfase4 2 5 5" xfId="6239" xr:uid="{00000000-0005-0000-0000-0000BA190000}"/>
    <cellStyle name="40% - Ênfase4 2 5 5 2" xfId="6240" xr:uid="{00000000-0005-0000-0000-0000BB190000}"/>
    <cellStyle name="40% - Ênfase4 2 5 6" xfId="6241" xr:uid="{00000000-0005-0000-0000-0000BC190000}"/>
    <cellStyle name="40% - Ênfase4 2 5 6 2" xfId="6242" xr:uid="{00000000-0005-0000-0000-0000BD190000}"/>
    <cellStyle name="40% - Ênfase4 2 5 7" xfId="6243" xr:uid="{00000000-0005-0000-0000-0000BE190000}"/>
    <cellStyle name="40% - Ênfase4 2 5 7 2" xfId="6244" xr:uid="{00000000-0005-0000-0000-0000BF190000}"/>
    <cellStyle name="40% - Ênfase4 2 5 8" xfId="6245" xr:uid="{00000000-0005-0000-0000-0000C0190000}"/>
    <cellStyle name="40% - Ênfase4 2 5 8 2" xfId="6246" xr:uid="{00000000-0005-0000-0000-0000C1190000}"/>
    <cellStyle name="40% - Ênfase4 2 5 9" xfId="6247" xr:uid="{00000000-0005-0000-0000-0000C2190000}"/>
    <cellStyle name="40% - Ênfase4 2 5 9 2" xfId="6248" xr:uid="{00000000-0005-0000-0000-0000C3190000}"/>
    <cellStyle name="40% - Ênfase4 2 6" xfId="6249" xr:uid="{00000000-0005-0000-0000-0000C4190000}"/>
    <cellStyle name="40% - Ênfase4 2 6 2" xfId="6250" xr:uid="{00000000-0005-0000-0000-0000C5190000}"/>
    <cellStyle name="40% - Ênfase4 2 6 2 2" xfId="6251" xr:uid="{00000000-0005-0000-0000-0000C6190000}"/>
    <cellStyle name="40% - Ênfase4 2 6 3" xfId="6252" xr:uid="{00000000-0005-0000-0000-0000C7190000}"/>
    <cellStyle name="40% - Ênfase4 2 6 3 2" xfId="6253" xr:uid="{00000000-0005-0000-0000-0000C8190000}"/>
    <cellStyle name="40% - Ênfase4 2 6 4" xfId="6254" xr:uid="{00000000-0005-0000-0000-0000C9190000}"/>
    <cellStyle name="40% - Ênfase4 2 6 4 2" xfId="6255" xr:uid="{00000000-0005-0000-0000-0000CA190000}"/>
    <cellStyle name="40% - Ênfase4 2 6 5" xfId="6256" xr:uid="{00000000-0005-0000-0000-0000CB190000}"/>
    <cellStyle name="40% - Ênfase4 2 6 5 2" xfId="6257" xr:uid="{00000000-0005-0000-0000-0000CC190000}"/>
    <cellStyle name="40% - Ênfase4 2 6 6" xfId="6258" xr:uid="{00000000-0005-0000-0000-0000CD190000}"/>
    <cellStyle name="40% - Ênfase4 2 7" xfId="26862" xr:uid="{00000000-0005-0000-0000-0000CE190000}"/>
    <cellStyle name="40% - Ênfase4 20" xfId="6259" xr:uid="{00000000-0005-0000-0000-0000CF190000}"/>
    <cellStyle name="40% - Ênfase4 20 2" xfId="6260" xr:uid="{00000000-0005-0000-0000-0000D0190000}"/>
    <cellStyle name="40% - Ênfase4 21" xfId="6261" xr:uid="{00000000-0005-0000-0000-0000D1190000}"/>
    <cellStyle name="40% - Ênfase4 21 2" xfId="6262" xr:uid="{00000000-0005-0000-0000-0000D2190000}"/>
    <cellStyle name="40% - Ênfase4 22" xfId="6263" xr:uid="{00000000-0005-0000-0000-0000D3190000}"/>
    <cellStyle name="40% - Ênfase4 22 2" xfId="6264" xr:uid="{00000000-0005-0000-0000-0000D4190000}"/>
    <cellStyle name="40% - Ênfase4 23" xfId="6265" xr:uid="{00000000-0005-0000-0000-0000D5190000}"/>
    <cellStyle name="40% - Ênfase4 23 2" xfId="6266" xr:uid="{00000000-0005-0000-0000-0000D6190000}"/>
    <cellStyle name="40% - Ênfase4 24" xfId="6267" xr:uid="{00000000-0005-0000-0000-0000D7190000}"/>
    <cellStyle name="40% - Ênfase4 24 2" xfId="6268" xr:uid="{00000000-0005-0000-0000-0000D8190000}"/>
    <cellStyle name="40% - Ênfase4 25" xfId="6269" xr:uid="{00000000-0005-0000-0000-0000D9190000}"/>
    <cellStyle name="40% - Ênfase4 25 2" xfId="6270" xr:uid="{00000000-0005-0000-0000-0000DA190000}"/>
    <cellStyle name="40% - Ênfase4 26" xfId="6271" xr:uid="{00000000-0005-0000-0000-0000DB190000}"/>
    <cellStyle name="40% - Ênfase4 26 2" xfId="6272" xr:uid="{00000000-0005-0000-0000-0000DC190000}"/>
    <cellStyle name="40% - Ênfase4 27" xfId="6273" xr:uid="{00000000-0005-0000-0000-0000DD190000}"/>
    <cellStyle name="40% - Ênfase4 27 2" xfId="6274" xr:uid="{00000000-0005-0000-0000-0000DE190000}"/>
    <cellStyle name="40% - Ênfase4 28" xfId="6275" xr:uid="{00000000-0005-0000-0000-0000DF190000}"/>
    <cellStyle name="40% - Ênfase4 28 2" xfId="6276" xr:uid="{00000000-0005-0000-0000-0000E0190000}"/>
    <cellStyle name="40% - Ênfase4 29" xfId="6277" xr:uid="{00000000-0005-0000-0000-0000E1190000}"/>
    <cellStyle name="40% - Ênfase4 29 2" xfId="6278" xr:uid="{00000000-0005-0000-0000-0000E2190000}"/>
    <cellStyle name="40% - Ênfase4 3" xfId="6279" xr:uid="{00000000-0005-0000-0000-0000E3190000}"/>
    <cellStyle name="40% - Ênfase4 3 2" xfId="6280" xr:uid="{00000000-0005-0000-0000-0000E4190000}"/>
    <cellStyle name="40% - Ênfase4 3 2 10" xfId="6281" xr:uid="{00000000-0005-0000-0000-0000E5190000}"/>
    <cellStyle name="40% - Ênfase4 3 2 10 2" xfId="6282" xr:uid="{00000000-0005-0000-0000-0000E6190000}"/>
    <cellStyle name="40% - Ênfase4 3 2 11" xfId="6283" xr:uid="{00000000-0005-0000-0000-0000E7190000}"/>
    <cellStyle name="40% - Ênfase4 3 2 11 2" xfId="6284" xr:uid="{00000000-0005-0000-0000-0000E8190000}"/>
    <cellStyle name="40% - Ênfase4 3 2 12" xfId="6285" xr:uid="{00000000-0005-0000-0000-0000E9190000}"/>
    <cellStyle name="40% - Ênfase4 3 2 12 2" xfId="6286" xr:uid="{00000000-0005-0000-0000-0000EA190000}"/>
    <cellStyle name="40% - Ênfase4 3 2 2" xfId="6287" xr:uid="{00000000-0005-0000-0000-0000EB190000}"/>
    <cellStyle name="40% - Ênfase4 3 2 2 10" xfId="6288" xr:uid="{00000000-0005-0000-0000-0000EC190000}"/>
    <cellStyle name="40% - Ênfase4 3 2 2 11" xfId="6289" xr:uid="{00000000-0005-0000-0000-0000ED190000}"/>
    <cellStyle name="40% - Ênfase4 3 2 2 2" xfId="6290" xr:uid="{00000000-0005-0000-0000-0000EE190000}"/>
    <cellStyle name="40% - Ênfase4 3 2 2 2 2" xfId="25575" xr:uid="{00000000-0005-0000-0000-0000EF190000}"/>
    <cellStyle name="40% - Ênfase4 3 2 2 2 2 2" xfId="26884" xr:uid="{00000000-0005-0000-0000-0000F0190000}"/>
    <cellStyle name="40% - Ênfase4 3 2 2 2 3" xfId="26883" xr:uid="{00000000-0005-0000-0000-0000F1190000}"/>
    <cellStyle name="40% - Ênfase4 3 2 2 2 4" xfId="25574" xr:uid="{00000000-0005-0000-0000-0000F2190000}"/>
    <cellStyle name="40% - Ênfase4 3 2 2 3" xfId="6291" xr:uid="{00000000-0005-0000-0000-0000F3190000}"/>
    <cellStyle name="40% - Ênfase4 3 2 2 3 2" xfId="26885" xr:uid="{00000000-0005-0000-0000-0000F4190000}"/>
    <cellStyle name="40% - Ênfase4 3 2 2 3 3" xfId="25576" xr:uid="{00000000-0005-0000-0000-0000F5190000}"/>
    <cellStyle name="40% - Ênfase4 3 2 2 4" xfId="6292" xr:uid="{00000000-0005-0000-0000-0000F6190000}"/>
    <cellStyle name="40% - Ênfase4 3 2 2 4 2" xfId="26882" xr:uid="{00000000-0005-0000-0000-0000F7190000}"/>
    <cellStyle name="40% - Ênfase4 3 2 2 5" xfId="6293" xr:uid="{00000000-0005-0000-0000-0000F8190000}"/>
    <cellStyle name="40% - Ênfase4 3 2 2 6" xfId="6294" xr:uid="{00000000-0005-0000-0000-0000F9190000}"/>
    <cellStyle name="40% - Ênfase4 3 2 2 7" xfId="6295" xr:uid="{00000000-0005-0000-0000-0000FA190000}"/>
    <cellStyle name="40% - Ênfase4 3 2 2 8" xfId="6296" xr:uid="{00000000-0005-0000-0000-0000FB190000}"/>
    <cellStyle name="40% - Ênfase4 3 2 2 9" xfId="6297" xr:uid="{00000000-0005-0000-0000-0000FC190000}"/>
    <cellStyle name="40% - Ênfase4 3 2 3" xfId="6298" xr:uid="{00000000-0005-0000-0000-0000FD190000}"/>
    <cellStyle name="40% - Ênfase4 3 2 3 2" xfId="25578" xr:uid="{00000000-0005-0000-0000-0000FE190000}"/>
    <cellStyle name="40% - Ênfase4 3 2 3 2 2" xfId="26887" xr:uid="{00000000-0005-0000-0000-0000FF190000}"/>
    <cellStyle name="40% - Ênfase4 3 2 3 3" xfId="26886" xr:uid="{00000000-0005-0000-0000-0000001A0000}"/>
    <cellStyle name="40% - Ênfase4 3 2 3 4" xfId="25577" xr:uid="{00000000-0005-0000-0000-0000011A0000}"/>
    <cellStyle name="40% - Ênfase4 3 2 4" xfId="6299" xr:uid="{00000000-0005-0000-0000-0000021A0000}"/>
    <cellStyle name="40% - Ênfase4 3 2 4 2" xfId="26888" xr:uid="{00000000-0005-0000-0000-0000031A0000}"/>
    <cellStyle name="40% - Ênfase4 3 2 4 3" xfId="25579" xr:uid="{00000000-0005-0000-0000-0000041A0000}"/>
    <cellStyle name="40% - Ênfase4 3 2 5" xfId="6300" xr:uid="{00000000-0005-0000-0000-0000051A0000}"/>
    <cellStyle name="40% - Ênfase4 3 2 5 2" xfId="6301" xr:uid="{00000000-0005-0000-0000-0000061A0000}"/>
    <cellStyle name="40% - Ênfase4 3 2 6" xfId="6302" xr:uid="{00000000-0005-0000-0000-0000071A0000}"/>
    <cellStyle name="40% - Ênfase4 3 2 6 2" xfId="6303" xr:uid="{00000000-0005-0000-0000-0000081A0000}"/>
    <cellStyle name="40% - Ênfase4 3 2 7" xfId="6304" xr:uid="{00000000-0005-0000-0000-0000091A0000}"/>
    <cellStyle name="40% - Ênfase4 3 2 7 2" xfId="6305" xr:uid="{00000000-0005-0000-0000-00000A1A0000}"/>
    <cellStyle name="40% - Ênfase4 3 2 8" xfId="6306" xr:uid="{00000000-0005-0000-0000-00000B1A0000}"/>
    <cellStyle name="40% - Ênfase4 3 2 8 2" xfId="6307" xr:uid="{00000000-0005-0000-0000-00000C1A0000}"/>
    <cellStyle name="40% - Ênfase4 3 2 9" xfId="6308" xr:uid="{00000000-0005-0000-0000-00000D1A0000}"/>
    <cellStyle name="40% - Ênfase4 3 2 9 2" xfId="6309" xr:uid="{00000000-0005-0000-0000-00000E1A0000}"/>
    <cellStyle name="40% - Ênfase4 3 3" xfId="6310" xr:uid="{00000000-0005-0000-0000-00000F1A0000}"/>
    <cellStyle name="40% - Ênfase4 3 3 2" xfId="25581" xr:uid="{00000000-0005-0000-0000-0000101A0000}"/>
    <cellStyle name="40% - Ênfase4 3 3 2 2" xfId="25582" xr:uid="{00000000-0005-0000-0000-0000111A0000}"/>
    <cellStyle name="40% - Ênfase4 3 3 2 2 2" xfId="26891" xr:uid="{00000000-0005-0000-0000-0000121A0000}"/>
    <cellStyle name="40% - Ênfase4 3 3 2 3" xfId="26890" xr:uid="{00000000-0005-0000-0000-0000131A0000}"/>
    <cellStyle name="40% - Ênfase4 3 3 3" xfId="25583" xr:uid="{00000000-0005-0000-0000-0000141A0000}"/>
    <cellStyle name="40% - Ênfase4 3 3 3 2" xfId="26892" xr:uid="{00000000-0005-0000-0000-0000151A0000}"/>
    <cellStyle name="40% - Ênfase4 3 3 4" xfId="26889" xr:uid="{00000000-0005-0000-0000-0000161A0000}"/>
    <cellStyle name="40% - Ênfase4 3 3 5" xfId="25580" xr:uid="{00000000-0005-0000-0000-0000171A0000}"/>
    <cellStyle name="40% - Ênfase4 3 4" xfId="6311" xr:uid="{00000000-0005-0000-0000-0000181A0000}"/>
    <cellStyle name="40% - Ênfase4 3 4 2" xfId="26893" xr:uid="{00000000-0005-0000-0000-0000191A0000}"/>
    <cellStyle name="40% - Ênfase4 3 5" xfId="6312" xr:uid="{00000000-0005-0000-0000-00001A1A0000}"/>
    <cellStyle name="40% - Ênfase4 3 5 10" xfId="6313" xr:uid="{00000000-0005-0000-0000-00001B1A0000}"/>
    <cellStyle name="40% - Ênfase4 3 5 10 2" xfId="6314" xr:uid="{00000000-0005-0000-0000-00001C1A0000}"/>
    <cellStyle name="40% - Ênfase4 3 5 2" xfId="6315" xr:uid="{00000000-0005-0000-0000-00001D1A0000}"/>
    <cellStyle name="40% - Ênfase4 3 5 2 2" xfId="6316" xr:uid="{00000000-0005-0000-0000-00001E1A0000}"/>
    <cellStyle name="40% - Ênfase4 3 5 3" xfId="6317" xr:uid="{00000000-0005-0000-0000-00001F1A0000}"/>
    <cellStyle name="40% - Ênfase4 3 5 3 2" xfId="6318" xr:uid="{00000000-0005-0000-0000-0000201A0000}"/>
    <cellStyle name="40% - Ênfase4 3 5 4" xfId="6319" xr:uid="{00000000-0005-0000-0000-0000211A0000}"/>
    <cellStyle name="40% - Ênfase4 3 5 4 2" xfId="6320" xr:uid="{00000000-0005-0000-0000-0000221A0000}"/>
    <cellStyle name="40% - Ênfase4 3 5 5" xfId="6321" xr:uid="{00000000-0005-0000-0000-0000231A0000}"/>
    <cellStyle name="40% - Ênfase4 3 5 5 2" xfId="6322" xr:uid="{00000000-0005-0000-0000-0000241A0000}"/>
    <cellStyle name="40% - Ênfase4 3 5 6" xfId="6323" xr:uid="{00000000-0005-0000-0000-0000251A0000}"/>
    <cellStyle name="40% - Ênfase4 3 5 6 2" xfId="6324" xr:uid="{00000000-0005-0000-0000-0000261A0000}"/>
    <cellStyle name="40% - Ênfase4 3 5 7" xfId="6325" xr:uid="{00000000-0005-0000-0000-0000271A0000}"/>
    <cellStyle name="40% - Ênfase4 3 5 7 2" xfId="6326" xr:uid="{00000000-0005-0000-0000-0000281A0000}"/>
    <cellStyle name="40% - Ênfase4 3 5 8" xfId="6327" xr:uid="{00000000-0005-0000-0000-0000291A0000}"/>
    <cellStyle name="40% - Ênfase4 3 5 8 2" xfId="6328" xr:uid="{00000000-0005-0000-0000-00002A1A0000}"/>
    <cellStyle name="40% - Ênfase4 3 5 9" xfId="6329" xr:uid="{00000000-0005-0000-0000-00002B1A0000}"/>
    <cellStyle name="40% - Ênfase4 3 5 9 2" xfId="6330" xr:uid="{00000000-0005-0000-0000-00002C1A0000}"/>
    <cellStyle name="40% - Ênfase4 3 6" xfId="6331" xr:uid="{00000000-0005-0000-0000-00002D1A0000}"/>
    <cellStyle name="40% - Ênfase4 3 6 2" xfId="6332" xr:uid="{00000000-0005-0000-0000-00002E1A0000}"/>
    <cellStyle name="40% - Ênfase4 3 6 2 2" xfId="6333" xr:uid="{00000000-0005-0000-0000-00002F1A0000}"/>
    <cellStyle name="40% - Ênfase4 3 6 3" xfId="6334" xr:uid="{00000000-0005-0000-0000-0000301A0000}"/>
    <cellStyle name="40% - Ênfase4 3 6 3 2" xfId="6335" xr:uid="{00000000-0005-0000-0000-0000311A0000}"/>
    <cellStyle name="40% - Ênfase4 3 6 4" xfId="6336" xr:uid="{00000000-0005-0000-0000-0000321A0000}"/>
    <cellStyle name="40% - Ênfase4 3 6 4 2" xfId="6337" xr:uid="{00000000-0005-0000-0000-0000331A0000}"/>
    <cellStyle name="40% - Ênfase4 3 6 5" xfId="6338" xr:uid="{00000000-0005-0000-0000-0000341A0000}"/>
    <cellStyle name="40% - Ênfase4 3 6 5 2" xfId="6339" xr:uid="{00000000-0005-0000-0000-0000351A0000}"/>
    <cellStyle name="40% - Ênfase4 3 6 6" xfId="6340" xr:uid="{00000000-0005-0000-0000-0000361A0000}"/>
    <cellStyle name="40% - Ênfase4 3 7" xfId="25584" xr:uid="{00000000-0005-0000-0000-0000371A0000}"/>
    <cellStyle name="40% - Ênfase4 3 7 2" xfId="26894" xr:uid="{00000000-0005-0000-0000-0000381A0000}"/>
    <cellStyle name="40% - Ênfase4 3 8" xfId="26881" xr:uid="{00000000-0005-0000-0000-0000391A0000}"/>
    <cellStyle name="40% - Ênfase4 30" xfId="6341" xr:uid="{00000000-0005-0000-0000-00003A1A0000}"/>
    <cellStyle name="40% - Ênfase4 30 2" xfId="6342" xr:uid="{00000000-0005-0000-0000-00003B1A0000}"/>
    <cellStyle name="40% - Ênfase4 31" xfId="6343" xr:uid="{00000000-0005-0000-0000-00003C1A0000}"/>
    <cellStyle name="40% - Ênfase4 31 2" xfId="6344" xr:uid="{00000000-0005-0000-0000-00003D1A0000}"/>
    <cellStyle name="40% - Ênfase4 32" xfId="6345" xr:uid="{00000000-0005-0000-0000-00003E1A0000}"/>
    <cellStyle name="40% - Ênfase4 32 2" xfId="6346" xr:uid="{00000000-0005-0000-0000-00003F1A0000}"/>
    <cellStyle name="40% - Ênfase4 33" xfId="6347" xr:uid="{00000000-0005-0000-0000-0000401A0000}"/>
    <cellStyle name="40% - Ênfase4 33 2" xfId="6348" xr:uid="{00000000-0005-0000-0000-0000411A0000}"/>
    <cellStyle name="40% - Ênfase4 34" xfId="6349" xr:uid="{00000000-0005-0000-0000-0000421A0000}"/>
    <cellStyle name="40% - Ênfase4 34 2" xfId="6350" xr:uid="{00000000-0005-0000-0000-0000431A0000}"/>
    <cellStyle name="40% - Ênfase4 35" xfId="6351" xr:uid="{00000000-0005-0000-0000-0000441A0000}"/>
    <cellStyle name="40% - Ênfase4 35 2" xfId="6352" xr:uid="{00000000-0005-0000-0000-0000451A0000}"/>
    <cellStyle name="40% - Ênfase4 36" xfId="6353" xr:uid="{00000000-0005-0000-0000-0000461A0000}"/>
    <cellStyle name="40% - Ênfase4 36 2" xfId="6354" xr:uid="{00000000-0005-0000-0000-0000471A0000}"/>
    <cellStyle name="40% - Ênfase4 37" xfId="6355" xr:uid="{00000000-0005-0000-0000-0000481A0000}"/>
    <cellStyle name="40% - Ênfase4 37 2" xfId="6356" xr:uid="{00000000-0005-0000-0000-0000491A0000}"/>
    <cellStyle name="40% - Ênfase4 38" xfId="6357" xr:uid="{00000000-0005-0000-0000-00004A1A0000}"/>
    <cellStyle name="40% - Ênfase4 38 2" xfId="6358" xr:uid="{00000000-0005-0000-0000-00004B1A0000}"/>
    <cellStyle name="40% - Ênfase4 39" xfId="6359" xr:uid="{00000000-0005-0000-0000-00004C1A0000}"/>
    <cellStyle name="40% - Ênfase4 39 2" xfId="6360" xr:uid="{00000000-0005-0000-0000-00004D1A0000}"/>
    <cellStyle name="40% - Ênfase4 4" xfId="6361" xr:uid="{00000000-0005-0000-0000-00004E1A0000}"/>
    <cellStyle name="40% - Ênfase4 4 2" xfId="6362" xr:uid="{00000000-0005-0000-0000-00004F1A0000}"/>
    <cellStyle name="40% - Ênfase4 4 2 10" xfId="6363" xr:uid="{00000000-0005-0000-0000-0000501A0000}"/>
    <cellStyle name="40% - Ênfase4 4 2 10 2" xfId="6364" xr:uid="{00000000-0005-0000-0000-0000511A0000}"/>
    <cellStyle name="40% - Ênfase4 4 2 11" xfId="6365" xr:uid="{00000000-0005-0000-0000-0000521A0000}"/>
    <cellStyle name="40% - Ênfase4 4 2 11 2" xfId="6366" xr:uid="{00000000-0005-0000-0000-0000531A0000}"/>
    <cellStyle name="40% - Ênfase4 4 2 12" xfId="6367" xr:uid="{00000000-0005-0000-0000-0000541A0000}"/>
    <cellStyle name="40% - Ênfase4 4 2 12 2" xfId="6368" xr:uid="{00000000-0005-0000-0000-0000551A0000}"/>
    <cellStyle name="40% - Ênfase4 4 2 2" xfId="6369" xr:uid="{00000000-0005-0000-0000-0000561A0000}"/>
    <cellStyle name="40% - Ênfase4 4 2 2 10" xfId="6370" xr:uid="{00000000-0005-0000-0000-0000571A0000}"/>
    <cellStyle name="40% - Ênfase4 4 2 2 11" xfId="6371" xr:uid="{00000000-0005-0000-0000-0000581A0000}"/>
    <cellStyle name="40% - Ênfase4 4 2 2 2" xfId="6372" xr:uid="{00000000-0005-0000-0000-0000591A0000}"/>
    <cellStyle name="40% - Ênfase4 4 2 2 2 2" xfId="25586" xr:uid="{00000000-0005-0000-0000-00005A1A0000}"/>
    <cellStyle name="40% - Ênfase4 4 2 2 2 2 2" xfId="26898" xr:uid="{00000000-0005-0000-0000-00005B1A0000}"/>
    <cellStyle name="40% - Ênfase4 4 2 2 2 3" xfId="26897" xr:uid="{00000000-0005-0000-0000-00005C1A0000}"/>
    <cellStyle name="40% - Ênfase4 4 2 2 2 4" xfId="25585" xr:uid="{00000000-0005-0000-0000-00005D1A0000}"/>
    <cellStyle name="40% - Ênfase4 4 2 2 3" xfId="6373" xr:uid="{00000000-0005-0000-0000-00005E1A0000}"/>
    <cellStyle name="40% - Ênfase4 4 2 2 3 2" xfId="26899" xr:uid="{00000000-0005-0000-0000-00005F1A0000}"/>
    <cellStyle name="40% - Ênfase4 4 2 2 3 3" xfId="25587" xr:uid="{00000000-0005-0000-0000-0000601A0000}"/>
    <cellStyle name="40% - Ênfase4 4 2 2 4" xfId="6374" xr:uid="{00000000-0005-0000-0000-0000611A0000}"/>
    <cellStyle name="40% - Ênfase4 4 2 2 4 2" xfId="26896" xr:uid="{00000000-0005-0000-0000-0000621A0000}"/>
    <cellStyle name="40% - Ênfase4 4 2 2 5" xfId="6375" xr:uid="{00000000-0005-0000-0000-0000631A0000}"/>
    <cellStyle name="40% - Ênfase4 4 2 2 6" xfId="6376" xr:uid="{00000000-0005-0000-0000-0000641A0000}"/>
    <cellStyle name="40% - Ênfase4 4 2 2 7" xfId="6377" xr:uid="{00000000-0005-0000-0000-0000651A0000}"/>
    <cellStyle name="40% - Ênfase4 4 2 2 8" xfId="6378" xr:uid="{00000000-0005-0000-0000-0000661A0000}"/>
    <cellStyle name="40% - Ênfase4 4 2 2 9" xfId="6379" xr:uid="{00000000-0005-0000-0000-0000671A0000}"/>
    <cellStyle name="40% - Ênfase4 4 2 3" xfId="6380" xr:uid="{00000000-0005-0000-0000-0000681A0000}"/>
    <cellStyle name="40% - Ênfase4 4 2 3 2" xfId="25589" xr:uid="{00000000-0005-0000-0000-0000691A0000}"/>
    <cellStyle name="40% - Ênfase4 4 2 3 2 2" xfId="26901" xr:uid="{00000000-0005-0000-0000-00006A1A0000}"/>
    <cellStyle name="40% - Ênfase4 4 2 3 3" xfId="26900" xr:uid="{00000000-0005-0000-0000-00006B1A0000}"/>
    <cellStyle name="40% - Ênfase4 4 2 3 4" xfId="25588" xr:uid="{00000000-0005-0000-0000-00006C1A0000}"/>
    <cellStyle name="40% - Ênfase4 4 2 4" xfId="6381" xr:uid="{00000000-0005-0000-0000-00006D1A0000}"/>
    <cellStyle name="40% - Ênfase4 4 2 4 2" xfId="26902" xr:uid="{00000000-0005-0000-0000-00006E1A0000}"/>
    <cellStyle name="40% - Ênfase4 4 2 4 3" xfId="25590" xr:uid="{00000000-0005-0000-0000-00006F1A0000}"/>
    <cellStyle name="40% - Ênfase4 4 2 5" xfId="6382" xr:uid="{00000000-0005-0000-0000-0000701A0000}"/>
    <cellStyle name="40% - Ênfase4 4 2 5 2" xfId="6383" xr:uid="{00000000-0005-0000-0000-0000711A0000}"/>
    <cellStyle name="40% - Ênfase4 4 2 6" xfId="6384" xr:uid="{00000000-0005-0000-0000-0000721A0000}"/>
    <cellStyle name="40% - Ênfase4 4 2 6 2" xfId="6385" xr:uid="{00000000-0005-0000-0000-0000731A0000}"/>
    <cellStyle name="40% - Ênfase4 4 2 7" xfId="6386" xr:uid="{00000000-0005-0000-0000-0000741A0000}"/>
    <cellStyle name="40% - Ênfase4 4 2 7 2" xfId="6387" xr:uid="{00000000-0005-0000-0000-0000751A0000}"/>
    <cellStyle name="40% - Ênfase4 4 2 8" xfId="6388" xr:uid="{00000000-0005-0000-0000-0000761A0000}"/>
    <cellStyle name="40% - Ênfase4 4 2 8 2" xfId="6389" xr:uid="{00000000-0005-0000-0000-0000771A0000}"/>
    <cellStyle name="40% - Ênfase4 4 2 9" xfId="6390" xr:uid="{00000000-0005-0000-0000-0000781A0000}"/>
    <cellStyle name="40% - Ênfase4 4 2 9 2" xfId="6391" xr:uid="{00000000-0005-0000-0000-0000791A0000}"/>
    <cellStyle name="40% - Ênfase4 4 3" xfId="6392" xr:uid="{00000000-0005-0000-0000-00007A1A0000}"/>
    <cellStyle name="40% - Ênfase4 4 3 2" xfId="25592" xr:uid="{00000000-0005-0000-0000-00007B1A0000}"/>
    <cellStyle name="40% - Ênfase4 4 3 2 2" xfId="25593" xr:uid="{00000000-0005-0000-0000-00007C1A0000}"/>
    <cellStyle name="40% - Ênfase4 4 3 2 2 2" xfId="26905" xr:uid="{00000000-0005-0000-0000-00007D1A0000}"/>
    <cellStyle name="40% - Ênfase4 4 3 2 3" xfId="26904" xr:uid="{00000000-0005-0000-0000-00007E1A0000}"/>
    <cellStyle name="40% - Ênfase4 4 3 3" xfId="25594" xr:uid="{00000000-0005-0000-0000-00007F1A0000}"/>
    <cellStyle name="40% - Ênfase4 4 3 3 2" xfId="26906" xr:uid="{00000000-0005-0000-0000-0000801A0000}"/>
    <cellStyle name="40% - Ênfase4 4 3 4" xfId="26903" xr:uid="{00000000-0005-0000-0000-0000811A0000}"/>
    <cellStyle name="40% - Ênfase4 4 3 5" xfId="25591" xr:uid="{00000000-0005-0000-0000-0000821A0000}"/>
    <cellStyle name="40% - Ênfase4 4 4" xfId="6393" xr:uid="{00000000-0005-0000-0000-0000831A0000}"/>
    <cellStyle name="40% - Ênfase4 4 4 2" xfId="26907" xr:uid="{00000000-0005-0000-0000-0000841A0000}"/>
    <cellStyle name="40% - Ênfase4 4 5" xfId="6394" xr:uid="{00000000-0005-0000-0000-0000851A0000}"/>
    <cellStyle name="40% - Ênfase4 4 5 10" xfId="6395" xr:uid="{00000000-0005-0000-0000-0000861A0000}"/>
    <cellStyle name="40% - Ênfase4 4 5 10 2" xfId="6396" xr:uid="{00000000-0005-0000-0000-0000871A0000}"/>
    <cellStyle name="40% - Ênfase4 4 5 2" xfId="6397" xr:uid="{00000000-0005-0000-0000-0000881A0000}"/>
    <cellStyle name="40% - Ênfase4 4 5 2 2" xfId="6398" xr:uid="{00000000-0005-0000-0000-0000891A0000}"/>
    <cellStyle name="40% - Ênfase4 4 5 3" xfId="6399" xr:uid="{00000000-0005-0000-0000-00008A1A0000}"/>
    <cellStyle name="40% - Ênfase4 4 5 3 2" xfId="6400" xr:uid="{00000000-0005-0000-0000-00008B1A0000}"/>
    <cellStyle name="40% - Ênfase4 4 5 4" xfId="6401" xr:uid="{00000000-0005-0000-0000-00008C1A0000}"/>
    <cellStyle name="40% - Ênfase4 4 5 4 2" xfId="6402" xr:uid="{00000000-0005-0000-0000-00008D1A0000}"/>
    <cellStyle name="40% - Ênfase4 4 5 5" xfId="6403" xr:uid="{00000000-0005-0000-0000-00008E1A0000}"/>
    <cellStyle name="40% - Ênfase4 4 5 5 2" xfId="6404" xr:uid="{00000000-0005-0000-0000-00008F1A0000}"/>
    <cellStyle name="40% - Ênfase4 4 5 6" xfId="6405" xr:uid="{00000000-0005-0000-0000-0000901A0000}"/>
    <cellStyle name="40% - Ênfase4 4 5 6 2" xfId="6406" xr:uid="{00000000-0005-0000-0000-0000911A0000}"/>
    <cellStyle name="40% - Ênfase4 4 5 7" xfId="6407" xr:uid="{00000000-0005-0000-0000-0000921A0000}"/>
    <cellStyle name="40% - Ênfase4 4 5 7 2" xfId="6408" xr:uid="{00000000-0005-0000-0000-0000931A0000}"/>
    <cellStyle name="40% - Ênfase4 4 5 8" xfId="6409" xr:uid="{00000000-0005-0000-0000-0000941A0000}"/>
    <cellStyle name="40% - Ênfase4 4 5 8 2" xfId="6410" xr:uid="{00000000-0005-0000-0000-0000951A0000}"/>
    <cellStyle name="40% - Ênfase4 4 5 9" xfId="6411" xr:uid="{00000000-0005-0000-0000-0000961A0000}"/>
    <cellStyle name="40% - Ênfase4 4 5 9 2" xfId="6412" xr:uid="{00000000-0005-0000-0000-0000971A0000}"/>
    <cellStyle name="40% - Ênfase4 4 6" xfId="6413" xr:uid="{00000000-0005-0000-0000-0000981A0000}"/>
    <cellStyle name="40% - Ênfase4 4 6 2" xfId="6414" xr:uid="{00000000-0005-0000-0000-0000991A0000}"/>
    <cellStyle name="40% - Ênfase4 4 6 2 2" xfId="6415" xr:uid="{00000000-0005-0000-0000-00009A1A0000}"/>
    <cellStyle name="40% - Ênfase4 4 6 3" xfId="6416" xr:uid="{00000000-0005-0000-0000-00009B1A0000}"/>
    <cellStyle name="40% - Ênfase4 4 6 3 2" xfId="6417" xr:uid="{00000000-0005-0000-0000-00009C1A0000}"/>
    <cellStyle name="40% - Ênfase4 4 6 4" xfId="6418" xr:uid="{00000000-0005-0000-0000-00009D1A0000}"/>
    <cellStyle name="40% - Ênfase4 4 6 4 2" xfId="6419" xr:uid="{00000000-0005-0000-0000-00009E1A0000}"/>
    <cellStyle name="40% - Ênfase4 4 6 5" xfId="6420" xr:uid="{00000000-0005-0000-0000-00009F1A0000}"/>
    <cellStyle name="40% - Ênfase4 4 6 5 2" xfId="6421" xr:uid="{00000000-0005-0000-0000-0000A01A0000}"/>
    <cellStyle name="40% - Ênfase4 4 6 6" xfId="6422" xr:uid="{00000000-0005-0000-0000-0000A11A0000}"/>
    <cellStyle name="40% - Ênfase4 4 7" xfId="26895" xr:uid="{00000000-0005-0000-0000-0000A21A0000}"/>
    <cellStyle name="40% - Ênfase4 40" xfId="6423" xr:uid="{00000000-0005-0000-0000-0000A31A0000}"/>
    <cellStyle name="40% - Ênfase4 40 2" xfId="6424" xr:uid="{00000000-0005-0000-0000-0000A41A0000}"/>
    <cellStyle name="40% - Ênfase4 41" xfId="6425" xr:uid="{00000000-0005-0000-0000-0000A51A0000}"/>
    <cellStyle name="40% - Ênfase4 41 2" xfId="6426" xr:uid="{00000000-0005-0000-0000-0000A61A0000}"/>
    <cellStyle name="40% - Ênfase4 42" xfId="6427" xr:uid="{00000000-0005-0000-0000-0000A71A0000}"/>
    <cellStyle name="40% - Ênfase4 42 2" xfId="6428" xr:uid="{00000000-0005-0000-0000-0000A81A0000}"/>
    <cellStyle name="40% - Ênfase4 43" xfId="6429" xr:uid="{00000000-0005-0000-0000-0000A91A0000}"/>
    <cellStyle name="40% - Ênfase4 43 2" xfId="6430" xr:uid="{00000000-0005-0000-0000-0000AA1A0000}"/>
    <cellStyle name="40% - Ênfase4 44" xfId="6431" xr:uid="{00000000-0005-0000-0000-0000AB1A0000}"/>
    <cellStyle name="40% - Ênfase4 44 2" xfId="6432" xr:uid="{00000000-0005-0000-0000-0000AC1A0000}"/>
    <cellStyle name="40% - Ênfase4 45" xfId="6433" xr:uid="{00000000-0005-0000-0000-0000AD1A0000}"/>
    <cellStyle name="40% - Ênfase4 45 2" xfId="6434" xr:uid="{00000000-0005-0000-0000-0000AE1A0000}"/>
    <cellStyle name="40% - Ênfase4 46" xfId="6435" xr:uid="{00000000-0005-0000-0000-0000AF1A0000}"/>
    <cellStyle name="40% - Ênfase4 46 2" xfId="6436" xr:uid="{00000000-0005-0000-0000-0000B01A0000}"/>
    <cellStyle name="40% - Ênfase4 47" xfId="6437" xr:uid="{00000000-0005-0000-0000-0000B11A0000}"/>
    <cellStyle name="40% - Ênfase4 47 2" xfId="6438" xr:uid="{00000000-0005-0000-0000-0000B21A0000}"/>
    <cellStyle name="40% - Ênfase4 48" xfId="6439" xr:uid="{00000000-0005-0000-0000-0000B31A0000}"/>
    <cellStyle name="40% - Ênfase4 48 2" xfId="6440" xr:uid="{00000000-0005-0000-0000-0000B41A0000}"/>
    <cellStyle name="40% - Ênfase4 49" xfId="6441" xr:uid="{00000000-0005-0000-0000-0000B51A0000}"/>
    <cellStyle name="40% - Ênfase4 49 2" xfId="6442" xr:uid="{00000000-0005-0000-0000-0000B61A0000}"/>
    <cellStyle name="40% - Ênfase4 5" xfId="6443" xr:uid="{00000000-0005-0000-0000-0000B71A0000}"/>
    <cellStyle name="40% - Ênfase4 5 2" xfId="6444" xr:uid="{00000000-0005-0000-0000-0000B81A0000}"/>
    <cellStyle name="40% - Ênfase4 5 2 2" xfId="6445" xr:uid="{00000000-0005-0000-0000-0000B91A0000}"/>
    <cellStyle name="40% - Ênfase4 5 2 2 2" xfId="25596" xr:uid="{00000000-0005-0000-0000-0000BA1A0000}"/>
    <cellStyle name="40% - Ênfase4 5 2 2 2 2" xfId="25597" xr:uid="{00000000-0005-0000-0000-0000BB1A0000}"/>
    <cellStyle name="40% - Ênfase4 5 2 2 2 2 2" xfId="26910" xr:uid="{00000000-0005-0000-0000-0000BC1A0000}"/>
    <cellStyle name="40% - Ênfase4 5 2 2 2 3" xfId="26909" xr:uid="{00000000-0005-0000-0000-0000BD1A0000}"/>
    <cellStyle name="40% - Ênfase4 5 2 2 3" xfId="25598" xr:uid="{00000000-0005-0000-0000-0000BE1A0000}"/>
    <cellStyle name="40% - Ênfase4 5 2 2 3 2" xfId="26911" xr:uid="{00000000-0005-0000-0000-0000BF1A0000}"/>
    <cellStyle name="40% - Ênfase4 5 2 2 4" xfId="26908" xr:uid="{00000000-0005-0000-0000-0000C01A0000}"/>
    <cellStyle name="40% - Ênfase4 5 2 2 5" xfId="25595" xr:uid="{00000000-0005-0000-0000-0000C11A0000}"/>
    <cellStyle name="40% - Ênfase4 5 2 3" xfId="6446" xr:uid="{00000000-0005-0000-0000-0000C21A0000}"/>
    <cellStyle name="40% - Ênfase4 5 2 3 2" xfId="25600" xr:uid="{00000000-0005-0000-0000-0000C31A0000}"/>
    <cellStyle name="40% - Ênfase4 5 2 3 2 2" xfId="26913" xr:uid="{00000000-0005-0000-0000-0000C41A0000}"/>
    <cellStyle name="40% - Ênfase4 5 2 3 3" xfId="26912" xr:uid="{00000000-0005-0000-0000-0000C51A0000}"/>
    <cellStyle name="40% - Ênfase4 5 2 3 4" xfId="25599" xr:uid="{00000000-0005-0000-0000-0000C61A0000}"/>
    <cellStyle name="40% - Ênfase4 5 2 4" xfId="6447" xr:uid="{00000000-0005-0000-0000-0000C71A0000}"/>
    <cellStyle name="40% - Ênfase4 5 2 4 2" xfId="26914" xr:uid="{00000000-0005-0000-0000-0000C81A0000}"/>
    <cellStyle name="40% - Ênfase4 5 2 4 3" xfId="25601" xr:uid="{00000000-0005-0000-0000-0000C91A0000}"/>
    <cellStyle name="40% - Ênfase4 5 2 5" xfId="6448" xr:uid="{00000000-0005-0000-0000-0000CA1A0000}"/>
    <cellStyle name="40% - Ênfase4 5 2 5 2" xfId="6449" xr:uid="{00000000-0005-0000-0000-0000CB1A0000}"/>
    <cellStyle name="40% - Ênfase4 5 2 6" xfId="6450" xr:uid="{00000000-0005-0000-0000-0000CC1A0000}"/>
    <cellStyle name="40% - Ênfase4 5 2 6 2" xfId="6451" xr:uid="{00000000-0005-0000-0000-0000CD1A0000}"/>
    <cellStyle name="40% - Ênfase4 5 2 7" xfId="6452" xr:uid="{00000000-0005-0000-0000-0000CE1A0000}"/>
    <cellStyle name="40% - Ênfase4 5 2 7 2" xfId="6453" xr:uid="{00000000-0005-0000-0000-0000CF1A0000}"/>
    <cellStyle name="40% - Ênfase4 5 2 8" xfId="6454" xr:uid="{00000000-0005-0000-0000-0000D01A0000}"/>
    <cellStyle name="40% - Ênfase4 5 2 8 2" xfId="6455" xr:uid="{00000000-0005-0000-0000-0000D11A0000}"/>
    <cellStyle name="40% - Ênfase4 5 2 9" xfId="6456" xr:uid="{00000000-0005-0000-0000-0000D21A0000}"/>
    <cellStyle name="40% - Ênfase4 5 3" xfId="6457" xr:uid="{00000000-0005-0000-0000-0000D31A0000}"/>
    <cellStyle name="40% - Ênfase4 5 3 2" xfId="25603" xr:uid="{00000000-0005-0000-0000-0000D41A0000}"/>
    <cellStyle name="40% - Ênfase4 5 3 2 2" xfId="25604" xr:uid="{00000000-0005-0000-0000-0000D51A0000}"/>
    <cellStyle name="40% - Ênfase4 5 3 2 2 2" xfId="26917" xr:uid="{00000000-0005-0000-0000-0000D61A0000}"/>
    <cellStyle name="40% - Ênfase4 5 3 2 3" xfId="26916" xr:uid="{00000000-0005-0000-0000-0000D71A0000}"/>
    <cellStyle name="40% - Ênfase4 5 3 3" xfId="25605" xr:uid="{00000000-0005-0000-0000-0000D81A0000}"/>
    <cellStyle name="40% - Ênfase4 5 3 3 2" xfId="26918" xr:uid="{00000000-0005-0000-0000-0000D91A0000}"/>
    <cellStyle name="40% - Ênfase4 5 3 4" xfId="26915" xr:uid="{00000000-0005-0000-0000-0000DA1A0000}"/>
    <cellStyle name="40% - Ênfase4 5 3 5" xfId="25602" xr:uid="{00000000-0005-0000-0000-0000DB1A0000}"/>
    <cellStyle name="40% - Ênfase4 5 4" xfId="6458" xr:uid="{00000000-0005-0000-0000-0000DC1A0000}"/>
    <cellStyle name="40% - Ênfase4 5 4 2" xfId="25607" xr:uid="{00000000-0005-0000-0000-0000DD1A0000}"/>
    <cellStyle name="40% - Ênfase4 5 4 2 2" xfId="26920" xr:uid="{00000000-0005-0000-0000-0000DE1A0000}"/>
    <cellStyle name="40% - Ênfase4 5 4 3" xfId="26919" xr:uid="{00000000-0005-0000-0000-0000DF1A0000}"/>
    <cellStyle name="40% - Ênfase4 5 4 4" xfId="25606" xr:uid="{00000000-0005-0000-0000-0000E01A0000}"/>
    <cellStyle name="40% - Ênfase4 5 5" xfId="6459" xr:uid="{00000000-0005-0000-0000-0000E11A0000}"/>
    <cellStyle name="40% - Ênfase4 5 5 2" xfId="6460" xr:uid="{00000000-0005-0000-0000-0000E21A0000}"/>
    <cellStyle name="40% - Ênfase4 5 5 2 2" xfId="6461" xr:uid="{00000000-0005-0000-0000-0000E31A0000}"/>
    <cellStyle name="40% - Ênfase4 5 5 3" xfId="6462" xr:uid="{00000000-0005-0000-0000-0000E41A0000}"/>
    <cellStyle name="40% - Ênfase4 5 5 3 2" xfId="6463" xr:uid="{00000000-0005-0000-0000-0000E51A0000}"/>
    <cellStyle name="40% - Ênfase4 5 5 4" xfId="6464" xr:uid="{00000000-0005-0000-0000-0000E61A0000}"/>
    <cellStyle name="40% - Ênfase4 5 5 4 2" xfId="6465" xr:uid="{00000000-0005-0000-0000-0000E71A0000}"/>
    <cellStyle name="40% - Ênfase4 5 5 5" xfId="6466" xr:uid="{00000000-0005-0000-0000-0000E81A0000}"/>
    <cellStyle name="40% - Ênfase4 5 5 5 2" xfId="6467" xr:uid="{00000000-0005-0000-0000-0000E91A0000}"/>
    <cellStyle name="40% - Ênfase4 5 5 6" xfId="6468" xr:uid="{00000000-0005-0000-0000-0000EA1A0000}"/>
    <cellStyle name="40% - Ênfase4 5 6" xfId="6469" xr:uid="{00000000-0005-0000-0000-0000EB1A0000}"/>
    <cellStyle name="40% - Ênfase4 5 6 2" xfId="6470" xr:uid="{00000000-0005-0000-0000-0000EC1A0000}"/>
    <cellStyle name="40% - Ênfase4 5 6 2 2" xfId="6471" xr:uid="{00000000-0005-0000-0000-0000ED1A0000}"/>
    <cellStyle name="40% - Ênfase4 5 6 3" xfId="6472" xr:uid="{00000000-0005-0000-0000-0000EE1A0000}"/>
    <cellStyle name="40% - Ênfase4 5 6 3 2" xfId="6473" xr:uid="{00000000-0005-0000-0000-0000EF1A0000}"/>
    <cellStyle name="40% - Ênfase4 5 6 4" xfId="6474" xr:uid="{00000000-0005-0000-0000-0000F01A0000}"/>
    <cellStyle name="40% - Ênfase4 5 6 4 2" xfId="6475" xr:uid="{00000000-0005-0000-0000-0000F11A0000}"/>
    <cellStyle name="40% - Ênfase4 5 6 5" xfId="6476" xr:uid="{00000000-0005-0000-0000-0000F21A0000}"/>
    <cellStyle name="40% - Ênfase4 5 6 5 2" xfId="6477" xr:uid="{00000000-0005-0000-0000-0000F31A0000}"/>
    <cellStyle name="40% - Ênfase4 5 6 6" xfId="6478" xr:uid="{00000000-0005-0000-0000-0000F41A0000}"/>
    <cellStyle name="40% - Ênfase4 50" xfId="6479" xr:uid="{00000000-0005-0000-0000-0000F51A0000}"/>
    <cellStyle name="40% - Ênfase4 50 2" xfId="6480" xr:uid="{00000000-0005-0000-0000-0000F61A0000}"/>
    <cellStyle name="40% - Ênfase4 51" xfId="6481" xr:uid="{00000000-0005-0000-0000-0000F71A0000}"/>
    <cellStyle name="40% - Ênfase4 51 2" xfId="6482" xr:uid="{00000000-0005-0000-0000-0000F81A0000}"/>
    <cellStyle name="40% - Ênfase4 52" xfId="6483" xr:uid="{00000000-0005-0000-0000-0000F91A0000}"/>
    <cellStyle name="40% - Ênfase4 52 2" xfId="6484" xr:uid="{00000000-0005-0000-0000-0000FA1A0000}"/>
    <cellStyle name="40% - Ênfase4 53" xfId="6485" xr:uid="{00000000-0005-0000-0000-0000FB1A0000}"/>
    <cellStyle name="40% - Ênfase4 53 2" xfId="6486" xr:uid="{00000000-0005-0000-0000-0000FC1A0000}"/>
    <cellStyle name="40% - Ênfase4 54" xfId="6487" xr:uid="{00000000-0005-0000-0000-0000FD1A0000}"/>
    <cellStyle name="40% - Ênfase4 54 2" xfId="6488" xr:uid="{00000000-0005-0000-0000-0000FE1A0000}"/>
    <cellStyle name="40% - Ênfase4 55" xfId="6489" xr:uid="{00000000-0005-0000-0000-0000FF1A0000}"/>
    <cellStyle name="40% - Ênfase4 55 2" xfId="6490" xr:uid="{00000000-0005-0000-0000-0000001B0000}"/>
    <cellStyle name="40% - Ênfase4 6" xfId="6491" xr:uid="{00000000-0005-0000-0000-0000011B0000}"/>
    <cellStyle name="40% - Ênfase4 6 10" xfId="6492" xr:uid="{00000000-0005-0000-0000-0000021B0000}"/>
    <cellStyle name="40% - Ênfase4 6 10 2" xfId="6493" xr:uid="{00000000-0005-0000-0000-0000031B0000}"/>
    <cellStyle name="40% - Ênfase4 6 11" xfId="6494" xr:uid="{00000000-0005-0000-0000-0000041B0000}"/>
    <cellStyle name="40% - Ênfase4 6 11 2" xfId="6495" xr:uid="{00000000-0005-0000-0000-0000051B0000}"/>
    <cellStyle name="40% - Ênfase4 6 12" xfId="6496" xr:uid="{00000000-0005-0000-0000-0000061B0000}"/>
    <cellStyle name="40% - Ênfase4 6 12 2" xfId="6497" xr:uid="{00000000-0005-0000-0000-0000071B0000}"/>
    <cellStyle name="40% - Ênfase4 6 13" xfId="6498" xr:uid="{00000000-0005-0000-0000-0000081B0000}"/>
    <cellStyle name="40% - Ênfase4 6 13 2" xfId="6499" xr:uid="{00000000-0005-0000-0000-0000091B0000}"/>
    <cellStyle name="40% - Ênfase4 6 14" xfId="6500" xr:uid="{00000000-0005-0000-0000-00000A1B0000}"/>
    <cellStyle name="40% - Ênfase4 6 14 2" xfId="6501" xr:uid="{00000000-0005-0000-0000-00000B1B0000}"/>
    <cellStyle name="40% - Ênfase4 6 15" xfId="6502" xr:uid="{00000000-0005-0000-0000-00000C1B0000}"/>
    <cellStyle name="40% - Ênfase4 6 15 2" xfId="6503" xr:uid="{00000000-0005-0000-0000-00000D1B0000}"/>
    <cellStyle name="40% - Ênfase4 6 16" xfId="6504" xr:uid="{00000000-0005-0000-0000-00000E1B0000}"/>
    <cellStyle name="40% - Ênfase4 6 16 2" xfId="6505" xr:uid="{00000000-0005-0000-0000-00000F1B0000}"/>
    <cellStyle name="40% - Ênfase4 6 17" xfId="6506" xr:uid="{00000000-0005-0000-0000-0000101B0000}"/>
    <cellStyle name="40% - Ênfase4 6 17 2" xfId="6507" xr:uid="{00000000-0005-0000-0000-0000111B0000}"/>
    <cellStyle name="40% - Ênfase4 6 18" xfId="6508" xr:uid="{00000000-0005-0000-0000-0000121B0000}"/>
    <cellStyle name="40% - Ênfase4 6 18 2" xfId="6509" xr:uid="{00000000-0005-0000-0000-0000131B0000}"/>
    <cellStyle name="40% - Ênfase4 6 19" xfId="6510" xr:uid="{00000000-0005-0000-0000-0000141B0000}"/>
    <cellStyle name="40% - Ênfase4 6 19 2" xfId="6511" xr:uid="{00000000-0005-0000-0000-0000151B0000}"/>
    <cellStyle name="40% - Ênfase4 6 2" xfId="6512" xr:uid="{00000000-0005-0000-0000-0000161B0000}"/>
    <cellStyle name="40% - Ênfase4 6 2 2" xfId="6513" xr:uid="{00000000-0005-0000-0000-0000171B0000}"/>
    <cellStyle name="40% - Ênfase4 6 2 2 2" xfId="6514" xr:uid="{00000000-0005-0000-0000-0000181B0000}"/>
    <cellStyle name="40% - Ênfase4 6 2 2 2 2" xfId="26922" xr:uid="{00000000-0005-0000-0000-0000191B0000}"/>
    <cellStyle name="40% - Ênfase4 6 2 2 3" xfId="26921" xr:uid="{00000000-0005-0000-0000-00001A1B0000}"/>
    <cellStyle name="40% - Ênfase4 6 2 3" xfId="6515" xr:uid="{00000000-0005-0000-0000-00001B1B0000}"/>
    <cellStyle name="40% - Ênfase4 6 2 3 2" xfId="6516" xr:uid="{00000000-0005-0000-0000-00001C1B0000}"/>
    <cellStyle name="40% - Ênfase4 6 2 4" xfId="6517" xr:uid="{00000000-0005-0000-0000-00001D1B0000}"/>
    <cellStyle name="40% - Ênfase4 6 2 4 2" xfId="6518" xr:uid="{00000000-0005-0000-0000-00001E1B0000}"/>
    <cellStyle name="40% - Ênfase4 6 2 5" xfId="6519" xr:uid="{00000000-0005-0000-0000-00001F1B0000}"/>
    <cellStyle name="40% - Ênfase4 6 2 5 2" xfId="6520" xr:uid="{00000000-0005-0000-0000-0000201B0000}"/>
    <cellStyle name="40% - Ênfase4 6 2 6" xfId="6521" xr:uid="{00000000-0005-0000-0000-0000211B0000}"/>
    <cellStyle name="40% - Ênfase4 6 20" xfId="6522" xr:uid="{00000000-0005-0000-0000-0000221B0000}"/>
    <cellStyle name="40% - Ênfase4 6 20 2" xfId="6523" xr:uid="{00000000-0005-0000-0000-0000231B0000}"/>
    <cellStyle name="40% - Ênfase4 6 21" xfId="6524" xr:uid="{00000000-0005-0000-0000-0000241B0000}"/>
    <cellStyle name="40% - Ênfase4 6 21 2" xfId="6525" xr:uid="{00000000-0005-0000-0000-0000251B0000}"/>
    <cellStyle name="40% - Ênfase4 6 22" xfId="6526" xr:uid="{00000000-0005-0000-0000-0000261B0000}"/>
    <cellStyle name="40% - Ênfase4 6 22 2" xfId="6527" xr:uid="{00000000-0005-0000-0000-0000271B0000}"/>
    <cellStyle name="40% - Ênfase4 6 23" xfId="6528" xr:uid="{00000000-0005-0000-0000-0000281B0000}"/>
    <cellStyle name="40% - Ênfase4 6 23 2" xfId="6529" xr:uid="{00000000-0005-0000-0000-0000291B0000}"/>
    <cellStyle name="40% - Ênfase4 6 24" xfId="6530" xr:uid="{00000000-0005-0000-0000-00002A1B0000}"/>
    <cellStyle name="40% - Ênfase4 6 24 2" xfId="6531" xr:uid="{00000000-0005-0000-0000-00002B1B0000}"/>
    <cellStyle name="40% - Ênfase4 6 25" xfId="6532" xr:uid="{00000000-0005-0000-0000-00002C1B0000}"/>
    <cellStyle name="40% - Ênfase4 6 25 2" xfId="6533" xr:uid="{00000000-0005-0000-0000-00002D1B0000}"/>
    <cellStyle name="40% - Ênfase4 6 26" xfId="6534" xr:uid="{00000000-0005-0000-0000-00002E1B0000}"/>
    <cellStyle name="40% - Ênfase4 6 26 2" xfId="6535" xr:uid="{00000000-0005-0000-0000-00002F1B0000}"/>
    <cellStyle name="40% - Ênfase4 6 27" xfId="6536" xr:uid="{00000000-0005-0000-0000-0000301B0000}"/>
    <cellStyle name="40% - Ênfase4 6 27 2" xfId="6537" xr:uid="{00000000-0005-0000-0000-0000311B0000}"/>
    <cellStyle name="40% - Ênfase4 6 28" xfId="6538" xr:uid="{00000000-0005-0000-0000-0000321B0000}"/>
    <cellStyle name="40% - Ênfase4 6 28 2" xfId="6539" xr:uid="{00000000-0005-0000-0000-0000331B0000}"/>
    <cellStyle name="40% - Ênfase4 6 29" xfId="6540" xr:uid="{00000000-0005-0000-0000-0000341B0000}"/>
    <cellStyle name="40% - Ênfase4 6 29 2" xfId="6541" xr:uid="{00000000-0005-0000-0000-0000351B0000}"/>
    <cellStyle name="40% - Ênfase4 6 3" xfId="6542" xr:uid="{00000000-0005-0000-0000-0000361B0000}"/>
    <cellStyle name="40% - Ênfase4 6 3 2" xfId="6543" xr:uid="{00000000-0005-0000-0000-0000371B0000}"/>
    <cellStyle name="40% - Ênfase4 6 3 2 2" xfId="6544" xr:uid="{00000000-0005-0000-0000-0000381B0000}"/>
    <cellStyle name="40% - Ênfase4 6 3 3" xfId="6545" xr:uid="{00000000-0005-0000-0000-0000391B0000}"/>
    <cellStyle name="40% - Ênfase4 6 3 3 2" xfId="6546" xr:uid="{00000000-0005-0000-0000-00003A1B0000}"/>
    <cellStyle name="40% - Ênfase4 6 3 4" xfId="6547" xr:uid="{00000000-0005-0000-0000-00003B1B0000}"/>
    <cellStyle name="40% - Ênfase4 6 3 4 2" xfId="6548" xr:uid="{00000000-0005-0000-0000-00003C1B0000}"/>
    <cellStyle name="40% - Ênfase4 6 3 5" xfId="6549" xr:uid="{00000000-0005-0000-0000-00003D1B0000}"/>
    <cellStyle name="40% - Ênfase4 6 3 5 2" xfId="6550" xr:uid="{00000000-0005-0000-0000-00003E1B0000}"/>
    <cellStyle name="40% - Ênfase4 6 3 6" xfId="6551" xr:uid="{00000000-0005-0000-0000-00003F1B0000}"/>
    <cellStyle name="40% - Ênfase4 6 30" xfId="6552" xr:uid="{00000000-0005-0000-0000-0000401B0000}"/>
    <cellStyle name="40% - Ênfase4 6 30 2" xfId="6553" xr:uid="{00000000-0005-0000-0000-0000411B0000}"/>
    <cellStyle name="40% - Ênfase4 6 31" xfId="6554" xr:uid="{00000000-0005-0000-0000-0000421B0000}"/>
    <cellStyle name="40% - Ênfase4 6 31 2" xfId="6555" xr:uid="{00000000-0005-0000-0000-0000431B0000}"/>
    <cellStyle name="40% - Ênfase4 6 32" xfId="6556" xr:uid="{00000000-0005-0000-0000-0000441B0000}"/>
    <cellStyle name="40% - Ênfase4 6 32 2" xfId="6557" xr:uid="{00000000-0005-0000-0000-0000451B0000}"/>
    <cellStyle name="40% - Ênfase4 6 33" xfId="6558" xr:uid="{00000000-0005-0000-0000-0000461B0000}"/>
    <cellStyle name="40% - Ênfase4 6 33 2" xfId="6559" xr:uid="{00000000-0005-0000-0000-0000471B0000}"/>
    <cellStyle name="40% - Ênfase4 6 34" xfId="6560" xr:uid="{00000000-0005-0000-0000-0000481B0000}"/>
    <cellStyle name="40% - Ênfase4 6 34 2" xfId="6561" xr:uid="{00000000-0005-0000-0000-0000491B0000}"/>
    <cellStyle name="40% - Ênfase4 6 35" xfId="6562" xr:uid="{00000000-0005-0000-0000-00004A1B0000}"/>
    <cellStyle name="40% - Ênfase4 6 35 2" xfId="6563" xr:uid="{00000000-0005-0000-0000-00004B1B0000}"/>
    <cellStyle name="40% - Ênfase4 6 36" xfId="6564" xr:uid="{00000000-0005-0000-0000-00004C1B0000}"/>
    <cellStyle name="40% - Ênfase4 6 36 2" xfId="6565" xr:uid="{00000000-0005-0000-0000-00004D1B0000}"/>
    <cellStyle name="40% - Ênfase4 6 37" xfId="6566" xr:uid="{00000000-0005-0000-0000-00004E1B0000}"/>
    <cellStyle name="40% - Ênfase4 6 4" xfId="6567" xr:uid="{00000000-0005-0000-0000-00004F1B0000}"/>
    <cellStyle name="40% - Ênfase4 6 4 2" xfId="6568" xr:uid="{00000000-0005-0000-0000-0000501B0000}"/>
    <cellStyle name="40% - Ênfase4 6 4 2 2" xfId="6569" xr:uid="{00000000-0005-0000-0000-0000511B0000}"/>
    <cellStyle name="40% - Ênfase4 6 4 3" xfId="6570" xr:uid="{00000000-0005-0000-0000-0000521B0000}"/>
    <cellStyle name="40% - Ênfase4 6 4 3 2" xfId="6571" xr:uid="{00000000-0005-0000-0000-0000531B0000}"/>
    <cellStyle name="40% - Ênfase4 6 4 4" xfId="6572" xr:uid="{00000000-0005-0000-0000-0000541B0000}"/>
    <cellStyle name="40% - Ênfase4 6 4 4 2" xfId="6573" xr:uid="{00000000-0005-0000-0000-0000551B0000}"/>
    <cellStyle name="40% - Ênfase4 6 4 5" xfId="6574" xr:uid="{00000000-0005-0000-0000-0000561B0000}"/>
    <cellStyle name="40% - Ênfase4 6 4 5 2" xfId="6575" xr:uid="{00000000-0005-0000-0000-0000571B0000}"/>
    <cellStyle name="40% - Ênfase4 6 4 6" xfId="6576" xr:uid="{00000000-0005-0000-0000-0000581B0000}"/>
    <cellStyle name="40% - Ênfase4 6 5" xfId="6577" xr:uid="{00000000-0005-0000-0000-0000591B0000}"/>
    <cellStyle name="40% - Ênfase4 6 5 2" xfId="6578" xr:uid="{00000000-0005-0000-0000-00005A1B0000}"/>
    <cellStyle name="40% - Ênfase4 6 6" xfId="6579" xr:uid="{00000000-0005-0000-0000-00005B1B0000}"/>
    <cellStyle name="40% - Ênfase4 6 6 2" xfId="6580" xr:uid="{00000000-0005-0000-0000-00005C1B0000}"/>
    <cellStyle name="40% - Ênfase4 6 7" xfId="6581" xr:uid="{00000000-0005-0000-0000-00005D1B0000}"/>
    <cellStyle name="40% - Ênfase4 6 7 2" xfId="6582" xr:uid="{00000000-0005-0000-0000-00005E1B0000}"/>
    <cellStyle name="40% - Ênfase4 6 8" xfId="6583" xr:uid="{00000000-0005-0000-0000-00005F1B0000}"/>
    <cellStyle name="40% - Ênfase4 6 8 2" xfId="6584" xr:uid="{00000000-0005-0000-0000-0000601B0000}"/>
    <cellStyle name="40% - Ênfase4 6 9" xfId="6585" xr:uid="{00000000-0005-0000-0000-0000611B0000}"/>
    <cellStyle name="40% - Ênfase4 6 9 2" xfId="6586" xr:uid="{00000000-0005-0000-0000-0000621B0000}"/>
    <cellStyle name="40% - Ênfase4 7" xfId="6587" xr:uid="{00000000-0005-0000-0000-0000631B0000}"/>
    <cellStyle name="40% - Ênfase4 7 10" xfId="6588" xr:uid="{00000000-0005-0000-0000-0000641B0000}"/>
    <cellStyle name="40% - Ênfase4 7 10 2" xfId="6589" xr:uid="{00000000-0005-0000-0000-0000651B0000}"/>
    <cellStyle name="40% - Ênfase4 7 11" xfId="6590" xr:uid="{00000000-0005-0000-0000-0000661B0000}"/>
    <cellStyle name="40% - Ênfase4 7 11 2" xfId="6591" xr:uid="{00000000-0005-0000-0000-0000671B0000}"/>
    <cellStyle name="40% - Ênfase4 7 12" xfId="6592" xr:uid="{00000000-0005-0000-0000-0000681B0000}"/>
    <cellStyle name="40% - Ênfase4 7 12 2" xfId="6593" xr:uid="{00000000-0005-0000-0000-0000691B0000}"/>
    <cellStyle name="40% - Ênfase4 7 13" xfId="6594" xr:uid="{00000000-0005-0000-0000-00006A1B0000}"/>
    <cellStyle name="40% - Ênfase4 7 13 2" xfId="6595" xr:uid="{00000000-0005-0000-0000-00006B1B0000}"/>
    <cellStyle name="40% - Ênfase4 7 14" xfId="6596" xr:uid="{00000000-0005-0000-0000-00006C1B0000}"/>
    <cellStyle name="40% - Ênfase4 7 14 2" xfId="6597" xr:uid="{00000000-0005-0000-0000-00006D1B0000}"/>
    <cellStyle name="40% - Ênfase4 7 15" xfId="6598" xr:uid="{00000000-0005-0000-0000-00006E1B0000}"/>
    <cellStyle name="40% - Ênfase4 7 15 2" xfId="6599" xr:uid="{00000000-0005-0000-0000-00006F1B0000}"/>
    <cellStyle name="40% - Ênfase4 7 16" xfId="6600" xr:uid="{00000000-0005-0000-0000-0000701B0000}"/>
    <cellStyle name="40% - Ênfase4 7 16 2" xfId="6601" xr:uid="{00000000-0005-0000-0000-0000711B0000}"/>
    <cellStyle name="40% - Ênfase4 7 17" xfId="6602" xr:uid="{00000000-0005-0000-0000-0000721B0000}"/>
    <cellStyle name="40% - Ênfase4 7 17 2" xfId="6603" xr:uid="{00000000-0005-0000-0000-0000731B0000}"/>
    <cellStyle name="40% - Ênfase4 7 18" xfId="6604" xr:uid="{00000000-0005-0000-0000-0000741B0000}"/>
    <cellStyle name="40% - Ênfase4 7 18 2" xfId="6605" xr:uid="{00000000-0005-0000-0000-0000751B0000}"/>
    <cellStyle name="40% - Ênfase4 7 19" xfId="6606" xr:uid="{00000000-0005-0000-0000-0000761B0000}"/>
    <cellStyle name="40% - Ênfase4 7 19 2" xfId="6607" xr:uid="{00000000-0005-0000-0000-0000771B0000}"/>
    <cellStyle name="40% - Ênfase4 7 2" xfId="6608" xr:uid="{00000000-0005-0000-0000-0000781B0000}"/>
    <cellStyle name="40% - Ênfase4 7 2 2" xfId="6609" xr:uid="{00000000-0005-0000-0000-0000791B0000}"/>
    <cellStyle name="40% - Ênfase4 7 2 2 2" xfId="6610" xr:uid="{00000000-0005-0000-0000-00007A1B0000}"/>
    <cellStyle name="40% - Ênfase4 7 2 2 2 2" xfId="26924" xr:uid="{00000000-0005-0000-0000-00007B1B0000}"/>
    <cellStyle name="40% - Ênfase4 7 2 2 3" xfId="26923" xr:uid="{00000000-0005-0000-0000-00007C1B0000}"/>
    <cellStyle name="40% - Ênfase4 7 2 3" xfId="6611" xr:uid="{00000000-0005-0000-0000-00007D1B0000}"/>
    <cellStyle name="40% - Ênfase4 7 2 3 2" xfId="6612" xr:uid="{00000000-0005-0000-0000-00007E1B0000}"/>
    <cellStyle name="40% - Ênfase4 7 2 4" xfId="6613" xr:uid="{00000000-0005-0000-0000-00007F1B0000}"/>
    <cellStyle name="40% - Ênfase4 7 2 4 2" xfId="6614" xr:uid="{00000000-0005-0000-0000-0000801B0000}"/>
    <cellStyle name="40% - Ênfase4 7 2 5" xfId="6615" xr:uid="{00000000-0005-0000-0000-0000811B0000}"/>
    <cellStyle name="40% - Ênfase4 7 2 5 2" xfId="6616" xr:uid="{00000000-0005-0000-0000-0000821B0000}"/>
    <cellStyle name="40% - Ênfase4 7 2 6" xfId="6617" xr:uid="{00000000-0005-0000-0000-0000831B0000}"/>
    <cellStyle name="40% - Ênfase4 7 20" xfId="6618" xr:uid="{00000000-0005-0000-0000-0000841B0000}"/>
    <cellStyle name="40% - Ênfase4 7 20 2" xfId="6619" xr:uid="{00000000-0005-0000-0000-0000851B0000}"/>
    <cellStyle name="40% - Ênfase4 7 21" xfId="6620" xr:uid="{00000000-0005-0000-0000-0000861B0000}"/>
    <cellStyle name="40% - Ênfase4 7 21 2" xfId="6621" xr:uid="{00000000-0005-0000-0000-0000871B0000}"/>
    <cellStyle name="40% - Ênfase4 7 22" xfId="6622" xr:uid="{00000000-0005-0000-0000-0000881B0000}"/>
    <cellStyle name="40% - Ênfase4 7 22 2" xfId="6623" xr:uid="{00000000-0005-0000-0000-0000891B0000}"/>
    <cellStyle name="40% - Ênfase4 7 23" xfId="6624" xr:uid="{00000000-0005-0000-0000-00008A1B0000}"/>
    <cellStyle name="40% - Ênfase4 7 23 2" xfId="6625" xr:uid="{00000000-0005-0000-0000-00008B1B0000}"/>
    <cellStyle name="40% - Ênfase4 7 24" xfId="6626" xr:uid="{00000000-0005-0000-0000-00008C1B0000}"/>
    <cellStyle name="40% - Ênfase4 7 24 2" xfId="6627" xr:uid="{00000000-0005-0000-0000-00008D1B0000}"/>
    <cellStyle name="40% - Ênfase4 7 25" xfId="6628" xr:uid="{00000000-0005-0000-0000-00008E1B0000}"/>
    <cellStyle name="40% - Ênfase4 7 25 2" xfId="6629" xr:uid="{00000000-0005-0000-0000-00008F1B0000}"/>
    <cellStyle name="40% - Ênfase4 7 26" xfId="6630" xr:uid="{00000000-0005-0000-0000-0000901B0000}"/>
    <cellStyle name="40% - Ênfase4 7 26 2" xfId="6631" xr:uid="{00000000-0005-0000-0000-0000911B0000}"/>
    <cellStyle name="40% - Ênfase4 7 27" xfId="6632" xr:uid="{00000000-0005-0000-0000-0000921B0000}"/>
    <cellStyle name="40% - Ênfase4 7 27 2" xfId="6633" xr:uid="{00000000-0005-0000-0000-0000931B0000}"/>
    <cellStyle name="40% - Ênfase4 7 28" xfId="6634" xr:uid="{00000000-0005-0000-0000-0000941B0000}"/>
    <cellStyle name="40% - Ênfase4 7 28 2" xfId="6635" xr:uid="{00000000-0005-0000-0000-0000951B0000}"/>
    <cellStyle name="40% - Ênfase4 7 29" xfId="6636" xr:uid="{00000000-0005-0000-0000-0000961B0000}"/>
    <cellStyle name="40% - Ênfase4 7 29 2" xfId="6637" xr:uid="{00000000-0005-0000-0000-0000971B0000}"/>
    <cellStyle name="40% - Ênfase4 7 3" xfId="6638" xr:uid="{00000000-0005-0000-0000-0000981B0000}"/>
    <cellStyle name="40% - Ênfase4 7 3 2" xfId="6639" xr:uid="{00000000-0005-0000-0000-0000991B0000}"/>
    <cellStyle name="40% - Ênfase4 7 3 2 2" xfId="6640" xr:uid="{00000000-0005-0000-0000-00009A1B0000}"/>
    <cellStyle name="40% - Ênfase4 7 3 3" xfId="6641" xr:uid="{00000000-0005-0000-0000-00009B1B0000}"/>
    <cellStyle name="40% - Ênfase4 7 3 3 2" xfId="6642" xr:uid="{00000000-0005-0000-0000-00009C1B0000}"/>
    <cellStyle name="40% - Ênfase4 7 3 4" xfId="6643" xr:uid="{00000000-0005-0000-0000-00009D1B0000}"/>
    <cellStyle name="40% - Ênfase4 7 3 4 2" xfId="6644" xr:uid="{00000000-0005-0000-0000-00009E1B0000}"/>
    <cellStyle name="40% - Ênfase4 7 3 5" xfId="6645" xr:uid="{00000000-0005-0000-0000-00009F1B0000}"/>
    <cellStyle name="40% - Ênfase4 7 3 5 2" xfId="6646" xr:uid="{00000000-0005-0000-0000-0000A01B0000}"/>
    <cellStyle name="40% - Ênfase4 7 3 6" xfId="6647" xr:uid="{00000000-0005-0000-0000-0000A11B0000}"/>
    <cellStyle name="40% - Ênfase4 7 30" xfId="6648" xr:uid="{00000000-0005-0000-0000-0000A21B0000}"/>
    <cellStyle name="40% - Ênfase4 7 30 2" xfId="6649" xr:uid="{00000000-0005-0000-0000-0000A31B0000}"/>
    <cellStyle name="40% - Ênfase4 7 31" xfId="6650" xr:uid="{00000000-0005-0000-0000-0000A41B0000}"/>
    <cellStyle name="40% - Ênfase4 7 31 2" xfId="6651" xr:uid="{00000000-0005-0000-0000-0000A51B0000}"/>
    <cellStyle name="40% - Ênfase4 7 32" xfId="6652" xr:uid="{00000000-0005-0000-0000-0000A61B0000}"/>
    <cellStyle name="40% - Ênfase4 7 32 2" xfId="6653" xr:uid="{00000000-0005-0000-0000-0000A71B0000}"/>
    <cellStyle name="40% - Ênfase4 7 33" xfId="6654" xr:uid="{00000000-0005-0000-0000-0000A81B0000}"/>
    <cellStyle name="40% - Ênfase4 7 33 2" xfId="6655" xr:uid="{00000000-0005-0000-0000-0000A91B0000}"/>
    <cellStyle name="40% - Ênfase4 7 34" xfId="6656" xr:uid="{00000000-0005-0000-0000-0000AA1B0000}"/>
    <cellStyle name="40% - Ênfase4 7 34 2" xfId="6657" xr:uid="{00000000-0005-0000-0000-0000AB1B0000}"/>
    <cellStyle name="40% - Ênfase4 7 35" xfId="6658" xr:uid="{00000000-0005-0000-0000-0000AC1B0000}"/>
    <cellStyle name="40% - Ênfase4 7 35 2" xfId="6659" xr:uid="{00000000-0005-0000-0000-0000AD1B0000}"/>
    <cellStyle name="40% - Ênfase4 7 36" xfId="6660" xr:uid="{00000000-0005-0000-0000-0000AE1B0000}"/>
    <cellStyle name="40% - Ênfase4 7 36 2" xfId="6661" xr:uid="{00000000-0005-0000-0000-0000AF1B0000}"/>
    <cellStyle name="40% - Ênfase4 7 37" xfId="6662" xr:uid="{00000000-0005-0000-0000-0000B01B0000}"/>
    <cellStyle name="40% - Ênfase4 7 4" xfId="6663" xr:uid="{00000000-0005-0000-0000-0000B11B0000}"/>
    <cellStyle name="40% - Ênfase4 7 4 2" xfId="6664" xr:uid="{00000000-0005-0000-0000-0000B21B0000}"/>
    <cellStyle name="40% - Ênfase4 7 4 2 2" xfId="6665" xr:uid="{00000000-0005-0000-0000-0000B31B0000}"/>
    <cellStyle name="40% - Ênfase4 7 4 3" xfId="6666" xr:uid="{00000000-0005-0000-0000-0000B41B0000}"/>
    <cellStyle name="40% - Ênfase4 7 4 3 2" xfId="6667" xr:uid="{00000000-0005-0000-0000-0000B51B0000}"/>
    <cellStyle name="40% - Ênfase4 7 4 4" xfId="6668" xr:uid="{00000000-0005-0000-0000-0000B61B0000}"/>
    <cellStyle name="40% - Ênfase4 7 4 4 2" xfId="6669" xr:uid="{00000000-0005-0000-0000-0000B71B0000}"/>
    <cellStyle name="40% - Ênfase4 7 4 5" xfId="6670" xr:uid="{00000000-0005-0000-0000-0000B81B0000}"/>
    <cellStyle name="40% - Ênfase4 7 4 5 2" xfId="6671" xr:uid="{00000000-0005-0000-0000-0000B91B0000}"/>
    <cellStyle name="40% - Ênfase4 7 4 6" xfId="6672" xr:uid="{00000000-0005-0000-0000-0000BA1B0000}"/>
    <cellStyle name="40% - Ênfase4 7 5" xfId="6673" xr:uid="{00000000-0005-0000-0000-0000BB1B0000}"/>
    <cellStyle name="40% - Ênfase4 7 5 2" xfId="6674" xr:uid="{00000000-0005-0000-0000-0000BC1B0000}"/>
    <cellStyle name="40% - Ênfase4 7 6" xfId="6675" xr:uid="{00000000-0005-0000-0000-0000BD1B0000}"/>
    <cellStyle name="40% - Ênfase4 7 6 2" xfId="6676" xr:uid="{00000000-0005-0000-0000-0000BE1B0000}"/>
    <cellStyle name="40% - Ênfase4 7 7" xfId="6677" xr:uid="{00000000-0005-0000-0000-0000BF1B0000}"/>
    <cellStyle name="40% - Ênfase4 7 7 2" xfId="6678" xr:uid="{00000000-0005-0000-0000-0000C01B0000}"/>
    <cellStyle name="40% - Ênfase4 7 8" xfId="6679" xr:uid="{00000000-0005-0000-0000-0000C11B0000}"/>
    <cellStyle name="40% - Ênfase4 7 8 2" xfId="6680" xr:uid="{00000000-0005-0000-0000-0000C21B0000}"/>
    <cellStyle name="40% - Ênfase4 7 9" xfId="6681" xr:uid="{00000000-0005-0000-0000-0000C31B0000}"/>
    <cellStyle name="40% - Ênfase4 7 9 2" xfId="6682" xr:uid="{00000000-0005-0000-0000-0000C41B0000}"/>
    <cellStyle name="40% - Ênfase4 8" xfId="6683" xr:uid="{00000000-0005-0000-0000-0000C51B0000}"/>
    <cellStyle name="40% - Ênfase4 8 10" xfId="6684" xr:uid="{00000000-0005-0000-0000-0000C61B0000}"/>
    <cellStyle name="40% - Ênfase4 8 10 2" xfId="6685" xr:uid="{00000000-0005-0000-0000-0000C71B0000}"/>
    <cellStyle name="40% - Ênfase4 8 2" xfId="6686" xr:uid="{00000000-0005-0000-0000-0000C81B0000}"/>
    <cellStyle name="40% - Ênfase4 8 2 2" xfId="6687" xr:uid="{00000000-0005-0000-0000-0000C91B0000}"/>
    <cellStyle name="40% - Ênfase4 8 2 2 2" xfId="25608" xr:uid="{00000000-0005-0000-0000-0000CA1B0000}"/>
    <cellStyle name="40% - Ênfase4 8 2 2 2 2" xfId="26927" xr:uid="{00000000-0005-0000-0000-0000CB1B0000}"/>
    <cellStyle name="40% - Ênfase4 8 2 2 3" xfId="26926" xr:uid="{00000000-0005-0000-0000-0000CC1B0000}"/>
    <cellStyle name="40% - Ênfase4 8 2 3" xfId="25609" xr:uid="{00000000-0005-0000-0000-0000CD1B0000}"/>
    <cellStyle name="40% - Ênfase4 8 2 3 2" xfId="26928" xr:uid="{00000000-0005-0000-0000-0000CE1B0000}"/>
    <cellStyle name="40% - Ênfase4 8 2 4" xfId="26925" xr:uid="{00000000-0005-0000-0000-0000CF1B0000}"/>
    <cellStyle name="40% - Ênfase4 8 3" xfId="6688" xr:uid="{00000000-0005-0000-0000-0000D01B0000}"/>
    <cellStyle name="40% - Ênfase4 8 3 2" xfId="6689" xr:uid="{00000000-0005-0000-0000-0000D11B0000}"/>
    <cellStyle name="40% - Ênfase4 8 3 2 2" xfId="26930" xr:uid="{00000000-0005-0000-0000-0000D21B0000}"/>
    <cellStyle name="40% - Ênfase4 8 3 3" xfId="26929" xr:uid="{00000000-0005-0000-0000-0000D31B0000}"/>
    <cellStyle name="40% - Ênfase4 8 4" xfId="6690" xr:uid="{00000000-0005-0000-0000-0000D41B0000}"/>
    <cellStyle name="40% - Ênfase4 8 4 2" xfId="6691" xr:uid="{00000000-0005-0000-0000-0000D51B0000}"/>
    <cellStyle name="40% - Ênfase4 8 5" xfId="6692" xr:uid="{00000000-0005-0000-0000-0000D61B0000}"/>
    <cellStyle name="40% - Ênfase4 8 5 2" xfId="6693" xr:uid="{00000000-0005-0000-0000-0000D71B0000}"/>
    <cellStyle name="40% - Ênfase4 8 6" xfId="6694" xr:uid="{00000000-0005-0000-0000-0000D81B0000}"/>
    <cellStyle name="40% - Ênfase4 8 6 2" xfId="6695" xr:uid="{00000000-0005-0000-0000-0000D91B0000}"/>
    <cellStyle name="40% - Ênfase4 8 7" xfId="6696" xr:uid="{00000000-0005-0000-0000-0000DA1B0000}"/>
    <cellStyle name="40% - Ênfase4 8 7 2" xfId="6697" xr:uid="{00000000-0005-0000-0000-0000DB1B0000}"/>
    <cellStyle name="40% - Ênfase4 8 8" xfId="6698" xr:uid="{00000000-0005-0000-0000-0000DC1B0000}"/>
    <cellStyle name="40% - Ênfase4 8 8 2" xfId="6699" xr:uid="{00000000-0005-0000-0000-0000DD1B0000}"/>
    <cellStyle name="40% - Ênfase4 8 9" xfId="6700" xr:uid="{00000000-0005-0000-0000-0000DE1B0000}"/>
    <cellStyle name="40% - Ênfase4 8 9 2" xfId="6701" xr:uid="{00000000-0005-0000-0000-0000DF1B0000}"/>
    <cellStyle name="40% - Ênfase4 9" xfId="6702" xr:uid="{00000000-0005-0000-0000-0000E01B0000}"/>
    <cellStyle name="40% - Ênfase4 9 10" xfId="6703" xr:uid="{00000000-0005-0000-0000-0000E11B0000}"/>
    <cellStyle name="40% - Ênfase4 9 10 2" xfId="6704" xr:uid="{00000000-0005-0000-0000-0000E21B0000}"/>
    <cellStyle name="40% - Ênfase4 9 11" xfId="6705" xr:uid="{00000000-0005-0000-0000-0000E31B0000}"/>
    <cellStyle name="40% - Ênfase4 9 12" xfId="6706" xr:uid="{00000000-0005-0000-0000-0000E41B0000}"/>
    <cellStyle name="40% - Ênfase4 9 2" xfId="6707" xr:uid="{00000000-0005-0000-0000-0000E51B0000}"/>
    <cellStyle name="40% - Ênfase4 9 2 2" xfId="6708" xr:uid="{00000000-0005-0000-0000-0000E61B0000}"/>
    <cellStyle name="40% - Ênfase4 9 2 2 2" xfId="26932" xr:uid="{00000000-0005-0000-0000-0000E71B0000}"/>
    <cellStyle name="40% - Ênfase4 9 2 3" xfId="26931" xr:uid="{00000000-0005-0000-0000-0000E81B0000}"/>
    <cellStyle name="40% - Ênfase4 9 3" xfId="6709" xr:uid="{00000000-0005-0000-0000-0000E91B0000}"/>
    <cellStyle name="40% - Ênfase4 9 3 2" xfId="6710" xr:uid="{00000000-0005-0000-0000-0000EA1B0000}"/>
    <cellStyle name="40% - Ênfase4 9 4" xfId="6711" xr:uid="{00000000-0005-0000-0000-0000EB1B0000}"/>
    <cellStyle name="40% - Ênfase4 9 4 2" xfId="6712" xr:uid="{00000000-0005-0000-0000-0000EC1B0000}"/>
    <cellStyle name="40% - Ênfase4 9 5" xfId="6713" xr:uid="{00000000-0005-0000-0000-0000ED1B0000}"/>
    <cellStyle name="40% - Ênfase4 9 5 2" xfId="6714" xr:uid="{00000000-0005-0000-0000-0000EE1B0000}"/>
    <cellStyle name="40% - Ênfase4 9 6" xfId="6715" xr:uid="{00000000-0005-0000-0000-0000EF1B0000}"/>
    <cellStyle name="40% - Ênfase4 9 6 2" xfId="6716" xr:uid="{00000000-0005-0000-0000-0000F01B0000}"/>
    <cellStyle name="40% - Ênfase4 9 7" xfId="6717" xr:uid="{00000000-0005-0000-0000-0000F11B0000}"/>
    <cellStyle name="40% - Ênfase4 9 7 2" xfId="6718" xr:uid="{00000000-0005-0000-0000-0000F21B0000}"/>
    <cellStyle name="40% - Ênfase4 9 8" xfId="6719" xr:uid="{00000000-0005-0000-0000-0000F31B0000}"/>
    <cellStyle name="40% - Ênfase4 9 8 2" xfId="6720" xr:uid="{00000000-0005-0000-0000-0000F41B0000}"/>
    <cellStyle name="40% - Ênfase4 9 9" xfId="6721" xr:uid="{00000000-0005-0000-0000-0000F51B0000}"/>
    <cellStyle name="40% - Ênfase4 9 9 2" xfId="6722" xr:uid="{00000000-0005-0000-0000-0000F61B0000}"/>
    <cellStyle name="40% - Ênfase5" xfId="37" builtinId="47" customBuiltin="1"/>
    <cellStyle name="40% - Ênfase5 10" xfId="6723" xr:uid="{00000000-0005-0000-0000-0000F81B0000}"/>
    <cellStyle name="40% - Ênfase5 10 2" xfId="6724" xr:uid="{00000000-0005-0000-0000-0000F91B0000}"/>
    <cellStyle name="40% - Ênfase5 10 2 2" xfId="6725" xr:uid="{00000000-0005-0000-0000-0000FA1B0000}"/>
    <cellStyle name="40% - Ênfase5 10 2 2 2" xfId="26934" xr:uid="{00000000-0005-0000-0000-0000FB1B0000}"/>
    <cellStyle name="40% - Ênfase5 10 2 3" xfId="26933" xr:uid="{00000000-0005-0000-0000-0000FC1B0000}"/>
    <cellStyle name="40% - Ênfase5 10 3" xfId="6726" xr:uid="{00000000-0005-0000-0000-0000FD1B0000}"/>
    <cellStyle name="40% - Ênfase5 10 3 2" xfId="6727" xr:uid="{00000000-0005-0000-0000-0000FE1B0000}"/>
    <cellStyle name="40% - Ênfase5 10 4" xfId="6728" xr:uid="{00000000-0005-0000-0000-0000FF1B0000}"/>
    <cellStyle name="40% - Ênfase5 10 4 2" xfId="6729" xr:uid="{00000000-0005-0000-0000-0000001C0000}"/>
    <cellStyle name="40% - Ênfase5 10 5" xfId="6730" xr:uid="{00000000-0005-0000-0000-0000011C0000}"/>
    <cellStyle name="40% - Ênfase5 10 5 2" xfId="6731" xr:uid="{00000000-0005-0000-0000-0000021C0000}"/>
    <cellStyle name="40% - Ênfase5 10 6" xfId="6732" xr:uid="{00000000-0005-0000-0000-0000031C0000}"/>
    <cellStyle name="40% - Ênfase5 11" xfId="6733" xr:uid="{00000000-0005-0000-0000-0000041C0000}"/>
    <cellStyle name="40% - Ênfase5 11 2" xfId="6734" xr:uid="{00000000-0005-0000-0000-0000051C0000}"/>
    <cellStyle name="40% - Ênfase5 11 2 2" xfId="6735" xr:uid="{00000000-0005-0000-0000-0000061C0000}"/>
    <cellStyle name="40% - Ênfase5 11 2 3" xfId="26935" xr:uid="{00000000-0005-0000-0000-0000071C0000}"/>
    <cellStyle name="40% - Ênfase5 11 3" xfId="6736" xr:uid="{00000000-0005-0000-0000-0000081C0000}"/>
    <cellStyle name="40% - Ênfase5 11 3 2" xfId="6737" xr:uid="{00000000-0005-0000-0000-0000091C0000}"/>
    <cellStyle name="40% - Ênfase5 11 4" xfId="6738" xr:uid="{00000000-0005-0000-0000-00000A1C0000}"/>
    <cellStyle name="40% - Ênfase5 11 4 2" xfId="6739" xr:uid="{00000000-0005-0000-0000-00000B1C0000}"/>
    <cellStyle name="40% - Ênfase5 11 5" xfId="6740" xr:uid="{00000000-0005-0000-0000-00000C1C0000}"/>
    <cellStyle name="40% - Ênfase5 11 5 2" xfId="6741" xr:uid="{00000000-0005-0000-0000-00000D1C0000}"/>
    <cellStyle name="40% - Ênfase5 11 6" xfId="6742" xr:uid="{00000000-0005-0000-0000-00000E1C0000}"/>
    <cellStyle name="40% - Ênfase5 11 7" xfId="25610" xr:uid="{00000000-0005-0000-0000-00000F1C0000}"/>
    <cellStyle name="40% - Ênfase5 12" xfId="6743" xr:uid="{00000000-0005-0000-0000-0000101C0000}"/>
    <cellStyle name="40% - Ênfase5 12 2" xfId="6744" xr:uid="{00000000-0005-0000-0000-0000111C0000}"/>
    <cellStyle name="40% - Ênfase5 12 2 2" xfId="6745" xr:uid="{00000000-0005-0000-0000-0000121C0000}"/>
    <cellStyle name="40% - Ênfase5 12 2 2 2" xfId="26937" xr:uid="{00000000-0005-0000-0000-0000131C0000}"/>
    <cellStyle name="40% - Ênfase5 12 2 3" xfId="26936" xr:uid="{00000000-0005-0000-0000-0000141C0000}"/>
    <cellStyle name="40% - Ênfase5 12 3" xfId="6746" xr:uid="{00000000-0005-0000-0000-0000151C0000}"/>
    <cellStyle name="40% - Ênfase5 12 3 2" xfId="6747" xr:uid="{00000000-0005-0000-0000-0000161C0000}"/>
    <cellStyle name="40% - Ênfase5 12 4" xfId="6748" xr:uid="{00000000-0005-0000-0000-0000171C0000}"/>
    <cellStyle name="40% - Ênfase5 12 4 2" xfId="6749" xr:uid="{00000000-0005-0000-0000-0000181C0000}"/>
    <cellStyle name="40% - Ênfase5 12 5" xfId="6750" xr:uid="{00000000-0005-0000-0000-0000191C0000}"/>
    <cellStyle name="40% - Ênfase5 12 5 2" xfId="6751" xr:uid="{00000000-0005-0000-0000-00001A1C0000}"/>
    <cellStyle name="40% - Ênfase5 12 6" xfId="6752" xr:uid="{00000000-0005-0000-0000-00001B1C0000}"/>
    <cellStyle name="40% - Ênfase5 13" xfId="6753" xr:uid="{00000000-0005-0000-0000-00001C1C0000}"/>
    <cellStyle name="40% - Ênfase5 13 2" xfId="6754" xr:uid="{00000000-0005-0000-0000-00001D1C0000}"/>
    <cellStyle name="40% - Ênfase5 14" xfId="6755" xr:uid="{00000000-0005-0000-0000-00001E1C0000}"/>
    <cellStyle name="40% - Ênfase5 14 2" xfId="6756" xr:uid="{00000000-0005-0000-0000-00001F1C0000}"/>
    <cellStyle name="40% - Ênfase5 15" xfId="6757" xr:uid="{00000000-0005-0000-0000-0000201C0000}"/>
    <cellStyle name="40% - Ênfase5 15 2" xfId="6758" xr:uid="{00000000-0005-0000-0000-0000211C0000}"/>
    <cellStyle name="40% - Ênfase5 16" xfId="6759" xr:uid="{00000000-0005-0000-0000-0000221C0000}"/>
    <cellStyle name="40% - Ênfase5 16 2" xfId="6760" xr:uid="{00000000-0005-0000-0000-0000231C0000}"/>
    <cellStyle name="40% - Ênfase5 17" xfId="6761" xr:uid="{00000000-0005-0000-0000-0000241C0000}"/>
    <cellStyle name="40% - Ênfase5 17 2" xfId="6762" xr:uid="{00000000-0005-0000-0000-0000251C0000}"/>
    <cellStyle name="40% - Ênfase5 18" xfId="6763" xr:uid="{00000000-0005-0000-0000-0000261C0000}"/>
    <cellStyle name="40% - Ênfase5 18 2" xfId="6764" xr:uid="{00000000-0005-0000-0000-0000271C0000}"/>
    <cellStyle name="40% - Ênfase5 19" xfId="6765" xr:uid="{00000000-0005-0000-0000-0000281C0000}"/>
    <cellStyle name="40% - Ênfase5 19 2" xfId="6766" xr:uid="{00000000-0005-0000-0000-0000291C0000}"/>
    <cellStyle name="40% - Ênfase5 2" xfId="6767" xr:uid="{00000000-0005-0000-0000-00002A1C0000}"/>
    <cellStyle name="40% - Ênfase5 2 2" xfId="6768" xr:uid="{00000000-0005-0000-0000-00002B1C0000}"/>
    <cellStyle name="40% - Ênfase5 2 2 10" xfId="6769" xr:uid="{00000000-0005-0000-0000-00002C1C0000}"/>
    <cellStyle name="40% - Ênfase5 2 2 10 2" xfId="6770" xr:uid="{00000000-0005-0000-0000-00002D1C0000}"/>
    <cellStyle name="40% - Ênfase5 2 2 11" xfId="6771" xr:uid="{00000000-0005-0000-0000-00002E1C0000}"/>
    <cellStyle name="40% - Ênfase5 2 2 11 2" xfId="6772" xr:uid="{00000000-0005-0000-0000-00002F1C0000}"/>
    <cellStyle name="40% - Ênfase5 2 2 12" xfId="6773" xr:uid="{00000000-0005-0000-0000-0000301C0000}"/>
    <cellStyle name="40% - Ênfase5 2 2 12 2" xfId="6774" xr:uid="{00000000-0005-0000-0000-0000311C0000}"/>
    <cellStyle name="40% - Ênfase5 2 2 2" xfId="6775" xr:uid="{00000000-0005-0000-0000-0000321C0000}"/>
    <cellStyle name="40% - Ênfase5 2 2 2 10" xfId="6776" xr:uid="{00000000-0005-0000-0000-0000331C0000}"/>
    <cellStyle name="40% - Ênfase5 2 2 2 11" xfId="6777" xr:uid="{00000000-0005-0000-0000-0000341C0000}"/>
    <cellStyle name="40% - Ênfase5 2 2 2 2" xfId="6778" xr:uid="{00000000-0005-0000-0000-0000351C0000}"/>
    <cellStyle name="40% - Ênfase5 2 2 2 2 2" xfId="25612" xr:uid="{00000000-0005-0000-0000-0000361C0000}"/>
    <cellStyle name="40% - Ênfase5 2 2 2 2 2 2" xfId="26942" xr:uid="{00000000-0005-0000-0000-0000371C0000}"/>
    <cellStyle name="40% - Ênfase5 2 2 2 2 3" xfId="26941" xr:uid="{00000000-0005-0000-0000-0000381C0000}"/>
    <cellStyle name="40% - Ênfase5 2 2 2 2 4" xfId="25611" xr:uid="{00000000-0005-0000-0000-0000391C0000}"/>
    <cellStyle name="40% - Ênfase5 2 2 2 3" xfId="6779" xr:uid="{00000000-0005-0000-0000-00003A1C0000}"/>
    <cellStyle name="40% - Ênfase5 2 2 2 3 2" xfId="26943" xr:uid="{00000000-0005-0000-0000-00003B1C0000}"/>
    <cellStyle name="40% - Ênfase5 2 2 2 3 3" xfId="25613" xr:uid="{00000000-0005-0000-0000-00003C1C0000}"/>
    <cellStyle name="40% - Ênfase5 2 2 2 4" xfId="6780" xr:uid="{00000000-0005-0000-0000-00003D1C0000}"/>
    <cellStyle name="40% - Ênfase5 2 2 2 4 2" xfId="26940" xr:uid="{00000000-0005-0000-0000-00003E1C0000}"/>
    <cellStyle name="40% - Ênfase5 2 2 2 5" xfId="6781" xr:uid="{00000000-0005-0000-0000-00003F1C0000}"/>
    <cellStyle name="40% - Ênfase5 2 2 2 6" xfId="6782" xr:uid="{00000000-0005-0000-0000-0000401C0000}"/>
    <cellStyle name="40% - Ênfase5 2 2 2 7" xfId="6783" xr:uid="{00000000-0005-0000-0000-0000411C0000}"/>
    <cellStyle name="40% - Ênfase5 2 2 2 8" xfId="6784" xr:uid="{00000000-0005-0000-0000-0000421C0000}"/>
    <cellStyle name="40% - Ênfase5 2 2 2 9" xfId="6785" xr:uid="{00000000-0005-0000-0000-0000431C0000}"/>
    <cellStyle name="40% - Ênfase5 2 2 3" xfId="6786" xr:uid="{00000000-0005-0000-0000-0000441C0000}"/>
    <cellStyle name="40% - Ênfase5 2 2 3 2" xfId="25615" xr:uid="{00000000-0005-0000-0000-0000451C0000}"/>
    <cellStyle name="40% - Ênfase5 2 2 3 2 2" xfId="25616" xr:uid="{00000000-0005-0000-0000-0000461C0000}"/>
    <cellStyle name="40% - Ênfase5 2 2 3 2 2 2" xfId="26946" xr:uid="{00000000-0005-0000-0000-0000471C0000}"/>
    <cellStyle name="40% - Ênfase5 2 2 3 2 3" xfId="26945" xr:uid="{00000000-0005-0000-0000-0000481C0000}"/>
    <cellStyle name="40% - Ênfase5 2 2 3 3" xfId="25617" xr:uid="{00000000-0005-0000-0000-0000491C0000}"/>
    <cellStyle name="40% - Ênfase5 2 2 3 3 2" xfId="26947" xr:uid="{00000000-0005-0000-0000-00004A1C0000}"/>
    <cellStyle name="40% - Ênfase5 2 2 3 4" xfId="26944" xr:uid="{00000000-0005-0000-0000-00004B1C0000}"/>
    <cellStyle name="40% - Ênfase5 2 2 3 5" xfId="25614" xr:uid="{00000000-0005-0000-0000-00004C1C0000}"/>
    <cellStyle name="40% - Ênfase5 2 2 4" xfId="6787" xr:uid="{00000000-0005-0000-0000-00004D1C0000}"/>
    <cellStyle name="40% - Ênfase5 2 2 4 2" xfId="26948" xr:uid="{00000000-0005-0000-0000-00004E1C0000}"/>
    <cellStyle name="40% - Ênfase5 2 2 5" xfId="6788" xr:uid="{00000000-0005-0000-0000-00004F1C0000}"/>
    <cellStyle name="40% - Ênfase5 2 2 5 2" xfId="6789" xr:uid="{00000000-0005-0000-0000-0000501C0000}"/>
    <cellStyle name="40% - Ênfase5 2 2 5 3" xfId="26939" xr:uid="{00000000-0005-0000-0000-0000511C0000}"/>
    <cellStyle name="40% - Ênfase5 2 2 6" xfId="6790" xr:uid="{00000000-0005-0000-0000-0000521C0000}"/>
    <cellStyle name="40% - Ênfase5 2 2 6 2" xfId="6791" xr:uid="{00000000-0005-0000-0000-0000531C0000}"/>
    <cellStyle name="40% - Ênfase5 2 2 7" xfId="6792" xr:uid="{00000000-0005-0000-0000-0000541C0000}"/>
    <cellStyle name="40% - Ênfase5 2 2 7 2" xfId="6793" xr:uid="{00000000-0005-0000-0000-0000551C0000}"/>
    <cellStyle name="40% - Ênfase5 2 2 8" xfId="6794" xr:uid="{00000000-0005-0000-0000-0000561C0000}"/>
    <cellStyle name="40% - Ênfase5 2 2 8 2" xfId="6795" xr:uid="{00000000-0005-0000-0000-0000571C0000}"/>
    <cellStyle name="40% - Ênfase5 2 2 9" xfId="6796" xr:uid="{00000000-0005-0000-0000-0000581C0000}"/>
    <cellStyle name="40% - Ênfase5 2 2 9 2" xfId="6797" xr:uid="{00000000-0005-0000-0000-0000591C0000}"/>
    <cellStyle name="40% - Ênfase5 2 3" xfId="6798" xr:uid="{00000000-0005-0000-0000-00005A1C0000}"/>
    <cellStyle name="40% - Ênfase5 2 3 2" xfId="25619" xr:uid="{00000000-0005-0000-0000-00005B1C0000}"/>
    <cellStyle name="40% - Ênfase5 2 3 2 2" xfId="25620" xr:uid="{00000000-0005-0000-0000-00005C1C0000}"/>
    <cellStyle name="40% - Ênfase5 2 3 2 2 2" xfId="26951" xr:uid="{00000000-0005-0000-0000-00005D1C0000}"/>
    <cellStyle name="40% - Ênfase5 2 3 2 3" xfId="26950" xr:uid="{00000000-0005-0000-0000-00005E1C0000}"/>
    <cellStyle name="40% - Ênfase5 2 3 3" xfId="25621" xr:uid="{00000000-0005-0000-0000-00005F1C0000}"/>
    <cellStyle name="40% - Ênfase5 2 3 3 2" xfId="26952" xr:uid="{00000000-0005-0000-0000-0000601C0000}"/>
    <cellStyle name="40% - Ênfase5 2 3 4" xfId="26949" xr:uid="{00000000-0005-0000-0000-0000611C0000}"/>
    <cellStyle name="40% - Ênfase5 2 3 5" xfId="25618" xr:uid="{00000000-0005-0000-0000-0000621C0000}"/>
    <cellStyle name="40% - Ênfase5 2 4" xfId="6799" xr:uid="{00000000-0005-0000-0000-0000631C0000}"/>
    <cellStyle name="40% - Ênfase5 2 4 2" xfId="25623" xr:uid="{00000000-0005-0000-0000-0000641C0000}"/>
    <cellStyle name="40% - Ênfase5 2 4 2 2" xfId="25624" xr:uid="{00000000-0005-0000-0000-0000651C0000}"/>
    <cellStyle name="40% - Ênfase5 2 4 2 2 2" xfId="26955" xr:uid="{00000000-0005-0000-0000-0000661C0000}"/>
    <cellStyle name="40% - Ênfase5 2 4 2 3" xfId="26954" xr:uid="{00000000-0005-0000-0000-0000671C0000}"/>
    <cellStyle name="40% - Ênfase5 2 4 3" xfId="25625" xr:uid="{00000000-0005-0000-0000-0000681C0000}"/>
    <cellStyle name="40% - Ênfase5 2 4 3 2" xfId="26956" xr:uid="{00000000-0005-0000-0000-0000691C0000}"/>
    <cellStyle name="40% - Ênfase5 2 4 4" xfId="26953" xr:uid="{00000000-0005-0000-0000-00006A1C0000}"/>
    <cellStyle name="40% - Ênfase5 2 4 5" xfId="25622" xr:uid="{00000000-0005-0000-0000-00006B1C0000}"/>
    <cellStyle name="40% - Ênfase5 2 5" xfId="6800" xr:uid="{00000000-0005-0000-0000-00006C1C0000}"/>
    <cellStyle name="40% - Ênfase5 2 5 10" xfId="6801" xr:uid="{00000000-0005-0000-0000-00006D1C0000}"/>
    <cellStyle name="40% - Ênfase5 2 5 10 2" xfId="6802" xr:uid="{00000000-0005-0000-0000-00006E1C0000}"/>
    <cellStyle name="40% - Ênfase5 2 5 2" xfId="6803" xr:uid="{00000000-0005-0000-0000-00006F1C0000}"/>
    <cellStyle name="40% - Ênfase5 2 5 2 2" xfId="6804" xr:uid="{00000000-0005-0000-0000-0000701C0000}"/>
    <cellStyle name="40% - Ênfase5 2 5 3" xfId="6805" xr:uid="{00000000-0005-0000-0000-0000711C0000}"/>
    <cellStyle name="40% - Ênfase5 2 5 3 2" xfId="6806" xr:uid="{00000000-0005-0000-0000-0000721C0000}"/>
    <cellStyle name="40% - Ênfase5 2 5 4" xfId="6807" xr:uid="{00000000-0005-0000-0000-0000731C0000}"/>
    <cellStyle name="40% - Ênfase5 2 5 4 2" xfId="6808" xr:uid="{00000000-0005-0000-0000-0000741C0000}"/>
    <cellStyle name="40% - Ênfase5 2 5 5" xfId="6809" xr:uid="{00000000-0005-0000-0000-0000751C0000}"/>
    <cellStyle name="40% - Ênfase5 2 5 5 2" xfId="6810" xr:uid="{00000000-0005-0000-0000-0000761C0000}"/>
    <cellStyle name="40% - Ênfase5 2 5 6" xfId="6811" xr:uid="{00000000-0005-0000-0000-0000771C0000}"/>
    <cellStyle name="40% - Ênfase5 2 5 6 2" xfId="6812" xr:uid="{00000000-0005-0000-0000-0000781C0000}"/>
    <cellStyle name="40% - Ênfase5 2 5 7" xfId="6813" xr:uid="{00000000-0005-0000-0000-0000791C0000}"/>
    <cellStyle name="40% - Ênfase5 2 5 7 2" xfId="6814" xr:uid="{00000000-0005-0000-0000-00007A1C0000}"/>
    <cellStyle name="40% - Ênfase5 2 5 8" xfId="6815" xr:uid="{00000000-0005-0000-0000-00007B1C0000}"/>
    <cellStyle name="40% - Ênfase5 2 5 8 2" xfId="6816" xr:uid="{00000000-0005-0000-0000-00007C1C0000}"/>
    <cellStyle name="40% - Ênfase5 2 5 9" xfId="6817" xr:uid="{00000000-0005-0000-0000-00007D1C0000}"/>
    <cellStyle name="40% - Ênfase5 2 5 9 2" xfId="6818" xr:uid="{00000000-0005-0000-0000-00007E1C0000}"/>
    <cellStyle name="40% - Ênfase5 2 6" xfId="6819" xr:uid="{00000000-0005-0000-0000-00007F1C0000}"/>
    <cellStyle name="40% - Ênfase5 2 6 2" xfId="6820" xr:uid="{00000000-0005-0000-0000-0000801C0000}"/>
    <cellStyle name="40% - Ênfase5 2 6 2 2" xfId="6821" xr:uid="{00000000-0005-0000-0000-0000811C0000}"/>
    <cellStyle name="40% - Ênfase5 2 6 3" xfId="6822" xr:uid="{00000000-0005-0000-0000-0000821C0000}"/>
    <cellStyle name="40% - Ênfase5 2 6 3 2" xfId="6823" xr:uid="{00000000-0005-0000-0000-0000831C0000}"/>
    <cellStyle name="40% - Ênfase5 2 6 4" xfId="6824" xr:uid="{00000000-0005-0000-0000-0000841C0000}"/>
    <cellStyle name="40% - Ênfase5 2 6 4 2" xfId="6825" xr:uid="{00000000-0005-0000-0000-0000851C0000}"/>
    <cellStyle name="40% - Ênfase5 2 6 5" xfId="6826" xr:uid="{00000000-0005-0000-0000-0000861C0000}"/>
    <cellStyle name="40% - Ênfase5 2 6 5 2" xfId="6827" xr:uid="{00000000-0005-0000-0000-0000871C0000}"/>
    <cellStyle name="40% - Ênfase5 2 6 6" xfId="6828" xr:uid="{00000000-0005-0000-0000-0000881C0000}"/>
    <cellStyle name="40% - Ênfase5 2 7" xfId="26938" xr:uid="{00000000-0005-0000-0000-0000891C0000}"/>
    <cellStyle name="40% - Ênfase5 20" xfId="6829" xr:uid="{00000000-0005-0000-0000-00008A1C0000}"/>
    <cellStyle name="40% - Ênfase5 20 2" xfId="6830" xr:uid="{00000000-0005-0000-0000-00008B1C0000}"/>
    <cellStyle name="40% - Ênfase5 21" xfId="6831" xr:uid="{00000000-0005-0000-0000-00008C1C0000}"/>
    <cellStyle name="40% - Ênfase5 21 2" xfId="6832" xr:uid="{00000000-0005-0000-0000-00008D1C0000}"/>
    <cellStyle name="40% - Ênfase5 22" xfId="6833" xr:uid="{00000000-0005-0000-0000-00008E1C0000}"/>
    <cellStyle name="40% - Ênfase5 22 2" xfId="6834" xr:uid="{00000000-0005-0000-0000-00008F1C0000}"/>
    <cellStyle name="40% - Ênfase5 23" xfId="6835" xr:uid="{00000000-0005-0000-0000-0000901C0000}"/>
    <cellStyle name="40% - Ênfase5 23 2" xfId="6836" xr:uid="{00000000-0005-0000-0000-0000911C0000}"/>
    <cellStyle name="40% - Ênfase5 24" xfId="6837" xr:uid="{00000000-0005-0000-0000-0000921C0000}"/>
    <cellStyle name="40% - Ênfase5 24 2" xfId="6838" xr:uid="{00000000-0005-0000-0000-0000931C0000}"/>
    <cellStyle name="40% - Ênfase5 25" xfId="6839" xr:uid="{00000000-0005-0000-0000-0000941C0000}"/>
    <cellStyle name="40% - Ênfase5 25 2" xfId="6840" xr:uid="{00000000-0005-0000-0000-0000951C0000}"/>
    <cellStyle name="40% - Ênfase5 26" xfId="6841" xr:uid="{00000000-0005-0000-0000-0000961C0000}"/>
    <cellStyle name="40% - Ênfase5 26 2" xfId="6842" xr:uid="{00000000-0005-0000-0000-0000971C0000}"/>
    <cellStyle name="40% - Ênfase5 27" xfId="6843" xr:uid="{00000000-0005-0000-0000-0000981C0000}"/>
    <cellStyle name="40% - Ênfase5 27 2" xfId="6844" xr:uid="{00000000-0005-0000-0000-0000991C0000}"/>
    <cellStyle name="40% - Ênfase5 28" xfId="6845" xr:uid="{00000000-0005-0000-0000-00009A1C0000}"/>
    <cellStyle name="40% - Ênfase5 28 2" xfId="6846" xr:uid="{00000000-0005-0000-0000-00009B1C0000}"/>
    <cellStyle name="40% - Ênfase5 29" xfId="6847" xr:uid="{00000000-0005-0000-0000-00009C1C0000}"/>
    <cellStyle name="40% - Ênfase5 29 2" xfId="6848" xr:uid="{00000000-0005-0000-0000-00009D1C0000}"/>
    <cellStyle name="40% - Ênfase5 3" xfId="6849" xr:uid="{00000000-0005-0000-0000-00009E1C0000}"/>
    <cellStyle name="40% - Ênfase5 3 2" xfId="6850" xr:uid="{00000000-0005-0000-0000-00009F1C0000}"/>
    <cellStyle name="40% - Ênfase5 3 2 10" xfId="6851" xr:uid="{00000000-0005-0000-0000-0000A01C0000}"/>
    <cellStyle name="40% - Ênfase5 3 2 10 2" xfId="6852" xr:uid="{00000000-0005-0000-0000-0000A11C0000}"/>
    <cellStyle name="40% - Ênfase5 3 2 11" xfId="6853" xr:uid="{00000000-0005-0000-0000-0000A21C0000}"/>
    <cellStyle name="40% - Ênfase5 3 2 11 2" xfId="6854" xr:uid="{00000000-0005-0000-0000-0000A31C0000}"/>
    <cellStyle name="40% - Ênfase5 3 2 12" xfId="6855" xr:uid="{00000000-0005-0000-0000-0000A41C0000}"/>
    <cellStyle name="40% - Ênfase5 3 2 12 2" xfId="6856" xr:uid="{00000000-0005-0000-0000-0000A51C0000}"/>
    <cellStyle name="40% - Ênfase5 3 2 2" xfId="6857" xr:uid="{00000000-0005-0000-0000-0000A61C0000}"/>
    <cellStyle name="40% - Ênfase5 3 2 2 10" xfId="6858" xr:uid="{00000000-0005-0000-0000-0000A71C0000}"/>
    <cellStyle name="40% - Ênfase5 3 2 2 11" xfId="6859" xr:uid="{00000000-0005-0000-0000-0000A81C0000}"/>
    <cellStyle name="40% - Ênfase5 3 2 2 2" xfId="6860" xr:uid="{00000000-0005-0000-0000-0000A91C0000}"/>
    <cellStyle name="40% - Ênfase5 3 2 2 2 2" xfId="25627" xr:uid="{00000000-0005-0000-0000-0000AA1C0000}"/>
    <cellStyle name="40% - Ênfase5 3 2 2 2 2 2" xfId="26960" xr:uid="{00000000-0005-0000-0000-0000AB1C0000}"/>
    <cellStyle name="40% - Ênfase5 3 2 2 2 3" xfId="26959" xr:uid="{00000000-0005-0000-0000-0000AC1C0000}"/>
    <cellStyle name="40% - Ênfase5 3 2 2 2 4" xfId="25626" xr:uid="{00000000-0005-0000-0000-0000AD1C0000}"/>
    <cellStyle name="40% - Ênfase5 3 2 2 3" xfId="6861" xr:uid="{00000000-0005-0000-0000-0000AE1C0000}"/>
    <cellStyle name="40% - Ênfase5 3 2 2 3 2" xfId="26961" xr:uid="{00000000-0005-0000-0000-0000AF1C0000}"/>
    <cellStyle name="40% - Ênfase5 3 2 2 3 3" xfId="25628" xr:uid="{00000000-0005-0000-0000-0000B01C0000}"/>
    <cellStyle name="40% - Ênfase5 3 2 2 4" xfId="6862" xr:uid="{00000000-0005-0000-0000-0000B11C0000}"/>
    <cellStyle name="40% - Ênfase5 3 2 2 4 2" xfId="26958" xr:uid="{00000000-0005-0000-0000-0000B21C0000}"/>
    <cellStyle name="40% - Ênfase5 3 2 2 5" xfId="6863" xr:uid="{00000000-0005-0000-0000-0000B31C0000}"/>
    <cellStyle name="40% - Ênfase5 3 2 2 6" xfId="6864" xr:uid="{00000000-0005-0000-0000-0000B41C0000}"/>
    <cellStyle name="40% - Ênfase5 3 2 2 7" xfId="6865" xr:uid="{00000000-0005-0000-0000-0000B51C0000}"/>
    <cellStyle name="40% - Ênfase5 3 2 2 8" xfId="6866" xr:uid="{00000000-0005-0000-0000-0000B61C0000}"/>
    <cellStyle name="40% - Ênfase5 3 2 2 9" xfId="6867" xr:uid="{00000000-0005-0000-0000-0000B71C0000}"/>
    <cellStyle name="40% - Ênfase5 3 2 3" xfId="6868" xr:uid="{00000000-0005-0000-0000-0000B81C0000}"/>
    <cellStyle name="40% - Ênfase5 3 2 3 2" xfId="25630" xr:uid="{00000000-0005-0000-0000-0000B91C0000}"/>
    <cellStyle name="40% - Ênfase5 3 2 3 2 2" xfId="26963" xr:uid="{00000000-0005-0000-0000-0000BA1C0000}"/>
    <cellStyle name="40% - Ênfase5 3 2 3 3" xfId="26962" xr:uid="{00000000-0005-0000-0000-0000BB1C0000}"/>
    <cellStyle name="40% - Ênfase5 3 2 3 4" xfId="25629" xr:uid="{00000000-0005-0000-0000-0000BC1C0000}"/>
    <cellStyle name="40% - Ênfase5 3 2 4" xfId="6869" xr:uid="{00000000-0005-0000-0000-0000BD1C0000}"/>
    <cellStyle name="40% - Ênfase5 3 2 4 2" xfId="26964" xr:uid="{00000000-0005-0000-0000-0000BE1C0000}"/>
    <cellStyle name="40% - Ênfase5 3 2 4 3" xfId="25631" xr:uid="{00000000-0005-0000-0000-0000BF1C0000}"/>
    <cellStyle name="40% - Ênfase5 3 2 5" xfId="6870" xr:uid="{00000000-0005-0000-0000-0000C01C0000}"/>
    <cellStyle name="40% - Ênfase5 3 2 5 2" xfId="6871" xr:uid="{00000000-0005-0000-0000-0000C11C0000}"/>
    <cellStyle name="40% - Ênfase5 3 2 6" xfId="6872" xr:uid="{00000000-0005-0000-0000-0000C21C0000}"/>
    <cellStyle name="40% - Ênfase5 3 2 6 2" xfId="6873" xr:uid="{00000000-0005-0000-0000-0000C31C0000}"/>
    <cellStyle name="40% - Ênfase5 3 2 7" xfId="6874" xr:uid="{00000000-0005-0000-0000-0000C41C0000}"/>
    <cellStyle name="40% - Ênfase5 3 2 7 2" xfId="6875" xr:uid="{00000000-0005-0000-0000-0000C51C0000}"/>
    <cellStyle name="40% - Ênfase5 3 2 8" xfId="6876" xr:uid="{00000000-0005-0000-0000-0000C61C0000}"/>
    <cellStyle name="40% - Ênfase5 3 2 8 2" xfId="6877" xr:uid="{00000000-0005-0000-0000-0000C71C0000}"/>
    <cellStyle name="40% - Ênfase5 3 2 9" xfId="6878" xr:uid="{00000000-0005-0000-0000-0000C81C0000}"/>
    <cellStyle name="40% - Ênfase5 3 2 9 2" xfId="6879" xr:uid="{00000000-0005-0000-0000-0000C91C0000}"/>
    <cellStyle name="40% - Ênfase5 3 3" xfId="6880" xr:uid="{00000000-0005-0000-0000-0000CA1C0000}"/>
    <cellStyle name="40% - Ênfase5 3 3 2" xfId="25633" xr:uid="{00000000-0005-0000-0000-0000CB1C0000}"/>
    <cellStyle name="40% - Ênfase5 3 3 2 2" xfId="25634" xr:uid="{00000000-0005-0000-0000-0000CC1C0000}"/>
    <cellStyle name="40% - Ênfase5 3 3 2 2 2" xfId="26967" xr:uid="{00000000-0005-0000-0000-0000CD1C0000}"/>
    <cellStyle name="40% - Ênfase5 3 3 2 3" xfId="26966" xr:uid="{00000000-0005-0000-0000-0000CE1C0000}"/>
    <cellStyle name="40% - Ênfase5 3 3 3" xfId="25635" xr:uid="{00000000-0005-0000-0000-0000CF1C0000}"/>
    <cellStyle name="40% - Ênfase5 3 3 3 2" xfId="26968" xr:uid="{00000000-0005-0000-0000-0000D01C0000}"/>
    <cellStyle name="40% - Ênfase5 3 3 4" xfId="26965" xr:uid="{00000000-0005-0000-0000-0000D11C0000}"/>
    <cellStyle name="40% - Ênfase5 3 3 5" xfId="25632" xr:uid="{00000000-0005-0000-0000-0000D21C0000}"/>
    <cellStyle name="40% - Ênfase5 3 4" xfId="6881" xr:uid="{00000000-0005-0000-0000-0000D31C0000}"/>
    <cellStyle name="40% - Ênfase5 3 4 2" xfId="26969" xr:uid="{00000000-0005-0000-0000-0000D41C0000}"/>
    <cellStyle name="40% - Ênfase5 3 5" xfId="6882" xr:uid="{00000000-0005-0000-0000-0000D51C0000}"/>
    <cellStyle name="40% - Ênfase5 3 5 10" xfId="6883" xr:uid="{00000000-0005-0000-0000-0000D61C0000}"/>
    <cellStyle name="40% - Ênfase5 3 5 10 2" xfId="6884" xr:uid="{00000000-0005-0000-0000-0000D71C0000}"/>
    <cellStyle name="40% - Ênfase5 3 5 2" xfId="6885" xr:uid="{00000000-0005-0000-0000-0000D81C0000}"/>
    <cellStyle name="40% - Ênfase5 3 5 2 2" xfId="6886" xr:uid="{00000000-0005-0000-0000-0000D91C0000}"/>
    <cellStyle name="40% - Ênfase5 3 5 3" xfId="6887" xr:uid="{00000000-0005-0000-0000-0000DA1C0000}"/>
    <cellStyle name="40% - Ênfase5 3 5 3 2" xfId="6888" xr:uid="{00000000-0005-0000-0000-0000DB1C0000}"/>
    <cellStyle name="40% - Ênfase5 3 5 4" xfId="6889" xr:uid="{00000000-0005-0000-0000-0000DC1C0000}"/>
    <cellStyle name="40% - Ênfase5 3 5 4 2" xfId="6890" xr:uid="{00000000-0005-0000-0000-0000DD1C0000}"/>
    <cellStyle name="40% - Ênfase5 3 5 5" xfId="6891" xr:uid="{00000000-0005-0000-0000-0000DE1C0000}"/>
    <cellStyle name="40% - Ênfase5 3 5 5 2" xfId="6892" xr:uid="{00000000-0005-0000-0000-0000DF1C0000}"/>
    <cellStyle name="40% - Ênfase5 3 5 6" xfId="6893" xr:uid="{00000000-0005-0000-0000-0000E01C0000}"/>
    <cellStyle name="40% - Ênfase5 3 5 6 2" xfId="6894" xr:uid="{00000000-0005-0000-0000-0000E11C0000}"/>
    <cellStyle name="40% - Ênfase5 3 5 7" xfId="6895" xr:uid="{00000000-0005-0000-0000-0000E21C0000}"/>
    <cellStyle name="40% - Ênfase5 3 5 7 2" xfId="6896" xr:uid="{00000000-0005-0000-0000-0000E31C0000}"/>
    <cellStyle name="40% - Ênfase5 3 5 8" xfId="6897" xr:uid="{00000000-0005-0000-0000-0000E41C0000}"/>
    <cellStyle name="40% - Ênfase5 3 5 8 2" xfId="6898" xr:uid="{00000000-0005-0000-0000-0000E51C0000}"/>
    <cellStyle name="40% - Ênfase5 3 5 9" xfId="6899" xr:uid="{00000000-0005-0000-0000-0000E61C0000}"/>
    <cellStyle name="40% - Ênfase5 3 5 9 2" xfId="6900" xr:uid="{00000000-0005-0000-0000-0000E71C0000}"/>
    <cellStyle name="40% - Ênfase5 3 6" xfId="6901" xr:uid="{00000000-0005-0000-0000-0000E81C0000}"/>
    <cellStyle name="40% - Ênfase5 3 6 2" xfId="6902" xr:uid="{00000000-0005-0000-0000-0000E91C0000}"/>
    <cellStyle name="40% - Ênfase5 3 6 2 2" xfId="6903" xr:uid="{00000000-0005-0000-0000-0000EA1C0000}"/>
    <cellStyle name="40% - Ênfase5 3 6 3" xfId="6904" xr:uid="{00000000-0005-0000-0000-0000EB1C0000}"/>
    <cellStyle name="40% - Ênfase5 3 6 3 2" xfId="6905" xr:uid="{00000000-0005-0000-0000-0000EC1C0000}"/>
    <cellStyle name="40% - Ênfase5 3 6 4" xfId="6906" xr:uid="{00000000-0005-0000-0000-0000ED1C0000}"/>
    <cellStyle name="40% - Ênfase5 3 6 4 2" xfId="6907" xr:uid="{00000000-0005-0000-0000-0000EE1C0000}"/>
    <cellStyle name="40% - Ênfase5 3 6 5" xfId="6908" xr:uid="{00000000-0005-0000-0000-0000EF1C0000}"/>
    <cellStyle name="40% - Ênfase5 3 6 5 2" xfId="6909" xr:uid="{00000000-0005-0000-0000-0000F01C0000}"/>
    <cellStyle name="40% - Ênfase5 3 6 6" xfId="6910" xr:uid="{00000000-0005-0000-0000-0000F11C0000}"/>
    <cellStyle name="40% - Ênfase5 3 7" xfId="25636" xr:uid="{00000000-0005-0000-0000-0000F21C0000}"/>
    <cellStyle name="40% - Ênfase5 3 7 2" xfId="26970" xr:uid="{00000000-0005-0000-0000-0000F31C0000}"/>
    <cellStyle name="40% - Ênfase5 3 8" xfId="26957" xr:uid="{00000000-0005-0000-0000-0000F41C0000}"/>
    <cellStyle name="40% - Ênfase5 30" xfId="6911" xr:uid="{00000000-0005-0000-0000-0000F51C0000}"/>
    <cellStyle name="40% - Ênfase5 30 2" xfId="6912" xr:uid="{00000000-0005-0000-0000-0000F61C0000}"/>
    <cellStyle name="40% - Ênfase5 31" xfId="6913" xr:uid="{00000000-0005-0000-0000-0000F71C0000}"/>
    <cellStyle name="40% - Ênfase5 31 2" xfId="6914" xr:uid="{00000000-0005-0000-0000-0000F81C0000}"/>
    <cellStyle name="40% - Ênfase5 32" xfId="6915" xr:uid="{00000000-0005-0000-0000-0000F91C0000}"/>
    <cellStyle name="40% - Ênfase5 32 2" xfId="6916" xr:uid="{00000000-0005-0000-0000-0000FA1C0000}"/>
    <cellStyle name="40% - Ênfase5 33" xfId="6917" xr:uid="{00000000-0005-0000-0000-0000FB1C0000}"/>
    <cellStyle name="40% - Ênfase5 33 2" xfId="6918" xr:uid="{00000000-0005-0000-0000-0000FC1C0000}"/>
    <cellStyle name="40% - Ênfase5 34" xfId="6919" xr:uid="{00000000-0005-0000-0000-0000FD1C0000}"/>
    <cellStyle name="40% - Ênfase5 34 2" xfId="6920" xr:uid="{00000000-0005-0000-0000-0000FE1C0000}"/>
    <cellStyle name="40% - Ênfase5 35" xfId="6921" xr:uid="{00000000-0005-0000-0000-0000FF1C0000}"/>
    <cellStyle name="40% - Ênfase5 35 2" xfId="6922" xr:uid="{00000000-0005-0000-0000-0000001D0000}"/>
    <cellStyle name="40% - Ênfase5 36" xfId="6923" xr:uid="{00000000-0005-0000-0000-0000011D0000}"/>
    <cellStyle name="40% - Ênfase5 36 2" xfId="6924" xr:uid="{00000000-0005-0000-0000-0000021D0000}"/>
    <cellStyle name="40% - Ênfase5 37" xfId="6925" xr:uid="{00000000-0005-0000-0000-0000031D0000}"/>
    <cellStyle name="40% - Ênfase5 37 2" xfId="6926" xr:uid="{00000000-0005-0000-0000-0000041D0000}"/>
    <cellStyle name="40% - Ênfase5 38" xfId="6927" xr:uid="{00000000-0005-0000-0000-0000051D0000}"/>
    <cellStyle name="40% - Ênfase5 38 2" xfId="6928" xr:uid="{00000000-0005-0000-0000-0000061D0000}"/>
    <cellStyle name="40% - Ênfase5 39" xfId="6929" xr:uid="{00000000-0005-0000-0000-0000071D0000}"/>
    <cellStyle name="40% - Ênfase5 39 2" xfId="6930" xr:uid="{00000000-0005-0000-0000-0000081D0000}"/>
    <cellStyle name="40% - Ênfase5 4" xfId="6931" xr:uid="{00000000-0005-0000-0000-0000091D0000}"/>
    <cellStyle name="40% - Ênfase5 4 2" xfId="6932" xr:uid="{00000000-0005-0000-0000-00000A1D0000}"/>
    <cellStyle name="40% - Ênfase5 4 2 10" xfId="6933" xr:uid="{00000000-0005-0000-0000-00000B1D0000}"/>
    <cellStyle name="40% - Ênfase5 4 2 10 2" xfId="6934" xr:uid="{00000000-0005-0000-0000-00000C1D0000}"/>
    <cellStyle name="40% - Ênfase5 4 2 11" xfId="6935" xr:uid="{00000000-0005-0000-0000-00000D1D0000}"/>
    <cellStyle name="40% - Ênfase5 4 2 11 2" xfId="6936" xr:uid="{00000000-0005-0000-0000-00000E1D0000}"/>
    <cellStyle name="40% - Ênfase5 4 2 12" xfId="6937" xr:uid="{00000000-0005-0000-0000-00000F1D0000}"/>
    <cellStyle name="40% - Ênfase5 4 2 12 2" xfId="6938" xr:uid="{00000000-0005-0000-0000-0000101D0000}"/>
    <cellStyle name="40% - Ênfase5 4 2 2" xfId="6939" xr:uid="{00000000-0005-0000-0000-0000111D0000}"/>
    <cellStyle name="40% - Ênfase5 4 2 2 10" xfId="6940" xr:uid="{00000000-0005-0000-0000-0000121D0000}"/>
    <cellStyle name="40% - Ênfase5 4 2 2 11" xfId="6941" xr:uid="{00000000-0005-0000-0000-0000131D0000}"/>
    <cellStyle name="40% - Ênfase5 4 2 2 2" xfId="6942" xr:uid="{00000000-0005-0000-0000-0000141D0000}"/>
    <cellStyle name="40% - Ênfase5 4 2 2 2 2" xfId="25638" xr:uid="{00000000-0005-0000-0000-0000151D0000}"/>
    <cellStyle name="40% - Ênfase5 4 2 2 2 2 2" xfId="26974" xr:uid="{00000000-0005-0000-0000-0000161D0000}"/>
    <cellStyle name="40% - Ênfase5 4 2 2 2 3" xfId="26973" xr:uid="{00000000-0005-0000-0000-0000171D0000}"/>
    <cellStyle name="40% - Ênfase5 4 2 2 2 4" xfId="25637" xr:uid="{00000000-0005-0000-0000-0000181D0000}"/>
    <cellStyle name="40% - Ênfase5 4 2 2 3" xfId="6943" xr:uid="{00000000-0005-0000-0000-0000191D0000}"/>
    <cellStyle name="40% - Ênfase5 4 2 2 3 2" xfId="26975" xr:uid="{00000000-0005-0000-0000-00001A1D0000}"/>
    <cellStyle name="40% - Ênfase5 4 2 2 3 3" xfId="25639" xr:uid="{00000000-0005-0000-0000-00001B1D0000}"/>
    <cellStyle name="40% - Ênfase5 4 2 2 4" xfId="6944" xr:uid="{00000000-0005-0000-0000-00001C1D0000}"/>
    <cellStyle name="40% - Ênfase5 4 2 2 4 2" xfId="26972" xr:uid="{00000000-0005-0000-0000-00001D1D0000}"/>
    <cellStyle name="40% - Ênfase5 4 2 2 5" xfId="6945" xr:uid="{00000000-0005-0000-0000-00001E1D0000}"/>
    <cellStyle name="40% - Ênfase5 4 2 2 6" xfId="6946" xr:uid="{00000000-0005-0000-0000-00001F1D0000}"/>
    <cellStyle name="40% - Ênfase5 4 2 2 7" xfId="6947" xr:uid="{00000000-0005-0000-0000-0000201D0000}"/>
    <cellStyle name="40% - Ênfase5 4 2 2 8" xfId="6948" xr:uid="{00000000-0005-0000-0000-0000211D0000}"/>
    <cellStyle name="40% - Ênfase5 4 2 2 9" xfId="6949" xr:uid="{00000000-0005-0000-0000-0000221D0000}"/>
    <cellStyle name="40% - Ênfase5 4 2 3" xfId="6950" xr:uid="{00000000-0005-0000-0000-0000231D0000}"/>
    <cellStyle name="40% - Ênfase5 4 2 3 2" xfId="25641" xr:uid="{00000000-0005-0000-0000-0000241D0000}"/>
    <cellStyle name="40% - Ênfase5 4 2 3 2 2" xfId="26977" xr:uid="{00000000-0005-0000-0000-0000251D0000}"/>
    <cellStyle name="40% - Ênfase5 4 2 3 3" xfId="26976" xr:uid="{00000000-0005-0000-0000-0000261D0000}"/>
    <cellStyle name="40% - Ênfase5 4 2 3 4" xfId="25640" xr:uid="{00000000-0005-0000-0000-0000271D0000}"/>
    <cellStyle name="40% - Ênfase5 4 2 4" xfId="6951" xr:uid="{00000000-0005-0000-0000-0000281D0000}"/>
    <cellStyle name="40% - Ênfase5 4 2 4 2" xfId="26978" xr:uid="{00000000-0005-0000-0000-0000291D0000}"/>
    <cellStyle name="40% - Ênfase5 4 2 4 3" xfId="25642" xr:uid="{00000000-0005-0000-0000-00002A1D0000}"/>
    <cellStyle name="40% - Ênfase5 4 2 5" xfId="6952" xr:uid="{00000000-0005-0000-0000-00002B1D0000}"/>
    <cellStyle name="40% - Ênfase5 4 2 5 2" xfId="6953" xr:uid="{00000000-0005-0000-0000-00002C1D0000}"/>
    <cellStyle name="40% - Ênfase5 4 2 6" xfId="6954" xr:uid="{00000000-0005-0000-0000-00002D1D0000}"/>
    <cellStyle name="40% - Ênfase5 4 2 6 2" xfId="6955" xr:uid="{00000000-0005-0000-0000-00002E1D0000}"/>
    <cellStyle name="40% - Ênfase5 4 2 7" xfId="6956" xr:uid="{00000000-0005-0000-0000-00002F1D0000}"/>
    <cellStyle name="40% - Ênfase5 4 2 7 2" xfId="6957" xr:uid="{00000000-0005-0000-0000-0000301D0000}"/>
    <cellStyle name="40% - Ênfase5 4 2 8" xfId="6958" xr:uid="{00000000-0005-0000-0000-0000311D0000}"/>
    <cellStyle name="40% - Ênfase5 4 2 8 2" xfId="6959" xr:uid="{00000000-0005-0000-0000-0000321D0000}"/>
    <cellStyle name="40% - Ênfase5 4 2 9" xfId="6960" xr:uid="{00000000-0005-0000-0000-0000331D0000}"/>
    <cellStyle name="40% - Ênfase5 4 2 9 2" xfId="6961" xr:uid="{00000000-0005-0000-0000-0000341D0000}"/>
    <cellStyle name="40% - Ênfase5 4 3" xfId="6962" xr:uid="{00000000-0005-0000-0000-0000351D0000}"/>
    <cellStyle name="40% - Ênfase5 4 3 2" xfId="25644" xr:uid="{00000000-0005-0000-0000-0000361D0000}"/>
    <cellStyle name="40% - Ênfase5 4 3 2 2" xfId="25645" xr:uid="{00000000-0005-0000-0000-0000371D0000}"/>
    <cellStyle name="40% - Ênfase5 4 3 2 2 2" xfId="26981" xr:uid="{00000000-0005-0000-0000-0000381D0000}"/>
    <cellStyle name="40% - Ênfase5 4 3 2 3" xfId="26980" xr:uid="{00000000-0005-0000-0000-0000391D0000}"/>
    <cellStyle name="40% - Ênfase5 4 3 3" xfId="25646" xr:uid="{00000000-0005-0000-0000-00003A1D0000}"/>
    <cellStyle name="40% - Ênfase5 4 3 3 2" xfId="26982" xr:uid="{00000000-0005-0000-0000-00003B1D0000}"/>
    <cellStyle name="40% - Ênfase5 4 3 4" xfId="26979" xr:uid="{00000000-0005-0000-0000-00003C1D0000}"/>
    <cellStyle name="40% - Ênfase5 4 3 5" xfId="25643" xr:uid="{00000000-0005-0000-0000-00003D1D0000}"/>
    <cellStyle name="40% - Ênfase5 4 4" xfId="6963" xr:uid="{00000000-0005-0000-0000-00003E1D0000}"/>
    <cellStyle name="40% - Ênfase5 4 4 2" xfId="26983" xr:uid="{00000000-0005-0000-0000-00003F1D0000}"/>
    <cellStyle name="40% - Ênfase5 4 5" xfId="6964" xr:uid="{00000000-0005-0000-0000-0000401D0000}"/>
    <cellStyle name="40% - Ênfase5 4 5 10" xfId="6965" xr:uid="{00000000-0005-0000-0000-0000411D0000}"/>
    <cellStyle name="40% - Ênfase5 4 5 10 2" xfId="6966" xr:uid="{00000000-0005-0000-0000-0000421D0000}"/>
    <cellStyle name="40% - Ênfase5 4 5 2" xfId="6967" xr:uid="{00000000-0005-0000-0000-0000431D0000}"/>
    <cellStyle name="40% - Ênfase5 4 5 2 2" xfId="6968" xr:uid="{00000000-0005-0000-0000-0000441D0000}"/>
    <cellStyle name="40% - Ênfase5 4 5 3" xfId="6969" xr:uid="{00000000-0005-0000-0000-0000451D0000}"/>
    <cellStyle name="40% - Ênfase5 4 5 3 2" xfId="6970" xr:uid="{00000000-0005-0000-0000-0000461D0000}"/>
    <cellStyle name="40% - Ênfase5 4 5 4" xfId="6971" xr:uid="{00000000-0005-0000-0000-0000471D0000}"/>
    <cellStyle name="40% - Ênfase5 4 5 4 2" xfId="6972" xr:uid="{00000000-0005-0000-0000-0000481D0000}"/>
    <cellStyle name="40% - Ênfase5 4 5 5" xfId="6973" xr:uid="{00000000-0005-0000-0000-0000491D0000}"/>
    <cellStyle name="40% - Ênfase5 4 5 5 2" xfId="6974" xr:uid="{00000000-0005-0000-0000-00004A1D0000}"/>
    <cellStyle name="40% - Ênfase5 4 5 6" xfId="6975" xr:uid="{00000000-0005-0000-0000-00004B1D0000}"/>
    <cellStyle name="40% - Ênfase5 4 5 6 2" xfId="6976" xr:uid="{00000000-0005-0000-0000-00004C1D0000}"/>
    <cellStyle name="40% - Ênfase5 4 5 7" xfId="6977" xr:uid="{00000000-0005-0000-0000-00004D1D0000}"/>
    <cellStyle name="40% - Ênfase5 4 5 7 2" xfId="6978" xr:uid="{00000000-0005-0000-0000-00004E1D0000}"/>
    <cellStyle name="40% - Ênfase5 4 5 8" xfId="6979" xr:uid="{00000000-0005-0000-0000-00004F1D0000}"/>
    <cellStyle name="40% - Ênfase5 4 5 8 2" xfId="6980" xr:uid="{00000000-0005-0000-0000-0000501D0000}"/>
    <cellStyle name="40% - Ênfase5 4 5 9" xfId="6981" xr:uid="{00000000-0005-0000-0000-0000511D0000}"/>
    <cellStyle name="40% - Ênfase5 4 5 9 2" xfId="6982" xr:uid="{00000000-0005-0000-0000-0000521D0000}"/>
    <cellStyle name="40% - Ênfase5 4 6" xfId="6983" xr:uid="{00000000-0005-0000-0000-0000531D0000}"/>
    <cellStyle name="40% - Ênfase5 4 6 2" xfId="6984" xr:uid="{00000000-0005-0000-0000-0000541D0000}"/>
    <cellStyle name="40% - Ênfase5 4 6 2 2" xfId="6985" xr:uid="{00000000-0005-0000-0000-0000551D0000}"/>
    <cellStyle name="40% - Ênfase5 4 6 3" xfId="6986" xr:uid="{00000000-0005-0000-0000-0000561D0000}"/>
    <cellStyle name="40% - Ênfase5 4 6 3 2" xfId="6987" xr:uid="{00000000-0005-0000-0000-0000571D0000}"/>
    <cellStyle name="40% - Ênfase5 4 6 4" xfId="6988" xr:uid="{00000000-0005-0000-0000-0000581D0000}"/>
    <cellStyle name="40% - Ênfase5 4 6 4 2" xfId="6989" xr:uid="{00000000-0005-0000-0000-0000591D0000}"/>
    <cellStyle name="40% - Ênfase5 4 6 5" xfId="6990" xr:uid="{00000000-0005-0000-0000-00005A1D0000}"/>
    <cellStyle name="40% - Ênfase5 4 6 5 2" xfId="6991" xr:uid="{00000000-0005-0000-0000-00005B1D0000}"/>
    <cellStyle name="40% - Ênfase5 4 6 6" xfId="6992" xr:uid="{00000000-0005-0000-0000-00005C1D0000}"/>
    <cellStyle name="40% - Ênfase5 4 7" xfId="26971" xr:uid="{00000000-0005-0000-0000-00005D1D0000}"/>
    <cellStyle name="40% - Ênfase5 40" xfId="6993" xr:uid="{00000000-0005-0000-0000-00005E1D0000}"/>
    <cellStyle name="40% - Ênfase5 40 2" xfId="6994" xr:uid="{00000000-0005-0000-0000-00005F1D0000}"/>
    <cellStyle name="40% - Ênfase5 41" xfId="6995" xr:uid="{00000000-0005-0000-0000-0000601D0000}"/>
    <cellStyle name="40% - Ênfase5 41 2" xfId="6996" xr:uid="{00000000-0005-0000-0000-0000611D0000}"/>
    <cellStyle name="40% - Ênfase5 42" xfId="6997" xr:uid="{00000000-0005-0000-0000-0000621D0000}"/>
    <cellStyle name="40% - Ênfase5 42 2" xfId="6998" xr:uid="{00000000-0005-0000-0000-0000631D0000}"/>
    <cellStyle name="40% - Ênfase5 43" xfId="6999" xr:uid="{00000000-0005-0000-0000-0000641D0000}"/>
    <cellStyle name="40% - Ênfase5 43 2" xfId="7000" xr:uid="{00000000-0005-0000-0000-0000651D0000}"/>
    <cellStyle name="40% - Ênfase5 44" xfId="7001" xr:uid="{00000000-0005-0000-0000-0000661D0000}"/>
    <cellStyle name="40% - Ênfase5 44 2" xfId="7002" xr:uid="{00000000-0005-0000-0000-0000671D0000}"/>
    <cellStyle name="40% - Ênfase5 45" xfId="7003" xr:uid="{00000000-0005-0000-0000-0000681D0000}"/>
    <cellStyle name="40% - Ênfase5 45 2" xfId="7004" xr:uid="{00000000-0005-0000-0000-0000691D0000}"/>
    <cellStyle name="40% - Ênfase5 46" xfId="7005" xr:uid="{00000000-0005-0000-0000-00006A1D0000}"/>
    <cellStyle name="40% - Ênfase5 46 2" xfId="7006" xr:uid="{00000000-0005-0000-0000-00006B1D0000}"/>
    <cellStyle name="40% - Ênfase5 47" xfId="7007" xr:uid="{00000000-0005-0000-0000-00006C1D0000}"/>
    <cellStyle name="40% - Ênfase5 47 2" xfId="7008" xr:uid="{00000000-0005-0000-0000-00006D1D0000}"/>
    <cellStyle name="40% - Ênfase5 48" xfId="7009" xr:uid="{00000000-0005-0000-0000-00006E1D0000}"/>
    <cellStyle name="40% - Ênfase5 48 2" xfId="7010" xr:uid="{00000000-0005-0000-0000-00006F1D0000}"/>
    <cellStyle name="40% - Ênfase5 49" xfId="7011" xr:uid="{00000000-0005-0000-0000-0000701D0000}"/>
    <cellStyle name="40% - Ênfase5 49 2" xfId="7012" xr:uid="{00000000-0005-0000-0000-0000711D0000}"/>
    <cellStyle name="40% - Ênfase5 5" xfId="7013" xr:uid="{00000000-0005-0000-0000-0000721D0000}"/>
    <cellStyle name="40% - Ênfase5 5 2" xfId="7014" xr:uid="{00000000-0005-0000-0000-0000731D0000}"/>
    <cellStyle name="40% - Ênfase5 5 2 2" xfId="7015" xr:uid="{00000000-0005-0000-0000-0000741D0000}"/>
    <cellStyle name="40% - Ênfase5 5 2 2 2" xfId="25648" xr:uid="{00000000-0005-0000-0000-0000751D0000}"/>
    <cellStyle name="40% - Ênfase5 5 2 2 2 2" xfId="25649" xr:uid="{00000000-0005-0000-0000-0000761D0000}"/>
    <cellStyle name="40% - Ênfase5 5 2 2 2 2 2" xfId="26986" xr:uid="{00000000-0005-0000-0000-0000771D0000}"/>
    <cellStyle name="40% - Ênfase5 5 2 2 2 3" xfId="26985" xr:uid="{00000000-0005-0000-0000-0000781D0000}"/>
    <cellStyle name="40% - Ênfase5 5 2 2 3" xfId="25650" xr:uid="{00000000-0005-0000-0000-0000791D0000}"/>
    <cellStyle name="40% - Ênfase5 5 2 2 3 2" xfId="26987" xr:uid="{00000000-0005-0000-0000-00007A1D0000}"/>
    <cellStyle name="40% - Ênfase5 5 2 2 4" xfId="26984" xr:uid="{00000000-0005-0000-0000-00007B1D0000}"/>
    <cellStyle name="40% - Ênfase5 5 2 2 5" xfId="25647" xr:uid="{00000000-0005-0000-0000-00007C1D0000}"/>
    <cellStyle name="40% - Ênfase5 5 2 3" xfId="7016" xr:uid="{00000000-0005-0000-0000-00007D1D0000}"/>
    <cellStyle name="40% - Ênfase5 5 2 3 2" xfId="25652" xr:uid="{00000000-0005-0000-0000-00007E1D0000}"/>
    <cellStyle name="40% - Ênfase5 5 2 3 2 2" xfId="26989" xr:uid="{00000000-0005-0000-0000-00007F1D0000}"/>
    <cellStyle name="40% - Ênfase5 5 2 3 3" xfId="26988" xr:uid="{00000000-0005-0000-0000-0000801D0000}"/>
    <cellStyle name="40% - Ênfase5 5 2 3 4" xfId="25651" xr:uid="{00000000-0005-0000-0000-0000811D0000}"/>
    <cellStyle name="40% - Ênfase5 5 2 4" xfId="7017" xr:uid="{00000000-0005-0000-0000-0000821D0000}"/>
    <cellStyle name="40% - Ênfase5 5 2 4 2" xfId="26990" xr:uid="{00000000-0005-0000-0000-0000831D0000}"/>
    <cellStyle name="40% - Ênfase5 5 2 4 3" xfId="25653" xr:uid="{00000000-0005-0000-0000-0000841D0000}"/>
    <cellStyle name="40% - Ênfase5 5 2 5" xfId="7018" xr:uid="{00000000-0005-0000-0000-0000851D0000}"/>
    <cellStyle name="40% - Ênfase5 5 2 5 2" xfId="7019" xr:uid="{00000000-0005-0000-0000-0000861D0000}"/>
    <cellStyle name="40% - Ênfase5 5 2 6" xfId="7020" xr:uid="{00000000-0005-0000-0000-0000871D0000}"/>
    <cellStyle name="40% - Ênfase5 5 2 6 2" xfId="7021" xr:uid="{00000000-0005-0000-0000-0000881D0000}"/>
    <cellStyle name="40% - Ênfase5 5 2 7" xfId="7022" xr:uid="{00000000-0005-0000-0000-0000891D0000}"/>
    <cellStyle name="40% - Ênfase5 5 2 7 2" xfId="7023" xr:uid="{00000000-0005-0000-0000-00008A1D0000}"/>
    <cellStyle name="40% - Ênfase5 5 2 8" xfId="7024" xr:uid="{00000000-0005-0000-0000-00008B1D0000}"/>
    <cellStyle name="40% - Ênfase5 5 2 8 2" xfId="7025" xr:uid="{00000000-0005-0000-0000-00008C1D0000}"/>
    <cellStyle name="40% - Ênfase5 5 2 9" xfId="7026" xr:uid="{00000000-0005-0000-0000-00008D1D0000}"/>
    <cellStyle name="40% - Ênfase5 5 3" xfId="7027" xr:uid="{00000000-0005-0000-0000-00008E1D0000}"/>
    <cellStyle name="40% - Ênfase5 5 3 2" xfId="25655" xr:uid="{00000000-0005-0000-0000-00008F1D0000}"/>
    <cellStyle name="40% - Ênfase5 5 3 2 2" xfId="25656" xr:uid="{00000000-0005-0000-0000-0000901D0000}"/>
    <cellStyle name="40% - Ênfase5 5 3 2 2 2" xfId="26993" xr:uid="{00000000-0005-0000-0000-0000911D0000}"/>
    <cellStyle name="40% - Ênfase5 5 3 2 3" xfId="26992" xr:uid="{00000000-0005-0000-0000-0000921D0000}"/>
    <cellStyle name="40% - Ênfase5 5 3 3" xfId="25657" xr:uid="{00000000-0005-0000-0000-0000931D0000}"/>
    <cellStyle name="40% - Ênfase5 5 3 3 2" xfId="26994" xr:uid="{00000000-0005-0000-0000-0000941D0000}"/>
    <cellStyle name="40% - Ênfase5 5 3 4" xfId="26991" xr:uid="{00000000-0005-0000-0000-0000951D0000}"/>
    <cellStyle name="40% - Ênfase5 5 3 5" xfId="25654" xr:uid="{00000000-0005-0000-0000-0000961D0000}"/>
    <cellStyle name="40% - Ênfase5 5 4" xfId="7028" xr:uid="{00000000-0005-0000-0000-0000971D0000}"/>
    <cellStyle name="40% - Ênfase5 5 4 2" xfId="25659" xr:uid="{00000000-0005-0000-0000-0000981D0000}"/>
    <cellStyle name="40% - Ênfase5 5 4 2 2" xfId="26996" xr:uid="{00000000-0005-0000-0000-0000991D0000}"/>
    <cellStyle name="40% - Ênfase5 5 4 3" xfId="26995" xr:uid="{00000000-0005-0000-0000-00009A1D0000}"/>
    <cellStyle name="40% - Ênfase5 5 4 4" xfId="25658" xr:uid="{00000000-0005-0000-0000-00009B1D0000}"/>
    <cellStyle name="40% - Ênfase5 5 5" xfId="7029" xr:uid="{00000000-0005-0000-0000-00009C1D0000}"/>
    <cellStyle name="40% - Ênfase5 5 5 2" xfId="7030" xr:uid="{00000000-0005-0000-0000-00009D1D0000}"/>
    <cellStyle name="40% - Ênfase5 5 5 2 2" xfId="7031" xr:uid="{00000000-0005-0000-0000-00009E1D0000}"/>
    <cellStyle name="40% - Ênfase5 5 5 3" xfId="7032" xr:uid="{00000000-0005-0000-0000-00009F1D0000}"/>
    <cellStyle name="40% - Ênfase5 5 5 3 2" xfId="7033" xr:uid="{00000000-0005-0000-0000-0000A01D0000}"/>
    <cellStyle name="40% - Ênfase5 5 5 4" xfId="7034" xr:uid="{00000000-0005-0000-0000-0000A11D0000}"/>
    <cellStyle name="40% - Ênfase5 5 5 4 2" xfId="7035" xr:uid="{00000000-0005-0000-0000-0000A21D0000}"/>
    <cellStyle name="40% - Ênfase5 5 5 5" xfId="7036" xr:uid="{00000000-0005-0000-0000-0000A31D0000}"/>
    <cellStyle name="40% - Ênfase5 5 5 5 2" xfId="7037" xr:uid="{00000000-0005-0000-0000-0000A41D0000}"/>
    <cellStyle name="40% - Ênfase5 5 5 6" xfId="7038" xr:uid="{00000000-0005-0000-0000-0000A51D0000}"/>
    <cellStyle name="40% - Ênfase5 5 6" xfId="7039" xr:uid="{00000000-0005-0000-0000-0000A61D0000}"/>
    <cellStyle name="40% - Ênfase5 5 6 2" xfId="7040" xr:uid="{00000000-0005-0000-0000-0000A71D0000}"/>
    <cellStyle name="40% - Ênfase5 5 6 2 2" xfId="7041" xr:uid="{00000000-0005-0000-0000-0000A81D0000}"/>
    <cellStyle name="40% - Ênfase5 5 6 3" xfId="7042" xr:uid="{00000000-0005-0000-0000-0000A91D0000}"/>
    <cellStyle name="40% - Ênfase5 5 6 3 2" xfId="7043" xr:uid="{00000000-0005-0000-0000-0000AA1D0000}"/>
    <cellStyle name="40% - Ênfase5 5 6 4" xfId="7044" xr:uid="{00000000-0005-0000-0000-0000AB1D0000}"/>
    <cellStyle name="40% - Ênfase5 5 6 4 2" xfId="7045" xr:uid="{00000000-0005-0000-0000-0000AC1D0000}"/>
    <cellStyle name="40% - Ênfase5 5 6 5" xfId="7046" xr:uid="{00000000-0005-0000-0000-0000AD1D0000}"/>
    <cellStyle name="40% - Ênfase5 5 6 5 2" xfId="7047" xr:uid="{00000000-0005-0000-0000-0000AE1D0000}"/>
    <cellStyle name="40% - Ênfase5 5 6 6" xfId="7048" xr:uid="{00000000-0005-0000-0000-0000AF1D0000}"/>
    <cellStyle name="40% - Ênfase5 50" xfId="7049" xr:uid="{00000000-0005-0000-0000-0000B01D0000}"/>
    <cellStyle name="40% - Ênfase5 50 2" xfId="7050" xr:uid="{00000000-0005-0000-0000-0000B11D0000}"/>
    <cellStyle name="40% - Ênfase5 51" xfId="7051" xr:uid="{00000000-0005-0000-0000-0000B21D0000}"/>
    <cellStyle name="40% - Ênfase5 51 2" xfId="7052" xr:uid="{00000000-0005-0000-0000-0000B31D0000}"/>
    <cellStyle name="40% - Ênfase5 52" xfId="7053" xr:uid="{00000000-0005-0000-0000-0000B41D0000}"/>
    <cellStyle name="40% - Ênfase5 52 2" xfId="7054" xr:uid="{00000000-0005-0000-0000-0000B51D0000}"/>
    <cellStyle name="40% - Ênfase5 53" xfId="7055" xr:uid="{00000000-0005-0000-0000-0000B61D0000}"/>
    <cellStyle name="40% - Ênfase5 53 2" xfId="7056" xr:uid="{00000000-0005-0000-0000-0000B71D0000}"/>
    <cellStyle name="40% - Ênfase5 54" xfId="7057" xr:uid="{00000000-0005-0000-0000-0000B81D0000}"/>
    <cellStyle name="40% - Ênfase5 54 2" xfId="7058" xr:uid="{00000000-0005-0000-0000-0000B91D0000}"/>
    <cellStyle name="40% - Ênfase5 55" xfId="7059" xr:uid="{00000000-0005-0000-0000-0000BA1D0000}"/>
    <cellStyle name="40% - Ênfase5 55 2" xfId="7060" xr:uid="{00000000-0005-0000-0000-0000BB1D0000}"/>
    <cellStyle name="40% - Ênfase5 6" xfId="7061" xr:uid="{00000000-0005-0000-0000-0000BC1D0000}"/>
    <cellStyle name="40% - Ênfase5 6 10" xfId="7062" xr:uid="{00000000-0005-0000-0000-0000BD1D0000}"/>
    <cellStyle name="40% - Ênfase5 6 10 2" xfId="7063" xr:uid="{00000000-0005-0000-0000-0000BE1D0000}"/>
    <cellStyle name="40% - Ênfase5 6 11" xfId="7064" xr:uid="{00000000-0005-0000-0000-0000BF1D0000}"/>
    <cellStyle name="40% - Ênfase5 6 11 2" xfId="7065" xr:uid="{00000000-0005-0000-0000-0000C01D0000}"/>
    <cellStyle name="40% - Ênfase5 6 12" xfId="7066" xr:uid="{00000000-0005-0000-0000-0000C11D0000}"/>
    <cellStyle name="40% - Ênfase5 6 12 2" xfId="7067" xr:uid="{00000000-0005-0000-0000-0000C21D0000}"/>
    <cellStyle name="40% - Ênfase5 6 13" xfId="7068" xr:uid="{00000000-0005-0000-0000-0000C31D0000}"/>
    <cellStyle name="40% - Ênfase5 6 13 2" xfId="7069" xr:uid="{00000000-0005-0000-0000-0000C41D0000}"/>
    <cellStyle name="40% - Ênfase5 6 14" xfId="7070" xr:uid="{00000000-0005-0000-0000-0000C51D0000}"/>
    <cellStyle name="40% - Ênfase5 6 14 2" xfId="7071" xr:uid="{00000000-0005-0000-0000-0000C61D0000}"/>
    <cellStyle name="40% - Ênfase5 6 15" xfId="7072" xr:uid="{00000000-0005-0000-0000-0000C71D0000}"/>
    <cellStyle name="40% - Ênfase5 6 15 2" xfId="7073" xr:uid="{00000000-0005-0000-0000-0000C81D0000}"/>
    <cellStyle name="40% - Ênfase5 6 16" xfId="7074" xr:uid="{00000000-0005-0000-0000-0000C91D0000}"/>
    <cellStyle name="40% - Ênfase5 6 16 2" xfId="7075" xr:uid="{00000000-0005-0000-0000-0000CA1D0000}"/>
    <cellStyle name="40% - Ênfase5 6 17" xfId="7076" xr:uid="{00000000-0005-0000-0000-0000CB1D0000}"/>
    <cellStyle name="40% - Ênfase5 6 17 2" xfId="7077" xr:uid="{00000000-0005-0000-0000-0000CC1D0000}"/>
    <cellStyle name="40% - Ênfase5 6 18" xfId="7078" xr:uid="{00000000-0005-0000-0000-0000CD1D0000}"/>
    <cellStyle name="40% - Ênfase5 6 18 2" xfId="7079" xr:uid="{00000000-0005-0000-0000-0000CE1D0000}"/>
    <cellStyle name="40% - Ênfase5 6 19" xfId="7080" xr:uid="{00000000-0005-0000-0000-0000CF1D0000}"/>
    <cellStyle name="40% - Ênfase5 6 19 2" xfId="7081" xr:uid="{00000000-0005-0000-0000-0000D01D0000}"/>
    <cellStyle name="40% - Ênfase5 6 2" xfId="7082" xr:uid="{00000000-0005-0000-0000-0000D11D0000}"/>
    <cellStyle name="40% - Ênfase5 6 2 2" xfId="7083" xr:uid="{00000000-0005-0000-0000-0000D21D0000}"/>
    <cellStyle name="40% - Ênfase5 6 2 2 2" xfId="7084" xr:uid="{00000000-0005-0000-0000-0000D31D0000}"/>
    <cellStyle name="40% - Ênfase5 6 2 2 2 2" xfId="26998" xr:uid="{00000000-0005-0000-0000-0000D41D0000}"/>
    <cellStyle name="40% - Ênfase5 6 2 2 3" xfId="26997" xr:uid="{00000000-0005-0000-0000-0000D51D0000}"/>
    <cellStyle name="40% - Ênfase5 6 2 3" xfId="7085" xr:uid="{00000000-0005-0000-0000-0000D61D0000}"/>
    <cellStyle name="40% - Ênfase5 6 2 3 2" xfId="7086" xr:uid="{00000000-0005-0000-0000-0000D71D0000}"/>
    <cellStyle name="40% - Ênfase5 6 2 4" xfId="7087" xr:uid="{00000000-0005-0000-0000-0000D81D0000}"/>
    <cellStyle name="40% - Ênfase5 6 2 4 2" xfId="7088" xr:uid="{00000000-0005-0000-0000-0000D91D0000}"/>
    <cellStyle name="40% - Ênfase5 6 2 5" xfId="7089" xr:uid="{00000000-0005-0000-0000-0000DA1D0000}"/>
    <cellStyle name="40% - Ênfase5 6 2 5 2" xfId="7090" xr:uid="{00000000-0005-0000-0000-0000DB1D0000}"/>
    <cellStyle name="40% - Ênfase5 6 2 6" xfId="7091" xr:uid="{00000000-0005-0000-0000-0000DC1D0000}"/>
    <cellStyle name="40% - Ênfase5 6 20" xfId="7092" xr:uid="{00000000-0005-0000-0000-0000DD1D0000}"/>
    <cellStyle name="40% - Ênfase5 6 20 2" xfId="7093" xr:uid="{00000000-0005-0000-0000-0000DE1D0000}"/>
    <cellStyle name="40% - Ênfase5 6 21" xfId="7094" xr:uid="{00000000-0005-0000-0000-0000DF1D0000}"/>
    <cellStyle name="40% - Ênfase5 6 21 2" xfId="7095" xr:uid="{00000000-0005-0000-0000-0000E01D0000}"/>
    <cellStyle name="40% - Ênfase5 6 22" xfId="7096" xr:uid="{00000000-0005-0000-0000-0000E11D0000}"/>
    <cellStyle name="40% - Ênfase5 6 22 2" xfId="7097" xr:uid="{00000000-0005-0000-0000-0000E21D0000}"/>
    <cellStyle name="40% - Ênfase5 6 23" xfId="7098" xr:uid="{00000000-0005-0000-0000-0000E31D0000}"/>
    <cellStyle name="40% - Ênfase5 6 23 2" xfId="7099" xr:uid="{00000000-0005-0000-0000-0000E41D0000}"/>
    <cellStyle name="40% - Ênfase5 6 24" xfId="7100" xr:uid="{00000000-0005-0000-0000-0000E51D0000}"/>
    <cellStyle name="40% - Ênfase5 6 24 2" xfId="7101" xr:uid="{00000000-0005-0000-0000-0000E61D0000}"/>
    <cellStyle name="40% - Ênfase5 6 25" xfId="7102" xr:uid="{00000000-0005-0000-0000-0000E71D0000}"/>
    <cellStyle name="40% - Ênfase5 6 25 2" xfId="7103" xr:uid="{00000000-0005-0000-0000-0000E81D0000}"/>
    <cellStyle name="40% - Ênfase5 6 26" xfId="7104" xr:uid="{00000000-0005-0000-0000-0000E91D0000}"/>
    <cellStyle name="40% - Ênfase5 6 26 2" xfId="7105" xr:uid="{00000000-0005-0000-0000-0000EA1D0000}"/>
    <cellStyle name="40% - Ênfase5 6 27" xfId="7106" xr:uid="{00000000-0005-0000-0000-0000EB1D0000}"/>
    <cellStyle name="40% - Ênfase5 6 27 2" xfId="7107" xr:uid="{00000000-0005-0000-0000-0000EC1D0000}"/>
    <cellStyle name="40% - Ênfase5 6 28" xfId="7108" xr:uid="{00000000-0005-0000-0000-0000ED1D0000}"/>
    <cellStyle name="40% - Ênfase5 6 28 2" xfId="7109" xr:uid="{00000000-0005-0000-0000-0000EE1D0000}"/>
    <cellStyle name="40% - Ênfase5 6 29" xfId="7110" xr:uid="{00000000-0005-0000-0000-0000EF1D0000}"/>
    <cellStyle name="40% - Ênfase5 6 29 2" xfId="7111" xr:uid="{00000000-0005-0000-0000-0000F01D0000}"/>
    <cellStyle name="40% - Ênfase5 6 3" xfId="7112" xr:uid="{00000000-0005-0000-0000-0000F11D0000}"/>
    <cellStyle name="40% - Ênfase5 6 3 2" xfId="7113" xr:uid="{00000000-0005-0000-0000-0000F21D0000}"/>
    <cellStyle name="40% - Ênfase5 6 3 2 2" xfId="7114" xr:uid="{00000000-0005-0000-0000-0000F31D0000}"/>
    <cellStyle name="40% - Ênfase5 6 3 3" xfId="7115" xr:uid="{00000000-0005-0000-0000-0000F41D0000}"/>
    <cellStyle name="40% - Ênfase5 6 3 3 2" xfId="7116" xr:uid="{00000000-0005-0000-0000-0000F51D0000}"/>
    <cellStyle name="40% - Ênfase5 6 3 4" xfId="7117" xr:uid="{00000000-0005-0000-0000-0000F61D0000}"/>
    <cellStyle name="40% - Ênfase5 6 3 4 2" xfId="7118" xr:uid="{00000000-0005-0000-0000-0000F71D0000}"/>
    <cellStyle name="40% - Ênfase5 6 3 5" xfId="7119" xr:uid="{00000000-0005-0000-0000-0000F81D0000}"/>
    <cellStyle name="40% - Ênfase5 6 3 5 2" xfId="7120" xr:uid="{00000000-0005-0000-0000-0000F91D0000}"/>
    <cellStyle name="40% - Ênfase5 6 3 6" xfId="7121" xr:uid="{00000000-0005-0000-0000-0000FA1D0000}"/>
    <cellStyle name="40% - Ênfase5 6 30" xfId="7122" xr:uid="{00000000-0005-0000-0000-0000FB1D0000}"/>
    <cellStyle name="40% - Ênfase5 6 30 2" xfId="7123" xr:uid="{00000000-0005-0000-0000-0000FC1D0000}"/>
    <cellStyle name="40% - Ênfase5 6 31" xfId="7124" xr:uid="{00000000-0005-0000-0000-0000FD1D0000}"/>
    <cellStyle name="40% - Ênfase5 6 31 2" xfId="7125" xr:uid="{00000000-0005-0000-0000-0000FE1D0000}"/>
    <cellStyle name="40% - Ênfase5 6 32" xfId="7126" xr:uid="{00000000-0005-0000-0000-0000FF1D0000}"/>
    <cellStyle name="40% - Ênfase5 6 32 2" xfId="7127" xr:uid="{00000000-0005-0000-0000-0000001E0000}"/>
    <cellStyle name="40% - Ênfase5 6 33" xfId="7128" xr:uid="{00000000-0005-0000-0000-0000011E0000}"/>
    <cellStyle name="40% - Ênfase5 6 33 2" xfId="7129" xr:uid="{00000000-0005-0000-0000-0000021E0000}"/>
    <cellStyle name="40% - Ênfase5 6 34" xfId="7130" xr:uid="{00000000-0005-0000-0000-0000031E0000}"/>
    <cellStyle name="40% - Ênfase5 6 34 2" xfId="7131" xr:uid="{00000000-0005-0000-0000-0000041E0000}"/>
    <cellStyle name="40% - Ênfase5 6 35" xfId="7132" xr:uid="{00000000-0005-0000-0000-0000051E0000}"/>
    <cellStyle name="40% - Ênfase5 6 35 2" xfId="7133" xr:uid="{00000000-0005-0000-0000-0000061E0000}"/>
    <cellStyle name="40% - Ênfase5 6 36" xfId="7134" xr:uid="{00000000-0005-0000-0000-0000071E0000}"/>
    <cellStyle name="40% - Ênfase5 6 36 2" xfId="7135" xr:uid="{00000000-0005-0000-0000-0000081E0000}"/>
    <cellStyle name="40% - Ênfase5 6 37" xfId="7136" xr:uid="{00000000-0005-0000-0000-0000091E0000}"/>
    <cellStyle name="40% - Ênfase5 6 4" xfId="7137" xr:uid="{00000000-0005-0000-0000-00000A1E0000}"/>
    <cellStyle name="40% - Ênfase5 6 4 2" xfId="7138" xr:uid="{00000000-0005-0000-0000-00000B1E0000}"/>
    <cellStyle name="40% - Ênfase5 6 4 2 2" xfId="7139" xr:uid="{00000000-0005-0000-0000-00000C1E0000}"/>
    <cellStyle name="40% - Ênfase5 6 4 3" xfId="7140" xr:uid="{00000000-0005-0000-0000-00000D1E0000}"/>
    <cellStyle name="40% - Ênfase5 6 4 3 2" xfId="7141" xr:uid="{00000000-0005-0000-0000-00000E1E0000}"/>
    <cellStyle name="40% - Ênfase5 6 4 4" xfId="7142" xr:uid="{00000000-0005-0000-0000-00000F1E0000}"/>
    <cellStyle name="40% - Ênfase5 6 4 4 2" xfId="7143" xr:uid="{00000000-0005-0000-0000-0000101E0000}"/>
    <cellStyle name="40% - Ênfase5 6 4 5" xfId="7144" xr:uid="{00000000-0005-0000-0000-0000111E0000}"/>
    <cellStyle name="40% - Ênfase5 6 4 5 2" xfId="7145" xr:uid="{00000000-0005-0000-0000-0000121E0000}"/>
    <cellStyle name="40% - Ênfase5 6 4 6" xfId="7146" xr:uid="{00000000-0005-0000-0000-0000131E0000}"/>
    <cellStyle name="40% - Ênfase5 6 5" xfId="7147" xr:uid="{00000000-0005-0000-0000-0000141E0000}"/>
    <cellStyle name="40% - Ênfase5 6 5 2" xfId="7148" xr:uid="{00000000-0005-0000-0000-0000151E0000}"/>
    <cellStyle name="40% - Ênfase5 6 6" xfId="7149" xr:uid="{00000000-0005-0000-0000-0000161E0000}"/>
    <cellStyle name="40% - Ênfase5 6 6 2" xfId="7150" xr:uid="{00000000-0005-0000-0000-0000171E0000}"/>
    <cellStyle name="40% - Ênfase5 6 7" xfId="7151" xr:uid="{00000000-0005-0000-0000-0000181E0000}"/>
    <cellStyle name="40% - Ênfase5 6 7 2" xfId="7152" xr:uid="{00000000-0005-0000-0000-0000191E0000}"/>
    <cellStyle name="40% - Ênfase5 6 8" xfId="7153" xr:uid="{00000000-0005-0000-0000-00001A1E0000}"/>
    <cellStyle name="40% - Ênfase5 6 8 2" xfId="7154" xr:uid="{00000000-0005-0000-0000-00001B1E0000}"/>
    <cellStyle name="40% - Ênfase5 6 9" xfId="7155" xr:uid="{00000000-0005-0000-0000-00001C1E0000}"/>
    <cellStyle name="40% - Ênfase5 6 9 2" xfId="7156" xr:uid="{00000000-0005-0000-0000-00001D1E0000}"/>
    <cellStyle name="40% - Ênfase5 7" xfId="7157" xr:uid="{00000000-0005-0000-0000-00001E1E0000}"/>
    <cellStyle name="40% - Ênfase5 7 10" xfId="7158" xr:uid="{00000000-0005-0000-0000-00001F1E0000}"/>
    <cellStyle name="40% - Ênfase5 7 10 2" xfId="7159" xr:uid="{00000000-0005-0000-0000-0000201E0000}"/>
    <cellStyle name="40% - Ênfase5 7 11" xfId="7160" xr:uid="{00000000-0005-0000-0000-0000211E0000}"/>
    <cellStyle name="40% - Ênfase5 7 11 2" xfId="7161" xr:uid="{00000000-0005-0000-0000-0000221E0000}"/>
    <cellStyle name="40% - Ênfase5 7 12" xfId="7162" xr:uid="{00000000-0005-0000-0000-0000231E0000}"/>
    <cellStyle name="40% - Ênfase5 7 12 2" xfId="7163" xr:uid="{00000000-0005-0000-0000-0000241E0000}"/>
    <cellStyle name="40% - Ênfase5 7 13" xfId="7164" xr:uid="{00000000-0005-0000-0000-0000251E0000}"/>
    <cellStyle name="40% - Ênfase5 7 13 2" xfId="7165" xr:uid="{00000000-0005-0000-0000-0000261E0000}"/>
    <cellStyle name="40% - Ênfase5 7 14" xfId="7166" xr:uid="{00000000-0005-0000-0000-0000271E0000}"/>
    <cellStyle name="40% - Ênfase5 7 14 2" xfId="7167" xr:uid="{00000000-0005-0000-0000-0000281E0000}"/>
    <cellStyle name="40% - Ênfase5 7 15" xfId="7168" xr:uid="{00000000-0005-0000-0000-0000291E0000}"/>
    <cellStyle name="40% - Ênfase5 7 15 2" xfId="7169" xr:uid="{00000000-0005-0000-0000-00002A1E0000}"/>
    <cellStyle name="40% - Ênfase5 7 16" xfId="7170" xr:uid="{00000000-0005-0000-0000-00002B1E0000}"/>
    <cellStyle name="40% - Ênfase5 7 16 2" xfId="7171" xr:uid="{00000000-0005-0000-0000-00002C1E0000}"/>
    <cellStyle name="40% - Ênfase5 7 17" xfId="7172" xr:uid="{00000000-0005-0000-0000-00002D1E0000}"/>
    <cellStyle name="40% - Ênfase5 7 17 2" xfId="7173" xr:uid="{00000000-0005-0000-0000-00002E1E0000}"/>
    <cellStyle name="40% - Ênfase5 7 18" xfId="7174" xr:uid="{00000000-0005-0000-0000-00002F1E0000}"/>
    <cellStyle name="40% - Ênfase5 7 18 2" xfId="7175" xr:uid="{00000000-0005-0000-0000-0000301E0000}"/>
    <cellStyle name="40% - Ênfase5 7 19" xfId="7176" xr:uid="{00000000-0005-0000-0000-0000311E0000}"/>
    <cellStyle name="40% - Ênfase5 7 19 2" xfId="7177" xr:uid="{00000000-0005-0000-0000-0000321E0000}"/>
    <cellStyle name="40% - Ênfase5 7 2" xfId="7178" xr:uid="{00000000-0005-0000-0000-0000331E0000}"/>
    <cellStyle name="40% - Ênfase5 7 2 2" xfId="7179" xr:uid="{00000000-0005-0000-0000-0000341E0000}"/>
    <cellStyle name="40% - Ênfase5 7 2 2 2" xfId="7180" xr:uid="{00000000-0005-0000-0000-0000351E0000}"/>
    <cellStyle name="40% - Ênfase5 7 2 2 2 2" xfId="27000" xr:uid="{00000000-0005-0000-0000-0000361E0000}"/>
    <cellStyle name="40% - Ênfase5 7 2 2 3" xfId="26999" xr:uid="{00000000-0005-0000-0000-0000371E0000}"/>
    <cellStyle name="40% - Ênfase5 7 2 3" xfId="7181" xr:uid="{00000000-0005-0000-0000-0000381E0000}"/>
    <cellStyle name="40% - Ênfase5 7 2 3 2" xfId="7182" xr:uid="{00000000-0005-0000-0000-0000391E0000}"/>
    <cellStyle name="40% - Ênfase5 7 2 4" xfId="7183" xr:uid="{00000000-0005-0000-0000-00003A1E0000}"/>
    <cellStyle name="40% - Ênfase5 7 2 4 2" xfId="7184" xr:uid="{00000000-0005-0000-0000-00003B1E0000}"/>
    <cellStyle name="40% - Ênfase5 7 2 5" xfId="7185" xr:uid="{00000000-0005-0000-0000-00003C1E0000}"/>
    <cellStyle name="40% - Ênfase5 7 2 5 2" xfId="7186" xr:uid="{00000000-0005-0000-0000-00003D1E0000}"/>
    <cellStyle name="40% - Ênfase5 7 2 6" xfId="7187" xr:uid="{00000000-0005-0000-0000-00003E1E0000}"/>
    <cellStyle name="40% - Ênfase5 7 20" xfId="7188" xr:uid="{00000000-0005-0000-0000-00003F1E0000}"/>
    <cellStyle name="40% - Ênfase5 7 20 2" xfId="7189" xr:uid="{00000000-0005-0000-0000-0000401E0000}"/>
    <cellStyle name="40% - Ênfase5 7 21" xfId="7190" xr:uid="{00000000-0005-0000-0000-0000411E0000}"/>
    <cellStyle name="40% - Ênfase5 7 21 2" xfId="7191" xr:uid="{00000000-0005-0000-0000-0000421E0000}"/>
    <cellStyle name="40% - Ênfase5 7 22" xfId="7192" xr:uid="{00000000-0005-0000-0000-0000431E0000}"/>
    <cellStyle name="40% - Ênfase5 7 22 2" xfId="7193" xr:uid="{00000000-0005-0000-0000-0000441E0000}"/>
    <cellStyle name="40% - Ênfase5 7 23" xfId="7194" xr:uid="{00000000-0005-0000-0000-0000451E0000}"/>
    <cellStyle name="40% - Ênfase5 7 23 2" xfId="7195" xr:uid="{00000000-0005-0000-0000-0000461E0000}"/>
    <cellStyle name="40% - Ênfase5 7 24" xfId="7196" xr:uid="{00000000-0005-0000-0000-0000471E0000}"/>
    <cellStyle name="40% - Ênfase5 7 24 2" xfId="7197" xr:uid="{00000000-0005-0000-0000-0000481E0000}"/>
    <cellStyle name="40% - Ênfase5 7 25" xfId="7198" xr:uid="{00000000-0005-0000-0000-0000491E0000}"/>
    <cellStyle name="40% - Ênfase5 7 25 2" xfId="7199" xr:uid="{00000000-0005-0000-0000-00004A1E0000}"/>
    <cellStyle name="40% - Ênfase5 7 26" xfId="7200" xr:uid="{00000000-0005-0000-0000-00004B1E0000}"/>
    <cellStyle name="40% - Ênfase5 7 26 2" xfId="7201" xr:uid="{00000000-0005-0000-0000-00004C1E0000}"/>
    <cellStyle name="40% - Ênfase5 7 27" xfId="7202" xr:uid="{00000000-0005-0000-0000-00004D1E0000}"/>
    <cellStyle name="40% - Ênfase5 7 27 2" xfId="7203" xr:uid="{00000000-0005-0000-0000-00004E1E0000}"/>
    <cellStyle name="40% - Ênfase5 7 28" xfId="7204" xr:uid="{00000000-0005-0000-0000-00004F1E0000}"/>
    <cellStyle name="40% - Ênfase5 7 28 2" xfId="7205" xr:uid="{00000000-0005-0000-0000-0000501E0000}"/>
    <cellStyle name="40% - Ênfase5 7 29" xfId="7206" xr:uid="{00000000-0005-0000-0000-0000511E0000}"/>
    <cellStyle name="40% - Ênfase5 7 29 2" xfId="7207" xr:uid="{00000000-0005-0000-0000-0000521E0000}"/>
    <cellStyle name="40% - Ênfase5 7 3" xfId="7208" xr:uid="{00000000-0005-0000-0000-0000531E0000}"/>
    <cellStyle name="40% - Ênfase5 7 3 2" xfId="7209" xr:uid="{00000000-0005-0000-0000-0000541E0000}"/>
    <cellStyle name="40% - Ênfase5 7 3 2 2" xfId="7210" xr:uid="{00000000-0005-0000-0000-0000551E0000}"/>
    <cellStyle name="40% - Ênfase5 7 3 3" xfId="7211" xr:uid="{00000000-0005-0000-0000-0000561E0000}"/>
    <cellStyle name="40% - Ênfase5 7 3 3 2" xfId="7212" xr:uid="{00000000-0005-0000-0000-0000571E0000}"/>
    <cellStyle name="40% - Ênfase5 7 3 4" xfId="7213" xr:uid="{00000000-0005-0000-0000-0000581E0000}"/>
    <cellStyle name="40% - Ênfase5 7 3 4 2" xfId="7214" xr:uid="{00000000-0005-0000-0000-0000591E0000}"/>
    <cellStyle name="40% - Ênfase5 7 3 5" xfId="7215" xr:uid="{00000000-0005-0000-0000-00005A1E0000}"/>
    <cellStyle name="40% - Ênfase5 7 3 5 2" xfId="7216" xr:uid="{00000000-0005-0000-0000-00005B1E0000}"/>
    <cellStyle name="40% - Ênfase5 7 3 6" xfId="7217" xr:uid="{00000000-0005-0000-0000-00005C1E0000}"/>
    <cellStyle name="40% - Ênfase5 7 30" xfId="7218" xr:uid="{00000000-0005-0000-0000-00005D1E0000}"/>
    <cellStyle name="40% - Ênfase5 7 30 2" xfId="7219" xr:uid="{00000000-0005-0000-0000-00005E1E0000}"/>
    <cellStyle name="40% - Ênfase5 7 31" xfId="7220" xr:uid="{00000000-0005-0000-0000-00005F1E0000}"/>
    <cellStyle name="40% - Ênfase5 7 31 2" xfId="7221" xr:uid="{00000000-0005-0000-0000-0000601E0000}"/>
    <cellStyle name="40% - Ênfase5 7 32" xfId="7222" xr:uid="{00000000-0005-0000-0000-0000611E0000}"/>
    <cellStyle name="40% - Ênfase5 7 32 2" xfId="7223" xr:uid="{00000000-0005-0000-0000-0000621E0000}"/>
    <cellStyle name="40% - Ênfase5 7 33" xfId="7224" xr:uid="{00000000-0005-0000-0000-0000631E0000}"/>
    <cellStyle name="40% - Ênfase5 7 33 2" xfId="7225" xr:uid="{00000000-0005-0000-0000-0000641E0000}"/>
    <cellStyle name="40% - Ênfase5 7 34" xfId="7226" xr:uid="{00000000-0005-0000-0000-0000651E0000}"/>
    <cellStyle name="40% - Ênfase5 7 34 2" xfId="7227" xr:uid="{00000000-0005-0000-0000-0000661E0000}"/>
    <cellStyle name="40% - Ênfase5 7 35" xfId="7228" xr:uid="{00000000-0005-0000-0000-0000671E0000}"/>
    <cellStyle name="40% - Ênfase5 7 35 2" xfId="7229" xr:uid="{00000000-0005-0000-0000-0000681E0000}"/>
    <cellStyle name="40% - Ênfase5 7 36" xfId="7230" xr:uid="{00000000-0005-0000-0000-0000691E0000}"/>
    <cellStyle name="40% - Ênfase5 7 36 2" xfId="7231" xr:uid="{00000000-0005-0000-0000-00006A1E0000}"/>
    <cellStyle name="40% - Ênfase5 7 37" xfId="7232" xr:uid="{00000000-0005-0000-0000-00006B1E0000}"/>
    <cellStyle name="40% - Ênfase5 7 4" xfId="7233" xr:uid="{00000000-0005-0000-0000-00006C1E0000}"/>
    <cellStyle name="40% - Ênfase5 7 4 2" xfId="7234" xr:uid="{00000000-0005-0000-0000-00006D1E0000}"/>
    <cellStyle name="40% - Ênfase5 7 4 2 2" xfId="7235" xr:uid="{00000000-0005-0000-0000-00006E1E0000}"/>
    <cellStyle name="40% - Ênfase5 7 4 3" xfId="7236" xr:uid="{00000000-0005-0000-0000-00006F1E0000}"/>
    <cellStyle name="40% - Ênfase5 7 4 3 2" xfId="7237" xr:uid="{00000000-0005-0000-0000-0000701E0000}"/>
    <cellStyle name="40% - Ênfase5 7 4 4" xfId="7238" xr:uid="{00000000-0005-0000-0000-0000711E0000}"/>
    <cellStyle name="40% - Ênfase5 7 4 4 2" xfId="7239" xr:uid="{00000000-0005-0000-0000-0000721E0000}"/>
    <cellStyle name="40% - Ênfase5 7 4 5" xfId="7240" xr:uid="{00000000-0005-0000-0000-0000731E0000}"/>
    <cellStyle name="40% - Ênfase5 7 4 5 2" xfId="7241" xr:uid="{00000000-0005-0000-0000-0000741E0000}"/>
    <cellStyle name="40% - Ênfase5 7 4 6" xfId="7242" xr:uid="{00000000-0005-0000-0000-0000751E0000}"/>
    <cellStyle name="40% - Ênfase5 7 5" xfId="7243" xr:uid="{00000000-0005-0000-0000-0000761E0000}"/>
    <cellStyle name="40% - Ênfase5 7 5 2" xfId="7244" xr:uid="{00000000-0005-0000-0000-0000771E0000}"/>
    <cellStyle name="40% - Ênfase5 7 6" xfId="7245" xr:uid="{00000000-0005-0000-0000-0000781E0000}"/>
    <cellStyle name="40% - Ênfase5 7 6 2" xfId="7246" xr:uid="{00000000-0005-0000-0000-0000791E0000}"/>
    <cellStyle name="40% - Ênfase5 7 7" xfId="7247" xr:uid="{00000000-0005-0000-0000-00007A1E0000}"/>
    <cellStyle name="40% - Ênfase5 7 7 2" xfId="7248" xr:uid="{00000000-0005-0000-0000-00007B1E0000}"/>
    <cellStyle name="40% - Ênfase5 7 8" xfId="7249" xr:uid="{00000000-0005-0000-0000-00007C1E0000}"/>
    <cellStyle name="40% - Ênfase5 7 8 2" xfId="7250" xr:uid="{00000000-0005-0000-0000-00007D1E0000}"/>
    <cellStyle name="40% - Ênfase5 7 9" xfId="7251" xr:uid="{00000000-0005-0000-0000-00007E1E0000}"/>
    <cellStyle name="40% - Ênfase5 7 9 2" xfId="7252" xr:uid="{00000000-0005-0000-0000-00007F1E0000}"/>
    <cellStyle name="40% - Ênfase5 8" xfId="7253" xr:uid="{00000000-0005-0000-0000-0000801E0000}"/>
    <cellStyle name="40% - Ênfase5 8 10" xfId="7254" xr:uid="{00000000-0005-0000-0000-0000811E0000}"/>
    <cellStyle name="40% - Ênfase5 8 10 2" xfId="7255" xr:uid="{00000000-0005-0000-0000-0000821E0000}"/>
    <cellStyle name="40% - Ênfase5 8 2" xfId="7256" xr:uid="{00000000-0005-0000-0000-0000831E0000}"/>
    <cellStyle name="40% - Ênfase5 8 2 2" xfId="7257" xr:uid="{00000000-0005-0000-0000-0000841E0000}"/>
    <cellStyle name="40% - Ênfase5 8 2 2 2" xfId="25660" xr:uid="{00000000-0005-0000-0000-0000851E0000}"/>
    <cellStyle name="40% - Ênfase5 8 2 2 2 2" xfId="27003" xr:uid="{00000000-0005-0000-0000-0000861E0000}"/>
    <cellStyle name="40% - Ênfase5 8 2 2 3" xfId="27002" xr:uid="{00000000-0005-0000-0000-0000871E0000}"/>
    <cellStyle name="40% - Ênfase5 8 2 3" xfId="25661" xr:uid="{00000000-0005-0000-0000-0000881E0000}"/>
    <cellStyle name="40% - Ênfase5 8 2 3 2" xfId="27004" xr:uid="{00000000-0005-0000-0000-0000891E0000}"/>
    <cellStyle name="40% - Ênfase5 8 2 4" xfId="27001" xr:uid="{00000000-0005-0000-0000-00008A1E0000}"/>
    <cellStyle name="40% - Ênfase5 8 3" xfId="7258" xr:uid="{00000000-0005-0000-0000-00008B1E0000}"/>
    <cellStyle name="40% - Ênfase5 8 3 2" xfId="7259" xr:uid="{00000000-0005-0000-0000-00008C1E0000}"/>
    <cellStyle name="40% - Ênfase5 8 3 2 2" xfId="27006" xr:uid="{00000000-0005-0000-0000-00008D1E0000}"/>
    <cellStyle name="40% - Ênfase5 8 3 3" xfId="27005" xr:uid="{00000000-0005-0000-0000-00008E1E0000}"/>
    <cellStyle name="40% - Ênfase5 8 4" xfId="7260" xr:uid="{00000000-0005-0000-0000-00008F1E0000}"/>
    <cellStyle name="40% - Ênfase5 8 4 2" xfId="7261" xr:uid="{00000000-0005-0000-0000-0000901E0000}"/>
    <cellStyle name="40% - Ênfase5 8 5" xfId="7262" xr:uid="{00000000-0005-0000-0000-0000911E0000}"/>
    <cellStyle name="40% - Ênfase5 8 5 2" xfId="7263" xr:uid="{00000000-0005-0000-0000-0000921E0000}"/>
    <cellStyle name="40% - Ênfase5 8 6" xfId="7264" xr:uid="{00000000-0005-0000-0000-0000931E0000}"/>
    <cellStyle name="40% - Ênfase5 8 6 2" xfId="7265" xr:uid="{00000000-0005-0000-0000-0000941E0000}"/>
    <cellStyle name="40% - Ênfase5 8 7" xfId="7266" xr:uid="{00000000-0005-0000-0000-0000951E0000}"/>
    <cellStyle name="40% - Ênfase5 8 7 2" xfId="7267" xr:uid="{00000000-0005-0000-0000-0000961E0000}"/>
    <cellStyle name="40% - Ênfase5 8 8" xfId="7268" xr:uid="{00000000-0005-0000-0000-0000971E0000}"/>
    <cellStyle name="40% - Ênfase5 8 8 2" xfId="7269" xr:uid="{00000000-0005-0000-0000-0000981E0000}"/>
    <cellStyle name="40% - Ênfase5 8 9" xfId="7270" xr:uid="{00000000-0005-0000-0000-0000991E0000}"/>
    <cellStyle name="40% - Ênfase5 8 9 2" xfId="7271" xr:uid="{00000000-0005-0000-0000-00009A1E0000}"/>
    <cellStyle name="40% - Ênfase5 9" xfId="7272" xr:uid="{00000000-0005-0000-0000-00009B1E0000}"/>
    <cellStyle name="40% - Ênfase5 9 10" xfId="7273" xr:uid="{00000000-0005-0000-0000-00009C1E0000}"/>
    <cellStyle name="40% - Ênfase5 9 10 2" xfId="7274" xr:uid="{00000000-0005-0000-0000-00009D1E0000}"/>
    <cellStyle name="40% - Ênfase5 9 11" xfId="7275" xr:uid="{00000000-0005-0000-0000-00009E1E0000}"/>
    <cellStyle name="40% - Ênfase5 9 12" xfId="7276" xr:uid="{00000000-0005-0000-0000-00009F1E0000}"/>
    <cellStyle name="40% - Ênfase5 9 2" xfId="7277" xr:uid="{00000000-0005-0000-0000-0000A01E0000}"/>
    <cellStyle name="40% - Ênfase5 9 2 2" xfId="7278" xr:uid="{00000000-0005-0000-0000-0000A11E0000}"/>
    <cellStyle name="40% - Ênfase5 9 2 2 2" xfId="27008" xr:uid="{00000000-0005-0000-0000-0000A21E0000}"/>
    <cellStyle name="40% - Ênfase5 9 2 3" xfId="27007" xr:uid="{00000000-0005-0000-0000-0000A31E0000}"/>
    <cellStyle name="40% - Ênfase5 9 3" xfId="7279" xr:uid="{00000000-0005-0000-0000-0000A41E0000}"/>
    <cellStyle name="40% - Ênfase5 9 3 2" xfId="7280" xr:uid="{00000000-0005-0000-0000-0000A51E0000}"/>
    <cellStyle name="40% - Ênfase5 9 4" xfId="7281" xr:uid="{00000000-0005-0000-0000-0000A61E0000}"/>
    <cellStyle name="40% - Ênfase5 9 4 2" xfId="7282" xr:uid="{00000000-0005-0000-0000-0000A71E0000}"/>
    <cellStyle name="40% - Ênfase5 9 5" xfId="7283" xr:uid="{00000000-0005-0000-0000-0000A81E0000}"/>
    <cellStyle name="40% - Ênfase5 9 5 2" xfId="7284" xr:uid="{00000000-0005-0000-0000-0000A91E0000}"/>
    <cellStyle name="40% - Ênfase5 9 6" xfId="7285" xr:uid="{00000000-0005-0000-0000-0000AA1E0000}"/>
    <cellStyle name="40% - Ênfase5 9 6 2" xfId="7286" xr:uid="{00000000-0005-0000-0000-0000AB1E0000}"/>
    <cellStyle name="40% - Ênfase5 9 7" xfId="7287" xr:uid="{00000000-0005-0000-0000-0000AC1E0000}"/>
    <cellStyle name="40% - Ênfase5 9 7 2" xfId="7288" xr:uid="{00000000-0005-0000-0000-0000AD1E0000}"/>
    <cellStyle name="40% - Ênfase5 9 8" xfId="7289" xr:uid="{00000000-0005-0000-0000-0000AE1E0000}"/>
    <cellStyle name="40% - Ênfase5 9 8 2" xfId="7290" xr:uid="{00000000-0005-0000-0000-0000AF1E0000}"/>
    <cellStyle name="40% - Ênfase5 9 9" xfId="7291" xr:uid="{00000000-0005-0000-0000-0000B01E0000}"/>
    <cellStyle name="40% - Ênfase5 9 9 2" xfId="7292" xr:uid="{00000000-0005-0000-0000-0000B11E0000}"/>
    <cellStyle name="40% - Ênfase6" xfId="38" builtinId="51" customBuiltin="1"/>
    <cellStyle name="40% - Ênfase6 10" xfId="7293" xr:uid="{00000000-0005-0000-0000-0000B31E0000}"/>
    <cellStyle name="40% - Ênfase6 10 2" xfId="7294" xr:uid="{00000000-0005-0000-0000-0000B41E0000}"/>
    <cellStyle name="40% - Ênfase6 10 2 2" xfId="7295" xr:uid="{00000000-0005-0000-0000-0000B51E0000}"/>
    <cellStyle name="40% - Ênfase6 10 2 2 2" xfId="27010" xr:uid="{00000000-0005-0000-0000-0000B61E0000}"/>
    <cellStyle name="40% - Ênfase6 10 2 3" xfId="27009" xr:uid="{00000000-0005-0000-0000-0000B71E0000}"/>
    <cellStyle name="40% - Ênfase6 10 3" xfId="7296" xr:uid="{00000000-0005-0000-0000-0000B81E0000}"/>
    <cellStyle name="40% - Ênfase6 10 3 2" xfId="7297" xr:uid="{00000000-0005-0000-0000-0000B91E0000}"/>
    <cellStyle name="40% - Ênfase6 10 4" xfId="7298" xr:uid="{00000000-0005-0000-0000-0000BA1E0000}"/>
    <cellStyle name="40% - Ênfase6 10 4 2" xfId="7299" xr:uid="{00000000-0005-0000-0000-0000BB1E0000}"/>
    <cellStyle name="40% - Ênfase6 10 5" xfId="7300" xr:uid="{00000000-0005-0000-0000-0000BC1E0000}"/>
    <cellStyle name="40% - Ênfase6 10 5 2" xfId="7301" xr:uid="{00000000-0005-0000-0000-0000BD1E0000}"/>
    <cellStyle name="40% - Ênfase6 10 6" xfId="7302" xr:uid="{00000000-0005-0000-0000-0000BE1E0000}"/>
    <cellStyle name="40% - Ênfase6 11" xfId="7303" xr:uid="{00000000-0005-0000-0000-0000BF1E0000}"/>
    <cellStyle name="40% - Ênfase6 11 2" xfId="7304" xr:uid="{00000000-0005-0000-0000-0000C01E0000}"/>
    <cellStyle name="40% - Ênfase6 11 2 2" xfId="7305" xr:uid="{00000000-0005-0000-0000-0000C11E0000}"/>
    <cellStyle name="40% - Ênfase6 11 2 3" xfId="27011" xr:uid="{00000000-0005-0000-0000-0000C21E0000}"/>
    <cellStyle name="40% - Ênfase6 11 3" xfId="7306" xr:uid="{00000000-0005-0000-0000-0000C31E0000}"/>
    <cellStyle name="40% - Ênfase6 11 3 2" xfId="7307" xr:uid="{00000000-0005-0000-0000-0000C41E0000}"/>
    <cellStyle name="40% - Ênfase6 11 4" xfId="7308" xr:uid="{00000000-0005-0000-0000-0000C51E0000}"/>
    <cellStyle name="40% - Ênfase6 11 4 2" xfId="7309" xr:uid="{00000000-0005-0000-0000-0000C61E0000}"/>
    <cellStyle name="40% - Ênfase6 11 5" xfId="7310" xr:uid="{00000000-0005-0000-0000-0000C71E0000}"/>
    <cellStyle name="40% - Ênfase6 11 5 2" xfId="7311" xr:uid="{00000000-0005-0000-0000-0000C81E0000}"/>
    <cellStyle name="40% - Ênfase6 11 6" xfId="7312" xr:uid="{00000000-0005-0000-0000-0000C91E0000}"/>
    <cellStyle name="40% - Ênfase6 11 7" xfId="25662" xr:uid="{00000000-0005-0000-0000-0000CA1E0000}"/>
    <cellStyle name="40% - Ênfase6 12" xfId="7313" xr:uid="{00000000-0005-0000-0000-0000CB1E0000}"/>
    <cellStyle name="40% - Ênfase6 12 2" xfId="7314" xr:uid="{00000000-0005-0000-0000-0000CC1E0000}"/>
    <cellStyle name="40% - Ênfase6 12 2 2" xfId="7315" xr:uid="{00000000-0005-0000-0000-0000CD1E0000}"/>
    <cellStyle name="40% - Ênfase6 12 2 2 2" xfId="27013" xr:uid="{00000000-0005-0000-0000-0000CE1E0000}"/>
    <cellStyle name="40% - Ênfase6 12 2 3" xfId="27012" xr:uid="{00000000-0005-0000-0000-0000CF1E0000}"/>
    <cellStyle name="40% - Ênfase6 12 3" xfId="7316" xr:uid="{00000000-0005-0000-0000-0000D01E0000}"/>
    <cellStyle name="40% - Ênfase6 12 3 2" xfId="7317" xr:uid="{00000000-0005-0000-0000-0000D11E0000}"/>
    <cellStyle name="40% - Ênfase6 12 4" xfId="7318" xr:uid="{00000000-0005-0000-0000-0000D21E0000}"/>
    <cellStyle name="40% - Ênfase6 12 4 2" xfId="7319" xr:uid="{00000000-0005-0000-0000-0000D31E0000}"/>
    <cellStyle name="40% - Ênfase6 12 5" xfId="7320" xr:uid="{00000000-0005-0000-0000-0000D41E0000}"/>
    <cellStyle name="40% - Ênfase6 12 5 2" xfId="7321" xr:uid="{00000000-0005-0000-0000-0000D51E0000}"/>
    <cellStyle name="40% - Ênfase6 12 6" xfId="7322" xr:uid="{00000000-0005-0000-0000-0000D61E0000}"/>
    <cellStyle name="40% - Ênfase6 13" xfId="7323" xr:uid="{00000000-0005-0000-0000-0000D71E0000}"/>
    <cellStyle name="40% - Ênfase6 13 2" xfId="7324" xr:uid="{00000000-0005-0000-0000-0000D81E0000}"/>
    <cellStyle name="40% - Ênfase6 14" xfId="7325" xr:uid="{00000000-0005-0000-0000-0000D91E0000}"/>
    <cellStyle name="40% - Ênfase6 14 2" xfId="7326" xr:uid="{00000000-0005-0000-0000-0000DA1E0000}"/>
    <cellStyle name="40% - Ênfase6 15" xfId="7327" xr:uid="{00000000-0005-0000-0000-0000DB1E0000}"/>
    <cellStyle name="40% - Ênfase6 15 2" xfId="7328" xr:uid="{00000000-0005-0000-0000-0000DC1E0000}"/>
    <cellStyle name="40% - Ênfase6 16" xfId="7329" xr:uid="{00000000-0005-0000-0000-0000DD1E0000}"/>
    <cellStyle name="40% - Ênfase6 16 2" xfId="7330" xr:uid="{00000000-0005-0000-0000-0000DE1E0000}"/>
    <cellStyle name="40% - Ênfase6 17" xfId="7331" xr:uid="{00000000-0005-0000-0000-0000DF1E0000}"/>
    <cellStyle name="40% - Ênfase6 17 2" xfId="7332" xr:uid="{00000000-0005-0000-0000-0000E01E0000}"/>
    <cellStyle name="40% - Ênfase6 18" xfId="7333" xr:uid="{00000000-0005-0000-0000-0000E11E0000}"/>
    <cellStyle name="40% - Ênfase6 18 2" xfId="7334" xr:uid="{00000000-0005-0000-0000-0000E21E0000}"/>
    <cellStyle name="40% - Ênfase6 19" xfId="7335" xr:uid="{00000000-0005-0000-0000-0000E31E0000}"/>
    <cellStyle name="40% - Ênfase6 19 2" xfId="7336" xr:uid="{00000000-0005-0000-0000-0000E41E0000}"/>
    <cellStyle name="40% - Ênfase6 2" xfId="7337" xr:uid="{00000000-0005-0000-0000-0000E51E0000}"/>
    <cellStyle name="40% - Ênfase6 2 2" xfId="7338" xr:uid="{00000000-0005-0000-0000-0000E61E0000}"/>
    <cellStyle name="40% - Ênfase6 2 2 10" xfId="7339" xr:uid="{00000000-0005-0000-0000-0000E71E0000}"/>
    <cellStyle name="40% - Ênfase6 2 2 10 2" xfId="7340" xr:uid="{00000000-0005-0000-0000-0000E81E0000}"/>
    <cellStyle name="40% - Ênfase6 2 2 11" xfId="7341" xr:uid="{00000000-0005-0000-0000-0000E91E0000}"/>
    <cellStyle name="40% - Ênfase6 2 2 11 2" xfId="7342" xr:uid="{00000000-0005-0000-0000-0000EA1E0000}"/>
    <cellStyle name="40% - Ênfase6 2 2 12" xfId="7343" xr:uid="{00000000-0005-0000-0000-0000EB1E0000}"/>
    <cellStyle name="40% - Ênfase6 2 2 12 2" xfId="7344" xr:uid="{00000000-0005-0000-0000-0000EC1E0000}"/>
    <cellStyle name="40% - Ênfase6 2 2 13" xfId="25663" xr:uid="{00000000-0005-0000-0000-0000ED1E0000}"/>
    <cellStyle name="40% - Ênfase6 2 2 2" xfId="7345" xr:uid="{00000000-0005-0000-0000-0000EE1E0000}"/>
    <cellStyle name="40% - Ênfase6 2 2 2 10" xfId="7346" xr:uid="{00000000-0005-0000-0000-0000EF1E0000}"/>
    <cellStyle name="40% - Ênfase6 2 2 2 11" xfId="7347" xr:uid="{00000000-0005-0000-0000-0000F01E0000}"/>
    <cellStyle name="40% - Ênfase6 2 2 2 2" xfId="7348" xr:uid="{00000000-0005-0000-0000-0000F11E0000}"/>
    <cellStyle name="40% - Ênfase6 2 2 2 2 2" xfId="25665" xr:uid="{00000000-0005-0000-0000-0000F21E0000}"/>
    <cellStyle name="40% - Ênfase6 2 2 2 2 2 2" xfId="27018" xr:uid="{00000000-0005-0000-0000-0000F31E0000}"/>
    <cellStyle name="40% - Ênfase6 2 2 2 2 3" xfId="27017" xr:uid="{00000000-0005-0000-0000-0000F41E0000}"/>
    <cellStyle name="40% - Ênfase6 2 2 2 2 4" xfId="25664" xr:uid="{00000000-0005-0000-0000-0000F51E0000}"/>
    <cellStyle name="40% - Ênfase6 2 2 2 3" xfId="7349" xr:uid="{00000000-0005-0000-0000-0000F61E0000}"/>
    <cellStyle name="40% - Ênfase6 2 2 2 3 2" xfId="27019" xr:uid="{00000000-0005-0000-0000-0000F71E0000}"/>
    <cellStyle name="40% - Ênfase6 2 2 2 3 3" xfId="25666" xr:uid="{00000000-0005-0000-0000-0000F81E0000}"/>
    <cellStyle name="40% - Ênfase6 2 2 2 4" xfId="7350" xr:uid="{00000000-0005-0000-0000-0000F91E0000}"/>
    <cellStyle name="40% - Ênfase6 2 2 2 4 2" xfId="27016" xr:uid="{00000000-0005-0000-0000-0000FA1E0000}"/>
    <cellStyle name="40% - Ênfase6 2 2 2 5" xfId="7351" xr:uid="{00000000-0005-0000-0000-0000FB1E0000}"/>
    <cellStyle name="40% - Ênfase6 2 2 2 6" xfId="7352" xr:uid="{00000000-0005-0000-0000-0000FC1E0000}"/>
    <cellStyle name="40% - Ênfase6 2 2 2 7" xfId="7353" xr:uid="{00000000-0005-0000-0000-0000FD1E0000}"/>
    <cellStyle name="40% - Ênfase6 2 2 2 8" xfId="7354" xr:uid="{00000000-0005-0000-0000-0000FE1E0000}"/>
    <cellStyle name="40% - Ênfase6 2 2 2 9" xfId="7355" xr:uid="{00000000-0005-0000-0000-0000FF1E0000}"/>
    <cellStyle name="40% - Ênfase6 2 2 3" xfId="7356" xr:uid="{00000000-0005-0000-0000-0000001F0000}"/>
    <cellStyle name="40% - Ênfase6 2 2 3 2" xfId="25668" xr:uid="{00000000-0005-0000-0000-0000011F0000}"/>
    <cellStyle name="40% - Ênfase6 2 2 3 2 2" xfId="25669" xr:uid="{00000000-0005-0000-0000-0000021F0000}"/>
    <cellStyle name="40% - Ênfase6 2 2 3 2 2 2" xfId="27022" xr:uid="{00000000-0005-0000-0000-0000031F0000}"/>
    <cellStyle name="40% - Ênfase6 2 2 3 2 3" xfId="27021" xr:uid="{00000000-0005-0000-0000-0000041F0000}"/>
    <cellStyle name="40% - Ênfase6 2 2 3 3" xfId="25670" xr:uid="{00000000-0005-0000-0000-0000051F0000}"/>
    <cellStyle name="40% - Ênfase6 2 2 3 3 2" xfId="27023" xr:uid="{00000000-0005-0000-0000-0000061F0000}"/>
    <cellStyle name="40% - Ênfase6 2 2 3 4" xfId="27020" xr:uid="{00000000-0005-0000-0000-0000071F0000}"/>
    <cellStyle name="40% - Ênfase6 2 2 3 5" xfId="25667" xr:uid="{00000000-0005-0000-0000-0000081F0000}"/>
    <cellStyle name="40% - Ênfase6 2 2 4" xfId="7357" xr:uid="{00000000-0005-0000-0000-0000091F0000}"/>
    <cellStyle name="40% - Ênfase6 2 2 4 2" xfId="27024" xr:uid="{00000000-0005-0000-0000-00000A1F0000}"/>
    <cellStyle name="40% - Ênfase6 2 2 4 3" xfId="25671" xr:uid="{00000000-0005-0000-0000-00000B1F0000}"/>
    <cellStyle name="40% - Ênfase6 2 2 5" xfId="7358" xr:uid="{00000000-0005-0000-0000-00000C1F0000}"/>
    <cellStyle name="40% - Ênfase6 2 2 5 2" xfId="7359" xr:uid="{00000000-0005-0000-0000-00000D1F0000}"/>
    <cellStyle name="40% - Ênfase6 2 2 5 3" xfId="27015" xr:uid="{00000000-0005-0000-0000-00000E1F0000}"/>
    <cellStyle name="40% - Ênfase6 2 2 6" xfId="7360" xr:uid="{00000000-0005-0000-0000-00000F1F0000}"/>
    <cellStyle name="40% - Ênfase6 2 2 6 2" xfId="7361" xr:uid="{00000000-0005-0000-0000-0000101F0000}"/>
    <cellStyle name="40% - Ênfase6 2 2 7" xfId="7362" xr:uid="{00000000-0005-0000-0000-0000111F0000}"/>
    <cellStyle name="40% - Ênfase6 2 2 7 2" xfId="7363" xr:uid="{00000000-0005-0000-0000-0000121F0000}"/>
    <cellStyle name="40% - Ênfase6 2 2 8" xfId="7364" xr:uid="{00000000-0005-0000-0000-0000131F0000}"/>
    <cellStyle name="40% - Ênfase6 2 2 8 2" xfId="7365" xr:uid="{00000000-0005-0000-0000-0000141F0000}"/>
    <cellStyle name="40% - Ênfase6 2 2 9" xfId="7366" xr:uid="{00000000-0005-0000-0000-0000151F0000}"/>
    <cellStyle name="40% - Ênfase6 2 2 9 2" xfId="7367" xr:uid="{00000000-0005-0000-0000-0000161F0000}"/>
    <cellStyle name="40% - Ênfase6 2 3" xfId="7368" xr:uid="{00000000-0005-0000-0000-0000171F0000}"/>
    <cellStyle name="40% - Ênfase6 2 3 2" xfId="25673" xr:uid="{00000000-0005-0000-0000-0000181F0000}"/>
    <cellStyle name="40% - Ênfase6 2 3 2 2" xfId="25674" xr:uid="{00000000-0005-0000-0000-0000191F0000}"/>
    <cellStyle name="40% - Ênfase6 2 3 2 2 2" xfId="27027" xr:uid="{00000000-0005-0000-0000-00001A1F0000}"/>
    <cellStyle name="40% - Ênfase6 2 3 2 3" xfId="27026" xr:uid="{00000000-0005-0000-0000-00001B1F0000}"/>
    <cellStyle name="40% - Ênfase6 2 3 3" xfId="25675" xr:uid="{00000000-0005-0000-0000-00001C1F0000}"/>
    <cellStyle name="40% - Ênfase6 2 3 3 2" xfId="27028" xr:uid="{00000000-0005-0000-0000-00001D1F0000}"/>
    <cellStyle name="40% - Ênfase6 2 3 4" xfId="27025" xr:uid="{00000000-0005-0000-0000-00001E1F0000}"/>
    <cellStyle name="40% - Ênfase6 2 3 5" xfId="25672" xr:uid="{00000000-0005-0000-0000-00001F1F0000}"/>
    <cellStyle name="40% - Ênfase6 2 4" xfId="7369" xr:uid="{00000000-0005-0000-0000-0000201F0000}"/>
    <cellStyle name="40% - Ênfase6 2 4 2" xfId="25677" xr:uid="{00000000-0005-0000-0000-0000211F0000}"/>
    <cellStyle name="40% - Ênfase6 2 4 2 2" xfId="25678" xr:uid="{00000000-0005-0000-0000-0000221F0000}"/>
    <cellStyle name="40% - Ênfase6 2 4 2 2 2" xfId="27031" xr:uid="{00000000-0005-0000-0000-0000231F0000}"/>
    <cellStyle name="40% - Ênfase6 2 4 2 3" xfId="27030" xr:uid="{00000000-0005-0000-0000-0000241F0000}"/>
    <cellStyle name="40% - Ênfase6 2 4 3" xfId="25679" xr:uid="{00000000-0005-0000-0000-0000251F0000}"/>
    <cellStyle name="40% - Ênfase6 2 4 3 2" xfId="27032" xr:uid="{00000000-0005-0000-0000-0000261F0000}"/>
    <cellStyle name="40% - Ênfase6 2 4 4" xfId="27029" xr:uid="{00000000-0005-0000-0000-0000271F0000}"/>
    <cellStyle name="40% - Ênfase6 2 4 5" xfId="25676" xr:uid="{00000000-0005-0000-0000-0000281F0000}"/>
    <cellStyle name="40% - Ênfase6 2 5" xfId="7370" xr:uid="{00000000-0005-0000-0000-0000291F0000}"/>
    <cellStyle name="40% - Ênfase6 2 5 10" xfId="7371" xr:uid="{00000000-0005-0000-0000-00002A1F0000}"/>
    <cellStyle name="40% - Ênfase6 2 5 10 2" xfId="7372" xr:uid="{00000000-0005-0000-0000-00002B1F0000}"/>
    <cellStyle name="40% - Ênfase6 2 5 2" xfId="7373" xr:uid="{00000000-0005-0000-0000-00002C1F0000}"/>
    <cellStyle name="40% - Ênfase6 2 5 2 2" xfId="7374" xr:uid="{00000000-0005-0000-0000-00002D1F0000}"/>
    <cellStyle name="40% - Ênfase6 2 5 3" xfId="7375" xr:uid="{00000000-0005-0000-0000-00002E1F0000}"/>
    <cellStyle name="40% - Ênfase6 2 5 3 2" xfId="7376" xr:uid="{00000000-0005-0000-0000-00002F1F0000}"/>
    <cellStyle name="40% - Ênfase6 2 5 4" xfId="7377" xr:uid="{00000000-0005-0000-0000-0000301F0000}"/>
    <cellStyle name="40% - Ênfase6 2 5 4 2" xfId="7378" xr:uid="{00000000-0005-0000-0000-0000311F0000}"/>
    <cellStyle name="40% - Ênfase6 2 5 5" xfId="7379" xr:uid="{00000000-0005-0000-0000-0000321F0000}"/>
    <cellStyle name="40% - Ênfase6 2 5 5 2" xfId="7380" xr:uid="{00000000-0005-0000-0000-0000331F0000}"/>
    <cellStyle name="40% - Ênfase6 2 5 6" xfId="7381" xr:uid="{00000000-0005-0000-0000-0000341F0000}"/>
    <cellStyle name="40% - Ênfase6 2 5 6 2" xfId="7382" xr:uid="{00000000-0005-0000-0000-0000351F0000}"/>
    <cellStyle name="40% - Ênfase6 2 5 7" xfId="7383" xr:uid="{00000000-0005-0000-0000-0000361F0000}"/>
    <cellStyle name="40% - Ênfase6 2 5 7 2" xfId="7384" xr:uid="{00000000-0005-0000-0000-0000371F0000}"/>
    <cellStyle name="40% - Ênfase6 2 5 8" xfId="7385" xr:uid="{00000000-0005-0000-0000-0000381F0000}"/>
    <cellStyle name="40% - Ênfase6 2 5 8 2" xfId="7386" xr:uid="{00000000-0005-0000-0000-0000391F0000}"/>
    <cellStyle name="40% - Ênfase6 2 5 9" xfId="7387" xr:uid="{00000000-0005-0000-0000-00003A1F0000}"/>
    <cellStyle name="40% - Ênfase6 2 5 9 2" xfId="7388" xr:uid="{00000000-0005-0000-0000-00003B1F0000}"/>
    <cellStyle name="40% - Ênfase6 2 6" xfId="7389" xr:uid="{00000000-0005-0000-0000-00003C1F0000}"/>
    <cellStyle name="40% - Ênfase6 2 6 2" xfId="7390" xr:uid="{00000000-0005-0000-0000-00003D1F0000}"/>
    <cellStyle name="40% - Ênfase6 2 6 2 2" xfId="7391" xr:uid="{00000000-0005-0000-0000-00003E1F0000}"/>
    <cellStyle name="40% - Ênfase6 2 6 3" xfId="7392" xr:uid="{00000000-0005-0000-0000-00003F1F0000}"/>
    <cellStyle name="40% - Ênfase6 2 6 3 2" xfId="7393" xr:uid="{00000000-0005-0000-0000-0000401F0000}"/>
    <cellStyle name="40% - Ênfase6 2 6 4" xfId="7394" xr:uid="{00000000-0005-0000-0000-0000411F0000}"/>
    <cellStyle name="40% - Ênfase6 2 6 4 2" xfId="7395" xr:uid="{00000000-0005-0000-0000-0000421F0000}"/>
    <cellStyle name="40% - Ênfase6 2 6 5" xfId="7396" xr:uid="{00000000-0005-0000-0000-0000431F0000}"/>
    <cellStyle name="40% - Ênfase6 2 6 5 2" xfId="7397" xr:uid="{00000000-0005-0000-0000-0000441F0000}"/>
    <cellStyle name="40% - Ênfase6 2 6 6" xfId="7398" xr:uid="{00000000-0005-0000-0000-0000451F0000}"/>
    <cellStyle name="40% - Ênfase6 2 7" xfId="27014" xr:uid="{00000000-0005-0000-0000-0000461F0000}"/>
    <cellStyle name="40% - Ênfase6 20" xfId="7399" xr:uid="{00000000-0005-0000-0000-0000471F0000}"/>
    <cellStyle name="40% - Ênfase6 20 2" xfId="7400" xr:uid="{00000000-0005-0000-0000-0000481F0000}"/>
    <cellStyle name="40% - Ênfase6 21" xfId="7401" xr:uid="{00000000-0005-0000-0000-0000491F0000}"/>
    <cellStyle name="40% - Ênfase6 21 2" xfId="7402" xr:uid="{00000000-0005-0000-0000-00004A1F0000}"/>
    <cellStyle name="40% - Ênfase6 22" xfId="7403" xr:uid="{00000000-0005-0000-0000-00004B1F0000}"/>
    <cellStyle name="40% - Ênfase6 22 2" xfId="7404" xr:uid="{00000000-0005-0000-0000-00004C1F0000}"/>
    <cellStyle name="40% - Ênfase6 23" xfId="7405" xr:uid="{00000000-0005-0000-0000-00004D1F0000}"/>
    <cellStyle name="40% - Ênfase6 23 2" xfId="7406" xr:uid="{00000000-0005-0000-0000-00004E1F0000}"/>
    <cellStyle name="40% - Ênfase6 24" xfId="7407" xr:uid="{00000000-0005-0000-0000-00004F1F0000}"/>
    <cellStyle name="40% - Ênfase6 24 2" xfId="7408" xr:uid="{00000000-0005-0000-0000-0000501F0000}"/>
    <cellStyle name="40% - Ênfase6 25" xfId="7409" xr:uid="{00000000-0005-0000-0000-0000511F0000}"/>
    <cellStyle name="40% - Ênfase6 25 2" xfId="7410" xr:uid="{00000000-0005-0000-0000-0000521F0000}"/>
    <cellStyle name="40% - Ênfase6 26" xfId="7411" xr:uid="{00000000-0005-0000-0000-0000531F0000}"/>
    <cellStyle name="40% - Ênfase6 26 2" xfId="7412" xr:uid="{00000000-0005-0000-0000-0000541F0000}"/>
    <cellStyle name="40% - Ênfase6 27" xfId="7413" xr:uid="{00000000-0005-0000-0000-0000551F0000}"/>
    <cellStyle name="40% - Ênfase6 27 2" xfId="7414" xr:uid="{00000000-0005-0000-0000-0000561F0000}"/>
    <cellStyle name="40% - Ênfase6 28" xfId="7415" xr:uid="{00000000-0005-0000-0000-0000571F0000}"/>
    <cellStyle name="40% - Ênfase6 28 2" xfId="7416" xr:uid="{00000000-0005-0000-0000-0000581F0000}"/>
    <cellStyle name="40% - Ênfase6 29" xfId="7417" xr:uid="{00000000-0005-0000-0000-0000591F0000}"/>
    <cellStyle name="40% - Ênfase6 29 2" xfId="7418" xr:uid="{00000000-0005-0000-0000-00005A1F0000}"/>
    <cellStyle name="40% - Ênfase6 3" xfId="7419" xr:uid="{00000000-0005-0000-0000-00005B1F0000}"/>
    <cellStyle name="40% - Ênfase6 3 2" xfId="7420" xr:uid="{00000000-0005-0000-0000-00005C1F0000}"/>
    <cellStyle name="40% - Ênfase6 3 2 10" xfId="7421" xr:uid="{00000000-0005-0000-0000-00005D1F0000}"/>
    <cellStyle name="40% - Ênfase6 3 2 10 2" xfId="7422" xr:uid="{00000000-0005-0000-0000-00005E1F0000}"/>
    <cellStyle name="40% - Ênfase6 3 2 11" xfId="7423" xr:uid="{00000000-0005-0000-0000-00005F1F0000}"/>
    <cellStyle name="40% - Ênfase6 3 2 11 2" xfId="7424" xr:uid="{00000000-0005-0000-0000-0000601F0000}"/>
    <cellStyle name="40% - Ênfase6 3 2 12" xfId="7425" xr:uid="{00000000-0005-0000-0000-0000611F0000}"/>
    <cellStyle name="40% - Ênfase6 3 2 12 2" xfId="7426" xr:uid="{00000000-0005-0000-0000-0000621F0000}"/>
    <cellStyle name="40% - Ênfase6 3 2 2" xfId="7427" xr:uid="{00000000-0005-0000-0000-0000631F0000}"/>
    <cellStyle name="40% - Ênfase6 3 2 2 10" xfId="7428" xr:uid="{00000000-0005-0000-0000-0000641F0000}"/>
    <cellStyle name="40% - Ênfase6 3 2 2 11" xfId="7429" xr:uid="{00000000-0005-0000-0000-0000651F0000}"/>
    <cellStyle name="40% - Ênfase6 3 2 2 2" xfId="7430" xr:uid="{00000000-0005-0000-0000-0000661F0000}"/>
    <cellStyle name="40% - Ênfase6 3 2 2 2 2" xfId="25681" xr:uid="{00000000-0005-0000-0000-0000671F0000}"/>
    <cellStyle name="40% - Ênfase6 3 2 2 2 2 2" xfId="27036" xr:uid="{00000000-0005-0000-0000-0000681F0000}"/>
    <cellStyle name="40% - Ênfase6 3 2 2 2 3" xfId="27035" xr:uid="{00000000-0005-0000-0000-0000691F0000}"/>
    <cellStyle name="40% - Ênfase6 3 2 2 2 4" xfId="25680" xr:uid="{00000000-0005-0000-0000-00006A1F0000}"/>
    <cellStyle name="40% - Ênfase6 3 2 2 3" xfId="7431" xr:uid="{00000000-0005-0000-0000-00006B1F0000}"/>
    <cellStyle name="40% - Ênfase6 3 2 2 3 2" xfId="27037" xr:uid="{00000000-0005-0000-0000-00006C1F0000}"/>
    <cellStyle name="40% - Ênfase6 3 2 2 3 3" xfId="25682" xr:uid="{00000000-0005-0000-0000-00006D1F0000}"/>
    <cellStyle name="40% - Ênfase6 3 2 2 4" xfId="7432" xr:uid="{00000000-0005-0000-0000-00006E1F0000}"/>
    <cellStyle name="40% - Ênfase6 3 2 2 4 2" xfId="27034" xr:uid="{00000000-0005-0000-0000-00006F1F0000}"/>
    <cellStyle name="40% - Ênfase6 3 2 2 5" xfId="7433" xr:uid="{00000000-0005-0000-0000-0000701F0000}"/>
    <cellStyle name="40% - Ênfase6 3 2 2 6" xfId="7434" xr:uid="{00000000-0005-0000-0000-0000711F0000}"/>
    <cellStyle name="40% - Ênfase6 3 2 2 7" xfId="7435" xr:uid="{00000000-0005-0000-0000-0000721F0000}"/>
    <cellStyle name="40% - Ênfase6 3 2 2 8" xfId="7436" xr:uid="{00000000-0005-0000-0000-0000731F0000}"/>
    <cellStyle name="40% - Ênfase6 3 2 2 9" xfId="7437" xr:uid="{00000000-0005-0000-0000-0000741F0000}"/>
    <cellStyle name="40% - Ênfase6 3 2 3" xfId="7438" xr:uid="{00000000-0005-0000-0000-0000751F0000}"/>
    <cellStyle name="40% - Ênfase6 3 2 3 2" xfId="25684" xr:uid="{00000000-0005-0000-0000-0000761F0000}"/>
    <cellStyle name="40% - Ênfase6 3 2 3 2 2" xfId="27039" xr:uid="{00000000-0005-0000-0000-0000771F0000}"/>
    <cellStyle name="40% - Ênfase6 3 2 3 3" xfId="27038" xr:uid="{00000000-0005-0000-0000-0000781F0000}"/>
    <cellStyle name="40% - Ênfase6 3 2 3 4" xfId="25683" xr:uid="{00000000-0005-0000-0000-0000791F0000}"/>
    <cellStyle name="40% - Ênfase6 3 2 4" xfId="7439" xr:uid="{00000000-0005-0000-0000-00007A1F0000}"/>
    <cellStyle name="40% - Ênfase6 3 2 4 2" xfId="27040" xr:uid="{00000000-0005-0000-0000-00007B1F0000}"/>
    <cellStyle name="40% - Ênfase6 3 2 4 3" xfId="25685" xr:uid="{00000000-0005-0000-0000-00007C1F0000}"/>
    <cellStyle name="40% - Ênfase6 3 2 5" xfId="7440" xr:uid="{00000000-0005-0000-0000-00007D1F0000}"/>
    <cellStyle name="40% - Ênfase6 3 2 5 2" xfId="7441" xr:uid="{00000000-0005-0000-0000-00007E1F0000}"/>
    <cellStyle name="40% - Ênfase6 3 2 6" xfId="7442" xr:uid="{00000000-0005-0000-0000-00007F1F0000}"/>
    <cellStyle name="40% - Ênfase6 3 2 6 2" xfId="7443" xr:uid="{00000000-0005-0000-0000-0000801F0000}"/>
    <cellStyle name="40% - Ênfase6 3 2 7" xfId="7444" xr:uid="{00000000-0005-0000-0000-0000811F0000}"/>
    <cellStyle name="40% - Ênfase6 3 2 7 2" xfId="7445" xr:uid="{00000000-0005-0000-0000-0000821F0000}"/>
    <cellStyle name="40% - Ênfase6 3 2 8" xfId="7446" xr:uid="{00000000-0005-0000-0000-0000831F0000}"/>
    <cellStyle name="40% - Ênfase6 3 2 8 2" xfId="7447" xr:uid="{00000000-0005-0000-0000-0000841F0000}"/>
    <cellStyle name="40% - Ênfase6 3 2 9" xfId="7448" xr:uid="{00000000-0005-0000-0000-0000851F0000}"/>
    <cellStyle name="40% - Ênfase6 3 2 9 2" xfId="7449" xr:uid="{00000000-0005-0000-0000-0000861F0000}"/>
    <cellStyle name="40% - Ênfase6 3 3" xfId="7450" xr:uid="{00000000-0005-0000-0000-0000871F0000}"/>
    <cellStyle name="40% - Ênfase6 3 3 2" xfId="25687" xr:uid="{00000000-0005-0000-0000-0000881F0000}"/>
    <cellStyle name="40% - Ênfase6 3 3 2 2" xfId="25688" xr:uid="{00000000-0005-0000-0000-0000891F0000}"/>
    <cellStyle name="40% - Ênfase6 3 3 2 2 2" xfId="27043" xr:uid="{00000000-0005-0000-0000-00008A1F0000}"/>
    <cellStyle name="40% - Ênfase6 3 3 2 3" xfId="27042" xr:uid="{00000000-0005-0000-0000-00008B1F0000}"/>
    <cellStyle name="40% - Ênfase6 3 3 3" xfId="25689" xr:uid="{00000000-0005-0000-0000-00008C1F0000}"/>
    <cellStyle name="40% - Ênfase6 3 3 3 2" xfId="27044" xr:uid="{00000000-0005-0000-0000-00008D1F0000}"/>
    <cellStyle name="40% - Ênfase6 3 3 4" xfId="27041" xr:uid="{00000000-0005-0000-0000-00008E1F0000}"/>
    <cellStyle name="40% - Ênfase6 3 3 5" xfId="25686" xr:uid="{00000000-0005-0000-0000-00008F1F0000}"/>
    <cellStyle name="40% - Ênfase6 3 4" xfId="7451" xr:uid="{00000000-0005-0000-0000-0000901F0000}"/>
    <cellStyle name="40% - Ênfase6 3 4 2" xfId="27045" xr:uid="{00000000-0005-0000-0000-0000911F0000}"/>
    <cellStyle name="40% - Ênfase6 3 5" xfId="7452" xr:uid="{00000000-0005-0000-0000-0000921F0000}"/>
    <cellStyle name="40% - Ênfase6 3 5 10" xfId="7453" xr:uid="{00000000-0005-0000-0000-0000931F0000}"/>
    <cellStyle name="40% - Ênfase6 3 5 10 2" xfId="7454" xr:uid="{00000000-0005-0000-0000-0000941F0000}"/>
    <cellStyle name="40% - Ênfase6 3 5 2" xfId="7455" xr:uid="{00000000-0005-0000-0000-0000951F0000}"/>
    <cellStyle name="40% - Ênfase6 3 5 2 2" xfId="7456" xr:uid="{00000000-0005-0000-0000-0000961F0000}"/>
    <cellStyle name="40% - Ênfase6 3 5 3" xfId="7457" xr:uid="{00000000-0005-0000-0000-0000971F0000}"/>
    <cellStyle name="40% - Ênfase6 3 5 3 2" xfId="7458" xr:uid="{00000000-0005-0000-0000-0000981F0000}"/>
    <cellStyle name="40% - Ênfase6 3 5 4" xfId="7459" xr:uid="{00000000-0005-0000-0000-0000991F0000}"/>
    <cellStyle name="40% - Ênfase6 3 5 4 2" xfId="7460" xr:uid="{00000000-0005-0000-0000-00009A1F0000}"/>
    <cellStyle name="40% - Ênfase6 3 5 5" xfId="7461" xr:uid="{00000000-0005-0000-0000-00009B1F0000}"/>
    <cellStyle name="40% - Ênfase6 3 5 5 2" xfId="7462" xr:uid="{00000000-0005-0000-0000-00009C1F0000}"/>
    <cellStyle name="40% - Ênfase6 3 5 6" xfId="7463" xr:uid="{00000000-0005-0000-0000-00009D1F0000}"/>
    <cellStyle name="40% - Ênfase6 3 5 6 2" xfId="7464" xr:uid="{00000000-0005-0000-0000-00009E1F0000}"/>
    <cellStyle name="40% - Ênfase6 3 5 7" xfId="7465" xr:uid="{00000000-0005-0000-0000-00009F1F0000}"/>
    <cellStyle name="40% - Ênfase6 3 5 7 2" xfId="7466" xr:uid="{00000000-0005-0000-0000-0000A01F0000}"/>
    <cellStyle name="40% - Ênfase6 3 5 8" xfId="7467" xr:uid="{00000000-0005-0000-0000-0000A11F0000}"/>
    <cellStyle name="40% - Ênfase6 3 5 8 2" xfId="7468" xr:uid="{00000000-0005-0000-0000-0000A21F0000}"/>
    <cellStyle name="40% - Ênfase6 3 5 9" xfId="7469" xr:uid="{00000000-0005-0000-0000-0000A31F0000}"/>
    <cellStyle name="40% - Ênfase6 3 5 9 2" xfId="7470" xr:uid="{00000000-0005-0000-0000-0000A41F0000}"/>
    <cellStyle name="40% - Ênfase6 3 6" xfId="7471" xr:uid="{00000000-0005-0000-0000-0000A51F0000}"/>
    <cellStyle name="40% - Ênfase6 3 6 2" xfId="7472" xr:uid="{00000000-0005-0000-0000-0000A61F0000}"/>
    <cellStyle name="40% - Ênfase6 3 6 2 2" xfId="7473" xr:uid="{00000000-0005-0000-0000-0000A71F0000}"/>
    <cellStyle name="40% - Ênfase6 3 6 3" xfId="7474" xr:uid="{00000000-0005-0000-0000-0000A81F0000}"/>
    <cellStyle name="40% - Ênfase6 3 6 3 2" xfId="7475" xr:uid="{00000000-0005-0000-0000-0000A91F0000}"/>
    <cellStyle name="40% - Ênfase6 3 6 4" xfId="7476" xr:uid="{00000000-0005-0000-0000-0000AA1F0000}"/>
    <cellStyle name="40% - Ênfase6 3 6 4 2" xfId="7477" xr:uid="{00000000-0005-0000-0000-0000AB1F0000}"/>
    <cellStyle name="40% - Ênfase6 3 6 5" xfId="7478" xr:uid="{00000000-0005-0000-0000-0000AC1F0000}"/>
    <cellStyle name="40% - Ênfase6 3 6 5 2" xfId="7479" xr:uid="{00000000-0005-0000-0000-0000AD1F0000}"/>
    <cellStyle name="40% - Ênfase6 3 6 6" xfId="7480" xr:uid="{00000000-0005-0000-0000-0000AE1F0000}"/>
    <cellStyle name="40% - Ênfase6 3 7" xfId="25690" xr:uid="{00000000-0005-0000-0000-0000AF1F0000}"/>
    <cellStyle name="40% - Ênfase6 3 7 2" xfId="27046" xr:uid="{00000000-0005-0000-0000-0000B01F0000}"/>
    <cellStyle name="40% - Ênfase6 3 8" xfId="27033" xr:uid="{00000000-0005-0000-0000-0000B11F0000}"/>
    <cellStyle name="40% - Ênfase6 30" xfId="7481" xr:uid="{00000000-0005-0000-0000-0000B21F0000}"/>
    <cellStyle name="40% - Ênfase6 30 2" xfId="7482" xr:uid="{00000000-0005-0000-0000-0000B31F0000}"/>
    <cellStyle name="40% - Ênfase6 31" xfId="7483" xr:uid="{00000000-0005-0000-0000-0000B41F0000}"/>
    <cellStyle name="40% - Ênfase6 31 2" xfId="7484" xr:uid="{00000000-0005-0000-0000-0000B51F0000}"/>
    <cellStyle name="40% - Ênfase6 32" xfId="7485" xr:uid="{00000000-0005-0000-0000-0000B61F0000}"/>
    <cellStyle name="40% - Ênfase6 32 2" xfId="7486" xr:uid="{00000000-0005-0000-0000-0000B71F0000}"/>
    <cellStyle name="40% - Ênfase6 33" xfId="7487" xr:uid="{00000000-0005-0000-0000-0000B81F0000}"/>
    <cellStyle name="40% - Ênfase6 33 2" xfId="7488" xr:uid="{00000000-0005-0000-0000-0000B91F0000}"/>
    <cellStyle name="40% - Ênfase6 34" xfId="7489" xr:uid="{00000000-0005-0000-0000-0000BA1F0000}"/>
    <cellStyle name="40% - Ênfase6 34 2" xfId="7490" xr:uid="{00000000-0005-0000-0000-0000BB1F0000}"/>
    <cellStyle name="40% - Ênfase6 35" xfId="7491" xr:uid="{00000000-0005-0000-0000-0000BC1F0000}"/>
    <cellStyle name="40% - Ênfase6 35 2" xfId="7492" xr:uid="{00000000-0005-0000-0000-0000BD1F0000}"/>
    <cellStyle name="40% - Ênfase6 36" xfId="7493" xr:uid="{00000000-0005-0000-0000-0000BE1F0000}"/>
    <cellStyle name="40% - Ênfase6 36 2" xfId="7494" xr:uid="{00000000-0005-0000-0000-0000BF1F0000}"/>
    <cellStyle name="40% - Ênfase6 37" xfId="7495" xr:uid="{00000000-0005-0000-0000-0000C01F0000}"/>
    <cellStyle name="40% - Ênfase6 37 2" xfId="7496" xr:uid="{00000000-0005-0000-0000-0000C11F0000}"/>
    <cellStyle name="40% - Ênfase6 38" xfId="7497" xr:uid="{00000000-0005-0000-0000-0000C21F0000}"/>
    <cellStyle name="40% - Ênfase6 38 2" xfId="7498" xr:uid="{00000000-0005-0000-0000-0000C31F0000}"/>
    <cellStyle name="40% - Ênfase6 39" xfId="7499" xr:uid="{00000000-0005-0000-0000-0000C41F0000}"/>
    <cellStyle name="40% - Ênfase6 39 2" xfId="7500" xr:uid="{00000000-0005-0000-0000-0000C51F0000}"/>
    <cellStyle name="40% - Ênfase6 4" xfId="7501" xr:uid="{00000000-0005-0000-0000-0000C61F0000}"/>
    <cellStyle name="40% - Ênfase6 4 2" xfId="7502" xr:uid="{00000000-0005-0000-0000-0000C71F0000}"/>
    <cellStyle name="40% - Ênfase6 4 2 10" xfId="7503" xr:uid="{00000000-0005-0000-0000-0000C81F0000}"/>
    <cellStyle name="40% - Ênfase6 4 2 10 2" xfId="7504" xr:uid="{00000000-0005-0000-0000-0000C91F0000}"/>
    <cellStyle name="40% - Ênfase6 4 2 11" xfId="7505" xr:uid="{00000000-0005-0000-0000-0000CA1F0000}"/>
    <cellStyle name="40% - Ênfase6 4 2 11 2" xfId="7506" xr:uid="{00000000-0005-0000-0000-0000CB1F0000}"/>
    <cellStyle name="40% - Ênfase6 4 2 12" xfId="7507" xr:uid="{00000000-0005-0000-0000-0000CC1F0000}"/>
    <cellStyle name="40% - Ênfase6 4 2 12 2" xfId="7508" xr:uid="{00000000-0005-0000-0000-0000CD1F0000}"/>
    <cellStyle name="40% - Ênfase6 4 2 2" xfId="7509" xr:uid="{00000000-0005-0000-0000-0000CE1F0000}"/>
    <cellStyle name="40% - Ênfase6 4 2 2 10" xfId="7510" xr:uid="{00000000-0005-0000-0000-0000CF1F0000}"/>
    <cellStyle name="40% - Ênfase6 4 2 2 11" xfId="7511" xr:uid="{00000000-0005-0000-0000-0000D01F0000}"/>
    <cellStyle name="40% - Ênfase6 4 2 2 2" xfId="7512" xr:uid="{00000000-0005-0000-0000-0000D11F0000}"/>
    <cellStyle name="40% - Ênfase6 4 2 2 2 2" xfId="25692" xr:uid="{00000000-0005-0000-0000-0000D21F0000}"/>
    <cellStyle name="40% - Ênfase6 4 2 2 2 2 2" xfId="27050" xr:uid="{00000000-0005-0000-0000-0000D31F0000}"/>
    <cellStyle name="40% - Ênfase6 4 2 2 2 3" xfId="27049" xr:uid="{00000000-0005-0000-0000-0000D41F0000}"/>
    <cellStyle name="40% - Ênfase6 4 2 2 2 4" xfId="25691" xr:uid="{00000000-0005-0000-0000-0000D51F0000}"/>
    <cellStyle name="40% - Ênfase6 4 2 2 3" xfId="7513" xr:uid="{00000000-0005-0000-0000-0000D61F0000}"/>
    <cellStyle name="40% - Ênfase6 4 2 2 3 2" xfId="27051" xr:uid="{00000000-0005-0000-0000-0000D71F0000}"/>
    <cellStyle name="40% - Ênfase6 4 2 2 3 3" xfId="25693" xr:uid="{00000000-0005-0000-0000-0000D81F0000}"/>
    <cellStyle name="40% - Ênfase6 4 2 2 4" xfId="7514" xr:uid="{00000000-0005-0000-0000-0000D91F0000}"/>
    <cellStyle name="40% - Ênfase6 4 2 2 4 2" xfId="27048" xr:uid="{00000000-0005-0000-0000-0000DA1F0000}"/>
    <cellStyle name="40% - Ênfase6 4 2 2 5" xfId="7515" xr:uid="{00000000-0005-0000-0000-0000DB1F0000}"/>
    <cellStyle name="40% - Ênfase6 4 2 2 6" xfId="7516" xr:uid="{00000000-0005-0000-0000-0000DC1F0000}"/>
    <cellStyle name="40% - Ênfase6 4 2 2 7" xfId="7517" xr:uid="{00000000-0005-0000-0000-0000DD1F0000}"/>
    <cellStyle name="40% - Ênfase6 4 2 2 8" xfId="7518" xr:uid="{00000000-0005-0000-0000-0000DE1F0000}"/>
    <cellStyle name="40% - Ênfase6 4 2 2 9" xfId="7519" xr:uid="{00000000-0005-0000-0000-0000DF1F0000}"/>
    <cellStyle name="40% - Ênfase6 4 2 3" xfId="7520" xr:uid="{00000000-0005-0000-0000-0000E01F0000}"/>
    <cellStyle name="40% - Ênfase6 4 2 3 2" xfId="25695" xr:uid="{00000000-0005-0000-0000-0000E11F0000}"/>
    <cellStyle name="40% - Ênfase6 4 2 3 2 2" xfId="27053" xr:uid="{00000000-0005-0000-0000-0000E21F0000}"/>
    <cellStyle name="40% - Ênfase6 4 2 3 3" xfId="27052" xr:uid="{00000000-0005-0000-0000-0000E31F0000}"/>
    <cellStyle name="40% - Ênfase6 4 2 3 4" xfId="25694" xr:uid="{00000000-0005-0000-0000-0000E41F0000}"/>
    <cellStyle name="40% - Ênfase6 4 2 4" xfId="7521" xr:uid="{00000000-0005-0000-0000-0000E51F0000}"/>
    <cellStyle name="40% - Ênfase6 4 2 4 2" xfId="27054" xr:uid="{00000000-0005-0000-0000-0000E61F0000}"/>
    <cellStyle name="40% - Ênfase6 4 2 4 3" xfId="25696" xr:uid="{00000000-0005-0000-0000-0000E71F0000}"/>
    <cellStyle name="40% - Ênfase6 4 2 5" xfId="7522" xr:uid="{00000000-0005-0000-0000-0000E81F0000}"/>
    <cellStyle name="40% - Ênfase6 4 2 5 2" xfId="7523" xr:uid="{00000000-0005-0000-0000-0000E91F0000}"/>
    <cellStyle name="40% - Ênfase6 4 2 6" xfId="7524" xr:uid="{00000000-0005-0000-0000-0000EA1F0000}"/>
    <cellStyle name="40% - Ênfase6 4 2 6 2" xfId="7525" xr:uid="{00000000-0005-0000-0000-0000EB1F0000}"/>
    <cellStyle name="40% - Ênfase6 4 2 7" xfId="7526" xr:uid="{00000000-0005-0000-0000-0000EC1F0000}"/>
    <cellStyle name="40% - Ênfase6 4 2 7 2" xfId="7527" xr:uid="{00000000-0005-0000-0000-0000ED1F0000}"/>
    <cellStyle name="40% - Ênfase6 4 2 8" xfId="7528" xr:uid="{00000000-0005-0000-0000-0000EE1F0000}"/>
    <cellStyle name="40% - Ênfase6 4 2 8 2" xfId="7529" xr:uid="{00000000-0005-0000-0000-0000EF1F0000}"/>
    <cellStyle name="40% - Ênfase6 4 2 9" xfId="7530" xr:uid="{00000000-0005-0000-0000-0000F01F0000}"/>
    <cellStyle name="40% - Ênfase6 4 2 9 2" xfId="7531" xr:uid="{00000000-0005-0000-0000-0000F11F0000}"/>
    <cellStyle name="40% - Ênfase6 4 3" xfId="7532" xr:uid="{00000000-0005-0000-0000-0000F21F0000}"/>
    <cellStyle name="40% - Ênfase6 4 3 2" xfId="25698" xr:uid="{00000000-0005-0000-0000-0000F31F0000}"/>
    <cellStyle name="40% - Ênfase6 4 3 2 2" xfId="25699" xr:uid="{00000000-0005-0000-0000-0000F41F0000}"/>
    <cellStyle name="40% - Ênfase6 4 3 2 2 2" xfId="27057" xr:uid="{00000000-0005-0000-0000-0000F51F0000}"/>
    <cellStyle name="40% - Ênfase6 4 3 2 3" xfId="27056" xr:uid="{00000000-0005-0000-0000-0000F61F0000}"/>
    <cellStyle name="40% - Ênfase6 4 3 3" xfId="25700" xr:uid="{00000000-0005-0000-0000-0000F71F0000}"/>
    <cellStyle name="40% - Ênfase6 4 3 3 2" xfId="27058" xr:uid="{00000000-0005-0000-0000-0000F81F0000}"/>
    <cellStyle name="40% - Ênfase6 4 3 4" xfId="27055" xr:uid="{00000000-0005-0000-0000-0000F91F0000}"/>
    <cellStyle name="40% - Ênfase6 4 3 5" xfId="25697" xr:uid="{00000000-0005-0000-0000-0000FA1F0000}"/>
    <cellStyle name="40% - Ênfase6 4 4" xfId="7533" xr:uid="{00000000-0005-0000-0000-0000FB1F0000}"/>
    <cellStyle name="40% - Ênfase6 4 4 2" xfId="27059" xr:uid="{00000000-0005-0000-0000-0000FC1F0000}"/>
    <cellStyle name="40% - Ênfase6 4 5" xfId="7534" xr:uid="{00000000-0005-0000-0000-0000FD1F0000}"/>
    <cellStyle name="40% - Ênfase6 4 5 10" xfId="7535" xr:uid="{00000000-0005-0000-0000-0000FE1F0000}"/>
    <cellStyle name="40% - Ênfase6 4 5 10 2" xfId="7536" xr:uid="{00000000-0005-0000-0000-0000FF1F0000}"/>
    <cellStyle name="40% - Ênfase6 4 5 2" xfId="7537" xr:uid="{00000000-0005-0000-0000-000000200000}"/>
    <cellStyle name="40% - Ênfase6 4 5 2 2" xfId="7538" xr:uid="{00000000-0005-0000-0000-000001200000}"/>
    <cellStyle name="40% - Ênfase6 4 5 3" xfId="7539" xr:uid="{00000000-0005-0000-0000-000002200000}"/>
    <cellStyle name="40% - Ênfase6 4 5 3 2" xfId="7540" xr:uid="{00000000-0005-0000-0000-000003200000}"/>
    <cellStyle name="40% - Ênfase6 4 5 4" xfId="7541" xr:uid="{00000000-0005-0000-0000-000004200000}"/>
    <cellStyle name="40% - Ênfase6 4 5 4 2" xfId="7542" xr:uid="{00000000-0005-0000-0000-000005200000}"/>
    <cellStyle name="40% - Ênfase6 4 5 5" xfId="7543" xr:uid="{00000000-0005-0000-0000-000006200000}"/>
    <cellStyle name="40% - Ênfase6 4 5 5 2" xfId="7544" xr:uid="{00000000-0005-0000-0000-000007200000}"/>
    <cellStyle name="40% - Ênfase6 4 5 6" xfId="7545" xr:uid="{00000000-0005-0000-0000-000008200000}"/>
    <cellStyle name="40% - Ênfase6 4 5 6 2" xfId="7546" xr:uid="{00000000-0005-0000-0000-000009200000}"/>
    <cellStyle name="40% - Ênfase6 4 5 7" xfId="7547" xr:uid="{00000000-0005-0000-0000-00000A200000}"/>
    <cellStyle name="40% - Ênfase6 4 5 7 2" xfId="7548" xr:uid="{00000000-0005-0000-0000-00000B200000}"/>
    <cellStyle name="40% - Ênfase6 4 5 8" xfId="7549" xr:uid="{00000000-0005-0000-0000-00000C200000}"/>
    <cellStyle name="40% - Ênfase6 4 5 8 2" xfId="7550" xr:uid="{00000000-0005-0000-0000-00000D200000}"/>
    <cellStyle name="40% - Ênfase6 4 5 9" xfId="7551" xr:uid="{00000000-0005-0000-0000-00000E200000}"/>
    <cellStyle name="40% - Ênfase6 4 5 9 2" xfId="7552" xr:uid="{00000000-0005-0000-0000-00000F200000}"/>
    <cellStyle name="40% - Ênfase6 4 6" xfId="7553" xr:uid="{00000000-0005-0000-0000-000010200000}"/>
    <cellStyle name="40% - Ênfase6 4 6 2" xfId="7554" xr:uid="{00000000-0005-0000-0000-000011200000}"/>
    <cellStyle name="40% - Ênfase6 4 6 2 2" xfId="7555" xr:uid="{00000000-0005-0000-0000-000012200000}"/>
    <cellStyle name="40% - Ênfase6 4 6 3" xfId="7556" xr:uid="{00000000-0005-0000-0000-000013200000}"/>
    <cellStyle name="40% - Ênfase6 4 6 3 2" xfId="7557" xr:uid="{00000000-0005-0000-0000-000014200000}"/>
    <cellStyle name="40% - Ênfase6 4 6 4" xfId="7558" xr:uid="{00000000-0005-0000-0000-000015200000}"/>
    <cellStyle name="40% - Ênfase6 4 6 4 2" xfId="7559" xr:uid="{00000000-0005-0000-0000-000016200000}"/>
    <cellStyle name="40% - Ênfase6 4 6 5" xfId="7560" xr:uid="{00000000-0005-0000-0000-000017200000}"/>
    <cellStyle name="40% - Ênfase6 4 6 5 2" xfId="7561" xr:uid="{00000000-0005-0000-0000-000018200000}"/>
    <cellStyle name="40% - Ênfase6 4 6 6" xfId="7562" xr:uid="{00000000-0005-0000-0000-000019200000}"/>
    <cellStyle name="40% - Ênfase6 4 7" xfId="27047" xr:uid="{00000000-0005-0000-0000-00001A200000}"/>
    <cellStyle name="40% - Ênfase6 40" xfId="7563" xr:uid="{00000000-0005-0000-0000-00001B200000}"/>
    <cellStyle name="40% - Ênfase6 40 2" xfId="7564" xr:uid="{00000000-0005-0000-0000-00001C200000}"/>
    <cellStyle name="40% - Ênfase6 41" xfId="7565" xr:uid="{00000000-0005-0000-0000-00001D200000}"/>
    <cellStyle name="40% - Ênfase6 41 2" xfId="7566" xr:uid="{00000000-0005-0000-0000-00001E200000}"/>
    <cellStyle name="40% - Ênfase6 42" xfId="7567" xr:uid="{00000000-0005-0000-0000-00001F200000}"/>
    <cellStyle name="40% - Ênfase6 42 2" xfId="7568" xr:uid="{00000000-0005-0000-0000-000020200000}"/>
    <cellStyle name="40% - Ênfase6 43" xfId="7569" xr:uid="{00000000-0005-0000-0000-000021200000}"/>
    <cellStyle name="40% - Ênfase6 43 2" xfId="7570" xr:uid="{00000000-0005-0000-0000-000022200000}"/>
    <cellStyle name="40% - Ênfase6 44" xfId="7571" xr:uid="{00000000-0005-0000-0000-000023200000}"/>
    <cellStyle name="40% - Ênfase6 44 2" xfId="7572" xr:uid="{00000000-0005-0000-0000-000024200000}"/>
    <cellStyle name="40% - Ênfase6 45" xfId="7573" xr:uid="{00000000-0005-0000-0000-000025200000}"/>
    <cellStyle name="40% - Ênfase6 45 2" xfId="7574" xr:uid="{00000000-0005-0000-0000-000026200000}"/>
    <cellStyle name="40% - Ênfase6 46" xfId="7575" xr:uid="{00000000-0005-0000-0000-000027200000}"/>
    <cellStyle name="40% - Ênfase6 46 2" xfId="7576" xr:uid="{00000000-0005-0000-0000-000028200000}"/>
    <cellStyle name="40% - Ênfase6 47" xfId="7577" xr:uid="{00000000-0005-0000-0000-000029200000}"/>
    <cellStyle name="40% - Ênfase6 47 2" xfId="7578" xr:uid="{00000000-0005-0000-0000-00002A200000}"/>
    <cellStyle name="40% - Ênfase6 48" xfId="7579" xr:uid="{00000000-0005-0000-0000-00002B200000}"/>
    <cellStyle name="40% - Ênfase6 48 2" xfId="7580" xr:uid="{00000000-0005-0000-0000-00002C200000}"/>
    <cellStyle name="40% - Ênfase6 49" xfId="7581" xr:uid="{00000000-0005-0000-0000-00002D200000}"/>
    <cellStyle name="40% - Ênfase6 49 2" xfId="7582" xr:uid="{00000000-0005-0000-0000-00002E200000}"/>
    <cellStyle name="40% - Ênfase6 5" xfId="7583" xr:uid="{00000000-0005-0000-0000-00002F200000}"/>
    <cellStyle name="40% - Ênfase6 5 2" xfId="7584" xr:uid="{00000000-0005-0000-0000-000030200000}"/>
    <cellStyle name="40% - Ênfase6 5 2 2" xfId="7585" xr:uid="{00000000-0005-0000-0000-000031200000}"/>
    <cellStyle name="40% - Ênfase6 5 2 2 2" xfId="25702" xr:uid="{00000000-0005-0000-0000-000032200000}"/>
    <cellStyle name="40% - Ênfase6 5 2 2 2 2" xfId="25703" xr:uid="{00000000-0005-0000-0000-000033200000}"/>
    <cellStyle name="40% - Ênfase6 5 2 2 2 2 2" xfId="27062" xr:uid="{00000000-0005-0000-0000-000034200000}"/>
    <cellStyle name="40% - Ênfase6 5 2 2 2 3" xfId="27061" xr:uid="{00000000-0005-0000-0000-000035200000}"/>
    <cellStyle name="40% - Ênfase6 5 2 2 3" xfId="25704" xr:uid="{00000000-0005-0000-0000-000036200000}"/>
    <cellStyle name="40% - Ênfase6 5 2 2 3 2" xfId="27063" xr:uid="{00000000-0005-0000-0000-000037200000}"/>
    <cellStyle name="40% - Ênfase6 5 2 2 4" xfId="27060" xr:uid="{00000000-0005-0000-0000-000038200000}"/>
    <cellStyle name="40% - Ênfase6 5 2 2 5" xfId="25701" xr:uid="{00000000-0005-0000-0000-000039200000}"/>
    <cellStyle name="40% - Ênfase6 5 2 3" xfId="7586" xr:uid="{00000000-0005-0000-0000-00003A200000}"/>
    <cellStyle name="40% - Ênfase6 5 2 3 2" xfId="25706" xr:uid="{00000000-0005-0000-0000-00003B200000}"/>
    <cellStyle name="40% - Ênfase6 5 2 3 2 2" xfId="27065" xr:uid="{00000000-0005-0000-0000-00003C200000}"/>
    <cellStyle name="40% - Ênfase6 5 2 3 3" xfId="27064" xr:uid="{00000000-0005-0000-0000-00003D200000}"/>
    <cellStyle name="40% - Ênfase6 5 2 3 4" xfId="25705" xr:uid="{00000000-0005-0000-0000-00003E200000}"/>
    <cellStyle name="40% - Ênfase6 5 2 4" xfId="7587" xr:uid="{00000000-0005-0000-0000-00003F200000}"/>
    <cellStyle name="40% - Ênfase6 5 2 4 2" xfId="27066" xr:uid="{00000000-0005-0000-0000-000040200000}"/>
    <cellStyle name="40% - Ênfase6 5 2 4 3" xfId="25707" xr:uid="{00000000-0005-0000-0000-000041200000}"/>
    <cellStyle name="40% - Ênfase6 5 2 5" xfId="7588" xr:uid="{00000000-0005-0000-0000-000042200000}"/>
    <cellStyle name="40% - Ênfase6 5 2 5 2" xfId="7589" xr:uid="{00000000-0005-0000-0000-000043200000}"/>
    <cellStyle name="40% - Ênfase6 5 2 6" xfId="7590" xr:uid="{00000000-0005-0000-0000-000044200000}"/>
    <cellStyle name="40% - Ênfase6 5 2 6 2" xfId="7591" xr:uid="{00000000-0005-0000-0000-000045200000}"/>
    <cellStyle name="40% - Ênfase6 5 2 7" xfId="7592" xr:uid="{00000000-0005-0000-0000-000046200000}"/>
    <cellStyle name="40% - Ênfase6 5 2 7 2" xfId="7593" xr:uid="{00000000-0005-0000-0000-000047200000}"/>
    <cellStyle name="40% - Ênfase6 5 2 8" xfId="7594" xr:uid="{00000000-0005-0000-0000-000048200000}"/>
    <cellStyle name="40% - Ênfase6 5 2 8 2" xfId="7595" xr:uid="{00000000-0005-0000-0000-000049200000}"/>
    <cellStyle name="40% - Ênfase6 5 2 9" xfId="7596" xr:uid="{00000000-0005-0000-0000-00004A200000}"/>
    <cellStyle name="40% - Ênfase6 5 3" xfId="7597" xr:uid="{00000000-0005-0000-0000-00004B200000}"/>
    <cellStyle name="40% - Ênfase6 5 3 2" xfId="25709" xr:uid="{00000000-0005-0000-0000-00004C200000}"/>
    <cellStyle name="40% - Ênfase6 5 3 2 2" xfId="25710" xr:uid="{00000000-0005-0000-0000-00004D200000}"/>
    <cellStyle name="40% - Ênfase6 5 3 2 2 2" xfId="27069" xr:uid="{00000000-0005-0000-0000-00004E200000}"/>
    <cellStyle name="40% - Ênfase6 5 3 2 3" xfId="27068" xr:uid="{00000000-0005-0000-0000-00004F200000}"/>
    <cellStyle name="40% - Ênfase6 5 3 3" xfId="25711" xr:uid="{00000000-0005-0000-0000-000050200000}"/>
    <cellStyle name="40% - Ênfase6 5 3 3 2" xfId="27070" xr:uid="{00000000-0005-0000-0000-000051200000}"/>
    <cellStyle name="40% - Ênfase6 5 3 4" xfId="27067" xr:uid="{00000000-0005-0000-0000-000052200000}"/>
    <cellStyle name="40% - Ênfase6 5 3 5" xfId="25708" xr:uid="{00000000-0005-0000-0000-000053200000}"/>
    <cellStyle name="40% - Ênfase6 5 4" xfId="7598" xr:uid="{00000000-0005-0000-0000-000054200000}"/>
    <cellStyle name="40% - Ênfase6 5 4 2" xfId="25713" xr:uid="{00000000-0005-0000-0000-000055200000}"/>
    <cellStyle name="40% - Ênfase6 5 4 2 2" xfId="27072" xr:uid="{00000000-0005-0000-0000-000056200000}"/>
    <cellStyle name="40% - Ênfase6 5 4 3" xfId="27071" xr:uid="{00000000-0005-0000-0000-000057200000}"/>
    <cellStyle name="40% - Ênfase6 5 4 4" xfId="25712" xr:uid="{00000000-0005-0000-0000-000058200000}"/>
    <cellStyle name="40% - Ênfase6 5 5" xfId="7599" xr:uid="{00000000-0005-0000-0000-000059200000}"/>
    <cellStyle name="40% - Ênfase6 5 5 2" xfId="7600" xr:uid="{00000000-0005-0000-0000-00005A200000}"/>
    <cellStyle name="40% - Ênfase6 5 5 2 2" xfId="7601" xr:uid="{00000000-0005-0000-0000-00005B200000}"/>
    <cellStyle name="40% - Ênfase6 5 5 3" xfId="7602" xr:uid="{00000000-0005-0000-0000-00005C200000}"/>
    <cellStyle name="40% - Ênfase6 5 5 3 2" xfId="7603" xr:uid="{00000000-0005-0000-0000-00005D200000}"/>
    <cellStyle name="40% - Ênfase6 5 5 4" xfId="7604" xr:uid="{00000000-0005-0000-0000-00005E200000}"/>
    <cellStyle name="40% - Ênfase6 5 5 4 2" xfId="7605" xr:uid="{00000000-0005-0000-0000-00005F200000}"/>
    <cellStyle name="40% - Ênfase6 5 5 5" xfId="7606" xr:uid="{00000000-0005-0000-0000-000060200000}"/>
    <cellStyle name="40% - Ênfase6 5 5 5 2" xfId="7607" xr:uid="{00000000-0005-0000-0000-000061200000}"/>
    <cellStyle name="40% - Ênfase6 5 5 6" xfId="7608" xr:uid="{00000000-0005-0000-0000-000062200000}"/>
    <cellStyle name="40% - Ênfase6 5 6" xfId="7609" xr:uid="{00000000-0005-0000-0000-000063200000}"/>
    <cellStyle name="40% - Ênfase6 5 6 2" xfId="7610" xr:uid="{00000000-0005-0000-0000-000064200000}"/>
    <cellStyle name="40% - Ênfase6 5 6 2 2" xfId="7611" xr:uid="{00000000-0005-0000-0000-000065200000}"/>
    <cellStyle name="40% - Ênfase6 5 6 3" xfId="7612" xr:uid="{00000000-0005-0000-0000-000066200000}"/>
    <cellStyle name="40% - Ênfase6 5 6 3 2" xfId="7613" xr:uid="{00000000-0005-0000-0000-000067200000}"/>
    <cellStyle name="40% - Ênfase6 5 6 4" xfId="7614" xr:uid="{00000000-0005-0000-0000-000068200000}"/>
    <cellStyle name="40% - Ênfase6 5 6 4 2" xfId="7615" xr:uid="{00000000-0005-0000-0000-000069200000}"/>
    <cellStyle name="40% - Ênfase6 5 6 5" xfId="7616" xr:uid="{00000000-0005-0000-0000-00006A200000}"/>
    <cellStyle name="40% - Ênfase6 5 6 5 2" xfId="7617" xr:uid="{00000000-0005-0000-0000-00006B200000}"/>
    <cellStyle name="40% - Ênfase6 5 6 6" xfId="7618" xr:uid="{00000000-0005-0000-0000-00006C200000}"/>
    <cellStyle name="40% - Ênfase6 50" xfId="7619" xr:uid="{00000000-0005-0000-0000-00006D200000}"/>
    <cellStyle name="40% - Ênfase6 50 2" xfId="7620" xr:uid="{00000000-0005-0000-0000-00006E200000}"/>
    <cellStyle name="40% - Ênfase6 51" xfId="7621" xr:uid="{00000000-0005-0000-0000-00006F200000}"/>
    <cellStyle name="40% - Ênfase6 51 2" xfId="7622" xr:uid="{00000000-0005-0000-0000-000070200000}"/>
    <cellStyle name="40% - Ênfase6 52" xfId="7623" xr:uid="{00000000-0005-0000-0000-000071200000}"/>
    <cellStyle name="40% - Ênfase6 52 2" xfId="7624" xr:uid="{00000000-0005-0000-0000-000072200000}"/>
    <cellStyle name="40% - Ênfase6 53" xfId="7625" xr:uid="{00000000-0005-0000-0000-000073200000}"/>
    <cellStyle name="40% - Ênfase6 53 2" xfId="7626" xr:uid="{00000000-0005-0000-0000-000074200000}"/>
    <cellStyle name="40% - Ênfase6 54" xfId="7627" xr:uid="{00000000-0005-0000-0000-000075200000}"/>
    <cellStyle name="40% - Ênfase6 54 2" xfId="7628" xr:uid="{00000000-0005-0000-0000-000076200000}"/>
    <cellStyle name="40% - Ênfase6 55" xfId="7629" xr:uid="{00000000-0005-0000-0000-000077200000}"/>
    <cellStyle name="40% - Ênfase6 55 2" xfId="7630" xr:uid="{00000000-0005-0000-0000-000078200000}"/>
    <cellStyle name="40% - Ênfase6 6" xfId="7631" xr:uid="{00000000-0005-0000-0000-000079200000}"/>
    <cellStyle name="40% - Ênfase6 6 10" xfId="7632" xr:uid="{00000000-0005-0000-0000-00007A200000}"/>
    <cellStyle name="40% - Ênfase6 6 10 2" xfId="7633" xr:uid="{00000000-0005-0000-0000-00007B200000}"/>
    <cellStyle name="40% - Ênfase6 6 11" xfId="7634" xr:uid="{00000000-0005-0000-0000-00007C200000}"/>
    <cellStyle name="40% - Ênfase6 6 11 2" xfId="7635" xr:uid="{00000000-0005-0000-0000-00007D200000}"/>
    <cellStyle name="40% - Ênfase6 6 12" xfId="7636" xr:uid="{00000000-0005-0000-0000-00007E200000}"/>
    <cellStyle name="40% - Ênfase6 6 12 2" xfId="7637" xr:uid="{00000000-0005-0000-0000-00007F200000}"/>
    <cellStyle name="40% - Ênfase6 6 13" xfId="7638" xr:uid="{00000000-0005-0000-0000-000080200000}"/>
    <cellStyle name="40% - Ênfase6 6 13 2" xfId="7639" xr:uid="{00000000-0005-0000-0000-000081200000}"/>
    <cellStyle name="40% - Ênfase6 6 14" xfId="7640" xr:uid="{00000000-0005-0000-0000-000082200000}"/>
    <cellStyle name="40% - Ênfase6 6 14 2" xfId="7641" xr:uid="{00000000-0005-0000-0000-000083200000}"/>
    <cellStyle name="40% - Ênfase6 6 15" xfId="7642" xr:uid="{00000000-0005-0000-0000-000084200000}"/>
    <cellStyle name="40% - Ênfase6 6 15 2" xfId="7643" xr:uid="{00000000-0005-0000-0000-000085200000}"/>
    <cellStyle name="40% - Ênfase6 6 16" xfId="7644" xr:uid="{00000000-0005-0000-0000-000086200000}"/>
    <cellStyle name="40% - Ênfase6 6 16 2" xfId="7645" xr:uid="{00000000-0005-0000-0000-000087200000}"/>
    <cellStyle name="40% - Ênfase6 6 17" xfId="7646" xr:uid="{00000000-0005-0000-0000-000088200000}"/>
    <cellStyle name="40% - Ênfase6 6 17 2" xfId="7647" xr:uid="{00000000-0005-0000-0000-000089200000}"/>
    <cellStyle name="40% - Ênfase6 6 18" xfId="7648" xr:uid="{00000000-0005-0000-0000-00008A200000}"/>
    <cellStyle name="40% - Ênfase6 6 18 2" xfId="7649" xr:uid="{00000000-0005-0000-0000-00008B200000}"/>
    <cellStyle name="40% - Ênfase6 6 19" xfId="7650" xr:uid="{00000000-0005-0000-0000-00008C200000}"/>
    <cellStyle name="40% - Ênfase6 6 19 2" xfId="7651" xr:uid="{00000000-0005-0000-0000-00008D200000}"/>
    <cellStyle name="40% - Ênfase6 6 2" xfId="7652" xr:uid="{00000000-0005-0000-0000-00008E200000}"/>
    <cellStyle name="40% - Ênfase6 6 2 2" xfId="7653" xr:uid="{00000000-0005-0000-0000-00008F200000}"/>
    <cellStyle name="40% - Ênfase6 6 2 2 2" xfId="7654" xr:uid="{00000000-0005-0000-0000-000090200000}"/>
    <cellStyle name="40% - Ênfase6 6 2 2 2 2" xfId="27074" xr:uid="{00000000-0005-0000-0000-000091200000}"/>
    <cellStyle name="40% - Ênfase6 6 2 2 3" xfId="27073" xr:uid="{00000000-0005-0000-0000-000092200000}"/>
    <cellStyle name="40% - Ênfase6 6 2 3" xfId="7655" xr:uid="{00000000-0005-0000-0000-000093200000}"/>
    <cellStyle name="40% - Ênfase6 6 2 3 2" xfId="7656" xr:uid="{00000000-0005-0000-0000-000094200000}"/>
    <cellStyle name="40% - Ênfase6 6 2 4" xfId="7657" xr:uid="{00000000-0005-0000-0000-000095200000}"/>
    <cellStyle name="40% - Ênfase6 6 2 4 2" xfId="7658" xr:uid="{00000000-0005-0000-0000-000096200000}"/>
    <cellStyle name="40% - Ênfase6 6 2 5" xfId="7659" xr:uid="{00000000-0005-0000-0000-000097200000}"/>
    <cellStyle name="40% - Ênfase6 6 2 5 2" xfId="7660" xr:uid="{00000000-0005-0000-0000-000098200000}"/>
    <cellStyle name="40% - Ênfase6 6 2 6" xfId="7661" xr:uid="{00000000-0005-0000-0000-000099200000}"/>
    <cellStyle name="40% - Ênfase6 6 20" xfId="7662" xr:uid="{00000000-0005-0000-0000-00009A200000}"/>
    <cellStyle name="40% - Ênfase6 6 20 2" xfId="7663" xr:uid="{00000000-0005-0000-0000-00009B200000}"/>
    <cellStyle name="40% - Ênfase6 6 21" xfId="7664" xr:uid="{00000000-0005-0000-0000-00009C200000}"/>
    <cellStyle name="40% - Ênfase6 6 21 2" xfId="7665" xr:uid="{00000000-0005-0000-0000-00009D200000}"/>
    <cellStyle name="40% - Ênfase6 6 22" xfId="7666" xr:uid="{00000000-0005-0000-0000-00009E200000}"/>
    <cellStyle name="40% - Ênfase6 6 22 2" xfId="7667" xr:uid="{00000000-0005-0000-0000-00009F200000}"/>
    <cellStyle name="40% - Ênfase6 6 23" xfId="7668" xr:uid="{00000000-0005-0000-0000-0000A0200000}"/>
    <cellStyle name="40% - Ênfase6 6 23 2" xfId="7669" xr:uid="{00000000-0005-0000-0000-0000A1200000}"/>
    <cellStyle name="40% - Ênfase6 6 24" xfId="7670" xr:uid="{00000000-0005-0000-0000-0000A2200000}"/>
    <cellStyle name="40% - Ênfase6 6 24 2" xfId="7671" xr:uid="{00000000-0005-0000-0000-0000A3200000}"/>
    <cellStyle name="40% - Ênfase6 6 25" xfId="7672" xr:uid="{00000000-0005-0000-0000-0000A4200000}"/>
    <cellStyle name="40% - Ênfase6 6 25 2" xfId="7673" xr:uid="{00000000-0005-0000-0000-0000A5200000}"/>
    <cellStyle name="40% - Ênfase6 6 26" xfId="7674" xr:uid="{00000000-0005-0000-0000-0000A6200000}"/>
    <cellStyle name="40% - Ênfase6 6 26 2" xfId="7675" xr:uid="{00000000-0005-0000-0000-0000A7200000}"/>
    <cellStyle name="40% - Ênfase6 6 27" xfId="7676" xr:uid="{00000000-0005-0000-0000-0000A8200000}"/>
    <cellStyle name="40% - Ênfase6 6 27 2" xfId="7677" xr:uid="{00000000-0005-0000-0000-0000A9200000}"/>
    <cellStyle name="40% - Ênfase6 6 28" xfId="7678" xr:uid="{00000000-0005-0000-0000-0000AA200000}"/>
    <cellStyle name="40% - Ênfase6 6 28 2" xfId="7679" xr:uid="{00000000-0005-0000-0000-0000AB200000}"/>
    <cellStyle name="40% - Ênfase6 6 29" xfId="7680" xr:uid="{00000000-0005-0000-0000-0000AC200000}"/>
    <cellStyle name="40% - Ênfase6 6 29 2" xfId="7681" xr:uid="{00000000-0005-0000-0000-0000AD200000}"/>
    <cellStyle name="40% - Ênfase6 6 3" xfId="7682" xr:uid="{00000000-0005-0000-0000-0000AE200000}"/>
    <cellStyle name="40% - Ênfase6 6 3 2" xfId="7683" xr:uid="{00000000-0005-0000-0000-0000AF200000}"/>
    <cellStyle name="40% - Ênfase6 6 3 2 2" xfId="7684" xr:uid="{00000000-0005-0000-0000-0000B0200000}"/>
    <cellStyle name="40% - Ênfase6 6 3 3" xfId="7685" xr:uid="{00000000-0005-0000-0000-0000B1200000}"/>
    <cellStyle name="40% - Ênfase6 6 3 3 2" xfId="7686" xr:uid="{00000000-0005-0000-0000-0000B2200000}"/>
    <cellStyle name="40% - Ênfase6 6 3 4" xfId="7687" xr:uid="{00000000-0005-0000-0000-0000B3200000}"/>
    <cellStyle name="40% - Ênfase6 6 3 4 2" xfId="7688" xr:uid="{00000000-0005-0000-0000-0000B4200000}"/>
    <cellStyle name="40% - Ênfase6 6 3 5" xfId="7689" xr:uid="{00000000-0005-0000-0000-0000B5200000}"/>
    <cellStyle name="40% - Ênfase6 6 3 5 2" xfId="7690" xr:uid="{00000000-0005-0000-0000-0000B6200000}"/>
    <cellStyle name="40% - Ênfase6 6 3 6" xfId="7691" xr:uid="{00000000-0005-0000-0000-0000B7200000}"/>
    <cellStyle name="40% - Ênfase6 6 30" xfId="7692" xr:uid="{00000000-0005-0000-0000-0000B8200000}"/>
    <cellStyle name="40% - Ênfase6 6 30 2" xfId="7693" xr:uid="{00000000-0005-0000-0000-0000B9200000}"/>
    <cellStyle name="40% - Ênfase6 6 31" xfId="7694" xr:uid="{00000000-0005-0000-0000-0000BA200000}"/>
    <cellStyle name="40% - Ênfase6 6 31 2" xfId="7695" xr:uid="{00000000-0005-0000-0000-0000BB200000}"/>
    <cellStyle name="40% - Ênfase6 6 32" xfId="7696" xr:uid="{00000000-0005-0000-0000-0000BC200000}"/>
    <cellStyle name="40% - Ênfase6 6 32 2" xfId="7697" xr:uid="{00000000-0005-0000-0000-0000BD200000}"/>
    <cellStyle name="40% - Ênfase6 6 33" xfId="7698" xr:uid="{00000000-0005-0000-0000-0000BE200000}"/>
    <cellStyle name="40% - Ênfase6 6 33 2" xfId="7699" xr:uid="{00000000-0005-0000-0000-0000BF200000}"/>
    <cellStyle name="40% - Ênfase6 6 34" xfId="7700" xr:uid="{00000000-0005-0000-0000-0000C0200000}"/>
    <cellStyle name="40% - Ênfase6 6 34 2" xfId="7701" xr:uid="{00000000-0005-0000-0000-0000C1200000}"/>
    <cellStyle name="40% - Ênfase6 6 35" xfId="7702" xr:uid="{00000000-0005-0000-0000-0000C2200000}"/>
    <cellStyle name="40% - Ênfase6 6 35 2" xfId="7703" xr:uid="{00000000-0005-0000-0000-0000C3200000}"/>
    <cellStyle name="40% - Ênfase6 6 36" xfId="7704" xr:uid="{00000000-0005-0000-0000-0000C4200000}"/>
    <cellStyle name="40% - Ênfase6 6 36 2" xfId="7705" xr:uid="{00000000-0005-0000-0000-0000C5200000}"/>
    <cellStyle name="40% - Ênfase6 6 37" xfId="7706" xr:uid="{00000000-0005-0000-0000-0000C6200000}"/>
    <cellStyle name="40% - Ênfase6 6 4" xfId="7707" xr:uid="{00000000-0005-0000-0000-0000C7200000}"/>
    <cellStyle name="40% - Ênfase6 6 4 2" xfId="7708" xr:uid="{00000000-0005-0000-0000-0000C8200000}"/>
    <cellStyle name="40% - Ênfase6 6 4 2 2" xfId="7709" xr:uid="{00000000-0005-0000-0000-0000C9200000}"/>
    <cellStyle name="40% - Ênfase6 6 4 3" xfId="7710" xr:uid="{00000000-0005-0000-0000-0000CA200000}"/>
    <cellStyle name="40% - Ênfase6 6 4 3 2" xfId="7711" xr:uid="{00000000-0005-0000-0000-0000CB200000}"/>
    <cellStyle name="40% - Ênfase6 6 4 4" xfId="7712" xr:uid="{00000000-0005-0000-0000-0000CC200000}"/>
    <cellStyle name="40% - Ênfase6 6 4 4 2" xfId="7713" xr:uid="{00000000-0005-0000-0000-0000CD200000}"/>
    <cellStyle name="40% - Ênfase6 6 4 5" xfId="7714" xr:uid="{00000000-0005-0000-0000-0000CE200000}"/>
    <cellStyle name="40% - Ênfase6 6 4 5 2" xfId="7715" xr:uid="{00000000-0005-0000-0000-0000CF200000}"/>
    <cellStyle name="40% - Ênfase6 6 4 6" xfId="7716" xr:uid="{00000000-0005-0000-0000-0000D0200000}"/>
    <cellStyle name="40% - Ênfase6 6 5" xfId="7717" xr:uid="{00000000-0005-0000-0000-0000D1200000}"/>
    <cellStyle name="40% - Ênfase6 6 5 2" xfId="7718" xr:uid="{00000000-0005-0000-0000-0000D2200000}"/>
    <cellStyle name="40% - Ênfase6 6 6" xfId="7719" xr:uid="{00000000-0005-0000-0000-0000D3200000}"/>
    <cellStyle name="40% - Ênfase6 6 6 2" xfId="7720" xr:uid="{00000000-0005-0000-0000-0000D4200000}"/>
    <cellStyle name="40% - Ênfase6 6 7" xfId="7721" xr:uid="{00000000-0005-0000-0000-0000D5200000}"/>
    <cellStyle name="40% - Ênfase6 6 7 2" xfId="7722" xr:uid="{00000000-0005-0000-0000-0000D6200000}"/>
    <cellStyle name="40% - Ênfase6 6 8" xfId="7723" xr:uid="{00000000-0005-0000-0000-0000D7200000}"/>
    <cellStyle name="40% - Ênfase6 6 8 2" xfId="7724" xr:uid="{00000000-0005-0000-0000-0000D8200000}"/>
    <cellStyle name="40% - Ênfase6 6 9" xfId="7725" xr:uid="{00000000-0005-0000-0000-0000D9200000}"/>
    <cellStyle name="40% - Ênfase6 6 9 2" xfId="7726" xr:uid="{00000000-0005-0000-0000-0000DA200000}"/>
    <cellStyle name="40% - Ênfase6 7" xfId="7727" xr:uid="{00000000-0005-0000-0000-0000DB200000}"/>
    <cellStyle name="40% - Ênfase6 7 10" xfId="7728" xr:uid="{00000000-0005-0000-0000-0000DC200000}"/>
    <cellStyle name="40% - Ênfase6 7 10 2" xfId="7729" xr:uid="{00000000-0005-0000-0000-0000DD200000}"/>
    <cellStyle name="40% - Ênfase6 7 11" xfId="7730" xr:uid="{00000000-0005-0000-0000-0000DE200000}"/>
    <cellStyle name="40% - Ênfase6 7 11 2" xfId="7731" xr:uid="{00000000-0005-0000-0000-0000DF200000}"/>
    <cellStyle name="40% - Ênfase6 7 12" xfId="7732" xr:uid="{00000000-0005-0000-0000-0000E0200000}"/>
    <cellStyle name="40% - Ênfase6 7 12 2" xfId="7733" xr:uid="{00000000-0005-0000-0000-0000E1200000}"/>
    <cellStyle name="40% - Ênfase6 7 13" xfId="7734" xr:uid="{00000000-0005-0000-0000-0000E2200000}"/>
    <cellStyle name="40% - Ênfase6 7 13 2" xfId="7735" xr:uid="{00000000-0005-0000-0000-0000E3200000}"/>
    <cellStyle name="40% - Ênfase6 7 14" xfId="7736" xr:uid="{00000000-0005-0000-0000-0000E4200000}"/>
    <cellStyle name="40% - Ênfase6 7 14 2" xfId="7737" xr:uid="{00000000-0005-0000-0000-0000E5200000}"/>
    <cellStyle name="40% - Ênfase6 7 15" xfId="7738" xr:uid="{00000000-0005-0000-0000-0000E6200000}"/>
    <cellStyle name="40% - Ênfase6 7 15 2" xfId="7739" xr:uid="{00000000-0005-0000-0000-0000E7200000}"/>
    <cellStyle name="40% - Ênfase6 7 16" xfId="7740" xr:uid="{00000000-0005-0000-0000-0000E8200000}"/>
    <cellStyle name="40% - Ênfase6 7 16 2" xfId="7741" xr:uid="{00000000-0005-0000-0000-0000E9200000}"/>
    <cellStyle name="40% - Ênfase6 7 17" xfId="7742" xr:uid="{00000000-0005-0000-0000-0000EA200000}"/>
    <cellStyle name="40% - Ênfase6 7 17 2" xfId="7743" xr:uid="{00000000-0005-0000-0000-0000EB200000}"/>
    <cellStyle name="40% - Ênfase6 7 18" xfId="7744" xr:uid="{00000000-0005-0000-0000-0000EC200000}"/>
    <cellStyle name="40% - Ênfase6 7 18 2" xfId="7745" xr:uid="{00000000-0005-0000-0000-0000ED200000}"/>
    <cellStyle name="40% - Ênfase6 7 19" xfId="7746" xr:uid="{00000000-0005-0000-0000-0000EE200000}"/>
    <cellStyle name="40% - Ênfase6 7 19 2" xfId="7747" xr:uid="{00000000-0005-0000-0000-0000EF200000}"/>
    <cellStyle name="40% - Ênfase6 7 2" xfId="7748" xr:uid="{00000000-0005-0000-0000-0000F0200000}"/>
    <cellStyle name="40% - Ênfase6 7 2 2" xfId="7749" xr:uid="{00000000-0005-0000-0000-0000F1200000}"/>
    <cellStyle name="40% - Ênfase6 7 2 2 2" xfId="7750" xr:uid="{00000000-0005-0000-0000-0000F2200000}"/>
    <cellStyle name="40% - Ênfase6 7 2 2 2 2" xfId="27076" xr:uid="{00000000-0005-0000-0000-0000F3200000}"/>
    <cellStyle name="40% - Ênfase6 7 2 2 3" xfId="27075" xr:uid="{00000000-0005-0000-0000-0000F4200000}"/>
    <cellStyle name="40% - Ênfase6 7 2 3" xfId="7751" xr:uid="{00000000-0005-0000-0000-0000F5200000}"/>
    <cellStyle name="40% - Ênfase6 7 2 3 2" xfId="7752" xr:uid="{00000000-0005-0000-0000-0000F6200000}"/>
    <cellStyle name="40% - Ênfase6 7 2 4" xfId="7753" xr:uid="{00000000-0005-0000-0000-0000F7200000}"/>
    <cellStyle name="40% - Ênfase6 7 2 4 2" xfId="7754" xr:uid="{00000000-0005-0000-0000-0000F8200000}"/>
    <cellStyle name="40% - Ênfase6 7 2 5" xfId="7755" xr:uid="{00000000-0005-0000-0000-0000F9200000}"/>
    <cellStyle name="40% - Ênfase6 7 2 5 2" xfId="7756" xr:uid="{00000000-0005-0000-0000-0000FA200000}"/>
    <cellStyle name="40% - Ênfase6 7 2 6" xfId="7757" xr:uid="{00000000-0005-0000-0000-0000FB200000}"/>
    <cellStyle name="40% - Ênfase6 7 20" xfId="7758" xr:uid="{00000000-0005-0000-0000-0000FC200000}"/>
    <cellStyle name="40% - Ênfase6 7 20 2" xfId="7759" xr:uid="{00000000-0005-0000-0000-0000FD200000}"/>
    <cellStyle name="40% - Ênfase6 7 21" xfId="7760" xr:uid="{00000000-0005-0000-0000-0000FE200000}"/>
    <cellStyle name="40% - Ênfase6 7 21 2" xfId="7761" xr:uid="{00000000-0005-0000-0000-0000FF200000}"/>
    <cellStyle name="40% - Ênfase6 7 22" xfId="7762" xr:uid="{00000000-0005-0000-0000-000000210000}"/>
    <cellStyle name="40% - Ênfase6 7 22 2" xfId="7763" xr:uid="{00000000-0005-0000-0000-000001210000}"/>
    <cellStyle name="40% - Ênfase6 7 23" xfId="7764" xr:uid="{00000000-0005-0000-0000-000002210000}"/>
    <cellStyle name="40% - Ênfase6 7 23 2" xfId="7765" xr:uid="{00000000-0005-0000-0000-000003210000}"/>
    <cellStyle name="40% - Ênfase6 7 24" xfId="7766" xr:uid="{00000000-0005-0000-0000-000004210000}"/>
    <cellStyle name="40% - Ênfase6 7 24 2" xfId="7767" xr:uid="{00000000-0005-0000-0000-000005210000}"/>
    <cellStyle name="40% - Ênfase6 7 25" xfId="7768" xr:uid="{00000000-0005-0000-0000-000006210000}"/>
    <cellStyle name="40% - Ênfase6 7 25 2" xfId="7769" xr:uid="{00000000-0005-0000-0000-000007210000}"/>
    <cellStyle name="40% - Ênfase6 7 26" xfId="7770" xr:uid="{00000000-0005-0000-0000-000008210000}"/>
    <cellStyle name="40% - Ênfase6 7 26 2" xfId="7771" xr:uid="{00000000-0005-0000-0000-000009210000}"/>
    <cellStyle name="40% - Ênfase6 7 27" xfId="7772" xr:uid="{00000000-0005-0000-0000-00000A210000}"/>
    <cellStyle name="40% - Ênfase6 7 27 2" xfId="7773" xr:uid="{00000000-0005-0000-0000-00000B210000}"/>
    <cellStyle name="40% - Ênfase6 7 28" xfId="7774" xr:uid="{00000000-0005-0000-0000-00000C210000}"/>
    <cellStyle name="40% - Ênfase6 7 28 2" xfId="7775" xr:uid="{00000000-0005-0000-0000-00000D210000}"/>
    <cellStyle name="40% - Ênfase6 7 29" xfId="7776" xr:uid="{00000000-0005-0000-0000-00000E210000}"/>
    <cellStyle name="40% - Ênfase6 7 29 2" xfId="7777" xr:uid="{00000000-0005-0000-0000-00000F210000}"/>
    <cellStyle name="40% - Ênfase6 7 3" xfId="7778" xr:uid="{00000000-0005-0000-0000-000010210000}"/>
    <cellStyle name="40% - Ênfase6 7 3 2" xfId="7779" xr:uid="{00000000-0005-0000-0000-000011210000}"/>
    <cellStyle name="40% - Ênfase6 7 3 2 2" xfId="7780" xr:uid="{00000000-0005-0000-0000-000012210000}"/>
    <cellStyle name="40% - Ênfase6 7 3 3" xfId="7781" xr:uid="{00000000-0005-0000-0000-000013210000}"/>
    <cellStyle name="40% - Ênfase6 7 3 3 2" xfId="7782" xr:uid="{00000000-0005-0000-0000-000014210000}"/>
    <cellStyle name="40% - Ênfase6 7 3 4" xfId="7783" xr:uid="{00000000-0005-0000-0000-000015210000}"/>
    <cellStyle name="40% - Ênfase6 7 3 4 2" xfId="7784" xr:uid="{00000000-0005-0000-0000-000016210000}"/>
    <cellStyle name="40% - Ênfase6 7 3 5" xfId="7785" xr:uid="{00000000-0005-0000-0000-000017210000}"/>
    <cellStyle name="40% - Ênfase6 7 3 5 2" xfId="7786" xr:uid="{00000000-0005-0000-0000-000018210000}"/>
    <cellStyle name="40% - Ênfase6 7 3 6" xfId="7787" xr:uid="{00000000-0005-0000-0000-000019210000}"/>
    <cellStyle name="40% - Ênfase6 7 30" xfId="7788" xr:uid="{00000000-0005-0000-0000-00001A210000}"/>
    <cellStyle name="40% - Ênfase6 7 30 2" xfId="7789" xr:uid="{00000000-0005-0000-0000-00001B210000}"/>
    <cellStyle name="40% - Ênfase6 7 31" xfId="7790" xr:uid="{00000000-0005-0000-0000-00001C210000}"/>
    <cellStyle name="40% - Ênfase6 7 31 2" xfId="7791" xr:uid="{00000000-0005-0000-0000-00001D210000}"/>
    <cellStyle name="40% - Ênfase6 7 32" xfId="7792" xr:uid="{00000000-0005-0000-0000-00001E210000}"/>
    <cellStyle name="40% - Ênfase6 7 32 2" xfId="7793" xr:uid="{00000000-0005-0000-0000-00001F210000}"/>
    <cellStyle name="40% - Ênfase6 7 33" xfId="7794" xr:uid="{00000000-0005-0000-0000-000020210000}"/>
    <cellStyle name="40% - Ênfase6 7 33 2" xfId="7795" xr:uid="{00000000-0005-0000-0000-000021210000}"/>
    <cellStyle name="40% - Ênfase6 7 34" xfId="7796" xr:uid="{00000000-0005-0000-0000-000022210000}"/>
    <cellStyle name="40% - Ênfase6 7 34 2" xfId="7797" xr:uid="{00000000-0005-0000-0000-000023210000}"/>
    <cellStyle name="40% - Ênfase6 7 35" xfId="7798" xr:uid="{00000000-0005-0000-0000-000024210000}"/>
    <cellStyle name="40% - Ênfase6 7 35 2" xfId="7799" xr:uid="{00000000-0005-0000-0000-000025210000}"/>
    <cellStyle name="40% - Ênfase6 7 36" xfId="7800" xr:uid="{00000000-0005-0000-0000-000026210000}"/>
    <cellStyle name="40% - Ênfase6 7 36 2" xfId="7801" xr:uid="{00000000-0005-0000-0000-000027210000}"/>
    <cellStyle name="40% - Ênfase6 7 37" xfId="7802" xr:uid="{00000000-0005-0000-0000-000028210000}"/>
    <cellStyle name="40% - Ênfase6 7 4" xfId="7803" xr:uid="{00000000-0005-0000-0000-000029210000}"/>
    <cellStyle name="40% - Ênfase6 7 4 2" xfId="7804" xr:uid="{00000000-0005-0000-0000-00002A210000}"/>
    <cellStyle name="40% - Ênfase6 7 4 2 2" xfId="7805" xr:uid="{00000000-0005-0000-0000-00002B210000}"/>
    <cellStyle name="40% - Ênfase6 7 4 3" xfId="7806" xr:uid="{00000000-0005-0000-0000-00002C210000}"/>
    <cellStyle name="40% - Ênfase6 7 4 3 2" xfId="7807" xr:uid="{00000000-0005-0000-0000-00002D210000}"/>
    <cellStyle name="40% - Ênfase6 7 4 4" xfId="7808" xr:uid="{00000000-0005-0000-0000-00002E210000}"/>
    <cellStyle name="40% - Ênfase6 7 4 4 2" xfId="7809" xr:uid="{00000000-0005-0000-0000-00002F210000}"/>
    <cellStyle name="40% - Ênfase6 7 4 5" xfId="7810" xr:uid="{00000000-0005-0000-0000-000030210000}"/>
    <cellStyle name="40% - Ênfase6 7 4 5 2" xfId="7811" xr:uid="{00000000-0005-0000-0000-000031210000}"/>
    <cellStyle name="40% - Ênfase6 7 4 6" xfId="7812" xr:uid="{00000000-0005-0000-0000-000032210000}"/>
    <cellStyle name="40% - Ênfase6 7 5" xfId="7813" xr:uid="{00000000-0005-0000-0000-000033210000}"/>
    <cellStyle name="40% - Ênfase6 7 5 2" xfId="7814" xr:uid="{00000000-0005-0000-0000-000034210000}"/>
    <cellStyle name="40% - Ênfase6 7 6" xfId="7815" xr:uid="{00000000-0005-0000-0000-000035210000}"/>
    <cellStyle name="40% - Ênfase6 7 6 2" xfId="7816" xr:uid="{00000000-0005-0000-0000-000036210000}"/>
    <cellStyle name="40% - Ênfase6 7 7" xfId="7817" xr:uid="{00000000-0005-0000-0000-000037210000}"/>
    <cellStyle name="40% - Ênfase6 7 7 2" xfId="7818" xr:uid="{00000000-0005-0000-0000-000038210000}"/>
    <cellStyle name="40% - Ênfase6 7 8" xfId="7819" xr:uid="{00000000-0005-0000-0000-000039210000}"/>
    <cellStyle name="40% - Ênfase6 7 8 2" xfId="7820" xr:uid="{00000000-0005-0000-0000-00003A210000}"/>
    <cellStyle name="40% - Ênfase6 7 9" xfId="7821" xr:uid="{00000000-0005-0000-0000-00003B210000}"/>
    <cellStyle name="40% - Ênfase6 7 9 2" xfId="7822" xr:uid="{00000000-0005-0000-0000-00003C210000}"/>
    <cellStyle name="40% - Ênfase6 8" xfId="7823" xr:uid="{00000000-0005-0000-0000-00003D210000}"/>
    <cellStyle name="40% - Ênfase6 8 10" xfId="7824" xr:uid="{00000000-0005-0000-0000-00003E210000}"/>
    <cellStyle name="40% - Ênfase6 8 10 2" xfId="7825" xr:uid="{00000000-0005-0000-0000-00003F210000}"/>
    <cellStyle name="40% - Ênfase6 8 2" xfId="7826" xr:uid="{00000000-0005-0000-0000-000040210000}"/>
    <cellStyle name="40% - Ênfase6 8 2 2" xfId="7827" xr:uid="{00000000-0005-0000-0000-000041210000}"/>
    <cellStyle name="40% - Ênfase6 8 2 2 2" xfId="25714" xr:uid="{00000000-0005-0000-0000-000042210000}"/>
    <cellStyle name="40% - Ênfase6 8 2 2 2 2" xfId="27079" xr:uid="{00000000-0005-0000-0000-000043210000}"/>
    <cellStyle name="40% - Ênfase6 8 2 2 3" xfId="27078" xr:uid="{00000000-0005-0000-0000-000044210000}"/>
    <cellStyle name="40% - Ênfase6 8 2 3" xfId="25715" xr:uid="{00000000-0005-0000-0000-000045210000}"/>
    <cellStyle name="40% - Ênfase6 8 2 3 2" xfId="27080" xr:uid="{00000000-0005-0000-0000-000046210000}"/>
    <cellStyle name="40% - Ênfase6 8 2 4" xfId="27077" xr:uid="{00000000-0005-0000-0000-000047210000}"/>
    <cellStyle name="40% - Ênfase6 8 3" xfId="7828" xr:uid="{00000000-0005-0000-0000-000048210000}"/>
    <cellStyle name="40% - Ênfase6 8 3 2" xfId="7829" xr:uid="{00000000-0005-0000-0000-000049210000}"/>
    <cellStyle name="40% - Ênfase6 8 3 2 2" xfId="27082" xr:uid="{00000000-0005-0000-0000-00004A210000}"/>
    <cellStyle name="40% - Ênfase6 8 3 3" xfId="27081" xr:uid="{00000000-0005-0000-0000-00004B210000}"/>
    <cellStyle name="40% - Ênfase6 8 4" xfId="7830" xr:uid="{00000000-0005-0000-0000-00004C210000}"/>
    <cellStyle name="40% - Ênfase6 8 4 2" xfId="7831" xr:uid="{00000000-0005-0000-0000-00004D210000}"/>
    <cellStyle name="40% - Ênfase6 8 5" xfId="7832" xr:uid="{00000000-0005-0000-0000-00004E210000}"/>
    <cellStyle name="40% - Ênfase6 8 5 2" xfId="7833" xr:uid="{00000000-0005-0000-0000-00004F210000}"/>
    <cellStyle name="40% - Ênfase6 8 6" xfId="7834" xr:uid="{00000000-0005-0000-0000-000050210000}"/>
    <cellStyle name="40% - Ênfase6 8 6 2" xfId="7835" xr:uid="{00000000-0005-0000-0000-000051210000}"/>
    <cellStyle name="40% - Ênfase6 8 7" xfId="7836" xr:uid="{00000000-0005-0000-0000-000052210000}"/>
    <cellStyle name="40% - Ênfase6 8 7 2" xfId="7837" xr:uid="{00000000-0005-0000-0000-000053210000}"/>
    <cellStyle name="40% - Ênfase6 8 8" xfId="7838" xr:uid="{00000000-0005-0000-0000-000054210000}"/>
    <cellStyle name="40% - Ênfase6 8 8 2" xfId="7839" xr:uid="{00000000-0005-0000-0000-000055210000}"/>
    <cellStyle name="40% - Ênfase6 8 9" xfId="7840" xr:uid="{00000000-0005-0000-0000-000056210000}"/>
    <cellStyle name="40% - Ênfase6 8 9 2" xfId="7841" xr:uid="{00000000-0005-0000-0000-000057210000}"/>
    <cellStyle name="40% - Ênfase6 9" xfId="7842" xr:uid="{00000000-0005-0000-0000-000058210000}"/>
    <cellStyle name="40% - Ênfase6 9 10" xfId="7843" xr:uid="{00000000-0005-0000-0000-000059210000}"/>
    <cellStyle name="40% - Ênfase6 9 10 2" xfId="7844" xr:uid="{00000000-0005-0000-0000-00005A210000}"/>
    <cellStyle name="40% - Ênfase6 9 11" xfId="7845" xr:uid="{00000000-0005-0000-0000-00005B210000}"/>
    <cellStyle name="40% - Ênfase6 9 12" xfId="7846" xr:uid="{00000000-0005-0000-0000-00005C210000}"/>
    <cellStyle name="40% - Ênfase6 9 2" xfId="7847" xr:uid="{00000000-0005-0000-0000-00005D210000}"/>
    <cellStyle name="40% - Ênfase6 9 2 2" xfId="7848" xr:uid="{00000000-0005-0000-0000-00005E210000}"/>
    <cellStyle name="40% - Ênfase6 9 2 2 2" xfId="27084" xr:uid="{00000000-0005-0000-0000-00005F210000}"/>
    <cellStyle name="40% - Ênfase6 9 2 3" xfId="27083" xr:uid="{00000000-0005-0000-0000-000060210000}"/>
    <cellStyle name="40% - Ênfase6 9 3" xfId="7849" xr:uid="{00000000-0005-0000-0000-000061210000}"/>
    <cellStyle name="40% - Ênfase6 9 3 2" xfId="7850" xr:uid="{00000000-0005-0000-0000-000062210000}"/>
    <cellStyle name="40% - Ênfase6 9 4" xfId="7851" xr:uid="{00000000-0005-0000-0000-000063210000}"/>
    <cellStyle name="40% - Ênfase6 9 4 2" xfId="7852" xr:uid="{00000000-0005-0000-0000-000064210000}"/>
    <cellStyle name="40% - Ênfase6 9 5" xfId="7853" xr:uid="{00000000-0005-0000-0000-000065210000}"/>
    <cellStyle name="40% - Ênfase6 9 5 2" xfId="7854" xr:uid="{00000000-0005-0000-0000-000066210000}"/>
    <cellStyle name="40% - Ênfase6 9 6" xfId="7855" xr:uid="{00000000-0005-0000-0000-000067210000}"/>
    <cellStyle name="40% - Ênfase6 9 6 2" xfId="7856" xr:uid="{00000000-0005-0000-0000-000068210000}"/>
    <cellStyle name="40% - Ênfase6 9 7" xfId="7857" xr:uid="{00000000-0005-0000-0000-000069210000}"/>
    <cellStyle name="40% - Ênfase6 9 7 2" xfId="7858" xr:uid="{00000000-0005-0000-0000-00006A210000}"/>
    <cellStyle name="40% - Ênfase6 9 8" xfId="7859" xr:uid="{00000000-0005-0000-0000-00006B210000}"/>
    <cellStyle name="40% - Ênfase6 9 8 2" xfId="7860" xr:uid="{00000000-0005-0000-0000-00006C210000}"/>
    <cellStyle name="40% - Ênfase6 9 9" xfId="7861" xr:uid="{00000000-0005-0000-0000-00006D210000}"/>
    <cellStyle name="40% - Ênfase6 9 9 2" xfId="7862" xr:uid="{00000000-0005-0000-0000-00006E210000}"/>
    <cellStyle name="40% - Énfasis1" xfId="7863" xr:uid="{00000000-0005-0000-0000-00006F210000}"/>
    <cellStyle name="40% - Énfasis2" xfId="7864" xr:uid="{00000000-0005-0000-0000-000070210000}"/>
    <cellStyle name="40% - Énfasis3" xfId="7865" xr:uid="{00000000-0005-0000-0000-000071210000}"/>
    <cellStyle name="40% - Énfasis4" xfId="7866" xr:uid="{00000000-0005-0000-0000-000072210000}"/>
    <cellStyle name="40% - Énfasis5" xfId="7867" xr:uid="{00000000-0005-0000-0000-000073210000}"/>
    <cellStyle name="40% - Énfasis6" xfId="7868" xr:uid="{00000000-0005-0000-0000-000074210000}"/>
    <cellStyle name="60% - Accent1" xfId="39" xr:uid="{00000000-0005-0000-0000-000075210000}"/>
    <cellStyle name="60% - Accent1 2" xfId="7870" xr:uid="{00000000-0005-0000-0000-000076210000}"/>
    <cellStyle name="60% - Accent1 2 2" xfId="25717" xr:uid="{00000000-0005-0000-0000-000077210000}"/>
    <cellStyle name="60% - Accent1 2 3" xfId="25716" xr:uid="{00000000-0005-0000-0000-000078210000}"/>
    <cellStyle name="60% - Accent1 3" xfId="7871" xr:uid="{00000000-0005-0000-0000-000079210000}"/>
    <cellStyle name="60% - Accent1 4" xfId="7869" xr:uid="{00000000-0005-0000-0000-00007A210000}"/>
    <cellStyle name="60% - Accent2" xfId="40" xr:uid="{00000000-0005-0000-0000-00007B210000}"/>
    <cellStyle name="60% - Accent2 2" xfId="7873" xr:uid="{00000000-0005-0000-0000-00007C210000}"/>
    <cellStyle name="60% - Accent2 2 2" xfId="25719" xr:uid="{00000000-0005-0000-0000-00007D210000}"/>
    <cellStyle name="60% - Accent2 2 3" xfId="25718" xr:uid="{00000000-0005-0000-0000-00007E210000}"/>
    <cellStyle name="60% - Accent2 3" xfId="7874" xr:uid="{00000000-0005-0000-0000-00007F210000}"/>
    <cellStyle name="60% - Accent2 4" xfId="7872" xr:uid="{00000000-0005-0000-0000-000080210000}"/>
    <cellStyle name="60% - Accent3" xfId="41" xr:uid="{00000000-0005-0000-0000-000081210000}"/>
    <cellStyle name="60% - Accent3 2" xfId="7876" xr:uid="{00000000-0005-0000-0000-000082210000}"/>
    <cellStyle name="60% - Accent3 2 2" xfId="25721" xr:uid="{00000000-0005-0000-0000-000083210000}"/>
    <cellStyle name="60% - Accent3 2 3" xfId="25720" xr:uid="{00000000-0005-0000-0000-000084210000}"/>
    <cellStyle name="60% - Accent3 3" xfId="7877" xr:uid="{00000000-0005-0000-0000-000085210000}"/>
    <cellStyle name="60% - Accent3 4" xfId="7875" xr:uid="{00000000-0005-0000-0000-000086210000}"/>
    <cellStyle name="60% - Accent4" xfId="42" xr:uid="{00000000-0005-0000-0000-000087210000}"/>
    <cellStyle name="60% - Accent4 2" xfId="7879" xr:uid="{00000000-0005-0000-0000-000088210000}"/>
    <cellStyle name="60% - Accent4 2 2" xfId="25723" xr:uid="{00000000-0005-0000-0000-000089210000}"/>
    <cellStyle name="60% - Accent4 2 3" xfId="25722" xr:uid="{00000000-0005-0000-0000-00008A210000}"/>
    <cellStyle name="60% - Accent4 3" xfId="7880" xr:uid="{00000000-0005-0000-0000-00008B210000}"/>
    <cellStyle name="60% - Accent4 4" xfId="7878" xr:uid="{00000000-0005-0000-0000-00008C210000}"/>
    <cellStyle name="60% - Accent5" xfId="43" xr:uid="{00000000-0005-0000-0000-00008D210000}"/>
    <cellStyle name="60% - Accent5 2" xfId="7882" xr:uid="{00000000-0005-0000-0000-00008E210000}"/>
    <cellStyle name="60% - Accent5 2 2" xfId="25725" xr:uid="{00000000-0005-0000-0000-00008F210000}"/>
    <cellStyle name="60% - Accent5 2 3" xfId="25724" xr:uid="{00000000-0005-0000-0000-000090210000}"/>
    <cellStyle name="60% - Accent5 3" xfId="7883" xr:uid="{00000000-0005-0000-0000-000091210000}"/>
    <cellStyle name="60% - Accent5 4" xfId="7881" xr:uid="{00000000-0005-0000-0000-000092210000}"/>
    <cellStyle name="60% - Accent6" xfId="44" xr:uid="{00000000-0005-0000-0000-000093210000}"/>
    <cellStyle name="60% - Accent6 2" xfId="7885" xr:uid="{00000000-0005-0000-0000-000094210000}"/>
    <cellStyle name="60% - Accent6 2 2" xfId="25727" xr:uid="{00000000-0005-0000-0000-000095210000}"/>
    <cellStyle name="60% - Accent6 2 3" xfId="25726" xr:uid="{00000000-0005-0000-0000-000096210000}"/>
    <cellStyle name="60% - Accent6 3" xfId="7886" xr:uid="{00000000-0005-0000-0000-000097210000}"/>
    <cellStyle name="60% - Accent6 4" xfId="7884" xr:uid="{00000000-0005-0000-0000-000098210000}"/>
    <cellStyle name="60% - Cor1" xfId="45" xr:uid="{00000000-0005-0000-0000-000099210000}"/>
    <cellStyle name="60% - Cor2" xfId="46" xr:uid="{00000000-0005-0000-0000-00009A210000}"/>
    <cellStyle name="60% - Cor3" xfId="47" xr:uid="{00000000-0005-0000-0000-00009B210000}"/>
    <cellStyle name="60% - Cor4" xfId="48" xr:uid="{00000000-0005-0000-0000-00009C210000}"/>
    <cellStyle name="60% - Cor5" xfId="49" xr:uid="{00000000-0005-0000-0000-00009D210000}"/>
    <cellStyle name="60% - Cor6" xfId="50" xr:uid="{00000000-0005-0000-0000-00009E210000}"/>
    <cellStyle name="60% - Ênfase1" xfId="51" builtinId="32" customBuiltin="1"/>
    <cellStyle name="60% - Ênfase1 2" xfId="7887" xr:uid="{00000000-0005-0000-0000-0000A0210000}"/>
    <cellStyle name="60% - Ênfase1 2 2" xfId="7888" xr:uid="{00000000-0005-0000-0000-0000A1210000}"/>
    <cellStyle name="60% - Ênfase1 2 2 2" xfId="25729" xr:uid="{00000000-0005-0000-0000-0000A2210000}"/>
    <cellStyle name="60% - Ênfase1 2 3" xfId="7889" xr:uid="{00000000-0005-0000-0000-0000A3210000}"/>
    <cellStyle name="60% - Ênfase1 2 4" xfId="7890" xr:uid="{00000000-0005-0000-0000-0000A4210000}"/>
    <cellStyle name="60% - Ênfase1 2 5" xfId="7891" xr:uid="{00000000-0005-0000-0000-0000A5210000}"/>
    <cellStyle name="60% - Ênfase1 2 6" xfId="25728" xr:uid="{00000000-0005-0000-0000-0000A6210000}"/>
    <cellStyle name="60% - Ênfase1 3" xfId="7892" xr:uid="{00000000-0005-0000-0000-0000A7210000}"/>
    <cellStyle name="60% - Ênfase1 3 2" xfId="7893" xr:uid="{00000000-0005-0000-0000-0000A8210000}"/>
    <cellStyle name="60% - Ênfase1 3 2 2" xfId="25731" xr:uid="{00000000-0005-0000-0000-0000A9210000}"/>
    <cellStyle name="60% - Ênfase1 3 3" xfId="7894" xr:uid="{00000000-0005-0000-0000-0000AA210000}"/>
    <cellStyle name="60% - Ênfase1 3 4" xfId="7895" xr:uid="{00000000-0005-0000-0000-0000AB210000}"/>
    <cellStyle name="60% - Ênfase1 3 5" xfId="7896" xr:uid="{00000000-0005-0000-0000-0000AC210000}"/>
    <cellStyle name="60% - Ênfase1 3 6" xfId="25730" xr:uid="{00000000-0005-0000-0000-0000AD210000}"/>
    <cellStyle name="60% - Ênfase1 4" xfId="7897" xr:uid="{00000000-0005-0000-0000-0000AE210000}"/>
    <cellStyle name="60% - Ênfase1 4 2" xfId="7898" xr:uid="{00000000-0005-0000-0000-0000AF210000}"/>
    <cellStyle name="60% - Ênfase1 4 3" xfId="7899" xr:uid="{00000000-0005-0000-0000-0000B0210000}"/>
    <cellStyle name="60% - Ênfase1 4 4" xfId="7900" xr:uid="{00000000-0005-0000-0000-0000B1210000}"/>
    <cellStyle name="60% - Ênfase1 4 5" xfId="7901" xr:uid="{00000000-0005-0000-0000-0000B2210000}"/>
    <cellStyle name="60% - Ênfase1 5" xfId="7902" xr:uid="{00000000-0005-0000-0000-0000B3210000}"/>
    <cellStyle name="60% - Ênfase1 5 2" xfId="25732" xr:uid="{00000000-0005-0000-0000-0000B4210000}"/>
    <cellStyle name="60% - Ênfase1 6" xfId="7903" xr:uid="{00000000-0005-0000-0000-0000B5210000}"/>
    <cellStyle name="60% - Ênfase1 7" xfId="7904" xr:uid="{00000000-0005-0000-0000-0000B6210000}"/>
    <cellStyle name="60% - Ênfase2" xfId="52" builtinId="36" customBuiltin="1"/>
    <cellStyle name="60% - Ênfase2 2" xfId="7905" xr:uid="{00000000-0005-0000-0000-0000B8210000}"/>
    <cellStyle name="60% - Ênfase2 2 2" xfId="7906" xr:uid="{00000000-0005-0000-0000-0000B9210000}"/>
    <cellStyle name="60% - Ênfase2 2 3" xfId="7907" xr:uid="{00000000-0005-0000-0000-0000BA210000}"/>
    <cellStyle name="60% - Ênfase2 2 4" xfId="7908" xr:uid="{00000000-0005-0000-0000-0000BB210000}"/>
    <cellStyle name="60% - Ênfase2 2 5" xfId="7909" xr:uid="{00000000-0005-0000-0000-0000BC210000}"/>
    <cellStyle name="60% - Ênfase2 2 6" xfId="25733" xr:uid="{00000000-0005-0000-0000-0000BD210000}"/>
    <cellStyle name="60% - Ênfase2 3" xfId="7910" xr:uid="{00000000-0005-0000-0000-0000BE210000}"/>
    <cellStyle name="60% - Ênfase2 3 2" xfId="7911" xr:uid="{00000000-0005-0000-0000-0000BF210000}"/>
    <cellStyle name="60% - Ênfase2 3 2 2" xfId="25735" xr:uid="{00000000-0005-0000-0000-0000C0210000}"/>
    <cellStyle name="60% - Ênfase2 3 3" xfId="7912" xr:uid="{00000000-0005-0000-0000-0000C1210000}"/>
    <cellStyle name="60% - Ênfase2 3 4" xfId="7913" xr:uid="{00000000-0005-0000-0000-0000C2210000}"/>
    <cellStyle name="60% - Ênfase2 3 5" xfId="7914" xr:uid="{00000000-0005-0000-0000-0000C3210000}"/>
    <cellStyle name="60% - Ênfase2 3 6" xfId="25734" xr:uid="{00000000-0005-0000-0000-0000C4210000}"/>
    <cellStyle name="60% - Ênfase2 4" xfId="7915" xr:uid="{00000000-0005-0000-0000-0000C5210000}"/>
    <cellStyle name="60% - Ênfase2 4 2" xfId="7916" xr:uid="{00000000-0005-0000-0000-0000C6210000}"/>
    <cellStyle name="60% - Ênfase2 4 3" xfId="7917" xr:uid="{00000000-0005-0000-0000-0000C7210000}"/>
    <cellStyle name="60% - Ênfase2 4 4" xfId="7918" xr:uid="{00000000-0005-0000-0000-0000C8210000}"/>
    <cellStyle name="60% - Ênfase2 4 5" xfId="7919" xr:uid="{00000000-0005-0000-0000-0000C9210000}"/>
    <cellStyle name="60% - Ênfase2 5" xfId="7920" xr:uid="{00000000-0005-0000-0000-0000CA210000}"/>
    <cellStyle name="60% - Ênfase2 5 2" xfId="25736" xr:uid="{00000000-0005-0000-0000-0000CB210000}"/>
    <cellStyle name="60% - Ênfase2 6" xfId="7921" xr:uid="{00000000-0005-0000-0000-0000CC210000}"/>
    <cellStyle name="60% - Ênfase2 7" xfId="7922" xr:uid="{00000000-0005-0000-0000-0000CD210000}"/>
    <cellStyle name="60% - Ênfase3" xfId="53" builtinId="40" customBuiltin="1"/>
    <cellStyle name="60% - Ênfase3 2" xfId="7923" xr:uid="{00000000-0005-0000-0000-0000CF210000}"/>
    <cellStyle name="60% - Ênfase3 2 2" xfId="7924" xr:uid="{00000000-0005-0000-0000-0000D0210000}"/>
    <cellStyle name="60% - Ênfase3 2 3" xfId="7925" xr:uid="{00000000-0005-0000-0000-0000D1210000}"/>
    <cellStyle name="60% - Ênfase3 2 4" xfId="7926" xr:uid="{00000000-0005-0000-0000-0000D2210000}"/>
    <cellStyle name="60% - Ênfase3 2 5" xfId="7927" xr:uid="{00000000-0005-0000-0000-0000D3210000}"/>
    <cellStyle name="60% - Ênfase3 2 6" xfId="25737" xr:uid="{00000000-0005-0000-0000-0000D4210000}"/>
    <cellStyle name="60% - Ênfase3 3" xfId="7928" xr:uid="{00000000-0005-0000-0000-0000D5210000}"/>
    <cellStyle name="60% - Ênfase3 3 2" xfId="7929" xr:uid="{00000000-0005-0000-0000-0000D6210000}"/>
    <cellStyle name="60% - Ênfase3 3 2 2" xfId="25739" xr:uid="{00000000-0005-0000-0000-0000D7210000}"/>
    <cellStyle name="60% - Ênfase3 3 3" xfId="7930" xr:uid="{00000000-0005-0000-0000-0000D8210000}"/>
    <cellStyle name="60% - Ênfase3 3 4" xfId="7931" xr:uid="{00000000-0005-0000-0000-0000D9210000}"/>
    <cellStyle name="60% - Ênfase3 3 5" xfId="7932" xr:uid="{00000000-0005-0000-0000-0000DA210000}"/>
    <cellStyle name="60% - Ênfase3 3 6" xfId="25738" xr:uid="{00000000-0005-0000-0000-0000DB210000}"/>
    <cellStyle name="60% - Ênfase3 4" xfId="7933" xr:uid="{00000000-0005-0000-0000-0000DC210000}"/>
    <cellStyle name="60% - Ênfase3 4 2" xfId="7934" xr:uid="{00000000-0005-0000-0000-0000DD210000}"/>
    <cellStyle name="60% - Ênfase3 4 3" xfId="7935" xr:uid="{00000000-0005-0000-0000-0000DE210000}"/>
    <cellStyle name="60% - Ênfase3 4 4" xfId="7936" xr:uid="{00000000-0005-0000-0000-0000DF210000}"/>
    <cellStyle name="60% - Ênfase3 4 5" xfId="7937" xr:uid="{00000000-0005-0000-0000-0000E0210000}"/>
    <cellStyle name="60% - Ênfase3 5" xfId="7938" xr:uid="{00000000-0005-0000-0000-0000E1210000}"/>
    <cellStyle name="60% - Ênfase3 5 2" xfId="25740" xr:uid="{00000000-0005-0000-0000-0000E2210000}"/>
    <cellStyle name="60% - Ênfase3 6" xfId="7939" xr:uid="{00000000-0005-0000-0000-0000E3210000}"/>
    <cellStyle name="60% - Ênfase3 7" xfId="7940" xr:uid="{00000000-0005-0000-0000-0000E4210000}"/>
    <cellStyle name="60% - Ênfase4" xfId="54" builtinId="44" customBuiltin="1"/>
    <cellStyle name="60% - Ênfase4 2" xfId="7941" xr:uid="{00000000-0005-0000-0000-0000E6210000}"/>
    <cellStyle name="60% - Ênfase4 2 2" xfId="7942" xr:uid="{00000000-0005-0000-0000-0000E7210000}"/>
    <cellStyle name="60% - Ênfase4 2 2 2" xfId="25742" xr:uid="{00000000-0005-0000-0000-0000E8210000}"/>
    <cellStyle name="60% - Ênfase4 2 3" xfId="7943" xr:uid="{00000000-0005-0000-0000-0000E9210000}"/>
    <cellStyle name="60% - Ênfase4 2 4" xfId="7944" xr:uid="{00000000-0005-0000-0000-0000EA210000}"/>
    <cellStyle name="60% - Ênfase4 2 5" xfId="7945" xr:uid="{00000000-0005-0000-0000-0000EB210000}"/>
    <cellStyle name="60% - Ênfase4 2 6" xfId="25741" xr:uid="{00000000-0005-0000-0000-0000EC210000}"/>
    <cellStyle name="60% - Ênfase4 3" xfId="7946" xr:uid="{00000000-0005-0000-0000-0000ED210000}"/>
    <cellStyle name="60% - Ênfase4 3 2" xfId="7947" xr:uid="{00000000-0005-0000-0000-0000EE210000}"/>
    <cellStyle name="60% - Ênfase4 3 2 2" xfId="25744" xr:uid="{00000000-0005-0000-0000-0000EF210000}"/>
    <cellStyle name="60% - Ênfase4 3 3" xfId="7948" xr:uid="{00000000-0005-0000-0000-0000F0210000}"/>
    <cellStyle name="60% - Ênfase4 3 4" xfId="7949" xr:uid="{00000000-0005-0000-0000-0000F1210000}"/>
    <cellStyle name="60% - Ênfase4 3 5" xfId="7950" xr:uid="{00000000-0005-0000-0000-0000F2210000}"/>
    <cellStyle name="60% - Ênfase4 3 6" xfId="25743" xr:uid="{00000000-0005-0000-0000-0000F3210000}"/>
    <cellStyle name="60% - Ênfase4 4" xfId="7951" xr:uid="{00000000-0005-0000-0000-0000F4210000}"/>
    <cellStyle name="60% - Ênfase4 4 2" xfId="7952" xr:uid="{00000000-0005-0000-0000-0000F5210000}"/>
    <cellStyle name="60% - Ênfase4 4 3" xfId="7953" xr:uid="{00000000-0005-0000-0000-0000F6210000}"/>
    <cellStyle name="60% - Ênfase4 4 4" xfId="7954" xr:uid="{00000000-0005-0000-0000-0000F7210000}"/>
    <cellStyle name="60% - Ênfase4 4 5" xfId="7955" xr:uid="{00000000-0005-0000-0000-0000F8210000}"/>
    <cellStyle name="60% - Ênfase4 5" xfId="7956" xr:uid="{00000000-0005-0000-0000-0000F9210000}"/>
    <cellStyle name="60% - Ênfase4 5 2" xfId="25745" xr:uid="{00000000-0005-0000-0000-0000FA210000}"/>
    <cellStyle name="60% - Ênfase4 6" xfId="7957" xr:uid="{00000000-0005-0000-0000-0000FB210000}"/>
    <cellStyle name="60% - Ênfase4 7" xfId="7958" xr:uid="{00000000-0005-0000-0000-0000FC210000}"/>
    <cellStyle name="60% - Ênfase5" xfId="55" builtinId="48" customBuiltin="1"/>
    <cellStyle name="60% - Ênfase5 2" xfId="7959" xr:uid="{00000000-0005-0000-0000-0000FE210000}"/>
    <cellStyle name="60% - Ênfase5 2 2" xfId="7960" xr:uid="{00000000-0005-0000-0000-0000FF210000}"/>
    <cellStyle name="60% - Ênfase5 2 2 2" xfId="25747" xr:uid="{00000000-0005-0000-0000-000000220000}"/>
    <cellStyle name="60% - Ênfase5 2 3" xfId="7961" xr:uid="{00000000-0005-0000-0000-000001220000}"/>
    <cellStyle name="60% - Ênfase5 2 4" xfId="7962" xr:uid="{00000000-0005-0000-0000-000002220000}"/>
    <cellStyle name="60% - Ênfase5 2 5" xfId="7963" xr:uid="{00000000-0005-0000-0000-000003220000}"/>
    <cellStyle name="60% - Ênfase5 2 6" xfId="25746" xr:uid="{00000000-0005-0000-0000-000004220000}"/>
    <cellStyle name="60% - Ênfase5 3" xfId="7964" xr:uid="{00000000-0005-0000-0000-000005220000}"/>
    <cellStyle name="60% - Ênfase5 3 2" xfId="7965" xr:uid="{00000000-0005-0000-0000-000006220000}"/>
    <cellStyle name="60% - Ênfase5 3 2 2" xfId="25749" xr:uid="{00000000-0005-0000-0000-000007220000}"/>
    <cellStyle name="60% - Ênfase5 3 3" xfId="7966" xr:uid="{00000000-0005-0000-0000-000008220000}"/>
    <cellStyle name="60% - Ênfase5 3 4" xfId="7967" xr:uid="{00000000-0005-0000-0000-000009220000}"/>
    <cellStyle name="60% - Ênfase5 3 5" xfId="7968" xr:uid="{00000000-0005-0000-0000-00000A220000}"/>
    <cellStyle name="60% - Ênfase5 3 6" xfId="25748" xr:uid="{00000000-0005-0000-0000-00000B220000}"/>
    <cellStyle name="60% - Ênfase5 4" xfId="7969" xr:uid="{00000000-0005-0000-0000-00000C220000}"/>
    <cellStyle name="60% - Ênfase5 4 2" xfId="7970" xr:uid="{00000000-0005-0000-0000-00000D220000}"/>
    <cellStyle name="60% - Ênfase5 4 3" xfId="7971" xr:uid="{00000000-0005-0000-0000-00000E220000}"/>
    <cellStyle name="60% - Ênfase5 4 4" xfId="7972" xr:uid="{00000000-0005-0000-0000-00000F220000}"/>
    <cellStyle name="60% - Ênfase5 4 5" xfId="7973" xr:uid="{00000000-0005-0000-0000-000010220000}"/>
    <cellStyle name="60% - Ênfase5 5" xfId="7974" xr:uid="{00000000-0005-0000-0000-000011220000}"/>
    <cellStyle name="60% - Ênfase5 5 2" xfId="25750" xr:uid="{00000000-0005-0000-0000-000012220000}"/>
    <cellStyle name="60% - Ênfase5 6" xfId="7975" xr:uid="{00000000-0005-0000-0000-000013220000}"/>
    <cellStyle name="60% - Ênfase5 7" xfId="7976" xr:uid="{00000000-0005-0000-0000-000014220000}"/>
    <cellStyle name="60% - Ênfase6" xfId="56" builtinId="52" customBuiltin="1"/>
    <cellStyle name="60% - Ênfase6 2" xfId="7977" xr:uid="{00000000-0005-0000-0000-000016220000}"/>
    <cellStyle name="60% - Ênfase6 2 2" xfId="7978" xr:uid="{00000000-0005-0000-0000-000017220000}"/>
    <cellStyle name="60% - Ênfase6 2 2 2" xfId="25752" xr:uid="{00000000-0005-0000-0000-000018220000}"/>
    <cellStyle name="60% - Ênfase6 2 3" xfId="7979" xr:uid="{00000000-0005-0000-0000-000019220000}"/>
    <cellStyle name="60% - Ênfase6 2 4" xfId="7980" xr:uid="{00000000-0005-0000-0000-00001A220000}"/>
    <cellStyle name="60% - Ênfase6 2 5" xfId="7981" xr:uid="{00000000-0005-0000-0000-00001B220000}"/>
    <cellStyle name="60% - Ênfase6 2 6" xfId="25751" xr:uid="{00000000-0005-0000-0000-00001C220000}"/>
    <cellStyle name="60% - Ênfase6 3" xfId="7982" xr:uid="{00000000-0005-0000-0000-00001D220000}"/>
    <cellStyle name="60% - Ênfase6 3 2" xfId="7983" xr:uid="{00000000-0005-0000-0000-00001E220000}"/>
    <cellStyle name="60% - Ênfase6 3 2 2" xfId="25754" xr:uid="{00000000-0005-0000-0000-00001F220000}"/>
    <cellStyle name="60% - Ênfase6 3 3" xfId="7984" xr:uid="{00000000-0005-0000-0000-000020220000}"/>
    <cellStyle name="60% - Ênfase6 3 4" xfId="7985" xr:uid="{00000000-0005-0000-0000-000021220000}"/>
    <cellStyle name="60% - Ênfase6 3 5" xfId="7986" xr:uid="{00000000-0005-0000-0000-000022220000}"/>
    <cellStyle name="60% - Ênfase6 3 6" xfId="25753" xr:uid="{00000000-0005-0000-0000-000023220000}"/>
    <cellStyle name="60% - Ênfase6 4" xfId="7987" xr:uid="{00000000-0005-0000-0000-000024220000}"/>
    <cellStyle name="60% - Ênfase6 4 2" xfId="7988" xr:uid="{00000000-0005-0000-0000-000025220000}"/>
    <cellStyle name="60% - Ênfase6 4 3" xfId="7989" xr:uid="{00000000-0005-0000-0000-000026220000}"/>
    <cellStyle name="60% - Ênfase6 4 4" xfId="7990" xr:uid="{00000000-0005-0000-0000-000027220000}"/>
    <cellStyle name="60% - Ênfase6 4 5" xfId="7991" xr:uid="{00000000-0005-0000-0000-000028220000}"/>
    <cellStyle name="60% - Ênfase6 5" xfId="7992" xr:uid="{00000000-0005-0000-0000-000029220000}"/>
    <cellStyle name="60% - Ênfase6 5 2" xfId="25755" xr:uid="{00000000-0005-0000-0000-00002A220000}"/>
    <cellStyle name="60% - Ênfase6 6" xfId="7993" xr:uid="{00000000-0005-0000-0000-00002B220000}"/>
    <cellStyle name="60% - Ênfase6 7" xfId="7994" xr:uid="{00000000-0005-0000-0000-00002C220000}"/>
    <cellStyle name="60% - Énfasis1" xfId="7995" xr:uid="{00000000-0005-0000-0000-00002D220000}"/>
    <cellStyle name="60% - Énfasis2" xfId="7996" xr:uid="{00000000-0005-0000-0000-00002E220000}"/>
    <cellStyle name="60% - Énfasis3" xfId="7997" xr:uid="{00000000-0005-0000-0000-00002F220000}"/>
    <cellStyle name="60% - Énfasis4" xfId="7998" xr:uid="{00000000-0005-0000-0000-000030220000}"/>
    <cellStyle name="60% - Énfasis5" xfId="7999" xr:uid="{00000000-0005-0000-0000-000031220000}"/>
    <cellStyle name="60% - Énfasis6" xfId="8000" xr:uid="{00000000-0005-0000-0000-000032220000}"/>
    <cellStyle name="A3 297 x 420 mm" xfId="8001" xr:uid="{00000000-0005-0000-0000-000033220000}"/>
    <cellStyle name="A3 297 x 420 mm 2" xfId="8002" xr:uid="{00000000-0005-0000-0000-000034220000}"/>
    <cellStyle name="A3 297 x 420 mm 2 2" xfId="8003" xr:uid="{00000000-0005-0000-0000-000035220000}"/>
    <cellStyle name="A3 297 x 420 mm_FCD" xfId="8004" xr:uid="{00000000-0005-0000-0000-000036220000}"/>
    <cellStyle name="Accent1" xfId="57" xr:uid="{00000000-0005-0000-0000-000037220000}"/>
    <cellStyle name="Accent1 2" xfId="8006" xr:uid="{00000000-0005-0000-0000-000038220000}"/>
    <cellStyle name="Accent1 2 2" xfId="25757" xr:uid="{00000000-0005-0000-0000-000039220000}"/>
    <cellStyle name="Accent1 2 3" xfId="25756" xr:uid="{00000000-0005-0000-0000-00003A220000}"/>
    <cellStyle name="Accent1 3" xfId="8007" xr:uid="{00000000-0005-0000-0000-00003B220000}"/>
    <cellStyle name="Accent1 4" xfId="8005" xr:uid="{00000000-0005-0000-0000-00003C220000}"/>
    <cellStyle name="Accent2" xfId="58" xr:uid="{00000000-0005-0000-0000-00003D220000}"/>
    <cellStyle name="Accent2 2" xfId="8009" xr:uid="{00000000-0005-0000-0000-00003E220000}"/>
    <cellStyle name="Accent2 2 2" xfId="25759" xr:uid="{00000000-0005-0000-0000-00003F220000}"/>
    <cellStyle name="Accent2 2 3" xfId="25758" xr:uid="{00000000-0005-0000-0000-000040220000}"/>
    <cellStyle name="Accent2 3" xfId="8010" xr:uid="{00000000-0005-0000-0000-000041220000}"/>
    <cellStyle name="Accent2 4" xfId="8008" xr:uid="{00000000-0005-0000-0000-000042220000}"/>
    <cellStyle name="Accent3" xfId="59" xr:uid="{00000000-0005-0000-0000-000043220000}"/>
    <cellStyle name="Accent3 2" xfId="8012" xr:uid="{00000000-0005-0000-0000-000044220000}"/>
    <cellStyle name="Accent3 2 2" xfId="25761" xr:uid="{00000000-0005-0000-0000-000045220000}"/>
    <cellStyle name="Accent3 2 3" xfId="25760" xr:uid="{00000000-0005-0000-0000-000046220000}"/>
    <cellStyle name="Accent3 3" xfId="8013" xr:uid="{00000000-0005-0000-0000-000047220000}"/>
    <cellStyle name="Accent3 4" xfId="8011" xr:uid="{00000000-0005-0000-0000-000048220000}"/>
    <cellStyle name="Accent4" xfId="60" xr:uid="{00000000-0005-0000-0000-000049220000}"/>
    <cellStyle name="Accent4 2" xfId="8015" xr:uid="{00000000-0005-0000-0000-00004A220000}"/>
    <cellStyle name="Accent4 2 2" xfId="25763" xr:uid="{00000000-0005-0000-0000-00004B220000}"/>
    <cellStyle name="Accent4 2 3" xfId="25762" xr:uid="{00000000-0005-0000-0000-00004C220000}"/>
    <cellStyle name="Accent4 3" xfId="8016" xr:uid="{00000000-0005-0000-0000-00004D220000}"/>
    <cellStyle name="Accent4 4" xfId="8014" xr:uid="{00000000-0005-0000-0000-00004E220000}"/>
    <cellStyle name="Accent5" xfId="61" xr:uid="{00000000-0005-0000-0000-00004F220000}"/>
    <cellStyle name="Accent5 2" xfId="8018" xr:uid="{00000000-0005-0000-0000-000050220000}"/>
    <cellStyle name="Accent5 2 2" xfId="25765" xr:uid="{00000000-0005-0000-0000-000051220000}"/>
    <cellStyle name="Accent5 2 3" xfId="25764" xr:uid="{00000000-0005-0000-0000-000052220000}"/>
    <cellStyle name="Accent5 3" xfId="8019" xr:uid="{00000000-0005-0000-0000-000053220000}"/>
    <cellStyle name="Accent5 4" xfId="8017" xr:uid="{00000000-0005-0000-0000-000054220000}"/>
    <cellStyle name="Accent6" xfId="62" xr:uid="{00000000-0005-0000-0000-000055220000}"/>
    <cellStyle name="Accent6 2" xfId="8021" xr:uid="{00000000-0005-0000-0000-000056220000}"/>
    <cellStyle name="Accent6 2 2" xfId="25767" xr:uid="{00000000-0005-0000-0000-000057220000}"/>
    <cellStyle name="Accent6 2 3" xfId="25766" xr:uid="{00000000-0005-0000-0000-000058220000}"/>
    <cellStyle name="Accent6 3" xfId="8022" xr:uid="{00000000-0005-0000-0000-000059220000}"/>
    <cellStyle name="Accent6 4" xfId="8020" xr:uid="{00000000-0005-0000-0000-00005A220000}"/>
    <cellStyle name="AFE" xfId="8023" xr:uid="{00000000-0005-0000-0000-00005B220000}"/>
    <cellStyle name="AFE 2" xfId="8024" xr:uid="{00000000-0005-0000-0000-00005C220000}"/>
    <cellStyle name="AFE_FLUXO DE DIVIDENDOS" xfId="8025" xr:uid="{00000000-0005-0000-0000-00005D220000}"/>
    <cellStyle name="apresent" xfId="8026" xr:uid="{00000000-0005-0000-0000-00005E220000}"/>
    <cellStyle name="Array" xfId="8027" xr:uid="{00000000-0005-0000-0000-00005F220000}"/>
    <cellStyle name="Array Enter" xfId="8028" xr:uid="{00000000-0005-0000-0000-000060220000}"/>
    <cellStyle name="Array_FLUXO DE DIVIDENDOS" xfId="8029" xr:uid="{00000000-0005-0000-0000-000061220000}"/>
    <cellStyle name="Bad" xfId="63" xr:uid="{00000000-0005-0000-0000-000062220000}"/>
    <cellStyle name="Bad 2" xfId="8031" xr:uid="{00000000-0005-0000-0000-000063220000}"/>
    <cellStyle name="Bad 2 2" xfId="25769" xr:uid="{00000000-0005-0000-0000-000064220000}"/>
    <cellStyle name="Bad 2 3" xfId="25768" xr:uid="{00000000-0005-0000-0000-000065220000}"/>
    <cellStyle name="Bad 3" xfId="8032" xr:uid="{00000000-0005-0000-0000-000066220000}"/>
    <cellStyle name="Bad 4" xfId="8030" xr:uid="{00000000-0005-0000-0000-000067220000}"/>
    <cellStyle name="Black" xfId="8033" xr:uid="{00000000-0005-0000-0000-000068220000}"/>
    <cellStyle name="Blue" xfId="8034" xr:uid="{00000000-0005-0000-0000-000069220000}"/>
    <cellStyle name="Bold/Border" xfId="64" xr:uid="{00000000-0005-0000-0000-00006A220000}"/>
    <cellStyle name="Bold/Border 2" xfId="8035" xr:uid="{00000000-0005-0000-0000-00006B220000}"/>
    <cellStyle name="Bold/Border 2 2" xfId="27085" xr:uid="{00000000-0005-0000-0000-00006C220000}"/>
    <cellStyle name="Bol-Data" xfId="8036" xr:uid="{00000000-0005-0000-0000-00006D220000}"/>
    <cellStyle name="bolet" xfId="8037" xr:uid="{00000000-0005-0000-0000-00006E220000}"/>
    <cellStyle name="Boletim" xfId="8038" xr:uid="{00000000-0005-0000-0000-00006F220000}"/>
    <cellStyle name="Bom" xfId="65" builtinId="26" customBuiltin="1"/>
    <cellStyle name="Bom 2" xfId="8039" xr:uid="{00000000-0005-0000-0000-000071220000}"/>
    <cellStyle name="Bom 2 2" xfId="8040" xr:uid="{00000000-0005-0000-0000-000072220000}"/>
    <cellStyle name="Bom 2 3" xfId="8041" xr:uid="{00000000-0005-0000-0000-000073220000}"/>
    <cellStyle name="Bom 2 4" xfId="8042" xr:uid="{00000000-0005-0000-0000-000074220000}"/>
    <cellStyle name="Bom 2 5" xfId="8043" xr:uid="{00000000-0005-0000-0000-000075220000}"/>
    <cellStyle name="Bom 2 6" xfId="25770" xr:uid="{00000000-0005-0000-0000-000076220000}"/>
    <cellStyle name="Bom 3" xfId="8044" xr:uid="{00000000-0005-0000-0000-000077220000}"/>
    <cellStyle name="Bom 3 2" xfId="8045" xr:uid="{00000000-0005-0000-0000-000078220000}"/>
    <cellStyle name="Bom 3 2 2" xfId="25772" xr:uid="{00000000-0005-0000-0000-000079220000}"/>
    <cellStyle name="Bom 3 3" xfId="8046" xr:uid="{00000000-0005-0000-0000-00007A220000}"/>
    <cellStyle name="Bom 3 4" xfId="8047" xr:uid="{00000000-0005-0000-0000-00007B220000}"/>
    <cellStyle name="Bom 3 5" xfId="8048" xr:uid="{00000000-0005-0000-0000-00007C220000}"/>
    <cellStyle name="Bom 3 6" xfId="25771" xr:uid="{00000000-0005-0000-0000-00007D220000}"/>
    <cellStyle name="Bom 4" xfId="8049" xr:uid="{00000000-0005-0000-0000-00007E220000}"/>
    <cellStyle name="Bom 4 2" xfId="8050" xr:uid="{00000000-0005-0000-0000-00007F220000}"/>
    <cellStyle name="Bom 4 3" xfId="8051" xr:uid="{00000000-0005-0000-0000-000080220000}"/>
    <cellStyle name="Bom 4 4" xfId="8052" xr:uid="{00000000-0005-0000-0000-000081220000}"/>
    <cellStyle name="Bom 4 5" xfId="8053" xr:uid="{00000000-0005-0000-0000-000082220000}"/>
    <cellStyle name="Bom 5" xfId="8054" xr:uid="{00000000-0005-0000-0000-000083220000}"/>
    <cellStyle name="Bom 5 2" xfId="25773" xr:uid="{00000000-0005-0000-0000-000084220000}"/>
    <cellStyle name="Bom 6" xfId="8055" xr:uid="{00000000-0005-0000-0000-000085220000}"/>
    <cellStyle name="Bom 7" xfId="8056" xr:uid="{00000000-0005-0000-0000-000086220000}"/>
    <cellStyle name="Buena" xfId="8057" xr:uid="{00000000-0005-0000-0000-000087220000}"/>
    <cellStyle name="Bullet" xfId="66" xr:uid="{00000000-0005-0000-0000-000088220000}"/>
    <cellStyle name="Cabe‡alho 1" xfId="8058" xr:uid="{00000000-0005-0000-0000-000089220000}"/>
    <cellStyle name="Cabe‡alho 2" xfId="8059" xr:uid="{00000000-0005-0000-0000-00008A220000}"/>
    <cellStyle name="Cabeçalho 1" xfId="67" xr:uid="{00000000-0005-0000-0000-00008B220000}"/>
    <cellStyle name="Cabeçalho 1 2" xfId="8060" xr:uid="{00000000-0005-0000-0000-00008C220000}"/>
    <cellStyle name="Cabeçalho 2" xfId="68" xr:uid="{00000000-0005-0000-0000-00008D220000}"/>
    <cellStyle name="Cabeçalho 2 2" xfId="8061" xr:uid="{00000000-0005-0000-0000-00008E220000}"/>
    <cellStyle name="Cabeçalho 3" xfId="69" xr:uid="{00000000-0005-0000-0000-00008F220000}"/>
    <cellStyle name="Cabeçalho 4" xfId="70" xr:uid="{00000000-0005-0000-0000-000090220000}"/>
    <cellStyle name="Calc" xfId="8062" xr:uid="{00000000-0005-0000-0000-000091220000}"/>
    <cellStyle name="Calc 2" xfId="24535" xr:uid="{00000000-0005-0000-0000-000092220000}"/>
    <cellStyle name="Calculation" xfId="71" xr:uid="{00000000-0005-0000-0000-000093220000}"/>
    <cellStyle name="Calculation 10" xfId="72" xr:uid="{00000000-0005-0000-0000-000094220000}"/>
    <cellStyle name="Calculation 10 2" xfId="27835" xr:uid="{63320C20-B20A-4041-95D8-559EAD290F98}"/>
    <cellStyle name="Calculation 11" xfId="73" xr:uid="{00000000-0005-0000-0000-000095220000}"/>
    <cellStyle name="Calculation 11 2" xfId="27836" xr:uid="{0647345F-6B66-4791-8EA9-C04FB0E192DF}"/>
    <cellStyle name="Calculation 12" xfId="74" xr:uid="{00000000-0005-0000-0000-000096220000}"/>
    <cellStyle name="Calculation 12 2" xfId="27837" xr:uid="{10C6746C-A341-44E4-8745-36495E4BCE79}"/>
    <cellStyle name="Calculation 13" xfId="75" xr:uid="{00000000-0005-0000-0000-000097220000}"/>
    <cellStyle name="Calculation 13 2" xfId="27838" xr:uid="{C6E3DFA1-5F24-41B3-87CF-EA1A08159DD5}"/>
    <cellStyle name="Calculation 14" xfId="76" xr:uid="{00000000-0005-0000-0000-000098220000}"/>
    <cellStyle name="Calculation 14 2" xfId="27839" xr:uid="{B649ADE1-DFED-495D-A507-34A555B39F37}"/>
    <cellStyle name="Calculation 15" xfId="77" xr:uid="{00000000-0005-0000-0000-000099220000}"/>
    <cellStyle name="Calculation 15 2" xfId="27840" xr:uid="{52A9FF1F-8A10-450D-AFEE-1BEE93198DBB}"/>
    <cellStyle name="Calculation 16" xfId="78" xr:uid="{00000000-0005-0000-0000-00009A220000}"/>
    <cellStyle name="Calculation 16 2" xfId="27841" xr:uid="{4E32838C-70E5-4B6E-9733-1D2D20B72B70}"/>
    <cellStyle name="Calculation 17" xfId="79" xr:uid="{00000000-0005-0000-0000-00009B220000}"/>
    <cellStyle name="Calculation 17 2" xfId="27842" xr:uid="{7699FDC3-5345-43D0-83FB-17535995FB74}"/>
    <cellStyle name="Calculation 18" xfId="80" xr:uid="{00000000-0005-0000-0000-00009C220000}"/>
    <cellStyle name="Calculation 18 2" xfId="27843" xr:uid="{9B32ED0D-043D-4CB7-8C89-F57089232265}"/>
    <cellStyle name="Calculation 19" xfId="8063" xr:uid="{00000000-0005-0000-0000-00009D220000}"/>
    <cellStyle name="Calculation 2" xfId="81" xr:uid="{00000000-0005-0000-0000-00009E220000}"/>
    <cellStyle name="Calculation 2 2" xfId="8065" xr:uid="{00000000-0005-0000-0000-00009F220000}"/>
    <cellStyle name="Calculation 2 2 2" xfId="24538" xr:uid="{00000000-0005-0000-0000-0000A0220000}"/>
    <cellStyle name="Calculation 2 2 2 2" xfId="32547" xr:uid="{613C9A68-5AE1-4780-8BC6-1417982D54C1}"/>
    <cellStyle name="Calculation 2 2 3" xfId="25776" xr:uid="{00000000-0005-0000-0000-0000A1220000}"/>
    <cellStyle name="Calculation 2 3" xfId="8064" xr:uid="{00000000-0005-0000-0000-0000A2220000}"/>
    <cellStyle name="Calculation 2 4" xfId="24537" xr:uid="{00000000-0005-0000-0000-0000A3220000}"/>
    <cellStyle name="Calculation 2 4 2" xfId="32546" xr:uid="{CF1F5E99-4A2B-4784-BDDB-B96B623C6EAA}"/>
    <cellStyle name="Calculation 2 5" xfId="25775" xr:uid="{00000000-0005-0000-0000-0000A4220000}"/>
    <cellStyle name="Calculation 20" xfId="24536" xr:uid="{00000000-0005-0000-0000-0000A5220000}"/>
    <cellStyle name="Calculation 20 2" xfId="32545" xr:uid="{211754E3-F417-4631-9908-CC2F710DE4FF}"/>
    <cellStyle name="Calculation 21" xfId="25774" xr:uid="{00000000-0005-0000-0000-0000A6220000}"/>
    <cellStyle name="Calculation 3" xfId="82" xr:uid="{00000000-0005-0000-0000-0000A7220000}"/>
    <cellStyle name="Calculation 3 2" xfId="8067" xr:uid="{00000000-0005-0000-0000-0000A8220000}"/>
    <cellStyle name="Calculation 3 2 2" xfId="24540" xr:uid="{00000000-0005-0000-0000-0000A9220000}"/>
    <cellStyle name="Calculation 3 2 2 2" xfId="32549" xr:uid="{09761200-CFFA-4C40-8C50-ABACF3F617EB}"/>
    <cellStyle name="Calculation 3 3" xfId="8066" xr:uid="{00000000-0005-0000-0000-0000AA220000}"/>
    <cellStyle name="Calculation 3 4" xfId="24539" xr:uid="{00000000-0005-0000-0000-0000AB220000}"/>
    <cellStyle name="Calculation 3 4 2" xfId="32548" xr:uid="{1FD016FE-D2AE-4183-9996-95C17E098B36}"/>
    <cellStyle name="Calculation 3 5" xfId="25777" xr:uid="{00000000-0005-0000-0000-0000AC220000}"/>
    <cellStyle name="Calculation 4" xfId="83" xr:uid="{00000000-0005-0000-0000-0000AD220000}"/>
    <cellStyle name="Calculation 4 2" xfId="8069" xr:uid="{00000000-0005-0000-0000-0000AE220000}"/>
    <cellStyle name="Calculation 4 2 2" xfId="24542" xr:uid="{00000000-0005-0000-0000-0000AF220000}"/>
    <cellStyle name="Calculation 4 2 2 2" xfId="32551" xr:uid="{3C9EE7CD-E223-4CCE-89FB-37867F519BFB}"/>
    <cellStyle name="Calculation 4 3" xfId="8068" xr:uid="{00000000-0005-0000-0000-0000B0220000}"/>
    <cellStyle name="Calculation 4 4" xfId="24541" xr:uid="{00000000-0005-0000-0000-0000B1220000}"/>
    <cellStyle name="Calculation 4 4 2" xfId="32550" xr:uid="{35C9C0FF-8434-4897-B723-77D288F0DD72}"/>
    <cellStyle name="Calculation 4 5" xfId="27844" xr:uid="{BCD47F51-7329-41F6-9B52-336CB3B93954}"/>
    <cellStyle name="Calculation 5" xfId="84" xr:uid="{00000000-0005-0000-0000-0000B2220000}"/>
    <cellStyle name="Calculation 5 2" xfId="8071" xr:uid="{00000000-0005-0000-0000-0000B3220000}"/>
    <cellStyle name="Calculation 5 2 2" xfId="24544" xr:uid="{00000000-0005-0000-0000-0000B4220000}"/>
    <cellStyle name="Calculation 5 2 2 2" xfId="32553" xr:uid="{EF1AD0D2-C6A5-4B31-ACAD-32C7BB120EFB}"/>
    <cellStyle name="Calculation 5 3" xfId="8070" xr:uid="{00000000-0005-0000-0000-0000B5220000}"/>
    <cellStyle name="Calculation 5 4" xfId="24543" xr:uid="{00000000-0005-0000-0000-0000B6220000}"/>
    <cellStyle name="Calculation 5 4 2" xfId="32552" xr:uid="{A0116B9A-9F5D-479F-84FD-AA6488211606}"/>
    <cellStyle name="Calculation 5 5" xfId="27845" xr:uid="{28E403A8-9669-4F03-AE40-BC61D7A4D189}"/>
    <cellStyle name="Calculation 6" xfId="85" xr:uid="{00000000-0005-0000-0000-0000B7220000}"/>
    <cellStyle name="Calculation 6 2" xfId="8073" xr:uid="{00000000-0005-0000-0000-0000B8220000}"/>
    <cellStyle name="Calculation 6 2 2" xfId="24546" xr:uid="{00000000-0005-0000-0000-0000B9220000}"/>
    <cellStyle name="Calculation 6 2 2 2" xfId="32555" xr:uid="{ADE94A34-8169-41EF-9013-D5C2ECBF079B}"/>
    <cellStyle name="Calculation 6 3" xfId="8072" xr:uid="{00000000-0005-0000-0000-0000BA220000}"/>
    <cellStyle name="Calculation 6 4" xfId="24545" xr:uid="{00000000-0005-0000-0000-0000BB220000}"/>
    <cellStyle name="Calculation 6 4 2" xfId="32554" xr:uid="{1184E3D6-F058-4655-A525-F80318E33DD1}"/>
    <cellStyle name="Calculation 6 5" xfId="27846" xr:uid="{11B07E1C-B817-484D-AFD6-28CA671F713B}"/>
    <cellStyle name="Calculation 7" xfId="86" xr:uid="{00000000-0005-0000-0000-0000BC220000}"/>
    <cellStyle name="Calculation 7 2" xfId="8075" xr:uid="{00000000-0005-0000-0000-0000BD220000}"/>
    <cellStyle name="Calculation 7 2 2" xfId="24548" xr:uid="{00000000-0005-0000-0000-0000BE220000}"/>
    <cellStyle name="Calculation 7 2 2 2" xfId="32557" xr:uid="{6538B85B-7449-4D21-BB12-90B0EFEC7227}"/>
    <cellStyle name="Calculation 7 3" xfId="8074" xr:uid="{00000000-0005-0000-0000-0000BF220000}"/>
    <cellStyle name="Calculation 7 4" xfId="24547" xr:uid="{00000000-0005-0000-0000-0000C0220000}"/>
    <cellStyle name="Calculation 7 4 2" xfId="32556" xr:uid="{9EB0ED05-EE81-4CD2-A251-44880686B29B}"/>
    <cellStyle name="Calculation 7 5" xfId="27847" xr:uid="{25041941-31FC-413E-B0C2-238D1ADC9EAD}"/>
    <cellStyle name="Calculation 8" xfId="87" xr:uid="{00000000-0005-0000-0000-0000C1220000}"/>
    <cellStyle name="Calculation 8 2" xfId="8076" xr:uid="{00000000-0005-0000-0000-0000C2220000}"/>
    <cellStyle name="Calculation 8 3" xfId="24549" xr:uid="{00000000-0005-0000-0000-0000C3220000}"/>
    <cellStyle name="Calculation 8 3 2" xfId="32558" xr:uid="{7FD06C83-6F24-4A61-907E-555BDC400DC3}"/>
    <cellStyle name="Calculation 8 4" xfId="27848" xr:uid="{0B6311C0-518D-4B17-9374-97541A820FA4}"/>
    <cellStyle name="Calculation 9" xfId="88" xr:uid="{00000000-0005-0000-0000-0000C4220000}"/>
    <cellStyle name="Calculation 9 2" xfId="27849" xr:uid="{8A3F8CE5-F01A-42E1-898D-451725BFD644}"/>
    <cellStyle name="Cálculo" xfId="89" builtinId="22" customBuiltin="1"/>
    <cellStyle name="Cálculo 2" xfId="8077" xr:uid="{00000000-0005-0000-0000-0000C6220000}"/>
    <cellStyle name="Cálculo 2 10" xfId="25778" xr:uid="{00000000-0005-0000-0000-0000C7220000}"/>
    <cellStyle name="Cálculo 2 2" xfId="8078" xr:uid="{00000000-0005-0000-0000-0000C8220000}"/>
    <cellStyle name="Cálculo 2 2 2" xfId="8079" xr:uid="{00000000-0005-0000-0000-0000C9220000}"/>
    <cellStyle name="Cálculo 2 2 2 2" xfId="24552" xr:uid="{00000000-0005-0000-0000-0000CA220000}"/>
    <cellStyle name="Cálculo 2 2 2 2 2" xfId="32561" xr:uid="{C4B3C5E5-E007-4BA8-A07C-E5CBD31F3AAC}"/>
    <cellStyle name="Cálculo 2 2 3" xfId="24551" xr:uid="{00000000-0005-0000-0000-0000CB220000}"/>
    <cellStyle name="Cálculo 2 2 3 2" xfId="32560" xr:uid="{57610AF6-6D59-4BE5-A16E-0947C754F183}"/>
    <cellStyle name="Cálculo 2 2 4" xfId="25779" xr:uid="{00000000-0005-0000-0000-0000CC220000}"/>
    <cellStyle name="Cálculo 2 3" xfId="8080" xr:uid="{00000000-0005-0000-0000-0000CD220000}"/>
    <cellStyle name="Cálculo 2 3 2" xfId="8081" xr:uid="{00000000-0005-0000-0000-0000CE220000}"/>
    <cellStyle name="Cálculo 2 3 2 2" xfId="24554" xr:uid="{00000000-0005-0000-0000-0000CF220000}"/>
    <cellStyle name="Cálculo 2 3 2 2 2" xfId="32563" xr:uid="{C3AE4F0A-2958-49DB-BDF9-65FD46373575}"/>
    <cellStyle name="Cálculo 2 3 3" xfId="24553" xr:uid="{00000000-0005-0000-0000-0000D0220000}"/>
    <cellStyle name="Cálculo 2 3 3 2" xfId="32562" xr:uid="{39D25943-8824-4CB8-9381-04E2A41B5976}"/>
    <cellStyle name="Cálculo 2 4" xfId="8082" xr:uid="{00000000-0005-0000-0000-0000D1220000}"/>
    <cellStyle name="Cálculo 2 4 2" xfId="8083" xr:uid="{00000000-0005-0000-0000-0000D2220000}"/>
    <cellStyle name="Cálculo 2 4 2 2" xfId="24556" xr:uid="{00000000-0005-0000-0000-0000D3220000}"/>
    <cellStyle name="Cálculo 2 4 2 2 2" xfId="32565" xr:uid="{CFE02E09-6DEA-4A30-BE10-BFA2A2FEA2FB}"/>
    <cellStyle name="Cálculo 2 4 3" xfId="24555" xr:uid="{00000000-0005-0000-0000-0000D4220000}"/>
    <cellStyle name="Cálculo 2 4 3 2" xfId="32564" xr:uid="{7EA6B1E1-E1FE-4619-8BDC-CA540FB4FEF7}"/>
    <cellStyle name="Cálculo 2 5" xfId="8084" xr:uid="{00000000-0005-0000-0000-0000D5220000}"/>
    <cellStyle name="Cálculo 2 5 2" xfId="8085" xr:uid="{00000000-0005-0000-0000-0000D6220000}"/>
    <cellStyle name="Cálculo 2 5 2 2" xfId="24558" xr:uid="{00000000-0005-0000-0000-0000D7220000}"/>
    <cellStyle name="Cálculo 2 5 2 2 2" xfId="32567" xr:uid="{FA1BDB37-9A70-41D7-A81F-A57986BCC48D}"/>
    <cellStyle name="Cálculo 2 5 3" xfId="24557" xr:uid="{00000000-0005-0000-0000-0000D8220000}"/>
    <cellStyle name="Cálculo 2 5 3 2" xfId="32566" xr:uid="{497121D9-BB00-4356-AB67-9A6F06D87E9C}"/>
    <cellStyle name="Cálculo 2 6" xfId="8086" xr:uid="{00000000-0005-0000-0000-0000D9220000}"/>
    <cellStyle name="Cálculo 2 6 2" xfId="8087" xr:uid="{00000000-0005-0000-0000-0000DA220000}"/>
    <cellStyle name="Cálculo 2 6 2 2" xfId="24560" xr:uid="{00000000-0005-0000-0000-0000DB220000}"/>
    <cellStyle name="Cálculo 2 6 2 2 2" xfId="32569" xr:uid="{0959D853-E6DA-44E4-AC1C-228739892BFC}"/>
    <cellStyle name="Cálculo 2 6 3" xfId="24559" xr:uid="{00000000-0005-0000-0000-0000DC220000}"/>
    <cellStyle name="Cálculo 2 6 3 2" xfId="32568" xr:uid="{E5AD25C1-C402-4696-A715-80F8BE0F2AE4}"/>
    <cellStyle name="Cálculo 2 7" xfId="8088" xr:uid="{00000000-0005-0000-0000-0000DD220000}"/>
    <cellStyle name="Cálculo 2 7 2" xfId="8089" xr:uid="{00000000-0005-0000-0000-0000DE220000}"/>
    <cellStyle name="Cálculo 2 7 2 2" xfId="24562" xr:uid="{00000000-0005-0000-0000-0000DF220000}"/>
    <cellStyle name="Cálculo 2 7 2 2 2" xfId="32571" xr:uid="{FEE4BD31-637E-49F3-B453-6BA2B4108ED4}"/>
    <cellStyle name="Cálculo 2 7 3" xfId="24561" xr:uid="{00000000-0005-0000-0000-0000E0220000}"/>
    <cellStyle name="Cálculo 2 7 3 2" xfId="32570" xr:uid="{62D96301-40B2-499E-933E-8A434B225D13}"/>
    <cellStyle name="Cálculo 2 8" xfId="8090" xr:uid="{00000000-0005-0000-0000-0000E1220000}"/>
    <cellStyle name="Cálculo 2 8 2" xfId="24563" xr:uid="{00000000-0005-0000-0000-0000E2220000}"/>
    <cellStyle name="Cálculo 2 8 2 2" xfId="32572" xr:uid="{80BAAC62-C65F-49F5-A86E-4E35AE29BCCB}"/>
    <cellStyle name="Cálculo 2 9" xfId="24550" xr:uid="{00000000-0005-0000-0000-0000E3220000}"/>
    <cellStyle name="Cálculo 2 9 2" xfId="32559" xr:uid="{B11EF069-49E2-4849-9A4F-71D297207A09}"/>
    <cellStyle name="Cálculo 3" xfId="8091" xr:uid="{00000000-0005-0000-0000-0000E4220000}"/>
    <cellStyle name="Cálculo 3 2" xfId="8092" xr:uid="{00000000-0005-0000-0000-0000E5220000}"/>
    <cellStyle name="Cálculo 3 2 2" xfId="8093" xr:uid="{00000000-0005-0000-0000-0000E6220000}"/>
    <cellStyle name="Cálculo 3 2 2 2" xfId="24566" xr:uid="{00000000-0005-0000-0000-0000E7220000}"/>
    <cellStyle name="Cálculo 3 2 2 2 2" xfId="32575" xr:uid="{3CA30469-7F7C-4E82-8474-B11F28BEFB23}"/>
    <cellStyle name="Cálculo 3 2 3" xfId="24565" xr:uid="{00000000-0005-0000-0000-0000E8220000}"/>
    <cellStyle name="Cálculo 3 2 3 2" xfId="32574" xr:uid="{6B51B80F-B6D1-4B96-B0AB-B45EE47B80B7}"/>
    <cellStyle name="Cálculo 3 2 4" xfId="25781" xr:uid="{00000000-0005-0000-0000-0000E9220000}"/>
    <cellStyle name="Cálculo 3 3" xfId="8094" xr:uid="{00000000-0005-0000-0000-0000EA220000}"/>
    <cellStyle name="Cálculo 3 3 2" xfId="8095" xr:uid="{00000000-0005-0000-0000-0000EB220000}"/>
    <cellStyle name="Cálculo 3 3 2 2" xfId="24568" xr:uid="{00000000-0005-0000-0000-0000EC220000}"/>
    <cellStyle name="Cálculo 3 3 2 2 2" xfId="32577" xr:uid="{926B50DA-691E-4195-B0D6-8B29E645149D}"/>
    <cellStyle name="Cálculo 3 3 3" xfId="24567" xr:uid="{00000000-0005-0000-0000-0000ED220000}"/>
    <cellStyle name="Cálculo 3 3 3 2" xfId="32576" xr:uid="{03E83491-7133-4DF6-B0F9-4F8FF22CCA45}"/>
    <cellStyle name="Cálculo 3 4" xfId="8096" xr:uid="{00000000-0005-0000-0000-0000EE220000}"/>
    <cellStyle name="Cálculo 3 4 2" xfId="8097" xr:uid="{00000000-0005-0000-0000-0000EF220000}"/>
    <cellStyle name="Cálculo 3 4 2 2" xfId="24570" xr:uid="{00000000-0005-0000-0000-0000F0220000}"/>
    <cellStyle name="Cálculo 3 4 2 2 2" xfId="32579" xr:uid="{FF181517-0D46-4C65-9AE5-E8A34A82CE21}"/>
    <cellStyle name="Cálculo 3 4 3" xfId="24569" xr:uid="{00000000-0005-0000-0000-0000F1220000}"/>
    <cellStyle name="Cálculo 3 4 3 2" xfId="32578" xr:uid="{25F79065-F5A7-4E87-82A3-7D7AE8E7F121}"/>
    <cellStyle name="Cálculo 3 5" xfId="8098" xr:uid="{00000000-0005-0000-0000-0000F2220000}"/>
    <cellStyle name="Cálculo 3 5 2" xfId="8099" xr:uid="{00000000-0005-0000-0000-0000F3220000}"/>
    <cellStyle name="Cálculo 3 5 2 2" xfId="24572" xr:uid="{00000000-0005-0000-0000-0000F4220000}"/>
    <cellStyle name="Cálculo 3 5 2 2 2" xfId="32581" xr:uid="{1744AC53-0FD6-4B25-A601-368EE5827B38}"/>
    <cellStyle name="Cálculo 3 5 3" xfId="24571" xr:uid="{00000000-0005-0000-0000-0000F5220000}"/>
    <cellStyle name="Cálculo 3 5 3 2" xfId="32580" xr:uid="{B53CA0F4-9785-44A3-A758-2BEF16FF1D9C}"/>
    <cellStyle name="Cálculo 3 6" xfId="8100" xr:uid="{00000000-0005-0000-0000-0000F6220000}"/>
    <cellStyle name="Cálculo 3 6 2" xfId="24573" xr:uid="{00000000-0005-0000-0000-0000F7220000}"/>
    <cellStyle name="Cálculo 3 6 2 2" xfId="32582" xr:uid="{97D54B4D-C505-4A1C-AE2E-7A7FB8BCF509}"/>
    <cellStyle name="Cálculo 3 7" xfId="24564" xr:uid="{00000000-0005-0000-0000-0000F8220000}"/>
    <cellStyle name="Cálculo 3 7 2" xfId="32573" xr:uid="{09B15C1A-21C7-4196-8055-2EE1E8B752F2}"/>
    <cellStyle name="Cálculo 3 8" xfId="25780" xr:uid="{00000000-0005-0000-0000-0000F9220000}"/>
    <cellStyle name="Cálculo 4" xfId="8101" xr:uid="{00000000-0005-0000-0000-0000FA220000}"/>
    <cellStyle name="Cálculo 4 2" xfId="8102" xr:uid="{00000000-0005-0000-0000-0000FB220000}"/>
    <cellStyle name="Cálculo 4 2 2" xfId="8103" xr:uid="{00000000-0005-0000-0000-0000FC220000}"/>
    <cellStyle name="Cálculo 4 2 2 2" xfId="24576" xr:uid="{00000000-0005-0000-0000-0000FD220000}"/>
    <cellStyle name="Cálculo 4 2 2 2 2" xfId="32585" xr:uid="{03531BEE-079A-4379-9DD5-8DC87E2E51BD}"/>
    <cellStyle name="Cálculo 4 2 3" xfId="24575" xr:uid="{00000000-0005-0000-0000-0000FE220000}"/>
    <cellStyle name="Cálculo 4 2 3 2" xfId="32584" xr:uid="{48CFEF98-D75A-4B59-AB52-EC1B04B270A7}"/>
    <cellStyle name="Cálculo 4 3" xfId="8104" xr:uid="{00000000-0005-0000-0000-0000FF220000}"/>
    <cellStyle name="Cálculo 4 3 2" xfId="8105" xr:uid="{00000000-0005-0000-0000-000000230000}"/>
    <cellStyle name="Cálculo 4 3 2 2" xfId="24578" xr:uid="{00000000-0005-0000-0000-000001230000}"/>
    <cellStyle name="Cálculo 4 3 2 2 2" xfId="32587" xr:uid="{A781F216-7788-45FD-B0C0-F72E22E84B2D}"/>
    <cellStyle name="Cálculo 4 3 3" xfId="24577" xr:uid="{00000000-0005-0000-0000-000002230000}"/>
    <cellStyle name="Cálculo 4 3 3 2" xfId="32586" xr:uid="{3D004392-AD77-44DC-9984-2886B9C21204}"/>
    <cellStyle name="Cálculo 4 4" xfId="8106" xr:uid="{00000000-0005-0000-0000-000003230000}"/>
    <cellStyle name="Cálculo 4 4 2" xfId="8107" xr:uid="{00000000-0005-0000-0000-000004230000}"/>
    <cellStyle name="Cálculo 4 4 2 2" xfId="24580" xr:uid="{00000000-0005-0000-0000-000005230000}"/>
    <cellStyle name="Cálculo 4 4 2 2 2" xfId="32589" xr:uid="{EF07859C-8DB1-4F10-B8D0-938310F9A416}"/>
    <cellStyle name="Cálculo 4 4 3" xfId="24579" xr:uid="{00000000-0005-0000-0000-000006230000}"/>
    <cellStyle name="Cálculo 4 4 3 2" xfId="32588" xr:uid="{46CC6CCC-2D72-4AD1-8BF2-A0A574AC1B51}"/>
    <cellStyle name="Cálculo 4 5" xfId="8108" xr:uid="{00000000-0005-0000-0000-000007230000}"/>
    <cellStyle name="Cálculo 4 5 2" xfId="8109" xr:uid="{00000000-0005-0000-0000-000008230000}"/>
    <cellStyle name="Cálculo 4 5 2 2" xfId="24582" xr:uid="{00000000-0005-0000-0000-000009230000}"/>
    <cellStyle name="Cálculo 4 5 2 2 2" xfId="32591" xr:uid="{D6198608-1126-4398-900B-4B7CF60B8AAA}"/>
    <cellStyle name="Cálculo 4 5 3" xfId="24581" xr:uid="{00000000-0005-0000-0000-00000A230000}"/>
    <cellStyle name="Cálculo 4 5 3 2" xfId="32590" xr:uid="{6A7392E1-6E39-46D0-A26B-74C6778CC20F}"/>
    <cellStyle name="Cálculo 4 6" xfId="8110" xr:uid="{00000000-0005-0000-0000-00000B230000}"/>
    <cellStyle name="Cálculo 4 6 2" xfId="24583" xr:uid="{00000000-0005-0000-0000-00000C230000}"/>
    <cellStyle name="Cálculo 4 6 2 2" xfId="32592" xr:uid="{871A850E-5861-4FC1-A6B7-4B89594A27FD}"/>
    <cellStyle name="Cálculo 4 7" xfId="24574" xr:uid="{00000000-0005-0000-0000-00000D230000}"/>
    <cellStyle name="Cálculo 4 7 2" xfId="32583" xr:uid="{62223ECC-B35C-42C1-94EE-B916D06E2ACF}"/>
    <cellStyle name="Cálculo 5" xfId="8111" xr:uid="{00000000-0005-0000-0000-00000E230000}"/>
    <cellStyle name="Cálculo 5 2" xfId="8112" xr:uid="{00000000-0005-0000-0000-00000F230000}"/>
    <cellStyle name="Cálculo 5 2 2" xfId="24585" xr:uid="{00000000-0005-0000-0000-000010230000}"/>
    <cellStyle name="Cálculo 5 2 2 2" xfId="32594" xr:uid="{8CA628A7-F3F8-49BC-A989-19C50459B8FC}"/>
    <cellStyle name="Cálculo 5 3" xfId="24584" xr:uid="{00000000-0005-0000-0000-000011230000}"/>
    <cellStyle name="Cálculo 5 3 2" xfId="32593" xr:uid="{5188E3E1-FAA1-46B6-B3F3-2875FD860036}"/>
    <cellStyle name="Cálculo 5 4" xfId="25782" xr:uid="{00000000-0005-0000-0000-000012230000}"/>
    <cellStyle name="Cálculo 6" xfId="8113" xr:uid="{00000000-0005-0000-0000-000013230000}"/>
    <cellStyle name="Cálculo 6 2" xfId="8114" xr:uid="{00000000-0005-0000-0000-000014230000}"/>
    <cellStyle name="Cálculo 6 2 2" xfId="24587" xr:uid="{00000000-0005-0000-0000-000015230000}"/>
    <cellStyle name="Cálculo 6 2 2 2" xfId="32596" xr:uid="{54B227D1-4ACC-470F-A12F-558BA6D5D1DE}"/>
    <cellStyle name="Cálculo 6 3" xfId="24586" xr:uid="{00000000-0005-0000-0000-000016230000}"/>
    <cellStyle name="Cálculo 6 3 2" xfId="32595" xr:uid="{432B2552-90B1-4047-A357-03BEF5F4043E}"/>
    <cellStyle name="Cálculo 7" xfId="8115" xr:uid="{00000000-0005-0000-0000-000017230000}"/>
    <cellStyle name="Cálculo 7 2" xfId="8116" xr:uid="{00000000-0005-0000-0000-000018230000}"/>
    <cellStyle name="Cálculo 7 2 2" xfId="24589" xr:uid="{00000000-0005-0000-0000-000019230000}"/>
    <cellStyle name="Cálculo 7 2 2 2" xfId="32598" xr:uid="{4E172706-4BE1-43C7-8678-B2C13675BC46}"/>
    <cellStyle name="Cálculo 7 3" xfId="24588" xr:uid="{00000000-0005-0000-0000-00001A230000}"/>
    <cellStyle name="Cálculo 7 3 2" xfId="32597" xr:uid="{16F13BF3-ED77-484A-B55F-5CF062CED2F3}"/>
    <cellStyle name="čárky [0]_Business Plan MCE" xfId="8117" xr:uid="{00000000-0005-0000-0000-00001B230000}"/>
    <cellStyle name="čárky_Business Plan MCE" xfId="8118" xr:uid="{00000000-0005-0000-0000-00001C230000}"/>
    <cellStyle name="Carteira" xfId="8119" xr:uid="{00000000-0005-0000-0000-00001D230000}"/>
    <cellStyle name="Celda de comprobación" xfId="8120" xr:uid="{00000000-0005-0000-0000-00001E230000}"/>
    <cellStyle name="Celda vinculada" xfId="8121" xr:uid="{00000000-0005-0000-0000-00001F230000}"/>
    <cellStyle name="Célula de Verificação" xfId="90" builtinId="23" customBuiltin="1"/>
    <cellStyle name="Célula de Verificação 2" xfId="8122" xr:uid="{00000000-0005-0000-0000-000021230000}"/>
    <cellStyle name="Célula de Verificação 2 2" xfId="8123" xr:uid="{00000000-0005-0000-0000-000022230000}"/>
    <cellStyle name="Célula de Verificação 2 2 2" xfId="25784" xr:uid="{00000000-0005-0000-0000-000023230000}"/>
    <cellStyle name="Célula de Verificação 2 3" xfId="8124" xr:uid="{00000000-0005-0000-0000-000024230000}"/>
    <cellStyle name="Célula de Verificação 2 4" xfId="8125" xr:uid="{00000000-0005-0000-0000-000025230000}"/>
    <cellStyle name="Célula de Verificação 2 5" xfId="8126" xr:uid="{00000000-0005-0000-0000-000026230000}"/>
    <cellStyle name="Célula de Verificação 2 6" xfId="25783" xr:uid="{00000000-0005-0000-0000-000027230000}"/>
    <cellStyle name="Célula de Verificação 3" xfId="8127" xr:uid="{00000000-0005-0000-0000-000028230000}"/>
    <cellStyle name="Célula de Verificação 3 2" xfId="8128" xr:uid="{00000000-0005-0000-0000-000029230000}"/>
    <cellStyle name="Célula de Verificação 3 2 2" xfId="25786" xr:uid="{00000000-0005-0000-0000-00002A230000}"/>
    <cellStyle name="Célula de Verificação 3 3" xfId="8129" xr:uid="{00000000-0005-0000-0000-00002B230000}"/>
    <cellStyle name="Célula de Verificação 3 4" xfId="8130" xr:uid="{00000000-0005-0000-0000-00002C230000}"/>
    <cellStyle name="Célula de Verificação 3 5" xfId="8131" xr:uid="{00000000-0005-0000-0000-00002D230000}"/>
    <cellStyle name="Célula de Verificação 3 6" xfId="25785" xr:uid="{00000000-0005-0000-0000-00002E230000}"/>
    <cellStyle name="Célula de Verificação 4" xfId="8132" xr:uid="{00000000-0005-0000-0000-00002F230000}"/>
    <cellStyle name="Célula de Verificação 4 2" xfId="8133" xr:uid="{00000000-0005-0000-0000-000030230000}"/>
    <cellStyle name="Célula de Verificação 4 3" xfId="8134" xr:uid="{00000000-0005-0000-0000-000031230000}"/>
    <cellStyle name="Célula de Verificação 4 4" xfId="8135" xr:uid="{00000000-0005-0000-0000-000032230000}"/>
    <cellStyle name="Célula de Verificação 4 5" xfId="8136" xr:uid="{00000000-0005-0000-0000-000033230000}"/>
    <cellStyle name="Célula de Verificação 5" xfId="8137" xr:uid="{00000000-0005-0000-0000-000034230000}"/>
    <cellStyle name="Célula de Verificação 5 2" xfId="25787" xr:uid="{00000000-0005-0000-0000-000035230000}"/>
    <cellStyle name="Célula de Verificação 6" xfId="8138" xr:uid="{00000000-0005-0000-0000-000036230000}"/>
    <cellStyle name="Célula de Verificação 7" xfId="8139" xr:uid="{00000000-0005-0000-0000-000037230000}"/>
    <cellStyle name="Célula Ligada" xfId="91" xr:uid="{00000000-0005-0000-0000-000038230000}"/>
    <cellStyle name="Célula Vinculada" xfId="92" builtinId="24" customBuiltin="1"/>
    <cellStyle name="Célula Vinculada 2" xfId="8140" xr:uid="{00000000-0005-0000-0000-00003A230000}"/>
    <cellStyle name="Célula Vinculada 2 2" xfId="8141" xr:uid="{00000000-0005-0000-0000-00003B230000}"/>
    <cellStyle name="Célula Vinculada 2 2 2" xfId="25789" xr:uid="{00000000-0005-0000-0000-00003C230000}"/>
    <cellStyle name="Célula Vinculada 2 3" xfId="8142" xr:uid="{00000000-0005-0000-0000-00003D230000}"/>
    <cellStyle name="Célula Vinculada 2 4" xfId="8143" xr:uid="{00000000-0005-0000-0000-00003E230000}"/>
    <cellStyle name="Célula Vinculada 2 5" xfId="8144" xr:uid="{00000000-0005-0000-0000-00003F230000}"/>
    <cellStyle name="Célula Vinculada 2 6" xfId="25788" xr:uid="{00000000-0005-0000-0000-000040230000}"/>
    <cellStyle name="Célula Vinculada 3" xfId="8145" xr:uid="{00000000-0005-0000-0000-000041230000}"/>
    <cellStyle name="Célula Vinculada 3 2" xfId="8146" xr:uid="{00000000-0005-0000-0000-000042230000}"/>
    <cellStyle name="Célula Vinculada 3 2 2" xfId="25791" xr:uid="{00000000-0005-0000-0000-000043230000}"/>
    <cellStyle name="Célula Vinculada 3 3" xfId="8147" xr:uid="{00000000-0005-0000-0000-000044230000}"/>
    <cellStyle name="Célula Vinculada 3 4" xfId="8148" xr:uid="{00000000-0005-0000-0000-000045230000}"/>
    <cellStyle name="Célula Vinculada 3 5" xfId="8149" xr:uid="{00000000-0005-0000-0000-000046230000}"/>
    <cellStyle name="Célula Vinculada 3 6" xfId="25790" xr:uid="{00000000-0005-0000-0000-000047230000}"/>
    <cellStyle name="Célula Vinculada 4" xfId="8150" xr:uid="{00000000-0005-0000-0000-000048230000}"/>
    <cellStyle name="Célula Vinculada 4 2" xfId="8151" xr:uid="{00000000-0005-0000-0000-000049230000}"/>
    <cellStyle name="Célula Vinculada 4 3" xfId="8152" xr:uid="{00000000-0005-0000-0000-00004A230000}"/>
    <cellStyle name="Célula Vinculada 4 4" xfId="8153" xr:uid="{00000000-0005-0000-0000-00004B230000}"/>
    <cellStyle name="Célula Vinculada 4 5" xfId="8154" xr:uid="{00000000-0005-0000-0000-00004C230000}"/>
    <cellStyle name="Célula Vinculada 5" xfId="8155" xr:uid="{00000000-0005-0000-0000-00004D230000}"/>
    <cellStyle name="Célula Vinculada 5 2" xfId="25792" xr:uid="{00000000-0005-0000-0000-00004E230000}"/>
    <cellStyle name="Célula Vinculada 6" xfId="8156" xr:uid="{00000000-0005-0000-0000-00004F230000}"/>
    <cellStyle name="Célula Vinculada 7" xfId="8157" xr:uid="{00000000-0005-0000-0000-000050230000}"/>
    <cellStyle name="Check Cell" xfId="93" xr:uid="{00000000-0005-0000-0000-000051230000}"/>
    <cellStyle name="Check Cell 2" xfId="8159" xr:uid="{00000000-0005-0000-0000-000052230000}"/>
    <cellStyle name="Check Cell 2 2" xfId="25794" xr:uid="{00000000-0005-0000-0000-000053230000}"/>
    <cellStyle name="Check Cell 2 3" xfId="25793" xr:uid="{00000000-0005-0000-0000-000054230000}"/>
    <cellStyle name="Check Cell 3" xfId="8160" xr:uid="{00000000-0005-0000-0000-000055230000}"/>
    <cellStyle name="Check Cell 4" xfId="8158" xr:uid="{00000000-0005-0000-0000-000056230000}"/>
    <cellStyle name="Comma  - Style1" xfId="94" xr:uid="{00000000-0005-0000-0000-000057230000}"/>
    <cellStyle name="Comma  - Style1 2" xfId="8161" xr:uid="{00000000-0005-0000-0000-000058230000}"/>
    <cellStyle name="Comma  - Style2" xfId="95" xr:uid="{00000000-0005-0000-0000-000059230000}"/>
    <cellStyle name="Comma  - Style2 2" xfId="8162" xr:uid="{00000000-0005-0000-0000-00005A230000}"/>
    <cellStyle name="Comma  - Style3" xfId="96" xr:uid="{00000000-0005-0000-0000-00005B230000}"/>
    <cellStyle name="Comma  - Style3 2" xfId="8163" xr:uid="{00000000-0005-0000-0000-00005C230000}"/>
    <cellStyle name="Comma  - Style4" xfId="97" xr:uid="{00000000-0005-0000-0000-00005D230000}"/>
    <cellStyle name="Comma  - Style4 2" xfId="8164" xr:uid="{00000000-0005-0000-0000-00005E230000}"/>
    <cellStyle name="Comma  - Style5" xfId="98" xr:uid="{00000000-0005-0000-0000-00005F230000}"/>
    <cellStyle name="Comma  - Style5 2" xfId="8165" xr:uid="{00000000-0005-0000-0000-000060230000}"/>
    <cellStyle name="Comma  - Style6" xfId="99" xr:uid="{00000000-0005-0000-0000-000061230000}"/>
    <cellStyle name="Comma  - Style6 2" xfId="8166" xr:uid="{00000000-0005-0000-0000-000062230000}"/>
    <cellStyle name="Comma  - Style7" xfId="100" xr:uid="{00000000-0005-0000-0000-000063230000}"/>
    <cellStyle name="Comma  - Style7 2" xfId="8167" xr:uid="{00000000-0005-0000-0000-000064230000}"/>
    <cellStyle name="Comma  - Style8" xfId="101" xr:uid="{00000000-0005-0000-0000-000065230000}"/>
    <cellStyle name="Comma  - Style8 2" xfId="8168" xr:uid="{00000000-0005-0000-0000-000066230000}"/>
    <cellStyle name="Comma [0]_A" xfId="102" xr:uid="{00000000-0005-0000-0000-000067230000}"/>
    <cellStyle name="Comma 0" xfId="103" xr:uid="{00000000-0005-0000-0000-000068230000}"/>
    <cellStyle name="Comma 0*" xfId="104" xr:uid="{00000000-0005-0000-0000-000069230000}"/>
    <cellStyle name="Comma 10" xfId="8169" xr:uid="{00000000-0005-0000-0000-00006A230000}"/>
    <cellStyle name="Comma 10 2" xfId="8170" xr:uid="{00000000-0005-0000-0000-00006B230000}"/>
    <cellStyle name="Comma 10 2 2" xfId="28191" xr:uid="{9BA89D9D-8FC4-464A-9FF1-7802EF3A7A7A}"/>
    <cellStyle name="Comma 10 3" xfId="8171" xr:uid="{00000000-0005-0000-0000-00006C230000}"/>
    <cellStyle name="Comma 10 4" xfId="28190" xr:uid="{434A8B85-C7A0-4464-AD9A-EB7397EFCAF8}"/>
    <cellStyle name="Comma 100" xfId="8172" xr:uid="{00000000-0005-0000-0000-00006D230000}"/>
    <cellStyle name="Comma 101" xfId="8173" xr:uid="{00000000-0005-0000-0000-00006E230000}"/>
    <cellStyle name="Comma 11" xfId="8174" xr:uid="{00000000-0005-0000-0000-00006F230000}"/>
    <cellStyle name="Comma 11 2" xfId="8175" xr:uid="{00000000-0005-0000-0000-000070230000}"/>
    <cellStyle name="Comma 11 3" xfId="28192" xr:uid="{70AAAD15-5A76-4A40-8675-6956BB4A797C}"/>
    <cellStyle name="Comma 12" xfId="8176" xr:uid="{00000000-0005-0000-0000-000071230000}"/>
    <cellStyle name="Comma 12 2" xfId="8177" xr:uid="{00000000-0005-0000-0000-000072230000}"/>
    <cellStyle name="Comma 12 3" xfId="28193" xr:uid="{D19D73BE-611F-4A82-B170-9D90404BBC08}"/>
    <cellStyle name="Comma 13" xfId="8178" xr:uid="{00000000-0005-0000-0000-000073230000}"/>
    <cellStyle name="Comma 13 2" xfId="8179" xr:uid="{00000000-0005-0000-0000-000074230000}"/>
    <cellStyle name="Comma 13 3" xfId="28194" xr:uid="{C5CAECAB-605A-4E36-AB70-EE3B741C4428}"/>
    <cellStyle name="Comma 14" xfId="8180" xr:uid="{00000000-0005-0000-0000-000075230000}"/>
    <cellStyle name="Comma 16" xfId="8181" xr:uid="{00000000-0005-0000-0000-000076230000}"/>
    <cellStyle name="Comma 17" xfId="8182" xr:uid="{00000000-0005-0000-0000-000077230000}"/>
    <cellStyle name="Comma 18" xfId="8183" xr:uid="{00000000-0005-0000-0000-000078230000}"/>
    <cellStyle name="Comma 19" xfId="8184" xr:uid="{00000000-0005-0000-0000-000079230000}"/>
    <cellStyle name="Comma 2" xfId="105" xr:uid="{00000000-0005-0000-0000-00007A230000}"/>
    <cellStyle name="Comma 2 10" xfId="8185" xr:uid="{00000000-0005-0000-0000-00007B230000}"/>
    <cellStyle name="Comma 2 10 2" xfId="28195" xr:uid="{0AEE7F9B-ABFF-4A62-8C09-B9D5C06A38FC}"/>
    <cellStyle name="Comma 2 100" xfId="8186" xr:uid="{00000000-0005-0000-0000-00007C230000}"/>
    <cellStyle name="Comma 2 100 2" xfId="28196" xr:uid="{388FB565-83C0-4805-9247-DA997762BE6A}"/>
    <cellStyle name="Comma 2 101" xfId="8187" xr:uid="{00000000-0005-0000-0000-00007D230000}"/>
    <cellStyle name="Comma 2 101 2" xfId="28197" xr:uid="{3A55F33C-41BF-46A8-BD52-1F87E3A5533E}"/>
    <cellStyle name="Comma 2 11" xfId="8188" xr:uid="{00000000-0005-0000-0000-00007E230000}"/>
    <cellStyle name="Comma 2 11 2" xfId="28198" xr:uid="{FC607E21-ED9E-47FB-AB0B-6F3D85216E35}"/>
    <cellStyle name="Comma 2 12" xfId="8189" xr:uid="{00000000-0005-0000-0000-00007F230000}"/>
    <cellStyle name="Comma 2 12 2" xfId="28199" xr:uid="{2DB5B45B-7475-400F-820F-10BC68DA7EB6}"/>
    <cellStyle name="Comma 2 13" xfId="8190" xr:uid="{00000000-0005-0000-0000-000080230000}"/>
    <cellStyle name="Comma 2 13 2" xfId="28200" xr:uid="{BA2F0C42-8668-43E0-A0A2-9F58DA008C78}"/>
    <cellStyle name="Comma 2 14" xfId="8191" xr:uid="{00000000-0005-0000-0000-000081230000}"/>
    <cellStyle name="Comma 2 14 2" xfId="28201" xr:uid="{96174F11-9FA0-42EE-BD96-A1785A0B14E7}"/>
    <cellStyle name="Comma 2 15" xfId="8192" xr:uid="{00000000-0005-0000-0000-000082230000}"/>
    <cellStyle name="Comma 2 15 2" xfId="28202" xr:uid="{6A8538CD-9865-49D2-9C3B-0A150BFC77F6}"/>
    <cellStyle name="Comma 2 16" xfId="8193" xr:uid="{00000000-0005-0000-0000-000083230000}"/>
    <cellStyle name="Comma 2 16 2" xfId="28203" xr:uid="{FB577092-0FB8-4B6F-B0E0-1057AC71EE81}"/>
    <cellStyle name="Comma 2 17" xfId="8194" xr:uid="{00000000-0005-0000-0000-000084230000}"/>
    <cellStyle name="Comma 2 17 2" xfId="28204" xr:uid="{29C0ACE7-3E47-4856-ADE9-9E89E0545BE8}"/>
    <cellStyle name="Comma 2 18" xfId="8195" xr:uid="{00000000-0005-0000-0000-000085230000}"/>
    <cellStyle name="Comma 2 18 2" xfId="28205" xr:uid="{4DBC748E-7E76-4BA8-A61E-84D35A73449B}"/>
    <cellStyle name="Comma 2 19" xfId="8196" xr:uid="{00000000-0005-0000-0000-000086230000}"/>
    <cellStyle name="Comma 2 19 2" xfId="28206" xr:uid="{631AD5E3-664E-429F-9168-0E316EB33264}"/>
    <cellStyle name="Comma 2 2" xfId="8197" xr:uid="{00000000-0005-0000-0000-000087230000}"/>
    <cellStyle name="Comma 2 2 2" xfId="28207" xr:uid="{61640041-4B26-41F0-B5A9-248112CDC28F}"/>
    <cellStyle name="Comma 2 20" xfId="8198" xr:uid="{00000000-0005-0000-0000-000088230000}"/>
    <cellStyle name="Comma 2 20 2" xfId="28208" xr:uid="{BACC6219-C1ED-40FD-AAE9-738724D8D93D}"/>
    <cellStyle name="Comma 2 21" xfId="8199" xr:uid="{00000000-0005-0000-0000-000089230000}"/>
    <cellStyle name="Comma 2 21 2" xfId="28209" xr:uid="{1E33CBFB-CD00-4729-96CF-25E48C3C6745}"/>
    <cellStyle name="Comma 2 22" xfId="8200" xr:uid="{00000000-0005-0000-0000-00008A230000}"/>
    <cellStyle name="Comma 2 22 2" xfId="28210" xr:uid="{A04449CF-D85B-4598-8704-C8EDDF7D99C2}"/>
    <cellStyle name="Comma 2 23" xfId="8201" xr:uid="{00000000-0005-0000-0000-00008B230000}"/>
    <cellStyle name="Comma 2 23 2" xfId="28211" xr:uid="{349F99D8-D85B-4B7B-B501-66C7E45EDDE7}"/>
    <cellStyle name="Comma 2 24" xfId="8202" xr:uid="{00000000-0005-0000-0000-00008C230000}"/>
    <cellStyle name="Comma 2 24 2" xfId="28212" xr:uid="{78A90974-D277-4906-BBD4-3AE14F2ACDFA}"/>
    <cellStyle name="Comma 2 25" xfId="8203" xr:uid="{00000000-0005-0000-0000-00008D230000}"/>
    <cellStyle name="Comma 2 25 2" xfId="28213" xr:uid="{AF961B8B-4F93-4396-B131-82153A3A0E1B}"/>
    <cellStyle name="Comma 2 26" xfId="8204" xr:uid="{00000000-0005-0000-0000-00008E230000}"/>
    <cellStyle name="Comma 2 26 2" xfId="28214" xr:uid="{FD6CD7EF-82AD-412A-81D0-A94F1FBAF21A}"/>
    <cellStyle name="Comma 2 27" xfId="8205" xr:uid="{00000000-0005-0000-0000-00008F230000}"/>
    <cellStyle name="Comma 2 27 2" xfId="28215" xr:uid="{1BD37F53-2312-4B77-BDA6-5EFD7C499380}"/>
    <cellStyle name="Comma 2 28" xfId="8206" xr:uid="{00000000-0005-0000-0000-000090230000}"/>
    <cellStyle name="Comma 2 28 2" xfId="28216" xr:uid="{77A26664-BCE8-4C40-ADE1-9152BC49AEA2}"/>
    <cellStyle name="Comma 2 29" xfId="8207" xr:uid="{00000000-0005-0000-0000-000091230000}"/>
    <cellStyle name="Comma 2 29 2" xfId="28217" xr:uid="{DEE41926-ED46-4A02-9907-5B1C6376DA5B}"/>
    <cellStyle name="Comma 2 3" xfId="8208" xr:uid="{00000000-0005-0000-0000-000092230000}"/>
    <cellStyle name="Comma 2 3 2" xfId="28218" xr:uid="{63610DCF-7CB3-4580-8504-052C6C189837}"/>
    <cellStyle name="Comma 2 30" xfId="8209" xr:uid="{00000000-0005-0000-0000-000093230000}"/>
    <cellStyle name="Comma 2 30 2" xfId="28219" xr:uid="{B6C4A57D-77C8-43A0-BF50-47FF5430B846}"/>
    <cellStyle name="Comma 2 31" xfId="8210" xr:uid="{00000000-0005-0000-0000-000094230000}"/>
    <cellStyle name="Comma 2 31 2" xfId="28220" xr:uid="{60F1081C-09E9-479F-B01D-3C6B83729382}"/>
    <cellStyle name="Comma 2 32" xfId="8211" xr:uid="{00000000-0005-0000-0000-000095230000}"/>
    <cellStyle name="Comma 2 32 2" xfId="28221" xr:uid="{5532A628-C35C-4C65-93A3-522DFAE57192}"/>
    <cellStyle name="Comma 2 33" xfId="8212" xr:uid="{00000000-0005-0000-0000-000096230000}"/>
    <cellStyle name="Comma 2 33 2" xfId="28222" xr:uid="{918058FC-20C7-448D-9CD9-E942FC7F6319}"/>
    <cellStyle name="Comma 2 34" xfId="8213" xr:uid="{00000000-0005-0000-0000-000097230000}"/>
    <cellStyle name="Comma 2 34 2" xfId="28223" xr:uid="{00E2FD94-476C-4586-B8A7-747E3F9F5452}"/>
    <cellStyle name="Comma 2 35" xfId="8214" xr:uid="{00000000-0005-0000-0000-000098230000}"/>
    <cellStyle name="Comma 2 35 2" xfId="28224" xr:uid="{723D6D0D-0490-4D66-A47E-536BFCA69C7A}"/>
    <cellStyle name="Comma 2 36" xfId="8215" xr:uid="{00000000-0005-0000-0000-000099230000}"/>
    <cellStyle name="Comma 2 36 2" xfId="28225" xr:uid="{03E47CB2-32C2-42DD-B331-06A6CDDA9726}"/>
    <cellStyle name="Comma 2 37" xfId="8216" xr:uid="{00000000-0005-0000-0000-00009A230000}"/>
    <cellStyle name="Comma 2 37 2" xfId="28226" xr:uid="{1178A6B4-5EC4-43DE-B219-3522E206E515}"/>
    <cellStyle name="Comma 2 38" xfId="8217" xr:uid="{00000000-0005-0000-0000-00009B230000}"/>
    <cellStyle name="Comma 2 38 2" xfId="28227" xr:uid="{3BAE9C9B-9824-4A09-B6CD-70226657B015}"/>
    <cellStyle name="Comma 2 39" xfId="8218" xr:uid="{00000000-0005-0000-0000-00009C230000}"/>
    <cellStyle name="Comma 2 39 2" xfId="28228" xr:uid="{1EE9EEBF-281A-4AA1-8FF3-E36FC6549B56}"/>
    <cellStyle name="Comma 2 4" xfId="8219" xr:uid="{00000000-0005-0000-0000-00009D230000}"/>
    <cellStyle name="Comma 2 4 2" xfId="28229" xr:uid="{C4065C42-42C2-4A4C-8D4D-94B676579C46}"/>
    <cellStyle name="Comma 2 40" xfId="8220" xr:uid="{00000000-0005-0000-0000-00009E230000}"/>
    <cellStyle name="Comma 2 40 2" xfId="28230" xr:uid="{121EF07A-B39B-432B-A683-665C8C300482}"/>
    <cellStyle name="Comma 2 41" xfId="8221" xr:uid="{00000000-0005-0000-0000-00009F230000}"/>
    <cellStyle name="Comma 2 41 2" xfId="28231" xr:uid="{8FFCD187-CB4E-422A-8C12-AB73845721D8}"/>
    <cellStyle name="Comma 2 42" xfId="8222" xr:uid="{00000000-0005-0000-0000-0000A0230000}"/>
    <cellStyle name="Comma 2 42 2" xfId="28232" xr:uid="{829D6D47-E650-4D7C-8F1B-D1E73AB89F41}"/>
    <cellStyle name="Comma 2 43" xfId="8223" xr:uid="{00000000-0005-0000-0000-0000A1230000}"/>
    <cellStyle name="Comma 2 43 2" xfId="28233" xr:uid="{BF965A94-A9FA-45C8-A2AF-025F34AEE74E}"/>
    <cellStyle name="Comma 2 44" xfId="8224" xr:uid="{00000000-0005-0000-0000-0000A2230000}"/>
    <cellStyle name="Comma 2 44 2" xfId="28234" xr:uid="{F24B93D9-319E-4C81-B62D-0D8A17D11297}"/>
    <cellStyle name="Comma 2 45" xfId="8225" xr:uid="{00000000-0005-0000-0000-0000A3230000}"/>
    <cellStyle name="Comma 2 45 2" xfId="28235" xr:uid="{540E86BA-003B-4714-A502-B10FDE0A4692}"/>
    <cellStyle name="Comma 2 46" xfId="8226" xr:uid="{00000000-0005-0000-0000-0000A4230000}"/>
    <cellStyle name="Comma 2 46 2" xfId="28236" xr:uid="{F2AE4A43-2FAE-48EE-93A9-E4929BFFCE2A}"/>
    <cellStyle name="Comma 2 47" xfId="8227" xr:uid="{00000000-0005-0000-0000-0000A5230000}"/>
    <cellStyle name="Comma 2 47 2" xfId="28237" xr:uid="{E7249A0D-7294-429F-B831-009F01AA084B}"/>
    <cellStyle name="Comma 2 48" xfId="8228" xr:uid="{00000000-0005-0000-0000-0000A6230000}"/>
    <cellStyle name="Comma 2 48 2" xfId="28238" xr:uid="{34C6F570-AD77-4379-AE0E-C926FB641093}"/>
    <cellStyle name="Comma 2 49" xfId="8229" xr:uid="{00000000-0005-0000-0000-0000A7230000}"/>
    <cellStyle name="Comma 2 49 2" xfId="28239" xr:uid="{7EF64AD2-1DF2-4E3E-9F20-68CBE9F88759}"/>
    <cellStyle name="Comma 2 5" xfId="8230" xr:uid="{00000000-0005-0000-0000-0000A8230000}"/>
    <cellStyle name="Comma 2 5 2" xfId="28240" xr:uid="{9F3F1BB8-0A72-4E11-9371-73B3717918B3}"/>
    <cellStyle name="Comma 2 50" xfId="8231" xr:uid="{00000000-0005-0000-0000-0000A9230000}"/>
    <cellStyle name="Comma 2 50 2" xfId="28241" xr:uid="{F4E5BDEC-A07A-45A6-8F4A-9351D735C528}"/>
    <cellStyle name="Comma 2 51" xfId="8232" xr:uid="{00000000-0005-0000-0000-0000AA230000}"/>
    <cellStyle name="Comma 2 51 2" xfId="28242" xr:uid="{DAF0CDD3-D2C2-4169-9304-F816D5CC5200}"/>
    <cellStyle name="Comma 2 52" xfId="8233" xr:uid="{00000000-0005-0000-0000-0000AB230000}"/>
    <cellStyle name="Comma 2 52 2" xfId="28243" xr:uid="{DFD143AF-4809-48AA-9C34-20ED87B7BD9B}"/>
    <cellStyle name="Comma 2 53" xfId="8234" xr:uid="{00000000-0005-0000-0000-0000AC230000}"/>
    <cellStyle name="Comma 2 53 2" xfId="28244" xr:uid="{34A95510-75AD-43C3-A277-4F2201A8937C}"/>
    <cellStyle name="Comma 2 54" xfId="8235" xr:uid="{00000000-0005-0000-0000-0000AD230000}"/>
    <cellStyle name="Comma 2 54 2" xfId="28245" xr:uid="{51D7AEB7-AA50-42CC-AC30-71C987879377}"/>
    <cellStyle name="Comma 2 55" xfId="8236" xr:uid="{00000000-0005-0000-0000-0000AE230000}"/>
    <cellStyle name="Comma 2 55 2" xfId="28246" xr:uid="{1CA07463-C6E6-4B4B-82AA-65BE8B57CE00}"/>
    <cellStyle name="Comma 2 56" xfId="8237" xr:uid="{00000000-0005-0000-0000-0000AF230000}"/>
    <cellStyle name="Comma 2 56 2" xfId="28247" xr:uid="{5F4AA836-8E4B-4B99-8AC9-0D8E8D9727D3}"/>
    <cellStyle name="Comma 2 57" xfId="8238" xr:uid="{00000000-0005-0000-0000-0000B0230000}"/>
    <cellStyle name="Comma 2 57 2" xfId="28248" xr:uid="{4C3D7022-8139-4126-B8F4-9E58B082E5DF}"/>
    <cellStyle name="Comma 2 58" xfId="8239" xr:uid="{00000000-0005-0000-0000-0000B1230000}"/>
    <cellStyle name="Comma 2 58 2" xfId="28249" xr:uid="{1AC4124C-27E1-42FB-B14E-39E5DF1EAF5F}"/>
    <cellStyle name="Comma 2 59" xfId="8240" xr:uid="{00000000-0005-0000-0000-0000B2230000}"/>
    <cellStyle name="Comma 2 59 2" xfId="28250" xr:uid="{6B205A34-4F71-4BC7-8F80-A505EC57A9E5}"/>
    <cellStyle name="Comma 2 6" xfId="8241" xr:uid="{00000000-0005-0000-0000-0000B3230000}"/>
    <cellStyle name="Comma 2 6 2" xfId="28251" xr:uid="{FF965BBC-81FA-47A8-9EF0-C7012D48BDF0}"/>
    <cellStyle name="Comma 2 60" xfId="8242" xr:uid="{00000000-0005-0000-0000-0000B4230000}"/>
    <cellStyle name="Comma 2 60 2" xfId="28252" xr:uid="{BB341FAB-FAA3-4DAC-A312-2B0D3FFF0916}"/>
    <cellStyle name="Comma 2 61" xfId="8243" xr:uid="{00000000-0005-0000-0000-0000B5230000}"/>
    <cellStyle name="Comma 2 61 2" xfId="28253" xr:uid="{6D30DB9F-6C60-4833-835F-06B1C668C198}"/>
    <cellStyle name="Comma 2 62" xfId="8244" xr:uid="{00000000-0005-0000-0000-0000B6230000}"/>
    <cellStyle name="Comma 2 62 2" xfId="28254" xr:uid="{CC673C34-763B-4E1C-9350-D385C7CD2C27}"/>
    <cellStyle name="Comma 2 63" xfId="8245" xr:uid="{00000000-0005-0000-0000-0000B7230000}"/>
    <cellStyle name="Comma 2 63 2" xfId="28255" xr:uid="{9062EBF6-C980-47BD-87A4-0A3255C8A49E}"/>
    <cellStyle name="Comma 2 64" xfId="8246" xr:uid="{00000000-0005-0000-0000-0000B8230000}"/>
    <cellStyle name="Comma 2 64 2" xfId="28256" xr:uid="{004DEAB2-0AC0-4382-90FE-4374C2A3BD50}"/>
    <cellStyle name="Comma 2 65" xfId="8247" xr:uid="{00000000-0005-0000-0000-0000B9230000}"/>
    <cellStyle name="Comma 2 65 2" xfId="28257" xr:uid="{2DF50DC5-A047-4F13-9731-35576B26213A}"/>
    <cellStyle name="Comma 2 66" xfId="8248" xr:uid="{00000000-0005-0000-0000-0000BA230000}"/>
    <cellStyle name="Comma 2 66 2" xfId="28258" xr:uid="{AAF08D43-22DB-4EFD-9BE7-C5EA93488201}"/>
    <cellStyle name="Comma 2 67" xfId="8249" xr:uid="{00000000-0005-0000-0000-0000BB230000}"/>
    <cellStyle name="Comma 2 67 2" xfId="28259" xr:uid="{DFAD3518-A2E2-41EC-B9B6-8A69EF14DD4C}"/>
    <cellStyle name="Comma 2 68" xfId="8250" xr:uid="{00000000-0005-0000-0000-0000BC230000}"/>
    <cellStyle name="Comma 2 68 2" xfId="28260" xr:uid="{0FF35B67-F560-4611-ADFC-8906332BE95E}"/>
    <cellStyle name="Comma 2 69" xfId="8251" xr:uid="{00000000-0005-0000-0000-0000BD230000}"/>
    <cellStyle name="Comma 2 69 2" xfId="28261" xr:uid="{A741980B-67D4-491E-BFBC-2340882A3F00}"/>
    <cellStyle name="Comma 2 7" xfId="8252" xr:uid="{00000000-0005-0000-0000-0000BE230000}"/>
    <cellStyle name="Comma 2 7 2" xfId="28262" xr:uid="{3C9677A5-4CBD-4C64-9AC8-186B7D4DBAC7}"/>
    <cellStyle name="Comma 2 70" xfId="8253" xr:uid="{00000000-0005-0000-0000-0000BF230000}"/>
    <cellStyle name="Comma 2 70 2" xfId="28263" xr:uid="{23C135D7-6955-445E-AFB4-436A2EA4BA55}"/>
    <cellStyle name="Comma 2 71" xfId="8254" xr:uid="{00000000-0005-0000-0000-0000C0230000}"/>
    <cellStyle name="Comma 2 71 2" xfId="28264" xr:uid="{4E153098-EB01-439D-9D5B-99EBC7898DF3}"/>
    <cellStyle name="Comma 2 72" xfId="8255" xr:uid="{00000000-0005-0000-0000-0000C1230000}"/>
    <cellStyle name="Comma 2 72 2" xfId="28265" xr:uid="{87919E02-89F8-44D3-ADAC-A52475D3F861}"/>
    <cellStyle name="Comma 2 73" xfId="8256" xr:uid="{00000000-0005-0000-0000-0000C2230000}"/>
    <cellStyle name="Comma 2 73 2" xfId="28266" xr:uid="{1E7CB81D-A418-4558-88B3-737FE2CE9067}"/>
    <cellStyle name="Comma 2 74" xfId="8257" xr:uid="{00000000-0005-0000-0000-0000C3230000}"/>
    <cellStyle name="Comma 2 74 2" xfId="28267" xr:uid="{281860FA-DF61-480D-B451-95DF2F02DE97}"/>
    <cellStyle name="Comma 2 75" xfId="8258" xr:uid="{00000000-0005-0000-0000-0000C4230000}"/>
    <cellStyle name="Comma 2 75 2" xfId="28268" xr:uid="{50B81CC5-04EF-4791-A8C3-44E5CEB27508}"/>
    <cellStyle name="Comma 2 76" xfId="8259" xr:uid="{00000000-0005-0000-0000-0000C5230000}"/>
    <cellStyle name="Comma 2 76 2" xfId="28269" xr:uid="{DC47C394-78E3-4822-B1A2-20B3D2D1D2E0}"/>
    <cellStyle name="Comma 2 77" xfId="8260" xr:uid="{00000000-0005-0000-0000-0000C6230000}"/>
    <cellStyle name="Comma 2 77 2" xfId="28270" xr:uid="{28769597-E4CC-4CD5-9DC3-E25A4910AB92}"/>
    <cellStyle name="Comma 2 78" xfId="8261" xr:uid="{00000000-0005-0000-0000-0000C7230000}"/>
    <cellStyle name="Comma 2 78 2" xfId="28271" xr:uid="{A950B63E-861C-40D1-B5F2-9DCD7810FCCB}"/>
    <cellStyle name="Comma 2 79" xfId="8262" xr:uid="{00000000-0005-0000-0000-0000C8230000}"/>
    <cellStyle name="Comma 2 79 2" xfId="28272" xr:uid="{F29EC864-963D-41EE-9E12-B54F1BDE8508}"/>
    <cellStyle name="Comma 2 8" xfId="8263" xr:uid="{00000000-0005-0000-0000-0000C9230000}"/>
    <cellStyle name="Comma 2 8 2" xfId="28273" xr:uid="{A96837DB-48A0-4BD1-8C24-F3D6F57CE880}"/>
    <cellStyle name="Comma 2 80" xfId="8264" xr:uid="{00000000-0005-0000-0000-0000CA230000}"/>
    <cellStyle name="Comma 2 80 2" xfId="28274" xr:uid="{27DD25B5-FA3A-4555-BFAA-7CAB60715ACC}"/>
    <cellStyle name="Comma 2 81" xfId="8265" xr:uid="{00000000-0005-0000-0000-0000CB230000}"/>
    <cellStyle name="Comma 2 81 2" xfId="28275" xr:uid="{F1976424-C3DF-4D02-8D39-2174C5589C17}"/>
    <cellStyle name="Comma 2 82" xfId="8266" xr:uid="{00000000-0005-0000-0000-0000CC230000}"/>
    <cellStyle name="Comma 2 82 2" xfId="28276" xr:uid="{A4237B3B-1E4F-4AA9-8E97-23D38AE9CD2E}"/>
    <cellStyle name="Comma 2 83" xfId="8267" xr:uid="{00000000-0005-0000-0000-0000CD230000}"/>
    <cellStyle name="Comma 2 83 2" xfId="28277" xr:uid="{BC30BEBA-D19D-4D74-9961-95E1376DE43B}"/>
    <cellStyle name="Comma 2 84" xfId="8268" xr:uid="{00000000-0005-0000-0000-0000CE230000}"/>
    <cellStyle name="Comma 2 84 2" xfId="28278" xr:uid="{189E17E1-05CB-4F44-B70F-D46EFCDEDB6A}"/>
    <cellStyle name="Comma 2 85" xfId="8269" xr:uid="{00000000-0005-0000-0000-0000CF230000}"/>
    <cellStyle name="Comma 2 85 2" xfId="28279" xr:uid="{A148A175-7103-47A7-B6B1-49AD6CD84089}"/>
    <cellStyle name="Comma 2 86" xfId="8270" xr:uid="{00000000-0005-0000-0000-0000D0230000}"/>
    <cellStyle name="Comma 2 86 2" xfId="28280" xr:uid="{6FACE024-D1BF-4D78-99FD-A386392E10EB}"/>
    <cellStyle name="Comma 2 87" xfId="8271" xr:uid="{00000000-0005-0000-0000-0000D1230000}"/>
    <cellStyle name="Comma 2 87 2" xfId="28281" xr:uid="{D834FE70-097F-4AD6-ADE2-69508A70D118}"/>
    <cellStyle name="Comma 2 88" xfId="8272" xr:uid="{00000000-0005-0000-0000-0000D2230000}"/>
    <cellStyle name="Comma 2 88 2" xfId="28282" xr:uid="{10DBD851-C5F2-4834-ACC0-EB676B46AA1F}"/>
    <cellStyle name="Comma 2 89" xfId="8273" xr:uid="{00000000-0005-0000-0000-0000D3230000}"/>
    <cellStyle name="Comma 2 89 2" xfId="28283" xr:uid="{DD62CB03-03A6-431F-AE50-1FAAE81B9AA7}"/>
    <cellStyle name="Comma 2 9" xfId="8274" xr:uid="{00000000-0005-0000-0000-0000D4230000}"/>
    <cellStyle name="Comma 2 9 2" xfId="28284" xr:uid="{F2597B13-CAE9-48CA-A782-B4F647C1771E}"/>
    <cellStyle name="Comma 2 90" xfId="8275" xr:uid="{00000000-0005-0000-0000-0000D5230000}"/>
    <cellStyle name="Comma 2 90 2" xfId="28285" xr:uid="{75492E67-F784-458B-8893-5A638E82B44C}"/>
    <cellStyle name="Comma 2 91" xfId="8276" xr:uid="{00000000-0005-0000-0000-0000D6230000}"/>
    <cellStyle name="Comma 2 91 2" xfId="28286" xr:uid="{DA7DC5D3-B1FD-4A1D-AE3F-4A5E953FE1DD}"/>
    <cellStyle name="Comma 2 92" xfId="8277" xr:uid="{00000000-0005-0000-0000-0000D7230000}"/>
    <cellStyle name="Comma 2 92 2" xfId="28287" xr:uid="{BC4A5250-F243-47EF-9026-2760C3781271}"/>
    <cellStyle name="Comma 2 93" xfId="8278" xr:uid="{00000000-0005-0000-0000-0000D8230000}"/>
    <cellStyle name="Comma 2 93 2" xfId="28288" xr:uid="{A2E0F1D7-D10F-477C-9A28-D346DC556622}"/>
    <cellStyle name="Comma 2 94" xfId="8279" xr:uid="{00000000-0005-0000-0000-0000D9230000}"/>
    <cellStyle name="Comma 2 94 2" xfId="28289" xr:uid="{C5CC750E-23AD-46D0-9AD0-B88B8F6A6E2F}"/>
    <cellStyle name="Comma 2 95" xfId="8280" xr:uid="{00000000-0005-0000-0000-0000DA230000}"/>
    <cellStyle name="Comma 2 95 2" xfId="28290" xr:uid="{98783769-96C3-4833-B33D-DB96C4F03585}"/>
    <cellStyle name="Comma 2 96" xfId="8281" xr:uid="{00000000-0005-0000-0000-0000DB230000}"/>
    <cellStyle name="Comma 2 96 2" xfId="28291" xr:uid="{2EA068A5-823E-4AF6-B24B-B12B40E86803}"/>
    <cellStyle name="Comma 2 97" xfId="8282" xr:uid="{00000000-0005-0000-0000-0000DC230000}"/>
    <cellStyle name="Comma 2 97 2" xfId="28292" xr:uid="{AB27DD60-E5F7-490A-972D-970D31009182}"/>
    <cellStyle name="Comma 2 98" xfId="8283" xr:uid="{00000000-0005-0000-0000-0000DD230000}"/>
    <cellStyle name="Comma 2 98 2" xfId="28293" xr:uid="{A46E61E3-261C-4B3E-AEB2-1547449453BC}"/>
    <cellStyle name="Comma 2 99" xfId="8284" xr:uid="{00000000-0005-0000-0000-0000DE230000}"/>
    <cellStyle name="Comma 2 99 2" xfId="28294" xr:uid="{5746837C-6A4B-4E29-A865-5C8C091BEFC0}"/>
    <cellStyle name="Comma 2*" xfId="106" xr:uid="{00000000-0005-0000-0000-0000DF230000}"/>
    <cellStyle name="Comma 2_Tabelas RI MAR2010" xfId="107" xr:uid="{00000000-0005-0000-0000-0000E0230000}"/>
    <cellStyle name="Comma 20" xfId="8285" xr:uid="{00000000-0005-0000-0000-0000E1230000}"/>
    <cellStyle name="Comma 21" xfId="8286" xr:uid="{00000000-0005-0000-0000-0000E2230000}"/>
    <cellStyle name="Comma 22" xfId="8287" xr:uid="{00000000-0005-0000-0000-0000E3230000}"/>
    <cellStyle name="Comma 23" xfId="8288" xr:uid="{00000000-0005-0000-0000-0000E4230000}"/>
    <cellStyle name="Comma 24" xfId="8289" xr:uid="{00000000-0005-0000-0000-0000E5230000}"/>
    <cellStyle name="Comma 25" xfId="8290" xr:uid="{00000000-0005-0000-0000-0000E6230000}"/>
    <cellStyle name="Comma 26" xfId="8291" xr:uid="{00000000-0005-0000-0000-0000E7230000}"/>
    <cellStyle name="Comma 27" xfId="8292" xr:uid="{00000000-0005-0000-0000-0000E8230000}"/>
    <cellStyle name="Comma 29" xfId="8293" xr:uid="{00000000-0005-0000-0000-0000E9230000}"/>
    <cellStyle name="Comma 3" xfId="8294" xr:uid="{00000000-0005-0000-0000-0000EA230000}"/>
    <cellStyle name="Comma 30" xfId="8295" xr:uid="{00000000-0005-0000-0000-0000EB230000}"/>
    <cellStyle name="Comma 31" xfId="8296" xr:uid="{00000000-0005-0000-0000-0000EC230000}"/>
    <cellStyle name="Comma 32" xfId="8297" xr:uid="{00000000-0005-0000-0000-0000ED230000}"/>
    <cellStyle name="Comma 33" xfId="8298" xr:uid="{00000000-0005-0000-0000-0000EE230000}"/>
    <cellStyle name="Comma 34" xfId="8299" xr:uid="{00000000-0005-0000-0000-0000EF230000}"/>
    <cellStyle name="Comma 35" xfId="8300" xr:uid="{00000000-0005-0000-0000-0000F0230000}"/>
    <cellStyle name="Comma 36" xfId="8301" xr:uid="{00000000-0005-0000-0000-0000F1230000}"/>
    <cellStyle name="Comma 37" xfId="8302" xr:uid="{00000000-0005-0000-0000-0000F2230000}"/>
    <cellStyle name="Comma 39" xfId="8303" xr:uid="{00000000-0005-0000-0000-0000F3230000}"/>
    <cellStyle name="Comma 4" xfId="8304" xr:uid="{00000000-0005-0000-0000-0000F4230000}"/>
    <cellStyle name="Comma 40" xfId="8305" xr:uid="{00000000-0005-0000-0000-0000F5230000}"/>
    <cellStyle name="Comma 41" xfId="8306" xr:uid="{00000000-0005-0000-0000-0000F6230000}"/>
    <cellStyle name="Comma 42" xfId="8307" xr:uid="{00000000-0005-0000-0000-0000F7230000}"/>
    <cellStyle name="Comma 43" xfId="8308" xr:uid="{00000000-0005-0000-0000-0000F8230000}"/>
    <cellStyle name="Comma 44" xfId="8309" xr:uid="{00000000-0005-0000-0000-0000F9230000}"/>
    <cellStyle name="Comma 46" xfId="8310" xr:uid="{00000000-0005-0000-0000-0000FA230000}"/>
    <cellStyle name="Comma 47" xfId="8311" xr:uid="{00000000-0005-0000-0000-0000FB230000}"/>
    <cellStyle name="Comma 48" xfId="8312" xr:uid="{00000000-0005-0000-0000-0000FC230000}"/>
    <cellStyle name="Comma 49" xfId="8313" xr:uid="{00000000-0005-0000-0000-0000FD230000}"/>
    <cellStyle name="Comma 5" xfId="8314" xr:uid="{00000000-0005-0000-0000-0000FE230000}"/>
    <cellStyle name="Comma 5 2" xfId="8315" xr:uid="{00000000-0005-0000-0000-0000FF230000}"/>
    <cellStyle name="Comma 50" xfId="8316" xr:uid="{00000000-0005-0000-0000-000000240000}"/>
    <cellStyle name="Comma 51" xfId="8317" xr:uid="{00000000-0005-0000-0000-000001240000}"/>
    <cellStyle name="Comma 52" xfId="8318" xr:uid="{00000000-0005-0000-0000-000002240000}"/>
    <cellStyle name="Comma 53" xfId="8319" xr:uid="{00000000-0005-0000-0000-000003240000}"/>
    <cellStyle name="Comma 54" xfId="8320" xr:uid="{00000000-0005-0000-0000-000004240000}"/>
    <cellStyle name="Comma 55" xfId="8321" xr:uid="{00000000-0005-0000-0000-000005240000}"/>
    <cellStyle name="Comma 56" xfId="8322" xr:uid="{00000000-0005-0000-0000-000006240000}"/>
    <cellStyle name="Comma 57" xfId="8323" xr:uid="{00000000-0005-0000-0000-000007240000}"/>
    <cellStyle name="Comma 58" xfId="8324" xr:uid="{00000000-0005-0000-0000-000008240000}"/>
    <cellStyle name="Comma 59" xfId="8325" xr:uid="{00000000-0005-0000-0000-000009240000}"/>
    <cellStyle name="Comma 6" xfId="8326" xr:uid="{00000000-0005-0000-0000-00000A240000}"/>
    <cellStyle name="Comma 60" xfId="8327" xr:uid="{00000000-0005-0000-0000-00000B240000}"/>
    <cellStyle name="Comma 61" xfId="8328" xr:uid="{00000000-0005-0000-0000-00000C240000}"/>
    <cellStyle name="Comma 62" xfId="8329" xr:uid="{00000000-0005-0000-0000-00000D240000}"/>
    <cellStyle name="Comma 63" xfId="8330" xr:uid="{00000000-0005-0000-0000-00000E240000}"/>
    <cellStyle name="Comma 64" xfId="8331" xr:uid="{00000000-0005-0000-0000-00000F240000}"/>
    <cellStyle name="Comma 65" xfId="8332" xr:uid="{00000000-0005-0000-0000-000010240000}"/>
    <cellStyle name="Comma 66" xfId="8333" xr:uid="{00000000-0005-0000-0000-000011240000}"/>
    <cellStyle name="Comma 67" xfId="8334" xr:uid="{00000000-0005-0000-0000-000012240000}"/>
    <cellStyle name="Comma 68" xfId="8335" xr:uid="{00000000-0005-0000-0000-000013240000}"/>
    <cellStyle name="Comma 69" xfId="8336" xr:uid="{00000000-0005-0000-0000-000014240000}"/>
    <cellStyle name="Comma 7" xfId="8337" xr:uid="{00000000-0005-0000-0000-000015240000}"/>
    <cellStyle name="Comma 7 2" xfId="8338" xr:uid="{00000000-0005-0000-0000-000016240000}"/>
    <cellStyle name="Comma 7 2 2" xfId="8339" xr:uid="{00000000-0005-0000-0000-000017240000}"/>
    <cellStyle name="Comma 7 2 2 2" xfId="8340" xr:uid="{00000000-0005-0000-0000-000018240000}"/>
    <cellStyle name="Comma 7 2 3" xfId="8341" xr:uid="{00000000-0005-0000-0000-000019240000}"/>
    <cellStyle name="Comma 7 3" xfId="8342" xr:uid="{00000000-0005-0000-0000-00001A240000}"/>
    <cellStyle name="Comma 70" xfId="8343" xr:uid="{00000000-0005-0000-0000-00001B240000}"/>
    <cellStyle name="Comma 71" xfId="8344" xr:uid="{00000000-0005-0000-0000-00001C240000}"/>
    <cellStyle name="Comma 72" xfId="8345" xr:uid="{00000000-0005-0000-0000-00001D240000}"/>
    <cellStyle name="Comma 73" xfId="8346" xr:uid="{00000000-0005-0000-0000-00001E240000}"/>
    <cellStyle name="Comma 74" xfId="8347" xr:uid="{00000000-0005-0000-0000-00001F240000}"/>
    <cellStyle name="Comma 75" xfId="8348" xr:uid="{00000000-0005-0000-0000-000020240000}"/>
    <cellStyle name="Comma 76" xfId="8349" xr:uid="{00000000-0005-0000-0000-000021240000}"/>
    <cellStyle name="Comma 77" xfId="8350" xr:uid="{00000000-0005-0000-0000-000022240000}"/>
    <cellStyle name="Comma 78" xfId="8351" xr:uid="{00000000-0005-0000-0000-000023240000}"/>
    <cellStyle name="Comma 79" xfId="8352" xr:uid="{00000000-0005-0000-0000-000024240000}"/>
    <cellStyle name="Comma 8" xfId="8353" xr:uid="{00000000-0005-0000-0000-000025240000}"/>
    <cellStyle name="Comma 8 2" xfId="8354" xr:uid="{00000000-0005-0000-0000-000026240000}"/>
    <cellStyle name="Comma 8 2 2" xfId="28295" xr:uid="{27DBEFC8-7CF1-4E3F-BEAC-746CDD813679}"/>
    <cellStyle name="Comma 8 3" xfId="8355" xr:uid="{00000000-0005-0000-0000-000027240000}"/>
    <cellStyle name="Comma 8 3 2" xfId="28296" xr:uid="{C1E4F24E-5F91-42C8-921A-2083943BF22D}"/>
    <cellStyle name="Comma 80" xfId="8356" xr:uid="{00000000-0005-0000-0000-000028240000}"/>
    <cellStyle name="Comma 81" xfId="8357" xr:uid="{00000000-0005-0000-0000-000029240000}"/>
    <cellStyle name="Comma 82" xfId="8358" xr:uid="{00000000-0005-0000-0000-00002A240000}"/>
    <cellStyle name="Comma 83" xfId="8359" xr:uid="{00000000-0005-0000-0000-00002B240000}"/>
    <cellStyle name="Comma 84" xfId="8360" xr:uid="{00000000-0005-0000-0000-00002C240000}"/>
    <cellStyle name="Comma 85" xfId="8361" xr:uid="{00000000-0005-0000-0000-00002D240000}"/>
    <cellStyle name="Comma 86" xfId="8362" xr:uid="{00000000-0005-0000-0000-00002E240000}"/>
    <cellStyle name="Comma 87" xfId="8363" xr:uid="{00000000-0005-0000-0000-00002F240000}"/>
    <cellStyle name="Comma 88" xfId="8364" xr:uid="{00000000-0005-0000-0000-000030240000}"/>
    <cellStyle name="Comma 89" xfId="8365" xr:uid="{00000000-0005-0000-0000-000031240000}"/>
    <cellStyle name="Comma 9" xfId="8366" xr:uid="{00000000-0005-0000-0000-000032240000}"/>
    <cellStyle name="Comma 90" xfId="8367" xr:uid="{00000000-0005-0000-0000-000033240000}"/>
    <cellStyle name="Comma 91" xfId="8368" xr:uid="{00000000-0005-0000-0000-000034240000}"/>
    <cellStyle name="Comma 92" xfId="8369" xr:uid="{00000000-0005-0000-0000-000035240000}"/>
    <cellStyle name="Comma 93" xfId="8370" xr:uid="{00000000-0005-0000-0000-000036240000}"/>
    <cellStyle name="Comma 94" xfId="8371" xr:uid="{00000000-0005-0000-0000-000037240000}"/>
    <cellStyle name="Comma 95" xfId="8372" xr:uid="{00000000-0005-0000-0000-000038240000}"/>
    <cellStyle name="Comma 96" xfId="8373" xr:uid="{00000000-0005-0000-0000-000039240000}"/>
    <cellStyle name="Comma 97" xfId="8374" xr:uid="{00000000-0005-0000-0000-00003A240000}"/>
    <cellStyle name="Comma 98" xfId="8375" xr:uid="{00000000-0005-0000-0000-00003B240000}"/>
    <cellStyle name="Comma 99" xfId="8376" xr:uid="{00000000-0005-0000-0000-00003C240000}"/>
    <cellStyle name="Comma_A" xfId="108" xr:uid="{00000000-0005-0000-0000-00003D240000}"/>
    <cellStyle name="Comma0" xfId="8377" xr:uid="{00000000-0005-0000-0000-00003E240000}"/>
    <cellStyle name="Cor1" xfId="109" xr:uid="{00000000-0005-0000-0000-00003F240000}"/>
    <cellStyle name="Cor2" xfId="110" xr:uid="{00000000-0005-0000-0000-000040240000}"/>
    <cellStyle name="Cor3" xfId="111" xr:uid="{00000000-0005-0000-0000-000041240000}"/>
    <cellStyle name="Cor4" xfId="112" xr:uid="{00000000-0005-0000-0000-000042240000}"/>
    <cellStyle name="Cor5" xfId="113" xr:uid="{00000000-0005-0000-0000-000043240000}"/>
    <cellStyle name="Cor6" xfId="114" xr:uid="{00000000-0005-0000-0000-000044240000}"/>
    <cellStyle name="Correcto" xfId="115" xr:uid="{00000000-0005-0000-0000-000045240000}"/>
    <cellStyle name="Currency [0]_A" xfId="116" xr:uid="{00000000-0005-0000-0000-000046240000}"/>
    <cellStyle name="Currency 0" xfId="117" xr:uid="{00000000-0005-0000-0000-000047240000}"/>
    <cellStyle name="Currency 0 2" xfId="8378" xr:uid="{00000000-0005-0000-0000-000048240000}"/>
    <cellStyle name="Currency 2" xfId="118" xr:uid="{00000000-0005-0000-0000-000049240000}"/>
    <cellStyle name="Currency 2 2" xfId="8379" xr:uid="{00000000-0005-0000-0000-00004A240000}"/>
    <cellStyle name="Currency 2*" xfId="119" xr:uid="{00000000-0005-0000-0000-00004B240000}"/>
    <cellStyle name="Currency 2* 2" xfId="8380" xr:uid="{00000000-0005-0000-0000-00004C240000}"/>
    <cellStyle name="Currency 2_Planilha Custo Fixo" xfId="8381" xr:uid="{00000000-0005-0000-0000-00004D240000}"/>
    <cellStyle name="Currency_A" xfId="120" xr:uid="{00000000-0005-0000-0000-00004E240000}"/>
    <cellStyle name="Currency0" xfId="8382" xr:uid="{00000000-0005-0000-0000-00004F240000}"/>
    <cellStyle name="Dash" xfId="121" xr:uid="{00000000-0005-0000-0000-000050240000}"/>
    <cellStyle name="Data" xfId="8383" xr:uid="{00000000-0005-0000-0000-000051240000}"/>
    <cellStyle name="Date" xfId="8384" xr:uid="{00000000-0005-0000-0000-000052240000}"/>
    <cellStyle name="Date Aligned" xfId="122" xr:uid="{00000000-0005-0000-0000-000053240000}"/>
    <cellStyle name="Date Aligned*" xfId="123" xr:uid="{00000000-0005-0000-0000-000054240000}"/>
    <cellStyle name="Design" xfId="8385" xr:uid="{00000000-0005-0000-0000-000055240000}"/>
    <cellStyle name="Dotted Line" xfId="124" xr:uid="{00000000-0005-0000-0000-000056240000}"/>
    <cellStyle name="DriversPercent" xfId="125" xr:uid="{00000000-0005-0000-0000-000057240000}"/>
    <cellStyle name="Encabezado 4" xfId="8386" xr:uid="{00000000-0005-0000-0000-000058240000}"/>
    <cellStyle name="Ênfase1" xfId="126" builtinId="29" customBuiltin="1"/>
    <cellStyle name="Ênfase1 2" xfId="8387" xr:uid="{00000000-0005-0000-0000-00005A240000}"/>
    <cellStyle name="Ênfase1 2 2" xfId="8388" xr:uid="{00000000-0005-0000-0000-00005B240000}"/>
    <cellStyle name="Ênfase1 2 2 2" xfId="25796" xr:uid="{00000000-0005-0000-0000-00005C240000}"/>
    <cellStyle name="Ênfase1 2 3" xfId="8389" xr:uid="{00000000-0005-0000-0000-00005D240000}"/>
    <cellStyle name="Ênfase1 2 4" xfId="8390" xr:uid="{00000000-0005-0000-0000-00005E240000}"/>
    <cellStyle name="Ênfase1 2 5" xfId="8391" xr:uid="{00000000-0005-0000-0000-00005F240000}"/>
    <cellStyle name="Ênfase1 2 6" xfId="25795" xr:uid="{00000000-0005-0000-0000-000060240000}"/>
    <cellStyle name="Ênfase1 3" xfId="8392" xr:uid="{00000000-0005-0000-0000-000061240000}"/>
    <cellStyle name="Ênfase1 3 2" xfId="8393" xr:uid="{00000000-0005-0000-0000-000062240000}"/>
    <cellStyle name="Ênfase1 3 2 2" xfId="25798" xr:uid="{00000000-0005-0000-0000-000063240000}"/>
    <cellStyle name="Ênfase1 3 3" xfId="8394" xr:uid="{00000000-0005-0000-0000-000064240000}"/>
    <cellStyle name="Ênfase1 3 4" xfId="8395" xr:uid="{00000000-0005-0000-0000-000065240000}"/>
    <cellStyle name="Ênfase1 3 5" xfId="8396" xr:uid="{00000000-0005-0000-0000-000066240000}"/>
    <cellStyle name="Ênfase1 3 6" xfId="25797" xr:uid="{00000000-0005-0000-0000-000067240000}"/>
    <cellStyle name="Ênfase1 4" xfId="8397" xr:uid="{00000000-0005-0000-0000-000068240000}"/>
    <cellStyle name="Ênfase1 4 2" xfId="8398" xr:uid="{00000000-0005-0000-0000-000069240000}"/>
    <cellStyle name="Ênfase1 4 3" xfId="8399" xr:uid="{00000000-0005-0000-0000-00006A240000}"/>
    <cellStyle name="Ênfase1 4 4" xfId="8400" xr:uid="{00000000-0005-0000-0000-00006B240000}"/>
    <cellStyle name="Ênfase1 4 5" xfId="8401" xr:uid="{00000000-0005-0000-0000-00006C240000}"/>
    <cellStyle name="Ênfase1 5" xfId="8402" xr:uid="{00000000-0005-0000-0000-00006D240000}"/>
    <cellStyle name="Ênfase1 5 2" xfId="25799" xr:uid="{00000000-0005-0000-0000-00006E240000}"/>
    <cellStyle name="Ênfase1 6" xfId="8403" xr:uid="{00000000-0005-0000-0000-00006F240000}"/>
    <cellStyle name="Ênfase1 7" xfId="8404" xr:uid="{00000000-0005-0000-0000-000070240000}"/>
    <cellStyle name="Ênfase2" xfId="127" builtinId="33" customBuiltin="1"/>
    <cellStyle name="Ênfase2 2" xfId="8405" xr:uid="{00000000-0005-0000-0000-000072240000}"/>
    <cellStyle name="Ênfase2 2 2" xfId="8406" xr:uid="{00000000-0005-0000-0000-000073240000}"/>
    <cellStyle name="Ênfase2 2 3" xfId="8407" xr:uid="{00000000-0005-0000-0000-000074240000}"/>
    <cellStyle name="Ênfase2 2 4" xfId="8408" xr:uid="{00000000-0005-0000-0000-000075240000}"/>
    <cellStyle name="Ênfase2 2 5" xfId="8409" xr:uid="{00000000-0005-0000-0000-000076240000}"/>
    <cellStyle name="Ênfase2 2 6" xfId="25800" xr:uid="{00000000-0005-0000-0000-000077240000}"/>
    <cellStyle name="Ênfase2 3" xfId="8410" xr:uid="{00000000-0005-0000-0000-000078240000}"/>
    <cellStyle name="Ênfase2 3 2" xfId="8411" xr:uid="{00000000-0005-0000-0000-000079240000}"/>
    <cellStyle name="Ênfase2 3 2 2" xfId="25802" xr:uid="{00000000-0005-0000-0000-00007A240000}"/>
    <cellStyle name="Ênfase2 3 3" xfId="8412" xr:uid="{00000000-0005-0000-0000-00007B240000}"/>
    <cellStyle name="Ênfase2 3 4" xfId="8413" xr:uid="{00000000-0005-0000-0000-00007C240000}"/>
    <cellStyle name="Ênfase2 3 5" xfId="8414" xr:uid="{00000000-0005-0000-0000-00007D240000}"/>
    <cellStyle name="Ênfase2 3 6" xfId="25801" xr:uid="{00000000-0005-0000-0000-00007E240000}"/>
    <cellStyle name="Ênfase2 4" xfId="8415" xr:uid="{00000000-0005-0000-0000-00007F240000}"/>
    <cellStyle name="Ênfase2 4 2" xfId="8416" xr:uid="{00000000-0005-0000-0000-000080240000}"/>
    <cellStyle name="Ênfase2 4 3" xfId="8417" xr:uid="{00000000-0005-0000-0000-000081240000}"/>
    <cellStyle name="Ênfase2 4 4" xfId="8418" xr:uid="{00000000-0005-0000-0000-000082240000}"/>
    <cellStyle name="Ênfase2 4 5" xfId="8419" xr:uid="{00000000-0005-0000-0000-000083240000}"/>
    <cellStyle name="Ênfase2 5" xfId="8420" xr:uid="{00000000-0005-0000-0000-000084240000}"/>
    <cellStyle name="Ênfase2 5 2" xfId="25803" xr:uid="{00000000-0005-0000-0000-000085240000}"/>
    <cellStyle name="Ênfase2 6" xfId="8421" xr:uid="{00000000-0005-0000-0000-000086240000}"/>
    <cellStyle name="Ênfase2 7" xfId="8422" xr:uid="{00000000-0005-0000-0000-000087240000}"/>
    <cellStyle name="Ênfase3" xfId="128" builtinId="37" customBuiltin="1"/>
    <cellStyle name="Ênfase3 2" xfId="8423" xr:uid="{00000000-0005-0000-0000-000089240000}"/>
    <cellStyle name="Ênfase3 2 2" xfId="8424" xr:uid="{00000000-0005-0000-0000-00008A240000}"/>
    <cellStyle name="Ênfase3 2 2 2" xfId="25805" xr:uid="{00000000-0005-0000-0000-00008B240000}"/>
    <cellStyle name="Ênfase3 2 3" xfId="8425" xr:uid="{00000000-0005-0000-0000-00008C240000}"/>
    <cellStyle name="Ênfase3 2 4" xfId="8426" xr:uid="{00000000-0005-0000-0000-00008D240000}"/>
    <cellStyle name="Ênfase3 2 5" xfId="8427" xr:uid="{00000000-0005-0000-0000-00008E240000}"/>
    <cellStyle name="Ênfase3 2 6" xfId="25804" xr:uid="{00000000-0005-0000-0000-00008F240000}"/>
    <cellStyle name="Ênfase3 3" xfId="8428" xr:uid="{00000000-0005-0000-0000-000090240000}"/>
    <cellStyle name="Ênfase3 3 2" xfId="8429" xr:uid="{00000000-0005-0000-0000-000091240000}"/>
    <cellStyle name="Ênfase3 3 2 2" xfId="25807" xr:uid="{00000000-0005-0000-0000-000092240000}"/>
    <cellStyle name="Ênfase3 3 3" xfId="8430" xr:uid="{00000000-0005-0000-0000-000093240000}"/>
    <cellStyle name="Ênfase3 3 4" xfId="8431" xr:uid="{00000000-0005-0000-0000-000094240000}"/>
    <cellStyle name="Ênfase3 3 5" xfId="8432" xr:uid="{00000000-0005-0000-0000-000095240000}"/>
    <cellStyle name="Ênfase3 3 6" xfId="25806" xr:uid="{00000000-0005-0000-0000-000096240000}"/>
    <cellStyle name="Ênfase3 4" xfId="8433" xr:uid="{00000000-0005-0000-0000-000097240000}"/>
    <cellStyle name="Ênfase3 4 2" xfId="8434" xr:uid="{00000000-0005-0000-0000-000098240000}"/>
    <cellStyle name="Ênfase3 4 3" xfId="8435" xr:uid="{00000000-0005-0000-0000-000099240000}"/>
    <cellStyle name="Ênfase3 4 4" xfId="8436" xr:uid="{00000000-0005-0000-0000-00009A240000}"/>
    <cellStyle name="Ênfase3 4 5" xfId="8437" xr:uid="{00000000-0005-0000-0000-00009B240000}"/>
    <cellStyle name="Ênfase3 5" xfId="8438" xr:uid="{00000000-0005-0000-0000-00009C240000}"/>
    <cellStyle name="Ênfase3 5 2" xfId="25808" xr:uid="{00000000-0005-0000-0000-00009D240000}"/>
    <cellStyle name="Ênfase3 6" xfId="8439" xr:uid="{00000000-0005-0000-0000-00009E240000}"/>
    <cellStyle name="Ênfase3 7" xfId="8440" xr:uid="{00000000-0005-0000-0000-00009F240000}"/>
    <cellStyle name="Ênfase4" xfId="129" builtinId="41" customBuiltin="1"/>
    <cellStyle name="Ênfase4 2" xfId="8441" xr:uid="{00000000-0005-0000-0000-0000A1240000}"/>
    <cellStyle name="Ênfase4 2 2" xfId="8442" xr:uid="{00000000-0005-0000-0000-0000A2240000}"/>
    <cellStyle name="Ênfase4 2 2 2" xfId="25810" xr:uid="{00000000-0005-0000-0000-0000A3240000}"/>
    <cellStyle name="Ênfase4 2 3" xfId="8443" xr:uid="{00000000-0005-0000-0000-0000A4240000}"/>
    <cellStyle name="Ênfase4 2 4" xfId="8444" xr:uid="{00000000-0005-0000-0000-0000A5240000}"/>
    <cellStyle name="Ênfase4 2 5" xfId="8445" xr:uid="{00000000-0005-0000-0000-0000A6240000}"/>
    <cellStyle name="Ênfase4 2 6" xfId="25809" xr:uid="{00000000-0005-0000-0000-0000A7240000}"/>
    <cellStyle name="Ênfase4 3" xfId="8446" xr:uid="{00000000-0005-0000-0000-0000A8240000}"/>
    <cellStyle name="Ênfase4 3 2" xfId="8447" xr:uid="{00000000-0005-0000-0000-0000A9240000}"/>
    <cellStyle name="Ênfase4 3 2 2" xfId="25812" xr:uid="{00000000-0005-0000-0000-0000AA240000}"/>
    <cellStyle name="Ênfase4 3 3" xfId="8448" xr:uid="{00000000-0005-0000-0000-0000AB240000}"/>
    <cellStyle name="Ênfase4 3 4" xfId="8449" xr:uid="{00000000-0005-0000-0000-0000AC240000}"/>
    <cellStyle name="Ênfase4 3 5" xfId="8450" xr:uid="{00000000-0005-0000-0000-0000AD240000}"/>
    <cellStyle name="Ênfase4 3 6" xfId="25811" xr:uid="{00000000-0005-0000-0000-0000AE240000}"/>
    <cellStyle name="Ênfase4 4" xfId="8451" xr:uid="{00000000-0005-0000-0000-0000AF240000}"/>
    <cellStyle name="Ênfase4 4 2" xfId="8452" xr:uid="{00000000-0005-0000-0000-0000B0240000}"/>
    <cellStyle name="Ênfase4 4 3" xfId="8453" xr:uid="{00000000-0005-0000-0000-0000B1240000}"/>
    <cellStyle name="Ênfase4 4 4" xfId="8454" xr:uid="{00000000-0005-0000-0000-0000B2240000}"/>
    <cellStyle name="Ênfase4 4 5" xfId="8455" xr:uid="{00000000-0005-0000-0000-0000B3240000}"/>
    <cellStyle name="Ênfase4 5" xfId="8456" xr:uid="{00000000-0005-0000-0000-0000B4240000}"/>
    <cellStyle name="Ênfase4 5 2" xfId="25813" xr:uid="{00000000-0005-0000-0000-0000B5240000}"/>
    <cellStyle name="Ênfase4 6" xfId="8457" xr:uid="{00000000-0005-0000-0000-0000B6240000}"/>
    <cellStyle name="Ênfase4 7" xfId="8458" xr:uid="{00000000-0005-0000-0000-0000B7240000}"/>
    <cellStyle name="Ênfase5" xfId="130" builtinId="45" customBuiltin="1"/>
    <cellStyle name="Ênfase5 2" xfId="8459" xr:uid="{00000000-0005-0000-0000-0000B9240000}"/>
    <cellStyle name="Ênfase5 2 2" xfId="8460" xr:uid="{00000000-0005-0000-0000-0000BA240000}"/>
    <cellStyle name="Ênfase5 2 2 2" xfId="25815" xr:uid="{00000000-0005-0000-0000-0000BB240000}"/>
    <cellStyle name="Ênfase5 2 3" xfId="8461" xr:uid="{00000000-0005-0000-0000-0000BC240000}"/>
    <cellStyle name="Ênfase5 2 4" xfId="8462" xr:uid="{00000000-0005-0000-0000-0000BD240000}"/>
    <cellStyle name="Ênfase5 2 5" xfId="8463" xr:uid="{00000000-0005-0000-0000-0000BE240000}"/>
    <cellStyle name="Ênfase5 2 6" xfId="25814" xr:uid="{00000000-0005-0000-0000-0000BF240000}"/>
    <cellStyle name="Ênfase5 3" xfId="8464" xr:uid="{00000000-0005-0000-0000-0000C0240000}"/>
    <cellStyle name="Ênfase5 3 2" xfId="8465" xr:uid="{00000000-0005-0000-0000-0000C1240000}"/>
    <cellStyle name="Ênfase5 3 2 2" xfId="25817" xr:uid="{00000000-0005-0000-0000-0000C2240000}"/>
    <cellStyle name="Ênfase5 3 3" xfId="8466" xr:uid="{00000000-0005-0000-0000-0000C3240000}"/>
    <cellStyle name="Ênfase5 3 4" xfId="8467" xr:uid="{00000000-0005-0000-0000-0000C4240000}"/>
    <cellStyle name="Ênfase5 3 5" xfId="8468" xr:uid="{00000000-0005-0000-0000-0000C5240000}"/>
    <cellStyle name="Ênfase5 3 6" xfId="25816" xr:uid="{00000000-0005-0000-0000-0000C6240000}"/>
    <cellStyle name="Ênfase5 4" xfId="8469" xr:uid="{00000000-0005-0000-0000-0000C7240000}"/>
    <cellStyle name="Ênfase5 4 2" xfId="8470" xr:uid="{00000000-0005-0000-0000-0000C8240000}"/>
    <cellStyle name="Ênfase5 4 3" xfId="8471" xr:uid="{00000000-0005-0000-0000-0000C9240000}"/>
    <cellStyle name="Ênfase5 4 4" xfId="8472" xr:uid="{00000000-0005-0000-0000-0000CA240000}"/>
    <cellStyle name="Ênfase5 4 5" xfId="8473" xr:uid="{00000000-0005-0000-0000-0000CB240000}"/>
    <cellStyle name="Ênfase5 5" xfId="8474" xr:uid="{00000000-0005-0000-0000-0000CC240000}"/>
    <cellStyle name="Ênfase5 5 2" xfId="25818" xr:uid="{00000000-0005-0000-0000-0000CD240000}"/>
    <cellStyle name="Ênfase5 6" xfId="8475" xr:uid="{00000000-0005-0000-0000-0000CE240000}"/>
    <cellStyle name="Ênfase5 7" xfId="8476" xr:uid="{00000000-0005-0000-0000-0000CF240000}"/>
    <cellStyle name="Ênfase6" xfId="131" builtinId="49" customBuiltin="1"/>
    <cellStyle name="Ênfase6 2" xfId="8477" xr:uid="{00000000-0005-0000-0000-0000D1240000}"/>
    <cellStyle name="Ênfase6 2 2" xfId="8478" xr:uid="{00000000-0005-0000-0000-0000D2240000}"/>
    <cellStyle name="Ênfase6 2 2 2" xfId="25820" xr:uid="{00000000-0005-0000-0000-0000D3240000}"/>
    <cellStyle name="Ênfase6 2 3" xfId="8479" xr:uid="{00000000-0005-0000-0000-0000D4240000}"/>
    <cellStyle name="Ênfase6 2 4" xfId="8480" xr:uid="{00000000-0005-0000-0000-0000D5240000}"/>
    <cellStyle name="Ênfase6 2 5" xfId="8481" xr:uid="{00000000-0005-0000-0000-0000D6240000}"/>
    <cellStyle name="Ênfase6 2 6" xfId="25819" xr:uid="{00000000-0005-0000-0000-0000D7240000}"/>
    <cellStyle name="Ênfase6 3" xfId="8482" xr:uid="{00000000-0005-0000-0000-0000D8240000}"/>
    <cellStyle name="Ênfase6 3 2" xfId="8483" xr:uid="{00000000-0005-0000-0000-0000D9240000}"/>
    <cellStyle name="Ênfase6 3 2 2" xfId="25822" xr:uid="{00000000-0005-0000-0000-0000DA240000}"/>
    <cellStyle name="Ênfase6 3 3" xfId="8484" xr:uid="{00000000-0005-0000-0000-0000DB240000}"/>
    <cellStyle name="Ênfase6 3 4" xfId="8485" xr:uid="{00000000-0005-0000-0000-0000DC240000}"/>
    <cellStyle name="Ênfase6 3 5" xfId="8486" xr:uid="{00000000-0005-0000-0000-0000DD240000}"/>
    <cellStyle name="Ênfase6 3 6" xfId="25821" xr:uid="{00000000-0005-0000-0000-0000DE240000}"/>
    <cellStyle name="Ênfase6 4" xfId="8487" xr:uid="{00000000-0005-0000-0000-0000DF240000}"/>
    <cellStyle name="Ênfase6 4 2" xfId="8488" xr:uid="{00000000-0005-0000-0000-0000E0240000}"/>
    <cellStyle name="Ênfase6 4 3" xfId="8489" xr:uid="{00000000-0005-0000-0000-0000E1240000}"/>
    <cellStyle name="Ênfase6 4 4" xfId="8490" xr:uid="{00000000-0005-0000-0000-0000E2240000}"/>
    <cellStyle name="Ênfase6 4 5" xfId="8491" xr:uid="{00000000-0005-0000-0000-0000E3240000}"/>
    <cellStyle name="Ênfase6 5" xfId="8492" xr:uid="{00000000-0005-0000-0000-0000E4240000}"/>
    <cellStyle name="Ênfase6 5 2" xfId="25823" xr:uid="{00000000-0005-0000-0000-0000E5240000}"/>
    <cellStyle name="Ênfase6 6" xfId="8493" xr:uid="{00000000-0005-0000-0000-0000E6240000}"/>
    <cellStyle name="Ênfase6 7" xfId="8494" xr:uid="{00000000-0005-0000-0000-0000E7240000}"/>
    <cellStyle name="Énfasis1" xfId="8495" xr:uid="{00000000-0005-0000-0000-0000E8240000}"/>
    <cellStyle name="Énfasis2" xfId="8496" xr:uid="{00000000-0005-0000-0000-0000E9240000}"/>
    <cellStyle name="Énfasis3" xfId="8497" xr:uid="{00000000-0005-0000-0000-0000EA240000}"/>
    <cellStyle name="Énfasis4" xfId="8498" xr:uid="{00000000-0005-0000-0000-0000EB240000}"/>
    <cellStyle name="Énfasis5" xfId="8499" xr:uid="{00000000-0005-0000-0000-0000EC240000}"/>
    <cellStyle name="Énfasis6" xfId="8500" xr:uid="{00000000-0005-0000-0000-0000ED240000}"/>
    <cellStyle name="Entrada" xfId="132" builtinId="20" customBuiltin="1"/>
    <cellStyle name="Entrada 2" xfId="8501" xr:uid="{00000000-0005-0000-0000-0000EF240000}"/>
    <cellStyle name="Entrada 2 10" xfId="25824" xr:uid="{00000000-0005-0000-0000-0000F0240000}"/>
    <cellStyle name="Entrada 2 2" xfId="8502" xr:uid="{00000000-0005-0000-0000-0000F1240000}"/>
    <cellStyle name="Entrada 2 2 2" xfId="8503" xr:uid="{00000000-0005-0000-0000-0000F2240000}"/>
    <cellStyle name="Entrada 2 2 2 2" xfId="24592" xr:uid="{00000000-0005-0000-0000-0000F3240000}"/>
    <cellStyle name="Entrada 2 2 2 2 2" xfId="32601" xr:uid="{93BA214D-0EED-48F6-BF3B-B93CA8755719}"/>
    <cellStyle name="Entrada 2 2 3" xfId="24591" xr:uid="{00000000-0005-0000-0000-0000F4240000}"/>
    <cellStyle name="Entrada 2 2 3 2" xfId="32600" xr:uid="{30C80648-414F-4D85-8545-FEEDE7DB6818}"/>
    <cellStyle name="Entrada 2 3" xfId="8504" xr:uid="{00000000-0005-0000-0000-0000F5240000}"/>
    <cellStyle name="Entrada 2 3 2" xfId="8505" xr:uid="{00000000-0005-0000-0000-0000F6240000}"/>
    <cellStyle name="Entrada 2 3 2 2" xfId="24594" xr:uid="{00000000-0005-0000-0000-0000F7240000}"/>
    <cellStyle name="Entrada 2 3 2 2 2" xfId="32603" xr:uid="{77FE739D-37C8-4D8D-94C6-2E0AE3EB566D}"/>
    <cellStyle name="Entrada 2 3 3" xfId="24593" xr:uid="{00000000-0005-0000-0000-0000F8240000}"/>
    <cellStyle name="Entrada 2 3 3 2" xfId="32602" xr:uid="{BC1A8CF3-CAD5-48A4-BB66-14E06A9B8B19}"/>
    <cellStyle name="Entrada 2 4" xfId="8506" xr:uid="{00000000-0005-0000-0000-0000F9240000}"/>
    <cellStyle name="Entrada 2 4 2" xfId="8507" xr:uid="{00000000-0005-0000-0000-0000FA240000}"/>
    <cellStyle name="Entrada 2 4 2 2" xfId="24596" xr:uid="{00000000-0005-0000-0000-0000FB240000}"/>
    <cellStyle name="Entrada 2 4 2 2 2" xfId="32605" xr:uid="{375CA425-EC7E-4919-A08A-37DEEDE1A7EE}"/>
    <cellStyle name="Entrada 2 4 3" xfId="24595" xr:uid="{00000000-0005-0000-0000-0000FC240000}"/>
    <cellStyle name="Entrada 2 4 3 2" xfId="32604" xr:uid="{225B2122-1C29-4C35-987D-F5C7E10A110C}"/>
    <cellStyle name="Entrada 2 5" xfId="8508" xr:uid="{00000000-0005-0000-0000-0000FD240000}"/>
    <cellStyle name="Entrada 2 5 2" xfId="8509" xr:uid="{00000000-0005-0000-0000-0000FE240000}"/>
    <cellStyle name="Entrada 2 5 2 2" xfId="24598" xr:uid="{00000000-0005-0000-0000-0000FF240000}"/>
    <cellStyle name="Entrada 2 5 2 2 2" xfId="32607" xr:uid="{854725F5-7AD1-4CAB-A0C0-19F6F0352483}"/>
    <cellStyle name="Entrada 2 5 3" xfId="24597" xr:uid="{00000000-0005-0000-0000-000000250000}"/>
    <cellStyle name="Entrada 2 5 3 2" xfId="32606" xr:uid="{6BC889C4-0D0E-4C22-B01B-BC5BDE76C3C0}"/>
    <cellStyle name="Entrada 2 6" xfId="8510" xr:uid="{00000000-0005-0000-0000-000001250000}"/>
    <cellStyle name="Entrada 2 6 2" xfId="8511" xr:uid="{00000000-0005-0000-0000-000002250000}"/>
    <cellStyle name="Entrada 2 6 2 2" xfId="24600" xr:uid="{00000000-0005-0000-0000-000003250000}"/>
    <cellStyle name="Entrada 2 6 2 2 2" xfId="32609" xr:uid="{79F006A1-B503-4F99-AE45-D7C5C3466ADD}"/>
    <cellStyle name="Entrada 2 6 3" xfId="24599" xr:uid="{00000000-0005-0000-0000-000004250000}"/>
    <cellStyle name="Entrada 2 6 3 2" xfId="32608" xr:uid="{BA67FA4E-81DB-41DE-A81B-7577B022857A}"/>
    <cellStyle name="Entrada 2 7" xfId="8512" xr:uid="{00000000-0005-0000-0000-000005250000}"/>
    <cellStyle name="Entrada 2 7 2" xfId="8513" xr:uid="{00000000-0005-0000-0000-000006250000}"/>
    <cellStyle name="Entrada 2 7 2 2" xfId="24602" xr:uid="{00000000-0005-0000-0000-000007250000}"/>
    <cellStyle name="Entrada 2 7 2 2 2" xfId="32611" xr:uid="{0207699D-59FC-44AA-B180-5980468F347D}"/>
    <cellStyle name="Entrada 2 7 3" xfId="24601" xr:uid="{00000000-0005-0000-0000-000008250000}"/>
    <cellStyle name="Entrada 2 7 3 2" xfId="32610" xr:uid="{0A537E69-52EF-4FE7-AAB2-7BABEB9E3943}"/>
    <cellStyle name="Entrada 2 8" xfId="8514" xr:uid="{00000000-0005-0000-0000-000009250000}"/>
    <cellStyle name="Entrada 2 8 2" xfId="24603" xr:uid="{00000000-0005-0000-0000-00000A250000}"/>
    <cellStyle name="Entrada 2 8 2 2" xfId="32612" xr:uid="{E7108B80-7B32-4D47-830F-12A493EAF66C}"/>
    <cellStyle name="Entrada 2 9" xfId="24590" xr:uid="{00000000-0005-0000-0000-00000B250000}"/>
    <cellStyle name="Entrada 2 9 2" xfId="32599" xr:uid="{A56A1BBE-A735-465D-ABDA-3B5EA97034C8}"/>
    <cellStyle name="Entrada 3" xfId="8515" xr:uid="{00000000-0005-0000-0000-00000C250000}"/>
    <cellStyle name="Entrada 3 2" xfId="8516" xr:uid="{00000000-0005-0000-0000-00000D250000}"/>
    <cellStyle name="Entrada 3 2 2" xfId="8517" xr:uid="{00000000-0005-0000-0000-00000E250000}"/>
    <cellStyle name="Entrada 3 2 2 2" xfId="24606" xr:uid="{00000000-0005-0000-0000-00000F250000}"/>
    <cellStyle name="Entrada 3 2 2 2 2" xfId="32615" xr:uid="{C0577C0E-81C8-42E9-859A-0E09D155DDC7}"/>
    <cellStyle name="Entrada 3 2 3" xfId="24605" xr:uid="{00000000-0005-0000-0000-000010250000}"/>
    <cellStyle name="Entrada 3 2 3 2" xfId="32614" xr:uid="{185E1DC2-BB3A-4BD0-ABFC-91D2D8921BDF}"/>
    <cellStyle name="Entrada 3 2 4" xfId="25826" xr:uid="{00000000-0005-0000-0000-000011250000}"/>
    <cellStyle name="Entrada 3 3" xfId="8518" xr:uid="{00000000-0005-0000-0000-000012250000}"/>
    <cellStyle name="Entrada 3 3 2" xfId="8519" xr:uid="{00000000-0005-0000-0000-000013250000}"/>
    <cellStyle name="Entrada 3 3 2 2" xfId="24608" xr:uid="{00000000-0005-0000-0000-000014250000}"/>
    <cellStyle name="Entrada 3 3 2 2 2" xfId="32617" xr:uid="{93DC11E2-585C-4551-BBCA-3F4C2179ECDF}"/>
    <cellStyle name="Entrada 3 3 3" xfId="24607" xr:uid="{00000000-0005-0000-0000-000015250000}"/>
    <cellStyle name="Entrada 3 3 3 2" xfId="32616" xr:uid="{AC1C7816-DB35-4DFF-96F4-5B577A5CDBC6}"/>
    <cellStyle name="Entrada 3 4" xfId="8520" xr:uid="{00000000-0005-0000-0000-000016250000}"/>
    <cellStyle name="Entrada 3 4 2" xfId="8521" xr:uid="{00000000-0005-0000-0000-000017250000}"/>
    <cellStyle name="Entrada 3 4 2 2" xfId="24610" xr:uid="{00000000-0005-0000-0000-000018250000}"/>
    <cellStyle name="Entrada 3 4 2 2 2" xfId="32619" xr:uid="{E12AD4DF-236C-428F-A881-CFE96FBF14BF}"/>
    <cellStyle name="Entrada 3 4 3" xfId="24609" xr:uid="{00000000-0005-0000-0000-000019250000}"/>
    <cellStyle name="Entrada 3 4 3 2" xfId="32618" xr:uid="{90F710D9-EA32-46C6-A2A0-B052FDC0D097}"/>
    <cellStyle name="Entrada 3 5" xfId="8522" xr:uid="{00000000-0005-0000-0000-00001A250000}"/>
    <cellStyle name="Entrada 3 5 2" xfId="8523" xr:uid="{00000000-0005-0000-0000-00001B250000}"/>
    <cellStyle name="Entrada 3 5 2 2" xfId="24612" xr:uid="{00000000-0005-0000-0000-00001C250000}"/>
    <cellStyle name="Entrada 3 5 2 2 2" xfId="32621" xr:uid="{B5243CDB-2315-4955-8EA6-09DED28FBE15}"/>
    <cellStyle name="Entrada 3 5 3" xfId="24611" xr:uid="{00000000-0005-0000-0000-00001D250000}"/>
    <cellStyle name="Entrada 3 5 3 2" xfId="32620" xr:uid="{9B842593-920C-47FA-9E37-8EBD9E483B4E}"/>
    <cellStyle name="Entrada 3 6" xfId="8524" xr:uid="{00000000-0005-0000-0000-00001E250000}"/>
    <cellStyle name="Entrada 3 6 2" xfId="24613" xr:uid="{00000000-0005-0000-0000-00001F250000}"/>
    <cellStyle name="Entrada 3 6 2 2" xfId="32622" xr:uid="{08E57D35-1147-473A-8785-7D93B3652A1F}"/>
    <cellStyle name="Entrada 3 7" xfId="24604" xr:uid="{00000000-0005-0000-0000-000020250000}"/>
    <cellStyle name="Entrada 3 7 2" xfId="32613" xr:uid="{9B100E4B-33E6-460A-9657-286A2AC91EFA}"/>
    <cellStyle name="Entrada 3 8" xfId="25825" xr:uid="{00000000-0005-0000-0000-000021250000}"/>
    <cellStyle name="Entrada 4" xfId="8525" xr:uid="{00000000-0005-0000-0000-000022250000}"/>
    <cellStyle name="Entrada 4 2" xfId="8526" xr:uid="{00000000-0005-0000-0000-000023250000}"/>
    <cellStyle name="Entrada 4 2 2" xfId="8527" xr:uid="{00000000-0005-0000-0000-000024250000}"/>
    <cellStyle name="Entrada 4 2 2 2" xfId="24616" xr:uid="{00000000-0005-0000-0000-000025250000}"/>
    <cellStyle name="Entrada 4 2 2 2 2" xfId="32625" xr:uid="{AFD214B3-BBEA-4FD0-90BE-8E44A4A9DD2F}"/>
    <cellStyle name="Entrada 4 2 3" xfId="24615" xr:uid="{00000000-0005-0000-0000-000026250000}"/>
    <cellStyle name="Entrada 4 2 3 2" xfId="32624" xr:uid="{85E3743B-C1CE-495F-9381-0C0A7BC79B11}"/>
    <cellStyle name="Entrada 4 3" xfId="8528" xr:uid="{00000000-0005-0000-0000-000027250000}"/>
    <cellStyle name="Entrada 4 3 2" xfId="8529" xr:uid="{00000000-0005-0000-0000-000028250000}"/>
    <cellStyle name="Entrada 4 3 2 2" xfId="24618" xr:uid="{00000000-0005-0000-0000-000029250000}"/>
    <cellStyle name="Entrada 4 3 2 2 2" xfId="32627" xr:uid="{FE74F148-1076-4CC0-AA70-AD2E1308D335}"/>
    <cellStyle name="Entrada 4 3 3" xfId="24617" xr:uid="{00000000-0005-0000-0000-00002A250000}"/>
    <cellStyle name="Entrada 4 3 3 2" xfId="32626" xr:uid="{E39835CB-D17A-4BA4-9D8F-D7413655E7E8}"/>
    <cellStyle name="Entrada 4 4" xfId="8530" xr:uid="{00000000-0005-0000-0000-00002B250000}"/>
    <cellStyle name="Entrada 4 4 2" xfId="8531" xr:uid="{00000000-0005-0000-0000-00002C250000}"/>
    <cellStyle name="Entrada 4 4 2 2" xfId="24620" xr:uid="{00000000-0005-0000-0000-00002D250000}"/>
    <cellStyle name="Entrada 4 4 2 2 2" xfId="32629" xr:uid="{5FB5EC7D-3A7F-4038-AE39-578B39093DD3}"/>
    <cellStyle name="Entrada 4 4 3" xfId="24619" xr:uid="{00000000-0005-0000-0000-00002E250000}"/>
    <cellStyle name="Entrada 4 4 3 2" xfId="32628" xr:uid="{24A1EECB-B33C-4D87-BEAC-8A1450341290}"/>
    <cellStyle name="Entrada 4 5" xfId="8532" xr:uid="{00000000-0005-0000-0000-00002F250000}"/>
    <cellStyle name="Entrada 4 5 2" xfId="8533" xr:uid="{00000000-0005-0000-0000-000030250000}"/>
    <cellStyle name="Entrada 4 5 2 2" xfId="24622" xr:uid="{00000000-0005-0000-0000-000031250000}"/>
    <cellStyle name="Entrada 4 5 2 2 2" xfId="32631" xr:uid="{356700F7-4DE4-4581-ABCA-A3AA9F1FA8EA}"/>
    <cellStyle name="Entrada 4 5 3" xfId="24621" xr:uid="{00000000-0005-0000-0000-000032250000}"/>
    <cellStyle name="Entrada 4 5 3 2" xfId="32630" xr:uid="{5916EEBB-73EB-406E-B2EA-277DB1CFCAC0}"/>
    <cellStyle name="Entrada 4 6" xfId="8534" xr:uid="{00000000-0005-0000-0000-000033250000}"/>
    <cellStyle name="Entrada 4 6 2" xfId="24623" xr:uid="{00000000-0005-0000-0000-000034250000}"/>
    <cellStyle name="Entrada 4 6 2 2" xfId="32632" xr:uid="{E19276A3-1068-4E82-BF4D-134C034EA962}"/>
    <cellStyle name="Entrada 4 7" xfId="24614" xr:uid="{00000000-0005-0000-0000-000035250000}"/>
    <cellStyle name="Entrada 4 7 2" xfId="32623" xr:uid="{23ECAF40-74F3-4266-9C0E-4FF58A3AE1FB}"/>
    <cellStyle name="Entrada 5" xfId="8535" xr:uid="{00000000-0005-0000-0000-000036250000}"/>
    <cellStyle name="Entrada 5 2" xfId="8536" xr:uid="{00000000-0005-0000-0000-000037250000}"/>
    <cellStyle name="Entrada 5 2 2" xfId="24625" xr:uid="{00000000-0005-0000-0000-000038250000}"/>
    <cellStyle name="Entrada 5 2 2 2" xfId="32634" xr:uid="{C7BC277F-6C16-4C59-B799-2ED6CF401EE3}"/>
    <cellStyle name="Entrada 5 2 3" xfId="25827" xr:uid="{00000000-0005-0000-0000-000039250000}"/>
    <cellStyle name="Entrada 5 3" xfId="24624" xr:uid="{00000000-0005-0000-0000-00003A250000}"/>
    <cellStyle name="Entrada 5 3 2" xfId="32633" xr:uid="{3E533C36-D20D-4DF3-9EB2-B9727892B042}"/>
    <cellStyle name="Entrada 6" xfId="8537" xr:uid="{00000000-0005-0000-0000-00003B250000}"/>
    <cellStyle name="Entrada 6 2" xfId="8538" xr:uid="{00000000-0005-0000-0000-00003C250000}"/>
    <cellStyle name="Entrada 6 2 2" xfId="24627" xr:uid="{00000000-0005-0000-0000-00003D250000}"/>
    <cellStyle name="Entrada 6 2 2 2" xfId="32636" xr:uid="{FA3FB7D5-828E-43C5-848E-B8D9696A99FE}"/>
    <cellStyle name="Entrada 6 3" xfId="24626" xr:uid="{00000000-0005-0000-0000-00003E250000}"/>
    <cellStyle name="Entrada 6 3 2" xfId="32635" xr:uid="{D23B2D77-FDDE-416B-ACD2-548E95A2898B}"/>
    <cellStyle name="Entrada 7" xfId="8539" xr:uid="{00000000-0005-0000-0000-00003F250000}"/>
    <cellStyle name="Entrada 7 2" xfId="8540" xr:uid="{00000000-0005-0000-0000-000040250000}"/>
    <cellStyle name="Entrada 7 2 2" xfId="24629" xr:uid="{00000000-0005-0000-0000-000041250000}"/>
    <cellStyle name="Entrada 7 2 2 2" xfId="32638" xr:uid="{7DBEC2F3-8A8C-4168-B331-935520D0DC05}"/>
    <cellStyle name="Entrada 7 3" xfId="24628" xr:uid="{00000000-0005-0000-0000-000042250000}"/>
    <cellStyle name="Entrada 7 3 2" xfId="32637" xr:uid="{6921ECDA-7863-4763-B757-66F661AB0865}"/>
    <cellStyle name="Estilo 1" xfId="8541" xr:uid="{00000000-0005-0000-0000-000043250000}"/>
    <cellStyle name="Estilo 2" xfId="8542" xr:uid="{00000000-0005-0000-0000-000044250000}"/>
    <cellStyle name="Estilo 2 2" xfId="28297" xr:uid="{5C66E34C-2519-452A-B97E-5CD1AC8D1621}"/>
    <cellStyle name="Euro" xfId="133" xr:uid="{00000000-0005-0000-0000-000045250000}"/>
    <cellStyle name="Euro 10" xfId="8543" xr:uid="{00000000-0005-0000-0000-000046250000}"/>
    <cellStyle name="Euro 11" xfId="8544" xr:uid="{00000000-0005-0000-0000-000047250000}"/>
    <cellStyle name="Euro 12" xfId="8545" xr:uid="{00000000-0005-0000-0000-000048250000}"/>
    <cellStyle name="Euro 2" xfId="134" xr:uid="{00000000-0005-0000-0000-000049250000}"/>
    <cellStyle name="Euro 2 10" xfId="8546" xr:uid="{00000000-0005-0000-0000-00004A250000}"/>
    <cellStyle name="Euro 2 11" xfId="8547" xr:uid="{00000000-0005-0000-0000-00004B250000}"/>
    <cellStyle name="Euro 2 12" xfId="8548" xr:uid="{00000000-0005-0000-0000-00004C250000}"/>
    <cellStyle name="Euro 2 13" xfId="8549" xr:uid="{00000000-0005-0000-0000-00004D250000}"/>
    <cellStyle name="Euro 2 14" xfId="8550" xr:uid="{00000000-0005-0000-0000-00004E250000}"/>
    <cellStyle name="Euro 2 15" xfId="8551" xr:uid="{00000000-0005-0000-0000-00004F250000}"/>
    <cellStyle name="Euro 2 16" xfId="8552" xr:uid="{00000000-0005-0000-0000-000050250000}"/>
    <cellStyle name="Euro 2 17" xfId="8553" xr:uid="{00000000-0005-0000-0000-000051250000}"/>
    <cellStyle name="Euro 2 18" xfId="8554" xr:uid="{00000000-0005-0000-0000-000052250000}"/>
    <cellStyle name="Euro 2 19" xfId="8555" xr:uid="{00000000-0005-0000-0000-000053250000}"/>
    <cellStyle name="Euro 2 2" xfId="135" xr:uid="{00000000-0005-0000-0000-000054250000}"/>
    <cellStyle name="Euro 2 2 10" xfId="8556" xr:uid="{00000000-0005-0000-0000-000055250000}"/>
    <cellStyle name="Euro 2 2 11" xfId="8557" xr:uid="{00000000-0005-0000-0000-000056250000}"/>
    <cellStyle name="Euro 2 2 12" xfId="8558" xr:uid="{00000000-0005-0000-0000-000057250000}"/>
    <cellStyle name="Euro 2 2 13" xfId="8559" xr:uid="{00000000-0005-0000-0000-000058250000}"/>
    <cellStyle name="Euro 2 2 14" xfId="8560" xr:uid="{00000000-0005-0000-0000-000059250000}"/>
    <cellStyle name="Euro 2 2 15" xfId="8561" xr:uid="{00000000-0005-0000-0000-00005A250000}"/>
    <cellStyle name="Euro 2 2 16" xfId="8562" xr:uid="{00000000-0005-0000-0000-00005B250000}"/>
    <cellStyle name="Euro 2 2 17" xfId="8563" xr:uid="{00000000-0005-0000-0000-00005C250000}"/>
    <cellStyle name="Euro 2 2 18" xfId="8564" xr:uid="{00000000-0005-0000-0000-00005D250000}"/>
    <cellStyle name="Euro 2 2 19" xfId="8565" xr:uid="{00000000-0005-0000-0000-00005E250000}"/>
    <cellStyle name="Euro 2 2 2" xfId="8566" xr:uid="{00000000-0005-0000-0000-00005F250000}"/>
    <cellStyle name="Euro 2 2 2 10" xfId="8567" xr:uid="{00000000-0005-0000-0000-000060250000}"/>
    <cellStyle name="Euro 2 2 2 11" xfId="8568" xr:uid="{00000000-0005-0000-0000-000061250000}"/>
    <cellStyle name="Euro 2 2 2 12" xfId="8569" xr:uid="{00000000-0005-0000-0000-000062250000}"/>
    <cellStyle name="Euro 2 2 2 13" xfId="8570" xr:uid="{00000000-0005-0000-0000-000063250000}"/>
    <cellStyle name="Euro 2 2 2 14" xfId="8571" xr:uid="{00000000-0005-0000-0000-000064250000}"/>
    <cellStyle name="Euro 2 2 2 2" xfId="8572" xr:uid="{00000000-0005-0000-0000-000065250000}"/>
    <cellStyle name="Euro 2 2 2 2 10" xfId="8573" xr:uid="{00000000-0005-0000-0000-000066250000}"/>
    <cellStyle name="Euro 2 2 2 2 11" xfId="8574" xr:uid="{00000000-0005-0000-0000-000067250000}"/>
    <cellStyle name="Euro 2 2 2 2 12" xfId="8575" xr:uid="{00000000-0005-0000-0000-000068250000}"/>
    <cellStyle name="Euro 2 2 2 2 13" xfId="8576" xr:uid="{00000000-0005-0000-0000-000069250000}"/>
    <cellStyle name="Euro 2 2 2 2 14" xfId="8577" xr:uid="{00000000-0005-0000-0000-00006A250000}"/>
    <cellStyle name="Euro 2 2 2 2 2" xfId="8578" xr:uid="{00000000-0005-0000-0000-00006B250000}"/>
    <cellStyle name="Euro 2 2 2 2 2 2" xfId="8579" xr:uid="{00000000-0005-0000-0000-00006C250000}"/>
    <cellStyle name="Euro 2 2 2 2 2 3" xfId="8580" xr:uid="{00000000-0005-0000-0000-00006D250000}"/>
    <cellStyle name="Euro 2 2 2 2 3" xfId="8581" xr:uid="{00000000-0005-0000-0000-00006E250000}"/>
    <cellStyle name="Euro 2 2 2 2 4" xfId="8582" xr:uid="{00000000-0005-0000-0000-00006F250000}"/>
    <cellStyle name="Euro 2 2 2 2 5" xfId="8583" xr:uid="{00000000-0005-0000-0000-000070250000}"/>
    <cellStyle name="Euro 2 2 2 2 6" xfId="8584" xr:uid="{00000000-0005-0000-0000-000071250000}"/>
    <cellStyle name="Euro 2 2 2 2 7" xfId="8585" xr:uid="{00000000-0005-0000-0000-000072250000}"/>
    <cellStyle name="Euro 2 2 2 2 8" xfId="8586" xr:uid="{00000000-0005-0000-0000-000073250000}"/>
    <cellStyle name="Euro 2 2 2 2 9" xfId="8587" xr:uid="{00000000-0005-0000-0000-000074250000}"/>
    <cellStyle name="Euro 2 2 2 3" xfId="8588" xr:uid="{00000000-0005-0000-0000-000075250000}"/>
    <cellStyle name="Euro 2 2 2 4" xfId="8589" xr:uid="{00000000-0005-0000-0000-000076250000}"/>
    <cellStyle name="Euro 2 2 2 5" xfId="8590" xr:uid="{00000000-0005-0000-0000-000077250000}"/>
    <cellStyle name="Euro 2 2 2 6" xfId="8591" xr:uid="{00000000-0005-0000-0000-000078250000}"/>
    <cellStyle name="Euro 2 2 2 7" xfId="8592" xr:uid="{00000000-0005-0000-0000-000079250000}"/>
    <cellStyle name="Euro 2 2 2 8" xfId="8593" xr:uid="{00000000-0005-0000-0000-00007A250000}"/>
    <cellStyle name="Euro 2 2 2 9" xfId="8594" xr:uid="{00000000-0005-0000-0000-00007B250000}"/>
    <cellStyle name="Euro 2 2 20" xfId="8595" xr:uid="{00000000-0005-0000-0000-00007C250000}"/>
    <cellStyle name="Euro 2 2 21" xfId="27087" xr:uid="{00000000-0005-0000-0000-00007D250000}"/>
    <cellStyle name="Euro 2 2 3" xfId="8596" xr:uid="{00000000-0005-0000-0000-00007E250000}"/>
    <cellStyle name="Euro 2 2 4" xfId="8597" xr:uid="{00000000-0005-0000-0000-00007F250000}"/>
    <cellStyle name="Euro 2 2 5" xfId="8598" xr:uid="{00000000-0005-0000-0000-000080250000}"/>
    <cellStyle name="Euro 2 2 6" xfId="8599" xr:uid="{00000000-0005-0000-0000-000081250000}"/>
    <cellStyle name="Euro 2 2 7" xfId="8600" xr:uid="{00000000-0005-0000-0000-000082250000}"/>
    <cellStyle name="Euro 2 2 8" xfId="8601" xr:uid="{00000000-0005-0000-0000-000083250000}"/>
    <cellStyle name="Euro 2 2 9" xfId="8602" xr:uid="{00000000-0005-0000-0000-000084250000}"/>
    <cellStyle name="Euro 2 20" xfId="8603" xr:uid="{00000000-0005-0000-0000-000085250000}"/>
    <cellStyle name="Euro 2 3" xfId="8604" xr:uid="{00000000-0005-0000-0000-000086250000}"/>
    <cellStyle name="Euro 2 3 2" xfId="8605" xr:uid="{00000000-0005-0000-0000-000087250000}"/>
    <cellStyle name="Euro 2 4" xfId="8606" xr:uid="{00000000-0005-0000-0000-000088250000}"/>
    <cellStyle name="Euro 2 5" xfId="8607" xr:uid="{00000000-0005-0000-0000-000089250000}"/>
    <cellStyle name="Euro 2 6" xfId="8608" xr:uid="{00000000-0005-0000-0000-00008A250000}"/>
    <cellStyle name="Euro 2 7" xfId="8609" xr:uid="{00000000-0005-0000-0000-00008B250000}"/>
    <cellStyle name="Euro 2 8" xfId="8610" xr:uid="{00000000-0005-0000-0000-00008C250000}"/>
    <cellStyle name="Euro 2 9" xfId="8611" xr:uid="{00000000-0005-0000-0000-00008D250000}"/>
    <cellStyle name="Euro 3" xfId="136" xr:uid="{00000000-0005-0000-0000-00008E250000}"/>
    <cellStyle name="Euro 3 10" xfId="8612" xr:uid="{00000000-0005-0000-0000-00008F250000}"/>
    <cellStyle name="Euro 3 11" xfId="8613" xr:uid="{00000000-0005-0000-0000-000090250000}"/>
    <cellStyle name="Euro 3 12" xfId="8614" xr:uid="{00000000-0005-0000-0000-000091250000}"/>
    <cellStyle name="Euro 3 13" xfId="8615" xr:uid="{00000000-0005-0000-0000-000092250000}"/>
    <cellStyle name="Euro 3 14" xfId="8616" xr:uid="{00000000-0005-0000-0000-000093250000}"/>
    <cellStyle name="Euro 3 15" xfId="8617" xr:uid="{00000000-0005-0000-0000-000094250000}"/>
    <cellStyle name="Euro 3 16" xfId="8618" xr:uid="{00000000-0005-0000-0000-000095250000}"/>
    <cellStyle name="Euro 3 17" xfId="8619" xr:uid="{00000000-0005-0000-0000-000096250000}"/>
    <cellStyle name="Euro 3 18" xfId="8620" xr:uid="{00000000-0005-0000-0000-000097250000}"/>
    <cellStyle name="Euro 3 19" xfId="8621" xr:uid="{00000000-0005-0000-0000-000098250000}"/>
    <cellStyle name="Euro 3 2" xfId="137" xr:uid="{00000000-0005-0000-0000-000099250000}"/>
    <cellStyle name="Euro 3 2 2" xfId="8622" xr:uid="{00000000-0005-0000-0000-00009A250000}"/>
    <cellStyle name="Euro 3 2 3" xfId="8623" xr:uid="{00000000-0005-0000-0000-00009B250000}"/>
    <cellStyle name="Euro 3 2 4" xfId="27088" xr:uid="{00000000-0005-0000-0000-00009C250000}"/>
    <cellStyle name="Euro 3 20" xfId="8624" xr:uid="{00000000-0005-0000-0000-00009D250000}"/>
    <cellStyle name="Euro 3 21" xfId="8625" xr:uid="{00000000-0005-0000-0000-00009E250000}"/>
    <cellStyle name="Euro 3 22" xfId="8626" xr:uid="{00000000-0005-0000-0000-00009F250000}"/>
    <cellStyle name="Euro 3 23" xfId="8627" xr:uid="{00000000-0005-0000-0000-0000A0250000}"/>
    <cellStyle name="Euro 3 3" xfId="8628" xr:uid="{00000000-0005-0000-0000-0000A1250000}"/>
    <cellStyle name="Euro 3 4" xfId="8629" xr:uid="{00000000-0005-0000-0000-0000A2250000}"/>
    <cellStyle name="Euro 3 5" xfId="8630" xr:uid="{00000000-0005-0000-0000-0000A3250000}"/>
    <cellStyle name="Euro 3 6" xfId="8631" xr:uid="{00000000-0005-0000-0000-0000A4250000}"/>
    <cellStyle name="Euro 3 7" xfId="8632" xr:uid="{00000000-0005-0000-0000-0000A5250000}"/>
    <cellStyle name="Euro 3 7 2" xfId="8633" xr:uid="{00000000-0005-0000-0000-0000A6250000}"/>
    <cellStyle name="Euro 3 7 3" xfId="8634" xr:uid="{00000000-0005-0000-0000-0000A7250000}"/>
    <cellStyle name="Euro 3 7 4" xfId="8635" xr:uid="{00000000-0005-0000-0000-0000A8250000}"/>
    <cellStyle name="Euro 3 8" xfId="8636" xr:uid="{00000000-0005-0000-0000-0000A9250000}"/>
    <cellStyle name="Euro 3 8 10" xfId="8637" xr:uid="{00000000-0005-0000-0000-0000AA250000}"/>
    <cellStyle name="Euro 3 8 11" xfId="8638" xr:uid="{00000000-0005-0000-0000-0000AB250000}"/>
    <cellStyle name="Euro 3 8 12" xfId="8639" xr:uid="{00000000-0005-0000-0000-0000AC250000}"/>
    <cellStyle name="Euro 3 8 13" xfId="8640" xr:uid="{00000000-0005-0000-0000-0000AD250000}"/>
    <cellStyle name="Euro 3 8 14" xfId="8641" xr:uid="{00000000-0005-0000-0000-0000AE250000}"/>
    <cellStyle name="Euro 3 8 15" xfId="8642" xr:uid="{00000000-0005-0000-0000-0000AF250000}"/>
    <cellStyle name="Euro 3 8 16" xfId="8643" xr:uid="{00000000-0005-0000-0000-0000B0250000}"/>
    <cellStyle name="Euro 3 8 17" xfId="8644" xr:uid="{00000000-0005-0000-0000-0000B1250000}"/>
    <cellStyle name="Euro 3 8 18" xfId="8645" xr:uid="{00000000-0005-0000-0000-0000B2250000}"/>
    <cellStyle name="Euro 3 8 19" xfId="8646" xr:uid="{00000000-0005-0000-0000-0000B3250000}"/>
    <cellStyle name="Euro 3 8 2" xfId="8647" xr:uid="{00000000-0005-0000-0000-0000B4250000}"/>
    <cellStyle name="Euro 3 8 2 10" xfId="8648" xr:uid="{00000000-0005-0000-0000-0000B5250000}"/>
    <cellStyle name="Euro 3 8 2 11" xfId="8649" xr:uid="{00000000-0005-0000-0000-0000B6250000}"/>
    <cellStyle name="Euro 3 8 2 12" xfId="8650" xr:uid="{00000000-0005-0000-0000-0000B7250000}"/>
    <cellStyle name="Euro 3 8 2 13" xfId="8651" xr:uid="{00000000-0005-0000-0000-0000B8250000}"/>
    <cellStyle name="Euro 3 8 2 14" xfId="8652" xr:uid="{00000000-0005-0000-0000-0000B9250000}"/>
    <cellStyle name="Euro 3 8 2 15" xfId="8653" xr:uid="{00000000-0005-0000-0000-0000BA250000}"/>
    <cellStyle name="Euro 3 8 2 16" xfId="8654" xr:uid="{00000000-0005-0000-0000-0000BB250000}"/>
    <cellStyle name="Euro 3 8 2 17" xfId="8655" xr:uid="{00000000-0005-0000-0000-0000BC250000}"/>
    <cellStyle name="Euro 3 8 2 18" xfId="8656" xr:uid="{00000000-0005-0000-0000-0000BD250000}"/>
    <cellStyle name="Euro 3 8 2 19" xfId="8657" xr:uid="{00000000-0005-0000-0000-0000BE250000}"/>
    <cellStyle name="Euro 3 8 2 2" xfId="8658" xr:uid="{00000000-0005-0000-0000-0000BF250000}"/>
    <cellStyle name="Euro 3 8 2 20" xfId="8659" xr:uid="{00000000-0005-0000-0000-0000C0250000}"/>
    <cellStyle name="Euro 3 8 2 21" xfId="8660" xr:uid="{00000000-0005-0000-0000-0000C1250000}"/>
    <cellStyle name="Euro 3 8 2 3" xfId="8661" xr:uid="{00000000-0005-0000-0000-0000C2250000}"/>
    <cellStyle name="Euro 3 8 2 4" xfId="8662" xr:uid="{00000000-0005-0000-0000-0000C3250000}"/>
    <cellStyle name="Euro 3 8 2 5" xfId="8663" xr:uid="{00000000-0005-0000-0000-0000C4250000}"/>
    <cellStyle name="Euro 3 8 2 6" xfId="8664" xr:uid="{00000000-0005-0000-0000-0000C5250000}"/>
    <cellStyle name="Euro 3 8 2 7" xfId="8665" xr:uid="{00000000-0005-0000-0000-0000C6250000}"/>
    <cellStyle name="Euro 3 8 2 8" xfId="8666" xr:uid="{00000000-0005-0000-0000-0000C7250000}"/>
    <cellStyle name="Euro 3 8 2 9" xfId="8667" xr:uid="{00000000-0005-0000-0000-0000C8250000}"/>
    <cellStyle name="Euro 3 8 20" xfId="8668" xr:uid="{00000000-0005-0000-0000-0000C9250000}"/>
    <cellStyle name="Euro 3 8 21" xfId="8669" xr:uid="{00000000-0005-0000-0000-0000CA250000}"/>
    <cellStyle name="Euro 3 8 22" xfId="8670" xr:uid="{00000000-0005-0000-0000-0000CB250000}"/>
    <cellStyle name="Euro 3 8 23" xfId="8671" xr:uid="{00000000-0005-0000-0000-0000CC250000}"/>
    <cellStyle name="Euro 3 8 24" xfId="8672" xr:uid="{00000000-0005-0000-0000-0000CD250000}"/>
    <cellStyle name="Euro 3 8 25" xfId="8673" xr:uid="{00000000-0005-0000-0000-0000CE250000}"/>
    <cellStyle name="Euro 3 8 26" xfId="8674" xr:uid="{00000000-0005-0000-0000-0000CF250000}"/>
    <cellStyle name="Euro 3 8 27" xfId="8675" xr:uid="{00000000-0005-0000-0000-0000D0250000}"/>
    <cellStyle name="Euro 3 8 28" xfId="8676" xr:uid="{00000000-0005-0000-0000-0000D1250000}"/>
    <cellStyle name="Euro 3 8 29" xfId="8677" xr:uid="{00000000-0005-0000-0000-0000D2250000}"/>
    <cellStyle name="Euro 3 8 3" xfId="8678" xr:uid="{00000000-0005-0000-0000-0000D3250000}"/>
    <cellStyle name="Euro 3 8 30" xfId="8679" xr:uid="{00000000-0005-0000-0000-0000D4250000}"/>
    <cellStyle name="Euro 3 8 31" xfId="8680" xr:uid="{00000000-0005-0000-0000-0000D5250000}"/>
    <cellStyle name="Euro 3 8 32" xfId="8681" xr:uid="{00000000-0005-0000-0000-0000D6250000}"/>
    <cellStyle name="Euro 3 8 33" xfId="8682" xr:uid="{00000000-0005-0000-0000-0000D7250000}"/>
    <cellStyle name="Euro 3 8 34" xfId="8683" xr:uid="{00000000-0005-0000-0000-0000D8250000}"/>
    <cellStyle name="Euro 3 8 4" xfId="8684" xr:uid="{00000000-0005-0000-0000-0000D9250000}"/>
    <cellStyle name="Euro 3 8 4 2" xfId="8685" xr:uid="{00000000-0005-0000-0000-0000DA250000}"/>
    <cellStyle name="Euro 3 8 4 3" xfId="8686" xr:uid="{00000000-0005-0000-0000-0000DB250000}"/>
    <cellStyle name="Euro 3 8 4 4" xfId="8687" xr:uid="{00000000-0005-0000-0000-0000DC250000}"/>
    <cellStyle name="Euro 3 8 5" xfId="8688" xr:uid="{00000000-0005-0000-0000-0000DD250000}"/>
    <cellStyle name="Euro 3 8 6" xfId="8689" xr:uid="{00000000-0005-0000-0000-0000DE250000}"/>
    <cellStyle name="Euro 3 8 7" xfId="8690" xr:uid="{00000000-0005-0000-0000-0000DF250000}"/>
    <cellStyle name="Euro 3 8 8" xfId="8691" xr:uid="{00000000-0005-0000-0000-0000E0250000}"/>
    <cellStyle name="Euro 3 8 9" xfId="8692" xr:uid="{00000000-0005-0000-0000-0000E1250000}"/>
    <cellStyle name="Euro 3 9" xfId="8693" xr:uid="{00000000-0005-0000-0000-0000E2250000}"/>
    <cellStyle name="Euro 4" xfId="138" xr:uid="{00000000-0005-0000-0000-0000E3250000}"/>
    <cellStyle name="Euro 4 10" xfId="8694" xr:uid="{00000000-0005-0000-0000-0000E4250000}"/>
    <cellStyle name="Euro 4 11" xfId="8695" xr:uid="{00000000-0005-0000-0000-0000E5250000}"/>
    <cellStyle name="Euro 4 12" xfId="8696" xr:uid="{00000000-0005-0000-0000-0000E6250000}"/>
    <cellStyle name="Euro 4 13" xfId="8697" xr:uid="{00000000-0005-0000-0000-0000E7250000}"/>
    <cellStyle name="Euro 4 14" xfId="8698" xr:uid="{00000000-0005-0000-0000-0000E8250000}"/>
    <cellStyle name="Euro 4 15" xfId="8699" xr:uid="{00000000-0005-0000-0000-0000E9250000}"/>
    <cellStyle name="Euro 4 16" xfId="8700" xr:uid="{00000000-0005-0000-0000-0000EA250000}"/>
    <cellStyle name="Euro 4 17" xfId="8701" xr:uid="{00000000-0005-0000-0000-0000EB250000}"/>
    <cellStyle name="Euro 4 18" xfId="8702" xr:uid="{00000000-0005-0000-0000-0000EC250000}"/>
    <cellStyle name="Euro 4 19" xfId="8703" xr:uid="{00000000-0005-0000-0000-0000ED250000}"/>
    <cellStyle name="Euro 4 2" xfId="139" xr:uid="{00000000-0005-0000-0000-0000EE250000}"/>
    <cellStyle name="Euro 4 2 2" xfId="27089" xr:uid="{00000000-0005-0000-0000-0000EF250000}"/>
    <cellStyle name="Euro 4 20" xfId="8704" xr:uid="{00000000-0005-0000-0000-0000F0250000}"/>
    <cellStyle name="Euro 4 21" xfId="8705" xr:uid="{00000000-0005-0000-0000-0000F1250000}"/>
    <cellStyle name="Euro 4 3" xfId="8706" xr:uid="{00000000-0005-0000-0000-0000F2250000}"/>
    <cellStyle name="Euro 4 4" xfId="8707" xr:uid="{00000000-0005-0000-0000-0000F3250000}"/>
    <cellStyle name="Euro 4 5" xfId="8708" xr:uid="{00000000-0005-0000-0000-0000F4250000}"/>
    <cellStyle name="Euro 4 6" xfId="8709" xr:uid="{00000000-0005-0000-0000-0000F5250000}"/>
    <cellStyle name="Euro 4 7" xfId="8710" xr:uid="{00000000-0005-0000-0000-0000F6250000}"/>
    <cellStyle name="Euro 4 7 2" xfId="8711" xr:uid="{00000000-0005-0000-0000-0000F7250000}"/>
    <cellStyle name="Euro 4 7 3" xfId="8712" xr:uid="{00000000-0005-0000-0000-0000F8250000}"/>
    <cellStyle name="Euro 4 7 4" xfId="8713" xr:uid="{00000000-0005-0000-0000-0000F9250000}"/>
    <cellStyle name="Euro 4 8" xfId="8714" xr:uid="{00000000-0005-0000-0000-0000FA250000}"/>
    <cellStyle name="Euro 4 8 10" xfId="8715" xr:uid="{00000000-0005-0000-0000-0000FB250000}"/>
    <cellStyle name="Euro 4 8 11" xfId="8716" xr:uid="{00000000-0005-0000-0000-0000FC250000}"/>
    <cellStyle name="Euro 4 8 12" xfId="8717" xr:uid="{00000000-0005-0000-0000-0000FD250000}"/>
    <cellStyle name="Euro 4 8 13" xfId="8718" xr:uid="{00000000-0005-0000-0000-0000FE250000}"/>
    <cellStyle name="Euro 4 8 14" xfId="8719" xr:uid="{00000000-0005-0000-0000-0000FF250000}"/>
    <cellStyle name="Euro 4 8 15" xfId="8720" xr:uid="{00000000-0005-0000-0000-000000260000}"/>
    <cellStyle name="Euro 4 8 16" xfId="8721" xr:uid="{00000000-0005-0000-0000-000001260000}"/>
    <cellStyle name="Euro 4 8 17" xfId="8722" xr:uid="{00000000-0005-0000-0000-000002260000}"/>
    <cellStyle name="Euro 4 8 18" xfId="8723" xr:uid="{00000000-0005-0000-0000-000003260000}"/>
    <cellStyle name="Euro 4 8 19" xfId="8724" xr:uid="{00000000-0005-0000-0000-000004260000}"/>
    <cellStyle name="Euro 4 8 2" xfId="8725" xr:uid="{00000000-0005-0000-0000-000005260000}"/>
    <cellStyle name="Euro 4 8 2 10" xfId="8726" xr:uid="{00000000-0005-0000-0000-000006260000}"/>
    <cellStyle name="Euro 4 8 2 11" xfId="8727" xr:uid="{00000000-0005-0000-0000-000007260000}"/>
    <cellStyle name="Euro 4 8 2 12" xfId="8728" xr:uid="{00000000-0005-0000-0000-000008260000}"/>
    <cellStyle name="Euro 4 8 2 13" xfId="8729" xr:uid="{00000000-0005-0000-0000-000009260000}"/>
    <cellStyle name="Euro 4 8 2 14" xfId="8730" xr:uid="{00000000-0005-0000-0000-00000A260000}"/>
    <cellStyle name="Euro 4 8 2 15" xfId="8731" xr:uid="{00000000-0005-0000-0000-00000B260000}"/>
    <cellStyle name="Euro 4 8 2 16" xfId="8732" xr:uid="{00000000-0005-0000-0000-00000C260000}"/>
    <cellStyle name="Euro 4 8 2 17" xfId="8733" xr:uid="{00000000-0005-0000-0000-00000D260000}"/>
    <cellStyle name="Euro 4 8 2 18" xfId="8734" xr:uid="{00000000-0005-0000-0000-00000E260000}"/>
    <cellStyle name="Euro 4 8 2 19" xfId="8735" xr:uid="{00000000-0005-0000-0000-00000F260000}"/>
    <cellStyle name="Euro 4 8 2 2" xfId="8736" xr:uid="{00000000-0005-0000-0000-000010260000}"/>
    <cellStyle name="Euro 4 8 2 20" xfId="8737" xr:uid="{00000000-0005-0000-0000-000011260000}"/>
    <cellStyle name="Euro 4 8 2 21" xfId="8738" xr:uid="{00000000-0005-0000-0000-000012260000}"/>
    <cellStyle name="Euro 4 8 2 3" xfId="8739" xr:uid="{00000000-0005-0000-0000-000013260000}"/>
    <cellStyle name="Euro 4 8 2 4" xfId="8740" xr:uid="{00000000-0005-0000-0000-000014260000}"/>
    <cellStyle name="Euro 4 8 2 5" xfId="8741" xr:uid="{00000000-0005-0000-0000-000015260000}"/>
    <cellStyle name="Euro 4 8 2 6" xfId="8742" xr:uid="{00000000-0005-0000-0000-000016260000}"/>
    <cellStyle name="Euro 4 8 2 7" xfId="8743" xr:uid="{00000000-0005-0000-0000-000017260000}"/>
    <cellStyle name="Euro 4 8 2 8" xfId="8744" xr:uid="{00000000-0005-0000-0000-000018260000}"/>
    <cellStyle name="Euro 4 8 2 9" xfId="8745" xr:uid="{00000000-0005-0000-0000-000019260000}"/>
    <cellStyle name="Euro 4 8 20" xfId="8746" xr:uid="{00000000-0005-0000-0000-00001A260000}"/>
    <cellStyle name="Euro 4 8 21" xfId="8747" xr:uid="{00000000-0005-0000-0000-00001B260000}"/>
    <cellStyle name="Euro 4 8 22" xfId="8748" xr:uid="{00000000-0005-0000-0000-00001C260000}"/>
    <cellStyle name="Euro 4 8 23" xfId="8749" xr:uid="{00000000-0005-0000-0000-00001D260000}"/>
    <cellStyle name="Euro 4 8 24" xfId="8750" xr:uid="{00000000-0005-0000-0000-00001E260000}"/>
    <cellStyle name="Euro 4 8 25" xfId="8751" xr:uid="{00000000-0005-0000-0000-00001F260000}"/>
    <cellStyle name="Euro 4 8 26" xfId="8752" xr:uid="{00000000-0005-0000-0000-000020260000}"/>
    <cellStyle name="Euro 4 8 27" xfId="8753" xr:uid="{00000000-0005-0000-0000-000021260000}"/>
    <cellStyle name="Euro 4 8 28" xfId="8754" xr:uid="{00000000-0005-0000-0000-000022260000}"/>
    <cellStyle name="Euro 4 8 29" xfId="8755" xr:uid="{00000000-0005-0000-0000-000023260000}"/>
    <cellStyle name="Euro 4 8 3" xfId="8756" xr:uid="{00000000-0005-0000-0000-000024260000}"/>
    <cellStyle name="Euro 4 8 30" xfId="8757" xr:uid="{00000000-0005-0000-0000-000025260000}"/>
    <cellStyle name="Euro 4 8 31" xfId="8758" xr:uid="{00000000-0005-0000-0000-000026260000}"/>
    <cellStyle name="Euro 4 8 32" xfId="8759" xr:uid="{00000000-0005-0000-0000-000027260000}"/>
    <cellStyle name="Euro 4 8 33" xfId="8760" xr:uid="{00000000-0005-0000-0000-000028260000}"/>
    <cellStyle name="Euro 4 8 34" xfId="8761" xr:uid="{00000000-0005-0000-0000-000029260000}"/>
    <cellStyle name="Euro 4 8 4" xfId="8762" xr:uid="{00000000-0005-0000-0000-00002A260000}"/>
    <cellStyle name="Euro 4 8 4 2" xfId="8763" xr:uid="{00000000-0005-0000-0000-00002B260000}"/>
    <cellStyle name="Euro 4 8 4 3" xfId="8764" xr:uid="{00000000-0005-0000-0000-00002C260000}"/>
    <cellStyle name="Euro 4 8 4 4" xfId="8765" xr:uid="{00000000-0005-0000-0000-00002D260000}"/>
    <cellStyle name="Euro 4 8 5" xfId="8766" xr:uid="{00000000-0005-0000-0000-00002E260000}"/>
    <cellStyle name="Euro 4 8 6" xfId="8767" xr:uid="{00000000-0005-0000-0000-00002F260000}"/>
    <cellStyle name="Euro 4 8 7" xfId="8768" xr:uid="{00000000-0005-0000-0000-000030260000}"/>
    <cellStyle name="Euro 4 8 8" xfId="8769" xr:uid="{00000000-0005-0000-0000-000031260000}"/>
    <cellStyle name="Euro 4 8 9" xfId="8770" xr:uid="{00000000-0005-0000-0000-000032260000}"/>
    <cellStyle name="Euro 4 9" xfId="8771" xr:uid="{00000000-0005-0000-0000-000033260000}"/>
    <cellStyle name="Euro 5" xfId="140" xr:uid="{00000000-0005-0000-0000-000034260000}"/>
    <cellStyle name="Euro 5 10" xfId="8772" xr:uid="{00000000-0005-0000-0000-000035260000}"/>
    <cellStyle name="Euro 5 11" xfId="8773" xr:uid="{00000000-0005-0000-0000-000036260000}"/>
    <cellStyle name="Euro 5 12" xfId="8774" xr:uid="{00000000-0005-0000-0000-000037260000}"/>
    <cellStyle name="Euro 5 13" xfId="8775" xr:uid="{00000000-0005-0000-0000-000038260000}"/>
    <cellStyle name="Euro 5 14" xfId="8776" xr:uid="{00000000-0005-0000-0000-000039260000}"/>
    <cellStyle name="Euro 5 15" xfId="8777" xr:uid="{00000000-0005-0000-0000-00003A260000}"/>
    <cellStyle name="Euro 5 16" xfId="27086" xr:uid="{00000000-0005-0000-0000-00003B260000}"/>
    <cellStyle name="Euro 5 2" xfId="8778" xr:uid="{00000000-0005-0000-0000-00003C260000}"/>
    <cellStyle name="Euro 5 2 10" xfId="8779" xr:uid="{00000000-0005-0000-0000-00003D260000}"/>
    <cellStyle name="Euro 5 2 11" xfId="8780" xr:uid="{00000000-0005-0000-0000-00003E260000}"/>
    <cellStyle name="Euro 5 2 12" xfId="8781" xr:uid="{00000000-0005-0000-0000-00003F260000}"/>
    <cellStyle name="Euro 5 2 13" xfId="8782" xr:uid="{00000000-0005-0000-0000-000040260000}"/>
    <cellStyle name="Euro 5 2 2" xfId="8783" xr:uid="{00000000-0005-0000-0000-000041260000}"/>
    <cellStyle name="Euro 5 2 3" xfId="8784" xr:uid="{00000000-0005-0000-0000-000042260000}"/>
    <cellStyle name="Euro 5 2 4" xfId="8785" xr:uid="{00000000-0005-0000-0000-000043260000}"/>
    <cellStyle name="Euro 5 2 5" xfId="8786" xr:uid="{00000000-0005-0000-0000-000044260000}"/>
    <cellStyle name="Euro 5 2 6" xfId="8787" xr:uid="{00000000-0005-0000-0000-000045260000}"/>
    <cellStyle name="Euro 5 2 7" xfId="8788" xr:uid="{00000000-0005-0000-0000-000046260000}"/>
    <cellStyle name="Euro 5 2 8" xfId="8789" xr:uid="{00000000-0005-0000-0000-000047260000}"/>
    <cellStyle name="Euro 5 2 9" xfId="8790" xr:uid="{00000000-0005-0000-0000-000048260000}"/>
    <cellStyle name="Euro 5 3" xfId="8791" xr:uid="{00000000-0005-0000-0000-000049260000}"/>
    <cellStyle name="Euro 5 4" xfId="8792" xr:uid="{00000000-0005-0000-0000-00004A260000}"/>
    <cellStyle name="Euro 5 5" xfId="8793" xr:uid="{00000000-0005-0000-0000-00004B260000}"/>
    <cellStyle name="Euro 5 6" xfId="8794" xr:uid="{00000000-0005-0000-0000-00004C260000}"/>
    <cellStyle name="Euro 5 7" xfId="8795" xr:uid="{00000000-0005-0000-0000-00004D260000}"/>
    <cellStyle name="Euro 5 8" xfId="8796" xr:uid="{00000000-0005-0000-0000-00004E260000}"/>
    <cellStyle name="Euro 5 9" xfId="8797" xr:uid="{00000000-0005-0000-0000-00004F260000}"/>
    <cellStyle name="Euro 6" xfId="8798" xr:uid="{00000000-0005-0000-0000-000050260000}"/>
    <cellStyle name="Euro 6 10" xfId="8799" xr:uid="{00000000-0005-0000-0000-000051260000}"/>
    <cellStyle name="Euro 6 11" xfId="8800" xr:uid="{00000000-0005-0000-0000-000052260000}"/>
    <cellStyle name="Euro 6 12" xfId="8801" xr:uid="{00000000-0005-0000-0000-000053260000}"/>
    <cellStyle name="Euro 6 13" xfId="8802" xr:uid="{00000000-0005-0000-0000-000054260000}"/>
    <cellStyle name="Euro 6 14" xfId="8803" xr:uid="{00000000-0005-0000-0000-000055260000}"/>
    <cellStyle name="Euro 6 15" xfId="8804" xr:uid="{00000000-0005-0000-0000-000056260000}"/>
    <cellStyle name="Euro 6 16" xfId="8805" xr:uid="{00000000-0005-0000-0000-000057260000}"/>
    <cellStyle name="Euro 6 17" xfId="8806" xr:uid="{00000000-0005-0000-0000-000058260000}"/>
    <cellStyle name="Euro 6 18" xfId="8807" xr:uid="{00000000-0005-0000-0000-000059260000}"/>
    <cellStyle name="Euro 6 19" xfId="8808" xr:uid="{00000000-0005-0000-0000-00005A260000}"/>
    <cellStyle name="Euro 6 2" xfId="8809" xr:uid="{00000000-0005-0000-0000-00005B260000}"/>
    <cellStyle name="Euro 6 20" xfId="8810" xr:uid="{00000000-0005-0000-0000-00005C260000}"/>
    <cellStyle name="Euro 6 21" xfId="8811" xr:uid="{00000000-0005-0000-0000-00005D260000}"/>
    <cellStyle name="Euro 6 3" xfId="8812" xr:uid="{00000000-0005-0000-0000-00005E260000}"/>
    <cellStyle name="Euro 6 4" xfId="8813" xr:uid="{00000000-0005-0000-0000-00005F260000}"/>
    <cellStyle name="Euro 6 5" xfId="8814" xr:uid="{00000000-0005-0000-0000-000060260000}"/>
    <cellStyle name="Euro 6 6" xfId="8815" xr:uid="{00000000-0005-0000-0000-000061260000}"/>
    <cellStyle name="Euro 6 7" xfId="8816" xr:uid="{00000000-0005-0000-0000-000062260000}"/>
    <cellStyle name="Euro 6 7 2" xfId="8817" xr:uid="{00000000-0005-0000-0000-000063260000}"/>
    <cellStyle name="Euro 6 7 3" xfId="8818" xr:uid="{00000000-0005-0000-0000-000064260000}"/>
    <cellStyle name="Euro 6 7 4" xfId="8819" xr:uid="{00000000-0005-0000-0000-000065260000}"/>
    <cellStyle name="Euro 6 8" xfId="8820" xr:uid="{00000000-0005-0000-0000-000066260000}"/>
    <cellStyle name="Euro 6 8 10" xfId="8821" xr:uid="{00000000-0005-0000-0000-000067260000}"/>
    <cellStyle name="Euro 6 8 11" xfId="8822" xr:uid="{00000000-0005-0000-0000-000068260000}"/>
    <cellStyle name="Euro 6 8 12" xfId="8823" xr:uid="{00000000-0005-0000-0000-000069260000}"/>
    <cellStyle name="Euro 6 8 13" xfId="8824" xr:uid="{00000000-0005-0000-0000-00006A260000}"/>
    <cellStyle name="Euro 6 8 14" xfId="8825" xr:uid="{00000000-0005-0000-0000-00006B260000}"/>
    <cellStyle name="Euro 6 8 15" xfId="8826" xr:uid="{00000000-0005-0000-0000-00006C260000}"/>
    <cellStyle name="Euro 6 8 16" xfId="8827" xr:uid="{00000000-0005-0000-0000-00006D260000}"/>
    <cellStyle name="Euro 6 8 17" xfId="8828" xr:uid="{00000000-0005-0000-0000-00006E260000}"/>
    <cellStyle name="Euro 6 8 18" xfId="8829" xr:uid="{00000000-0005-0000-0000-00006F260000}"/>
    <cellStyle name="Euro 6 8 19" xfId="8830" xr:uid="{00000000-0005-0000-0000-000070260000}"/>
    <cellStyle name="Euro 6 8 2" xfId="8831" xr:uid="{00000000-0005-0000-0000-000071260000}"/>
    <cellStyle name="Euro 6 8 2 10" xfId="8832" xr:uid="{00000000-0005-0000-0000-000072260000}"/>
    <cellStyle name="Euro 6 8 2 11" xfId="8833" xr:uid="{00000000-0005-0000-0000-000073260000}"/>
    <cellStyle name="Euro 6 8 2 12" xfId="8834" xr:uid="{00000000-0005-0000-0000-000074260000}"/>
    <cellStyle name="Euro 6 8 2 13" xfId="8835" xr:uid="{00000000-0005-0000-0000-000075260000}"/>
    <cellStyle name="Euro 6 8 2 14" xfId="8836" xr:uid="{00000000-0005-0000-0000-000076260000}"/>
    <cellStyle name="Euro 6 8 2 15" xfId="8837" xr:uid="{00000000-0005-0000-0000-000077260000}"/>
    <cellStyle name="Euro 6 8 2 16" xfId="8838" xr:uid="{00000000-0005-0000-0000-000078260000}"/>
    <cellStyle name="Euro 6 8 2 17" xfId="8839" xr:uid="{00000000-0005-0000-0000-000079260000}"/>
    <cellStyle name="Euro 6 8 2 18" xfId="8840" xr:uid="{00000000-0005-0000-0000-00007A260000}"/>
    <cellStyle name="Euro 6 8 2 19" xfId="8841" xr:uid="{00000000-0005-0000-0000-00007B260000}"/>
    <cellStyle name="Euro 6 8 2 2" xfId="8842" xr:uid="{00000000-0005-0000-0000-00007C260000}"/>
    <cellStyle name="Euro 6 8 2 20" xfId="8843" xr:uid="{00000000-0005-0000-0000-00007D260000}"/>
    <cellStyle name="Euro 6 8 2 21" xfId="8844" xr:uid="{00000000-0005-0000-0000-00007E260000}"/>
    <cellStyle name="Euro 6 8 2 3" xfId="8845" xr:uid="{00000000-0005-0000-0000-00007F260000}"/>
    <cellStyle name="Euro 6 8 2 4" xfId="8846" xr:uid="{00000000-0005-0000-0000-000080260000}"/>
    <cellStyle name="Euro 6 8 2 5" xfId="8847" xr:uid="{00000000-0005-0000-0000-000081260000}"/>
    <cellStyle name="Euro 6 8 2 6" xfId="8848" xr:uid="{00000000-0005-0000-0000-000082260000}"/>
    <cellStyle name="Euro 6 8 2 7" xfId="8849" xr:uid="{00000000-0005-0000-0000-000083260000}"/>
    <cellStyle name="Euro 6 8 2 8" xfId="8850" xr:uid="{00000000-0005-0000-0000-000084260000}"/>
    <cellStyle name="Euro 6 8 2 9" xfId="8851" xr:uid="{00000000-0005-0000-0000-000085260000}"/>
    <cellStyle name="Euro 6 8 20" xfId="8852" xr:uid="{00000000-0005-0000-0000-000086260000}"/>
    <cellStyle name="Euro 6 8 21" xfId="8853" xr:uid="{00000000-0005-0000-0000-000087260000}"/>
    <cellStyle name="Euro 6 8 22" xfId="8854" xr:uid="{00000000-0005-0000-0000-000088260000}"/>
    <cellStyle name="Euro 6 8 23" xfId="8855" xr:uid="{00000000-0005-0000-0000-000089260000}"/>
    <cellStyle name="Euro 6 8 24" xfId="8856" xr:uid="{00000000-0005-0000-0000-00008A260000}"/>
    <cellStyle name="Euro 6 8 25" xfId="8857" xr:uid="{00000000-0005-0000-0000-00008B260000}"/>
    <cellStyle name="Euro 6 8 26" xfId="8858" xr:uid="{00000000-0005-0000-0000-00008C260000}"/>
    <cellStyle name="Euro 6 8 27" xfId="8859" xr:uid="{00000000-0005-0000-0000-00008D260000}"/>
    <cellStyle name="Euro 6 8 28" xfId="8860" xr:uid="{00000000-0005-0000-0000-00008E260000}"/>
    <cellStyle name="Euro 6 8 29" xfId="8861" xr:uid="{00000000-0005-0000-0000-00008F260000}"/>
    <cellStyle name="Euro 6 8 3" xfId="8862" xr:uid="{00000000-0005-0000-0000-000090260000}"/>
    <cellStyle name="Euro 6 8 30" xfId="8863" xr:uid="{00000000-0005-0000-0000-000091260000}"/>
    <cellStyle name="Euro 6 8 31" xfId="8864" xr:uid="{00000000-0005-0000-0000-000092260000}"/>
    <cellStyle name="Euro 6 8 32" xfId="8865" xr:uid="{00000000-0005-0000-0000-000093260000}"/>
    <cellStyle name="Euro 6 8 33" xfId="8866" xr:uid="{00000000-0005-0000-0000-000094260000}"/>
    <cellStyle name="Euro 6 8 34" xfId="8867" xr:uid="{00000000-0005-0000-0000-000095260000}"/>
    <cellStyle name="Euro 6 8 4" xfId="8868" xr:uid="{00000000-0005-0000-0000-000096260000}"/>
    <cellStyle name="Euro 6 8 4 2" xfId="8869" xr:uid="{00000000-0005-0000-0000-000097260000}"/>
    <cellStyle name="Euro 6 8 4 3" xfId="8870" xr:uid="{00000000-0005-0000-0000-000098260000}"/>
    <cellStyle name="Euro 6 8 4 4" xfId="8871" xr:uid="{00000000-0005-0000-0000-000099260000}"/>
    <cellStyle name="Euro 6 8 5" xfId="8872" xr:uid="{00000000-0005-0000-0000-00009A260000}"/>
    <cellStyle name="Euro 6 8 6" xfId="8873" xr:uid="{00000000-0005-0000-0000-00009B260000}"/>
    <cellStyle name="Euro 6 8 7" xfId="8874" xr:uid="{00000000-0005-0000-0000-00009C260000}"/>
    <cellStyle name="Euro 6 8 8" xfId="8875" xr:uid="{00000000-0005-0000-0000-00009D260000}"/>
    <cellStyle name="Euro 6 8 9" xfId="8876" xr:uid="{00000000-0005-0000-0000-00009E260000}"/>
    <cellStyle name="Euro 6 9" xfId="8877" xr:uid="{00000000-0005-0000-0000-00009F260000}"/>
    <cellStyle name="Euro 7" xfId="8878" xr:uid="{00000000-0005-0000-0000-0000A0260000}"/>
    <cellStyle name="Euro 7 10" xfId="8879" xr:uid="{00000000-0005-0000-0000-0000A1260000}"/>
    <cellStyle name="Euro 7 11" xfId="8880" xr:uid="{00000000-0005-0000-0000-0000A2260000}"/>
    <cellStyle name="Euro 7 12" xfId="8881" xr:uid="{00000000-0005-0000-0000-0000A3260000}"/>
    <cellStyle name="Euro 7 13" xfId="8882" xr:uid="{00000000-0005-0000-0000-0000A4260000}"/>
    <cellStyle name="Euro 7 14" xfId="8883" xr:uid="{00000000-0005-0000-0000-0000A5260000}"/>
    <cellStyle name="Euro 7 15" xfId="8884" xr:uid="{00000000-0005-0000-0000-0000A6260000}"/>
    <cellStyle name="Euro 7 16" xfId="8885" xr:uid="{00000000-0005-0000-0000-0000A7260000}"/>
    <cellStyle name="Euro 7 17" xfId="8886" xr:uid="{00000000-0005-0000-0000-0000A8260000}"/>
    <cellStyle name="Euro 7 18" xfId="8887" xr:uid="{00000000-0005-0000-0000-0000A9260000}"/>
    <cellStyle name="Euro 7 19" xfId="8888" xr:uid="{00000000-0005-0000-0000-0000AA260000}"/>
    <cellStyle name="Euro 7 2" xfId="8889" xr:uid="{00000000-0005-0000-0000-0000AB260000}"/>
    <cellStyle name="Euro 7 20" xfId="8890" xr:uid="{00000000-0005-0000-0000-0000AC260000}"/>
    <cellStyle name="Euro 7 21" xfId="8891" xr:uid="{00000000-0005-0000-0000-0000AD260000}"/>
    <cellStyle name="Euro 7 3" xfId="8892" xr:uid="{00000000-0005-0000-0000-0000AE260000}"/>
    <cellStyle name="Euro 7 4" xfId="8893" xr:uid="{00000000-0005-0000-0000-0000AF260000}"/>
    <cellStyle name="Euro 7 5" xfId="8894" xr:uid="{00000000-0005-0000-0000-0000B0260000}"/>
    <cellStyle name="Euro 7 6" xfId="8895" xr:uid="{00000000-0005-0000-0000-0000B1260000}"/>
    <cellStyle name="Euro 7 7" xfId="8896" xr:uid="{00000000-0005-0000-0000-0000B2260000}"/>
    <cellStyle name="Euro 7 7 2" xfId="8897" xr:uid="{00000000-0005-0000-0000-0000B3260000}"/>
    <cellStyle name="Euro 7 7 3" xfId="8898" xr:uid="{00000000-0005-0000-0000-0000B4260000}"/>
    <cellStyle name="Euro 7 7 4" xfId="8899" xr:uid="{00000000-0005-0000-0000-0000B5260000}"/>
    <cellStyle name="Euro 7 8" xfId="8900" xr:uid="{00000000-0005-0000-0000-0000B6260000}"/>
    <cellStyle name="Euro 7 8 10" xfId="8901" xr:uid="{00000000-0005-0000-0000-0000B7260000}"/>
    <cellStyle name="Euro 7 8 11" xfId="8902" xr:uid="{00000000-0005-0000-0000-0000B8260000}"/>
    <cellStyle name="Euro 7 8 12" xfId="8903" xr:uid="{00000000-0005-0000-0000-0000B9260000}"/>
    <cellStyle name="Euro 7 8 13" xfId="8904" xr:uid="{00000000-0005-0000-0000-0000BA260000}"/>
    <cellStyle name="Euro 7 8 14" xfId="8905" xr:uid="{00000000-0005-0000-0000-0000BB260000}"/>
    <cellStyle name="Euro 7 8 15" xfId="8906" xr:uid="{00000000-0005-0000-0000-0000BC260000}"/>
    <cellStyle name="Euro 7 8 16" xfId="8907" xr:uid="{00000000-0005-0000-0000-0000BD260000}"/>
    <cellStyle name="Euro 7 8 17" xfId="8908" xr:uid="{00000000-0005-0000-0000-0000BE260000}"/>
    <cellStyle name="Euro 7 8 18" xfId="8909" xr:uid="{00000000-0005-0000-0000-0000BF260000}"/>
    <cellStyle name="Euro 7 8 19" xfId="8910" xr:uid="{00000000-0005-0000-0000-0000C0260000}"/>
    <cellStyle name="Euro 7 8 2" xfId="8911" xr:uid="{00000000-0005-0000-0000-0000C1260000}"/>
    <cellStyle name="Euro 7 8 2 10" xfId="8912" xr:uid="{00000000-0005-0000-0000-0000C2260000}"/>
    <cellStyle name="Euro 7 8 2 11" xfId="8913" xr:uid="{00000000-0005-0000-0000-0000C3260000}"/>
    <cellStyle name="Euro 7 8 2 12" xfId="8914" xr:uid="{00000000-0005-0000-0000-0000C4260000}"/>
    <cellStyle name="Euro 7 8 2 13" xfId="8915" xr:uid="{00000000-0005-0000-0000-0000C5260000}"/>
    <cellStyle name="Euro 7 8 2 14" xfId="8916" xr:uid="{00000000-0005-0000-0000-0000C6260000}"/>
    <cellStyle name="Euro 7 8 2 15" xfId="8917" xr:uid="{00000000-0005-0000-0000-0000C7260000}"/>
    <cellStyle name="Euro 7 8 2 16" xfId="8918" xr:uid="{00000000-0005-0000-0000-0000C8260000}"/>
    <cellStyle name="Euro 7 8 2 17" xfId="8919" xr:uid="{00000000-0005-0000-0000-0000C9260000}"/>
    <cellStyle name="Euro 7 8 2 18" xfId="8920" xr:uid="{00000000-0005-0000-0000-0000CA260000}"/>
    <cellStyle name="Euro 7 8 2 19" xfId="8921" xr:uid="{00000000-0005-0000-0000-0000CB260000}"/>
    <cellStyle name="Euro 7 8 2 2" xfId="8922" xr:uid="{00000000-0005-0000-0000-0000CC260000}"/>
    <cellStyle name="Euro 7 8 2 20" xfId="8923" xr:uid="{00000000-0005-0000-0000-0000CD260000}"/>
    <cellStyle name="Euro 7 8 2 21" xfId="8924" xr:uid="{00000000-0005-0000-0000-0000CE260000}"/>
    <cellStyle name="Euro 7 8 2 3" xfId="8925" xr:uid="{00000000-0005-0000-0000-0000CF260000}"/>
    <cellStyle name="Euro 7 8 2 4" xfId="8926" xr:uid="{00000000-0005-0000-0000-0000D0260000}"/>
    <cellStyle name="Euro 7 8 2 5" xfId="8927" xr:uid="{00000000-0005-0000-0000-0000D1260000}"/>
    <cellStyle name="Euro 7 8 2 6" xfId="8928" xr:uid="{00000000-0005-0000-0000-0000D2260000}"/>
    <cellStyle name="Euro 7 8 2 7" xfId="8929" xr:uid="{00000000-0005-0000-0000-0000D3260000}"/>
    <cellStyle name="Euro 7 8 2 8" xfId="8930" xr:uid="{00000000-0005-0000-0000-0000D4260000}"/>
    <cellStyle name="Euro 7 8 2 9" xfId="8931" xr:uid="{00000000-0005-0000-0000-0000D5260000}"/>
    <cellStyle name="Euro 7 8 20" xfId="8932" xr:uid="{00000000-0005-0000-0000-0000D6260000}"/>
    <cellStyle name="Euro 7 8 21" xfId="8933" xr:uid="{00000000-0005-0000-0000-0000D7260000}"/>
    <cellStyle name="Euro 7 8 22" xfId="8934" xr:uid="{00000000-0005-0000-0000-0000D8260000}"/>
    <cellStyle name="Euro 7 8 23" xfId="8935" xr:uid="{00000000-0005-0000-0000-0000D9260000}"/>
    <cellStyle name="Euro 7 8 24" xfId="8936" xr:uid="{00000000-0005-0000-0000-0000DA260000}"/>
    <cellStyle name="Euro 7 8 25" xfId="8937" xr:uid="{00000000-0005-0000-0000-0000DB260000}"/>
    <cellStyle name="Euro 7 8 26" xfId="8938" xr:uid="{00000000-0005-0000-0000-0000DC260000}"/>
    <cellStyle name="Euro 7 8 27" xfId="8939" xr:uid="{00000000-0005-0000-0000-0000DD260000}"/>
    <cellStyle name="Euro 7 8 28" xfId="8940" xr:uid="{00000000-0005-0000-0000-0000DE260000}"/>
    <cellStyle name="Euro 7 8 29" xfId="8941" xr:uid="{00000000-0005-0000-0000-0000DF260000}"/>
    <cellStyle name="Euro 7 8 3" xfId="8942" xr:uid="{00000000-0005-0000-0000-0000E0260000}"/>
    <cellStyle name="Euro 7 8 30" xfId="8943" xr:uid="{00000000-0005-0000-0000-0000E1260000}"/>
    <cellStyle name="Euro 7 8 31" xfId="8944" xr:uid="{00000000-0005-0000-0000-0000E2260000}"/>
    <cellStyle name="Euro 7 8 32" xfId="8945" xr:uid="{00000000-0005-0000-0000-0000E3260000}"/>
    <cellStyle name="Euro 7 8 33" xfId="8946" xr:uid="{00000000-0005-0000-0000-0000E4260000}"/>
    <cellStyle name="Euro 7 8 34" xfId="8947" xr:uid="{00000000-0005-0000-0000-0000E5260000}"/>
    <cellStyle name="Euro 7 8 4" xfId="8948" xr:uid="{00000000-0005-0000-0000-0000E6260000}"/>
    <cellStyle name="Euro 7 8 4 2" xfId="8949" xr:uid="{00000000-0005-0000-0000-0000E7260000}"/>
    <cellStyle name="Euro 7 8 4 3" xfId="8950" xr:uid="{00000000-0005-0000-0000-0000E8260000}"/>
    <cellStyle name="Euro 7 8 4 4" xfId="8951" xr:uid="{00000000-0005-0000-0000-0000E9260000}"/>
    <cellStyle name="Euro 7 8 5" xfId="8952" xr:uid="{00000000-0005-0000-0000-0000EA260000}"/>
    <cellStyle name="Euro 7 8 6" xfId="8953" xr:uid="{00000000-0005-0000-0000-0000EB260000}"/>
    <cellStyle name="Euro 7 8 7" xfId="8954" xr:uid="{00000000-0005-0000-0000-0000EC260000}"/>
    <cellStyle name="Euro 7 8 8" xfId="8955" xr:uid="{00000000-0005-0000-0000-0000ED260000}"/>
    <cellStyle name="Euro 7 8 9" xfId="8956" xr:uid="{00000000-0005-0000-0000-0000EE260000}"/>
    <cellStyle name="Euro 7 9" xfId="8957" xr:uid="{00000000-0005-0000-0000-0000EF260000}"/>
    <cellStyle name="Euro 8" xfId="8958" xr:uid="{00000000-0005-0000-0000-0000F0260000}"/>
    <cellStyle name="Euro 9" xfId="8959" xr:uid="{00000000-0005-0000-0000-0000F1260000}"/>
    <cellStyle name="Euro_2008 - Planilha Medição EAS Casco-002 OUT08" xfId="8960" xr:uid="{00000000-0005-0000-0000-0000F2260000}"/>
    <cellStyle name="Explanatory Text" xfId="141" xr:uid="{00000000-0005-0000-0000-0000F3260000}"/>
    <cellStyle name="Explanatory Text 2" xfId="8961" xr:uid="{00000000-0005-0000-0000-0000F4260000}"/>
    <cellStyle name="Explanatory Text 3" xfId="8962" xr:uid="{00000000-0005-0000-0000-0000F5260000}"/>
    <cellStyle name="EY House" xfId="8963" xr:uid="{00000000-0005-0000-0000-0000F6260000}"/>
    <cellStyle name="Fixed" xfId="8964" xr:uid="{00000000-0005-0000-0000-0000F7260000}"/>
    <cellStyle name="Fixo" xfId="8965" xr:uid="{00000000-0005-0000-0000-0000F8260000}"/>
    <cellStyle name="Followed Hyperlink_0331longsht" xfId="142" xr:uid="{00000000-0005-0000-0000-0000F9260000}"/>
    <cellStyle name="Footnote" xfId="143" xr:uid="{00000000-0005-0000-0000-0000FA260000}"/>
    <cellStyle name="Footnote 2" xfId="8966" xr:uid="{00000000-0005-0000-0000-0000FB260000}"/>
    <cellStyle name="fundoentrada" xfId="8967" xr:uid="{00000000-0005-0000-0000-0000FC260000}"/>
    <cellStyle name="Good" xfId="144" xr:uid="{00000000-0005-0000-0000-0000FD260000}"/>
    <cellStyle name="Good 2" xfId="8969" xr:uid="{00000000-0005-0000-0000-0000FE260000}"/>
    <cellStyle name="Good 2 2" xfId="25829" xr:uid="{00000000-0005-0000-0000-0000FF260000}"/>
    <cellStyle name="Good 2 3" xfId="25828" xr:uid="{00000000-0005-0000-0000-000000270000}"/>
    <cellStyle name="Good 3" xfId="8970" xr:uid="{00000000-0005-0000-0000-000001270000}"/>
    <cellStyle name="Good 4" xfId="8968" xr:uid="{00000000-0005-0000-0000-000002270000}"/>
    <cellStyle name="Green" xfId="8971" xr:uid="{00000000-0005-0000-0000-000003270000}"/>
    <cellStyle name="Grey" xfId="8972" xr:uid="{00000000-0005-0000-0000-000004270000}"/>
    <cellStyle name="Hard Percent" xfId="145" xr:uid="{00000000-0005-0000-0000-000005270000}"/>
    <cellStyle name="Header" xfId="146" xr:uid="{00000000-0005-0000-0000-000006270000}"/>
    <cellStyle name="Header 2" xfId="8973" xr:uid="{00000000-0005-0000-0000-000007270000}"/>
    <cellStyle name="Header1" xfId="8974" xr:uid="{00000000-0005-0000-0000-000008270000}"/>
    <cellStyle name="Header2" xfId="8975" xr:uid="{00000000-0005-0000-0000-000009270000}"/>
    <cellStyle name="Header2 2" xfId="24989" xr:uid="{00000000-0005-0000-0000-00000A270000}"/>
    <cellStyle name="Heading" xfId="8976" xr:uid="{00000000-0005-0000-0000-00000B270000}"/>
    <cellStyle name="Heading 1" xfId="147" xr:uid="{00000000-0005-0000-0000-00000C270000}"/>
    <cellStyle name="Heading 1 2" xfId="8978" xr:uid="{00000000-0005-0000-0000-00000D270000}"/>
    <cellStyle name="Heading 1 2 2" xfId="25831" xr:uid="{00000000-0005-0000-0000-00000E270000}"/>
    <cellStyle name="Heading 1 2 3" xfId="25830" xr:uid="{00000000-0005-0000-0000-00000F270000}"/>
    <cellStyle name="Heading 1 3" xfId="8979" xr:uid="{00000000-0005-0000-0000-000010270000}"/>
    <cellStyle name="Heading 1 4" xfId="8977" xr:uid="{00000000-0005-0000-0000-000011270000}"/>
    <cellStyle name="Heading 2" xfId="148" xr:uid="{00000000-0005-0000-0000-000012270000}"/>
    <cellStyle name="Heading 2 2" xfId="149" xr:uid="{00000000-0005-0000-0000-000013270000}"/>
    <cellStyle name="Heading 2 2 2" xfId="25833" xr:uid="{00000000-0005-0000-0000-000014270000}"/>
    <cellStyle name="Heading 2 2 3" xfId="25832" xr:uid="{00000000-0005-0000-0000-000015270000}"/>
    <cellStyle name="Heading 2 3" xfId="8981" xr:uid="{00000000-0005-0000-0000-000016270000}"/>
    <cellStyle name="Heading 2 4" xfId="8980" xr:uid="{00000000-0005-0000-0000-000017270000}"/>
    <cellStyle name="Heading 3" xfId="150" xr:uid="{00000000-0005-0000-0000-000018270000}"/>
    <cellStyle name="Heading 3 2" xfId="151" xr:uid="{00000000-0005-0000-0000-000019270000}"/>
    <cellStyle name="Heading 3 2 2" xfId="8983" xr:uid="{00000000-0005-0000-0000-00001A270000}"/>
    <cellStyle name="Heading 3 2 2 2" xfId="25835" xr:uid="{00000000-0005-0000-0000-00001B270000}"/>
    <cellStyle name="Heading 3 2 3" xfId="25834" xr:uid="{00000000-0005-0000-0000-00001C270000}"/>
    <cellStyle name="Heading 3 3" xfId="8984" xr:uid="{00000000-0005-0000-0000-00001D270000}"/>
    <cellStyle name="Heading 3 3 2" xfId="25836" xr:uid="{00000000-0005-0000-0000-00001E270000}"/>
    <cellStyle name="Heading 3 4" xfId="8982" xr:uid="{00000000-0005-0000-0000-00001F270000}"/>
    <cellStyle name="Heading 4" xfId="152" xr:uid="{00000000-0005-0000-0000-000020270000}"/>
    <cellStyle name="Heading 4 2" xfId="8986" xr:uid="{00000000-0005-0000-0000-000021270000}"/>
    <cellStyle name="Heading 4 2 2" xfId="25838" xr:uid="{00000000-0005-0000-0000-000022270000}"/>
    <cellStyle name="Heading 4 2 3" xfId="25837" xr:uid="{00000000-0005-0000-0000-000023270000}"/>
    <cellStyle name="Heading 4 3" xfId="8987" xr:uid="{00000000-0005-0000-0000-000024270000}"/>
    <cellStyle name="Heading 4 4" xfId="8985" xr:uid="{00000000-0005-0000-0000-000025270000}"/>
    <cellStyle name="Heading1" xfId="8988" xr:uid="{00000000-0005-0000-0000-000026270000}"/>
    <cellStyle name="Heading2" xfId="8989" xr:uid="{00000000-0005-0000-0000-000027270000}"/>
    <cellStyle name="Hipervínculo" xfId="8990" xr:uid="{00000000-0005-0000-0000-000028270000}"/>
    <cellStyle name="Hyperlink 2" xfId="8991" xr:uid="{00000000-0005-0000-0000-000029270000}"/>
    <cellStyle name="Hyperlink 2 2" xfId="8992" xr:uid="{00000000-0005-0000-0000-00002A270000}"/>
    <cellStyle name="Hyperlink 2 3" xfId="8993" xr:uid="{00000000-0005-0000-0000-00002B270000}"/>
    <cellStyle name="Imput [4]" xfId="8994" xr:uid="{00000000-0005-0000-0000-00002C270000}"/>
    <cellStyle name="Incorrecto" xfId="153" xr:uid="{00000000-0005-0000-0000-00002D270000}"/>
    <cellStyle name="Incorrecto 2" xfId="8995" xr:uid="{00000000-0005-0000-0000-00002E270000}"/>
    <cellStyle name="Incorreto 2" xfId="8996" xr:uid="{00000000-0005-0000-0000-000030270000}"/>
    <cellStyle name="Incorreto 2 2" xfId="8997" xr:uid="{00000000-0005-0000-0000-000031270000}"/>
    <cellStyle name="Incorreto 2 3" xfId="8998" xr:uid="{00000000-0005-0000-0000-000032270000}"/>
    <cellStyle name="Incorreto 2 4" xfId="8999" xr:uid="{00000000-0005-0000-0000-000033270000}"/>
    <cellStyle name="Incorreto 2 5" xfId="9000" xr:uid="{00000000-0005-0000-0000-000034270000}"/>
    <cellStyle name="Incorreto 2 6" xfId="25839" xr:uid="{00000000-0005-0000-0000-000035270000}"/>
    <cellStyle name="Incorreto 3" xfId="9001" xr:uid="{00000000-0005-0000-0000-000036270000}"/>
    <cellStyle name="Incorreto 3 2" xfId="9002" xr:uid="{00000000-0005-0000-0000-000037270000}"/>
    <cellStyle name="Incorreto 3 2 2" xfId="25841" xr:uid="{00000000-0005-0000-0000-000038270000}"/>
    <cellStyle name="Incorreto 3 3" xfId="9003" xr:uid="{00000000-0005-0000-0000-000039270000}"/>
    <cellStyle name="Incorreto 3 4" xfId="9004" xr:uid="{00000000-0005-0000-0000-00003A270000}"/>
    <cellStyle name="Incorreto 3 5" xfId="9005" xr:uid="{00000000-0005-0000-0000-00003B270000}"/>
    <cellStyle name="Incorreto 3 6" xfId="25840" xr:uid="{00000000-0005-0000-0000-00003C270000}"/>
    <cellStyle name="Incorreto 4" xfId="9006" xr:uid="{00000000-0005-0000-0000-00003D270000}"/>
    <cellStyle name="Incorreto 4 2" xfId="9007" xr:uid="{00000000-0005-0000-0000-00003E270000}"/>
    <cellStyle name="Incorreto 4 3" xfId="9008" xr:uid="{00000000-0005-0000-0000-00003F270000}"/>
    <cellStyle name="Incorreto 4 4" xfId="9009" xr:uid="{00000000-0005-0000-0000-000040270000}"/>
    <cellStyle name="Incorreto 4 5" xfId="9010" xr:uid="{00000000-0005-0000-0000-000041270000}"/>
    <cellStyle name="Incorreto 5" xfId="9011" xr:uid="{00000000-0005-0000-0000-000042270000}"/>
    <cellStyle name="Incorreto 5 2" xfId="25842" xr:uid="{00000000-0005-0000-0000-000043270000}"/>
    <cellStyle name="Incorreto 6" xfId="9012" xr:uid="{00000000-0005-0000-0000-000044270000}"/>
    <cellStyle name="Incorreto 7" xfId="9013" xr:uid="{00000000-0005-0000-0000-000045270000}"/>
    <cellStyle name="Indefinido" xfId="9014" xr:uid="{00000000-0005-0000-0000-000046270000}"/>
    <cellStyle name="Input" xfId="155" xr:uid="{00000000-0005-0000-0000-000047270000}"/>
    <cellStyle name="Input [yellow]" xfId="9016" xr:uid="{00000000-0005-0000-0000-000048270000}"/>
    <cellStyle name="Input 10" xfId="24630" xr:uid="{00000000-0005-0000-0000-000049270000}"/>
    <cellStyle name="Input 10 2" xfId="32639" xr:uid="{5F2B6C71-454D-47EA-9076-C39D5CD6755E}"/>
    <cellStyle name="Input 11" xfId="24991" xr:uid="{00000000-0005-0000-0000-00004A270000}"/>
    <cellStyle name="Input 12" xfId="25014" xr:uid="{00000000-0005-0000-0000-00004B270000}"/>
    <cellStyle name="Input 13" xfId="24990" xr:uid="{00000000-0005-0000-0000-00004C270000}"/>
    <cellStyle name="Input 14" xfId="25013" xr:uid="{00000000-0005-0000-0000-00004D270000}"/>
    <cellStyle name="Input 15" xfId="24992" xr:uid="{00000000-0005-0000-0000-00004E270000}"/>
    <cellStyle name="Input 16" xfId="25012" xr:uid="{00000000-0005-0000-0000-00004F270000}"/>
    <cellStyle name="Input 17" xfId="24993" xr:uid="{00000000-0005-0000-0000-000050270000}"/>
    <cellStyle name="Input 18" xfId="25011" xr:uid="{00000000-0005-0000-0000-000051270000}"/>
    <cellStyle name="Input 19" xfId="24994" xr:uid="{00000000-0005-0000-0000-000052270000}"/>
    <cellStyle name="Input 2" xfId="156" xr:uid="{00000000-0005-0000-0000-000053270000}"/>
    <cellStyle name="Input 2 2" xfId="9018" xr:uid="{00000000-0005-0000-0000-000054270000}"/>
    <cellStyle name="Input 2 2 2" xfId="24632" xr:uid="{00000000-0005-0000-0000-000055270000}"/>
    <cellStyle name="Input 2 2 2 2" xfId="32641" xr:uid="{48969B05-594A-4166-A0AA-8AD5E957F2E8}"/>
    <cellStyle name="Input 2 2 3" xfId="25844" xr:uid="{00000000-0005-0000-0000-000056270000}"/>
    <cellStyle name="Input 2 3" xfId="9017" xr:uid="{00000000-0005-0000-0000-000057270000}"/>
    <cellStyle name="Input 2 4" xfId="24631" xr:uid="{00000000-0005-0000-0000-000058270000}"/>
    <cellStyle name="Input 2 4 2" xfId="32640" xr:uid="{F1179A3E-2AD5-4CE2-9198-3C49D1F6BD77}"/>
    <cellStyle name="Input 2 5" xfId="25843" xr:uid="{00000000-0005-0000-0000-000059270000}"/>
    <cellStyle name="Input 20" xfId="25010" xr:uid="{00000000-0005-0000-0000-00005A270000}"/>
    <cellStyle name="Input 21" xfId="24995" xr:uid="{00000000-0005-0000-0000-00005B270000}"/>
    <cellStyle name="Input 22" xfId="25009" xr:uid="{00000000-0005-0000-0000-00005C270000}"/>
    <cellStyle name="Input 23" xfId="24996" xr:uid="{00000000-0005-0000-0000-00005D270000}"/>
    <cellStyle name="Input 24" xfId="25008" xr:uid="{00000000-0005-0000-0000-00005E270000}"/>
    <cellStyle name="Input 25" xfId="24997" xr:uid="{00000000-0005-0000-0000-00005F270000}"/>
    <cellStyle name="Input 26" xfId="25007" xr:uid="{00000000-0005-0000-0000-000060270000}"/>
    <cellStyle name="Input 27" xfId="24998" xr:uid="{00000000-0005-0000-0000-000061270000}"/>
    <cellStyle name="Input 28" xfId="25006" xr:uid="{00000000-0005-0000-0000-000062270000}"/>
    <cellStyle name="Input 29" xfId="24999" xr:uid="{00000000-0005-0000-0000-000063270000}"/>
    <cellStyle name="Input 3" xfId="9019" xr:uid="{00000000-0005-0000-0000-000064270000}"/>
    <cellStyle name="Input 3 2" xfId="9020" xr:uid="{00000000-0005-0000-0000-000065270000}"/>
    <cellStyle name="Input 3 2 2" xfId="24634" xr:uid="{00000000-0005-0000-0000-000066270000}"/>
    <cellStyle name="Input 3 2 2 2" xfId="32643" xr:uid="{903CE007-3726-4750-A2F5-5614FEE3A636}"/>
    <cellStyle name="Input 3 3" xfId="24633" xr:uid="{00000000-0005-0000-0000-000067270000}"/>
    <cellStyle name="Input 3 3 2" xfId="32642" xr:uid="{4AAE3EDD-E430-4F77-90FF-B1503CF66865}"/>
    <cellStyle name="Input 3 4" xfId="25845" xr:uid="{00000000-0005-0000-0000-000068270000}"/>
    <cellStyle name="Input 30" xfId="25005" xr:uid="{00000000-0005-0000-0000-000069270000}"/>
    <cellStyle name="Input 31" xfId="25000" xr:uid="{00000000-0005-0000-0000-00006A270000}"/>
    <cellStyle name="Input 32" xfId="25004" xr:uid="{00000000-0005-0000-0000-00006B270000}"/>
    <cellStyle name="Input 33" xfId="25001" xr:uid="{00000000-0005-0000-0000-00006C270000}"/>
    <cellStyle name="Input 34" xfId="25003" xr:uid="{00000000-0005-0000-0000-00006D270000}"/>
    <cellStyle name="Input 35" xfId="25002" xr:uid="{00000000-0005-0000-0000-00006E270000}"/>
    <cellStyle name="Input 4" xfId="9021" xr:uid="{00000000-0005-0000-0000-00006F270000}"/>
    <cellStyle name="Input 4 2" xfId="9022" xr:uid="{00000000-0005-0000-0000-000070270000}"/>
    <cellStyle name="Input 4 2 2" xfId="24636" xr:uid="{00000000-0005-0000-0000-000071270000}"/>
    <cellStyle name="Input 4 2 2 2" xfId="32645" xr:uid="{E1DAF0BD-7451-4D56-8548-785B4A5E1EEE}"/>
    <cellStyle name="Input 4 3" xfId="24635" xr:uid="{00000000-0005-0000-0000-000072270000}"/>
    <cellStyle name="Input 4 3 2" xfId="32644" xr:uid="{3C1A4D09-E8C5-432E-93F8-E38FD9FCB819}"/>
    <cellStyle name="Input 5" xfId="9023" xr:uid="{00000000-0005-0000-0000-000073270000}"/>
    <cellStyle name="Input 5 2" xfId="9024" xr:uid="{00000000-0005-0000-0000-000074270000}"/>
    <cellStyle name="Input 5 2 2" xfId="24638" xr:uid="{00000000-0005-0000-0000-000075270000}"/>
    <cellStyle name="Input 5 2 2 2" xfId="32647" xr:uid="{810F7DD4-4E1A-46BF-B0A8-4A914B4BD9A8}"/>
    <cellStyle name="Input 5 3" xfId="24637" xr:uid="{00000000-0005-0000-0000-000076270000}"/>
    <cellStyle name="Input 5 3 2" xfId="32646" xr:uid="{C4201B5E-2981-4995-B803-A47D8341ECF9}"/>
    <cellStyle name="Input 6" xfId="9025" xr:uid="{00000000-0005-0000-0000-000077270000}"/>
    <cellStyle name="Input 6 2" xfId="9026" xr:uid="{00000000-0005-0000-0000-000078270000}"/>
    <cellStyle name="Input 6 2 2" xfId="24640" xr:uid="{00000000-0005-0000-0000-000079270000}"/>
    <cellStyle name="Input 6 2 2 2" xfId="32649" xr:uid="{57728937-BEF0-4F02-9D30-120045E3648A}"/>
    <cellStyle name="Input 6 3" xfId="24639" xr:uid="{00000000-0005-0000-0000-00007A270000}"/>
    <cellStyle name="Input 6 3 2" xfId="32648" xr:uid="{43FB3661-CA04-46C9-993D-60A300E74A68}"/>
    <cellStyle name="Input 7" xfId="9027" xr:uid="{00000000-0005-0000-0000-00007B270000}"/>
    <cellStyle name="Input 7 2" xfId="9028" xr:uid="{00000000-0005-0000-0000-00007C270000}"/>
    <cellStyle name="Input 7 2 2" xfId="24642" xr:uid="{00000000-0005-0000-0000-00007D270000}"/>
    <cellStyle name="Input 7 2 2 2" xfId="32651" xr:uid="{297C6D58-BBD5-4430-A9F2-58E18F9A01D9}"/>
    <cellStyle name="Input 7 3" xfId="24641" xr:uid="{00000000-0005-0000-0000-00007E270000}"/>
    <cellStyle name="Input 7 3 2" xfId="32650" xr:uid="{F68B72A2-632A-4D70-9DA8-7E87A4505CAB}"/>
    <cellStyle name="Input 8" xfId="9029" xr:uid="{00000000-0005-0000-0000-00007F270000}"/>
    <cellStyle name="Input 8 2" xfId="24643" xr:uid="{00000000-0005-0000-0000-000080270000}"/>
    <cellStyle name="Input 8 2 2" xfId="32652" xr:uid="{AC076ECD-5D1D-4015-BC16-A46DED602320}"/>
    <cellStyle name="Input 9" xfId="9015" xr:uid="{00000000-0005-0000-0000-000081270000}"/>
    <cellStyle name="JR" xfId="9030" xr:uid="{00000000-0005-0000-0000-000082270000}"/>
    <cellStyle name="JR 10" xfId="9031" xr:uid="{00000000-0005-0000-0000-000083270000}"/>
    <cellStyle name="JR 11" xfId="9032" xr:uid="{00000000-0005-0000-0000-000084270000}"/>
    <cellStyle name="JR 12" xfId="9033" xr:uid="{00000000-0005-0000-0000-000085270000}"/>
    <cellStyle name="JR 2" xfId="9034" xr:uid="{00000000-0005-0000-0000-000086270000}"/>
    <cellStyle name="JR 3" xfId="9035" xr:uid="{00000000-0005-0000-0000-000087270000}"/>
    <cellStyle name="JR 4" xfId="9036" xr:uid="{00000000-0005-0000-0000-000088270000}"/>
    <cellStyle name="JR 5" xfId="9037" xr:uid="{00000000-0005-0000-0000-000089270000}"/>
    <cellStyle name="JR 6" xfId="9038" xr:uid="{00000000-0005-0000-0000-00008A270000}"/>
    <cellStyle name="JR 7" xfId="9039" xr:uid="{00000000-0005-0000-0000-00008B270000}"/>
    <cellStyle name="JR 8" xfId="9040" xr:uid="{00000000-0005-0000-0000-00008C270000}"/>
    <cellStyle name="JR 9" xfId="9041" xr:uid="{00000000-0005-0000-0000-00008D270000}"/>
    <cellStyle name="Linked Cell" xfId="157" xr:uid="{00000000-0005-0000-0000-00008E270000}"/>
    <cellStyle name="Linked Cell 2" xfId="9043" xr:uid="{00000000-0005-0000-0000-00008F270000}"/>
    <cellStyle name="Linked Cell 2 2" xfId="25847" xr:uid="{00000000-0005-0000-0000-000090270000}"/>
    <cellStyle name="Linked Cell 2 3" xfId="25846" xr:uid="{00000000-0005-0000-0000-000091270000}"/>
    <cellStyle name="Linked Cell 3" xfId="9044" xr:uid="{00000000-0005-0000-0000-000092270000}"/>
    <cellStyle name="Linked Cell 4" xfId="9042" xr:uid="{00000000-0005-0000-0000-000093270000}"/>
    <cellStyle name="MacroCode" xfId="9045" xr:uid="{00000000-0005-0000-0000-000094270000}"/>
    <cellStyle name="měny_Business Plan MCE" xfId="9046" xr:uid="{00000000-0005-0000-0000-000095270000}"/>
    <cellStyle name="Mike" xfId="9047" xr:uid="{00000000-0005-0000-0000-000096270000}"/>
    <cellStyle name="Millares_Curvas Investimento EPC28-9-04" xfId="9048" xr:uid="{00000000-0005-0000-0000-000097270000}"/>
    <cellStyle name="Milliers [0]_amortissement" xfId="9049" xr:uid="{00000000-0005-0000-0000-000098270000}"/>
    <cellStyle name="Milliers_amortissement" xfId="9050" xr:uid="{00000000-0005-0000-0000-000099270000}"/>
    <cellStyle name="Moeda 2" xfId="158" xr:uid="{00000000-0005-0000-0000-00009A270000}"/>
    <cellStyle name="Moeda 2 10" xfId="27355" xr:uid="{00000000-0005-0000-0000-00009B270000}"/>
    <cellStyle name="Moeda 2 10 2" xfId="33192" xr:uid="{3C76EA6D-0D30-41EF-B0DB-B03FEA4D99AB}"/>
    <cellStyle name="Moeda 2 11" xfId="27535" xr:uid="{00000000-0005-0000-0000-00009C270000}"/>
    <cellStyle name="Moeda 2 11 2" xfId="33347" xr:uid="{3CEDE449-DD62-4E7C-8173-1A70C7B18D11}"/>
    <cellStyle name="Moeda 2 12" xfId="27685" xr:uid="{00000000-0005-0000-0000-00009D270000}"/>
    <cellStyle name="Moeda 2 12 2" xfId="33496" xr:uid="{A8AF773D-DAAF-41B4-9FF6-C07BC7DD820A}"/>
    <cellStyle name="Moeda 2 2" xfId="159" xr:uid="{00000000-0005-0000-0000-00009E270000}"/>
    <cellStyle name="Moeda 2 2 10" xfId="27806" xr:uid="{00000000-0005-0000-0000-00009F270000}"/>
    <cellStyle name="Moeda 2 2 10 2" xfId="33617" xr:uid="{F267ACE0-24E7-49B4-9A4B-20F14514266C}"/>
    <cellStyle name="Moeda 2 2 2" xfId="9053" xr:uid="{00000000-0005-0000-0000-0000A0270000}"/>
    <cellStyle name="Moeda 2 2 3" xfId="9054" xr:uid="{00000000-0005-0000-0000-0000A1270000}"/>
    <cellStyle name="Moeda 2 2 4" xfId="9055" xr:uid="{00000000-0005-0000-0000-0000A2270000}"/>
    <cellStyle name="Moeda 2 2 5" xfId="9052" xr:uid="{00000000-0005-0000-0000-0000A3270000}"/>
    <cellStyle name="Moeda 2 2 6" xfId="27090" xr:uid="{00000000-0005-0000-0000-0000A4270000}"/>
    <cellStyle name="Moeda 2 2 6 2" xfId="32984" xr:uid="{94659C2B-8302-4B31-9462-12DCBB1D231B}"/>
    <cellStyle name="Moeda 2 2 7" xfId="27308" xr:uid="{00000000-0005-0000-0000-0000A5270000}"/>
    <cellStyle name="Moeda 2 2 7 2" xfId="33146" xr:uid="{E1697EF0-E79C-4705-AF8A-5B6FA7D025FA}"/>
    <cellStyle name="Moeda 2 2 8" xfId="27479" xr:uid="{00000000-0005-0000-0000-0000A6270000}"/>
    <cellStyle name="Moeda 2 2 8 2" xfId="33316" xr:uid="{57ADE5A6-5610-4355-B0BD-BFDE18A838B5}"/>
    <cellStyle name="Moeda 2 2 9" xfId="27649" xr:uid="{00000000-0005-0000-0000-0000A7270000}"/>
    <cellStyle name="Moeda 2 2 9 2" xfId="33460" xr:uid="{E984005C-6F54-4D65-8820-1CFE841728CE}"/>
    <cellStyle name="Moeda 2 3" xfId="9056" xr:uid="{00000000-0005-0000-0000-0000A8270000}"/>
    <cellStyle name="Moeda 2 4" xfId="9057" xr:uid="{00000000-0005-0000-0000-0000A9270000}"/>
    <cellStyle name="Moeda 2 5" xfId="9058" xr:uid="{00000000-0005-0000-0000-0000AA270000}"/>
    <cellStyle name="Moeda 2 6" xfId="9051" xr:uid="{00000000-0005-0000-0000-0000AB270000}"/>
    <cellStyle name="Moeda 2 6 2" xfId="28298" xr:uid="{E77D8AAF-9D8B-4F4A-B933-4F79D342FE5E}"/>
    <cellStyle name="Moeda 2 7" xfId="25848" xr:uid="{00000000-0005-0000-0000-0000AC270000}"/>
    <cellStyle name="Moeda 2 7 2" xfId="32926" xr:uid="{00615C91-19B8-4F3E-90DB-50A6BA254DF5}"/>
    <cellStyle name="Moeda 2 8" xfId="27175" xr:uid="{00000000-0005-0000-0000-0000AD270000}"/>
    <cellStyle name="Moeda 2 8 2" xfId="33018" xr:uid="{0AB47789-0F6F-4104-8A7D-9EF433AC9B93}"/>
    <cellStyle name="Moeda 2 9" xfId="27220" xr:uid="{00000000-0005-0000-0000-0000AE270000}"/>
    <cellStyle name="Moeda 3" xfId="160" xr:uid="{00000000-0005-0000-0000-0000AF270000}"/>
    <cellStyle name="Moeda 3 2" xfId="9060" xr:uid="{00000000-0005-0000-0000-0000B0270000}"/>
    <cellStyle name="Moeda 3 2 2" xfId="25849" xr:uid="{00000000-0005-0000-0000-0000B1270000}"/>
    <cellStyle name="Moeda 3 3" xfId="9061" xr:uid="{00000000-0005-0000-0000-0000B2270000}"/>
    <cellStyle name="Moeda 3 4" xfId="9062" xr:uid="{00000000-0005-0000-0000-0000B3270000}"/>
    <cellStyle name="Moeda 3 5" xfId="9063" xr:uid="{00000000-0005-0000-0000-0000B4270000}"/>
    <cellStyle name="Moeda 3 6" xfId="9059" xr:uid="{00000000-0005-0000-0000-0000B5270000}"/>
    <cellStyle name="Moeda 4" xfId="9064" xr:uid="{00000000-0005-0000-0000-0000B6270000}"/>
    <cellStyle name="Moeda 4 2" xfId="9065" xr:uid="{00000000-0005-0000-0000-0000B7270000}"/>
    <cellStyle name="Moeda 4 3" xfId="9066" xr:uid="{00000000-0005-0000-0000-0000B8270000}"/>
    <cellStyle name="Moeda 5" xfId="27833" xr:uid="{00000000-0005-0000-0000-0000B9270000}"/>
    <cellStyle name="Moeda 5 2" xfId="33644" xr:uid="{677561E9-5529-4E40-919D-9F6CD10CE861}"/>
    <cellStyle name="Moeda0" xfId="9067" xr:uid="{00000000-0005-0000-0000-0000BA270000}"/>
    <cellStyle name="Monétaire [0]_amortissement" xfId="9068" xr:uid="{00000000-0005-0000-0000-0000BB270000}"/>
    <cellStyle name="Monétaire_amortissement" xfId="9069" xr:uid="{00000000-0005-0000-0000-0000BC270000}"/>
    <cellStyle name="Multiple" xfId="161" xr:uid="{00000000-0005-0000-0000-0000BD270000}"/>
    <cellStyle name="Multiple [0]" xfId="9070" xr:uid="{00000000-0005-0000-0000-0000BE270000}"/>
    <cellStyle name="Multiple [1]" xfId="9071" xr:uid="{00000000-0005-0000-0000-0000BF270000}"/>
    <cellStyle name="Multiple [2]" xfId="9072" xr:uid="{00000000-0005-0000-0000-0000C0270000}"/>
    <cellStyle name="Neutra 2" xfId="9073" xr:uid="{00000000-0005-0000-0000-0000C2270000}"/>
    <cellStyle name="Neutra 2 2" xfId="9074" xr:uid="{00000000-0005-0000-0000-0000C3270000}"/>
    <cellStyle name="Neutra 2 2 2" xfId="25851" xr:uid="{00000000-0005-0000-0000-0000C4270000}"/>
    <cellStyle name="Neutra 2 3" xfId="9075" xr:uid="{00000000-0005-0000-0000-0000C5270000}"/>
    <cellStyle name="Neutra 2 4" xfId="9076" xr:uid="{00000000-0005-0000-0000-0000C6270000}"/>
    <cellStyle name="Neutra 2 5" xfId="9077" xr:uid="{00000000-0005-0000-0000-0000C7270000}"/>
    <cellStyle name="Neutra 2 6" xfId="25850" xr:uid="{00000000-0005-0000-0000-0000C8270000}"/>
    <cellStyle name="Neutra 3" xfId="9078" xr:uid="{00000000-0005-0000-0000-0000C9270000}"/>
    <cellStyle name="Neutra 3 2" xfId="9079" xr:uid="{00000000-0005-0000-0000-0000CA270000}"/>
    <cellStyle name="Neutra 3 2 2" xfId="25853" xr:uid="{00000000-0005-0000-0000-0000CB270000}"/>
    <cellStyle name="Neutra 3 3" xfId="9080" xr:uid="{00000000-0005-0000-0000-0000CC270000}"/>
    <cellStyle name="Neutra 3 4" xfId="9081" xr:uid="{00000000-0005-0000-0000-0000CD270000}"/>
    <cellStyle name="Neutra 3 5" xfId="9082" xr:uid="{00000000-0005-0000-0000-0000CE270000}"/>
    <cellStyle name="Neutra 3 6" xfId="25852" xr:uid="{00000000-0005-0000-0000-0000CF270000}"/>
    <cellStyle name="Neutra 4" xfId="9083" xr:uid="{00000000-0005-0000-0000-0000D0270000}"/>
    <cellStyle name="Neutra 4 2" xfId="9084" xr:uid="{00000000-0005-0000-0000-0000D1270000}"/>
    <cellStyle name="Neutra 4 3" xfId="9085" xr:uid="{00000000-0005-0000-0000-0000D2270000}"/>
    <cellStyle name="Neutra 4 4" xfId="9086" xr:uid="{00000000-0005-0000-0000-0000D3270000}"/>
    <cellStyle name="Neutra 4 5" xfId="9087" xr:uid="{00000000-0005-0000-0000-0000D4270000}"/>
    <cellStyle name="Neutra 5" xfId="9088" xr:uid="{00000000-0005-0000-0000-0000D5270000}"/>
    <cellStyle name="Neutra 5 2" xfId="25854" xr:uid="{00000000-0005-0000-0000-0000D6270000}"/>
    <cellStyle name="Neutra 6" xfId="9089" xr:uid="{00000000-0005-0000-0000-0000D7270000}"/>
    <cellStyle name="Neutra 7" xfId="9090" xr:uid="{00000000-0005-0000-0000-0000D8270000}"/>
    <cellStyle name="Neutral" xfId="162" xr:uid="{00000000-0005-0000-0000-0000D9270000}"/>
    <cellStyle name="Neutral 2" xfId="9092" xr:uid="{00000000-0005-0000-0000-0000DA270000}"/>
    <cellStyle name="Neutral 2 2" xfId="25856" xr:uid="{00000000-0005-0000-0000-0000DB270000}"/>
    <cellStyle name="Neutral 2 3" xfId="25855" xr:uid="{00000000-0005-0000-0000-0000DC270000}"/>
    <cellStyle name="Neutral 3" xfId="9093" xr:uid="{00000000-0005-0000-0000-0000DD270000}"/>
    <cellStyle name="Neutral 4" xfId="9091" xr:uid="{00000000-0005-0000-0000-0000DE270000}"/>
    <cellStyle name="Neutro" xfId="163" builtinId="28" customBuiltin="1"/>
    <cellStyle name="No-definido" xfId="9094" xr:uid="{00000000-0005-0000-0000-0000DF270000}"/>
    <cellStyle name="Normal" xfId="0" builtinId="0"/>
    <cellStyle name="Normal - Style1" xfId="164" xr:uid="{00000000-0005-0000-0000-0000E1270000}"/>
    <cellStyle name="Normal 10" xfId="165" xr:uid="{00000000-0005-0000-0000-0000E2270000}"/>
    <cellStyle name="Normal 10 2" xfId="166" xr:uid="{00000000-0005-0000-0000-0000E3270000}"/>
    <cellStyle name="Normal 10 2 2" xfId="167" xr:uid="{00000000-0005-0000-0000-0000E4270000}"/>
    <cellStyle name="Normal 10 2 2 2" xfId="168" xr:uid="{00000000-0005-0000-0000-0000E5270000}"/>
    <cellStyle name="Normal 10 2 2 3" xfId="9097" xr:uid="{00000000-0005-0000-0000-0000E6270000}"/>
    <cellStyle name="Normal 10 2 3" xfId="169" xr:uid="{00000000-0005-0000-0000-0000E7270000}"/>
    <cellStyle name="Normal 10 2 4" xfId="9096" xr:uid="{00000000-0005-0000-0000-0000E8270000}"/>
    <cellStyle name="Normal 10 3" xfId="170" xr:uid="{00000000-0005-0000-0000-0000E9270000}"/>
    <cellStyle name="Normal 10 3 2" xfId="171" xr:uid="{00000000-0005-0000-0000-0000EA270000}"/>
    <cellStyle name="Normal 10 4" xfId="172" xr:uid="{00000000-0005-0000-0000-0000EB270000}"/>
    <cellStyle name="Normal 10 5" xfId="173" xr:uid="{00000000-0005-0000-0000-0000EC270000}"/>
    <cellStyle name="Normal 10 6" xfId="9095" xr:uid="{00000000-0005-0000-0000-0000ED270000}"/>
    <cellStyle name="Normal 100" xfId="24529" xr:uid="{00000000-0005-0000-0000-0000EE270000}"/>
    <cellStyle name="Normal 100 2" xfId="32544" xr:uid="{4F9D4D0D-0F0C-447A-BDBF-AF26EA476E4B}"/>
    <cellStyle name="Normal 101" xfId="24976" xr:uid="{00000000-0005-0000-0000-0000EF270000}"/>
    <cellStyle name="Normal 102" xfId="25028" xr:uid="{00000000-0005-0000-0000-0000F0270000}"/>
    <cellStyle name="Normal 103" xfId="25030" xr:uid="{00000000-0005-0000-0000-0000F1270000}"/>
    <cellStyle name="Normal 104" xfId="25031" xr:uid="{00000000-0005-0000-0000-0000F2270000}"/>
    <cellStyle name="Normal 105" xfId="25032" xr:uid="{00000000-0005-0000-0000-0000F3270000}"/>
    <cellStyle name="Normal 106" xfId="25033" xr:uid="{00000000-0005-0000-0000-0000F4270000}"/>
    <cellStyle name="Normal 107" xfId="25034" xr:uid="{00000000-0005-0000-0000-0000F5270000}"/>
    <cellStyle name="Normal 108" xfId="25035" xr:uid="{00000000-0005-0000-0000-0000F6270000}"/>
    <cellStyle name="Normal 109" xfId="25036" xr:uid="{00000000-0005-0000-0000-0000F7270000}"/>
    <cellStyle name="Normal 11" xfId="174" xr:uid="{00000000-0005-0000-0000-0000F8270000}"/>
    <cellStyle name="Normal 11 2" xfId="175" xr:uid="{00000000-0005-0000-0000-0000F9270000}"/>
    <cellStyle name="Normal 11 2 2" xfId="9099" xr:uid="{00000000-0005-0000-0000-0000FA270000}"/>
    <cellStyle name="Normal 11 2 3" xfId="9100" xr:uid="{00000000-0005-0000-0000-0000FB270000}"/>
    <cellStyle name="Normal 11 3" xfId="176" xr:uid="{00000000-0005-0000-0000-0000FC270000}"/>
    <cellStyle name="Normal 11 3 2" xfId="177" xr:uid="{00000000-0005-0000-0000-0000FD270000}"/>
    <cellStyle name="Normal 11 4" xfId="178" xr:uid="{00000000-0005-0000-0000-0000FE270000}"/>
    <cellStyle name="Normal 11 5" xfId="179" xr:uid="{00000000-0005-0000-0000-0000FF270000}"/>
    <cellStyle name="Normal 11 6" xfId="180" xr:uid="{00000000-0005-0000-0000-000000280000}"/>
    <cellStyle name="Normal 11 7" xfId="181" xr:uid="{00000000-0005-0000-0000-000001280000}"/>
    <cellStyle name="Normal 11 8" xfId="182" xr:uid="{00000000-0005-0000-0000-000002280000}"/>
    <cellStyle name="Normal 11 9" xfId="9098" xr:uid="{00000000-0005-0000-0000-000003280000}"/>
    <cellStyle name="Normal 110" xfId="25037" xr:uid="{00000000-0005-0000-0000-000004280000}"/>
    <cellStyle name="Normal 111" xfId="25038" xr:uid="{00000000-0005-0000-0000-000005280000}"/>
    <cellStyle name="Normal 112" xfId="25039" xr:uid="{00000000-0005-0000-0000-000006280000}"/>
    <cellStyle name="Normal 113" xfId="25040" xr:uid="{00000000-0005-0000-0000-000007280000}"/>
    <cellStyle name="Normal 114" xfId="25041" xr:uid="{00000000-0005-0000-0000-000008280000}"/>
    <cellStyle name="Normal 115" xfId="25042" xr:uid="{00000000-0005-0000-0000-000009280000}"/>
    <cellStyle name="Normal 116" xfId="25043" xr:uid="{00000000-0005-0000-0000-00000A280000}"/>
    <cellStyle name="Normal 117" xfId="25044" xr:uid="{00000000-0005-0000-0000-00000B280000}"/>
    <cellStyle name="Normal 118" xfId="25045" xr:uid="{00000000-0005-0000-0000-00000C280000}"/>
    <cellStyle name="Normal 119" xfId="25046" xr:uid="{00000000-0005-0000-0000-00000D280000}"/>
    <cellStyle name="Normal 12" xfId="183" xr:uid="{00000000-0005-0000-0000-00000E280000}"/>
    <cellStyle name="Normal 12 2" xfId="184" xr:uid="{00000000-0005-0000-0000-00000F280000}"/>
    <cellStyle name="Normal 12 2 2" xfId="185" xr:uid="{00000000-0005-0000-0000-000010280000}"/>
    <cellStyle name="Normal 12 3" xfId="186" xr:uid="{00000000-0005-0000-0000-000011280000}"/>
    <cellStyle name="Normal 12 3 2" xfId="9102" xr:uid="{00000000-0005-0000-0000-000012280000}"/>
    <cellStyle name="Normal 12 4" xfId="9103" xr:uid="{00000000-0005-0000-0000-000013280000}"/>
    <cellStyle name="Normal 12 5" xfId="9101" xr:uid="{00000000-0005-0000-0000-000014280000}"/>
    <cellStyle name="Normal 12 8" xfId="9104" xr:uid="{00000000-0005-0000-0000-000015280000}"/>
    <cellStyle name="Normal 120" xfId="25047" xr:uid="{00000000-0005-0000-0000-000016280000}"/>
    <cellStyle name="Normal 121" xfId="25048" xr:uid="{00000000-0005-0000-0000-000017280000}"/>
    <cellStyle name="Normal 122" xfId="25049" xr:uid="{00000000-0005-0000-0000-000018280000}"/>
    <cellStyle name="Normal 123" xfId="25050" xr:uid="{00000000-0005-0000-0000-000019280000}"/>
    <cellStyle name="Normal 124" xfId="25051" xr:uid="{00000000-0005-0000-0000-00001A280000}"/>
    <cellStyle name="Normal 125" xfId="25052" xr:uid="{00000000-0005-0000-0000-00001B280000}"/>
    <cellStyle name="Normal 126" xfId="25053" xr:uid="{00000000-0005-0000-0000-00001C280000}"/>
    <cellStyle name="Normal 126 2" xfId="32925" xr:uid="{88E67DC0-7603-408F-9A37-9E962DD20510}"/>
    <cellStyle name="Normal 127" xfId="27151" xr:uid="{00000000-0005-0000-0000-00001D280000}"/>
    <cellStyle name="Normal 127 2" xfId="33003" xr:uid="{14CD8E7E-555E-4A58-A683-BA7546650DCA}"/>
    <cellStyle name="Normal 128" xfId="27152" xr:uid="{00000000-0005-0000-0000-00001E280000}"/>
    <cellStyle name="Normal 128 2" xfId="33004" xr:uid="{AB724881-AFCF-420A-AC07-65E99FB83B4C}"/>
    <cellStyle name="Normal 129" xfId="27153" xr:uid="{00000000-0005-0000-0000-00001F280000}"/>
    <cellStyle name="Normal 13" xfId="187" xr:uid="{00000000-0005-0000-0000-000020280000}"/>
    <cellStyle name="Normal 13 2" xfId="188" xr:uid="{00000000-0005-0000-0000-000021280000}"/>
    <cellStyle name="Normal 13 2 2" xfId="189" xr:uid="{00000000-0005-0000-0000-000022280000}"/>
    <cellStyle name="Normal 13 2 3" xfId="9105" xr:uid="{00000000-0005-0000-0000-000023280000}"/>
    <cellStyle name="Normal 13 2 4" xfId="26111" xr:uid="{00000000-0005-0000-0000-000024280000}"/>
    <cellStyle name="Normal 13 3" xfId="190" xr:uid="{00000000-0005-0000-0000-000025280000}"/>
    <cellStyle name="Normal 13 4" xfId="9106" xr:uid="{00000000-0005-0000-0000-000026280000}"/>
    <cellStyle name="Normal 13 5" xfId="9107" xr:uid="{00000000-0005-0000-0000-000027280000}"/>
    <cellStyle name="Normal 13 6" xfId="9108" xr:uid="{00000000-0005-0000-0000-000028280000}"/>
    <cellStyle name="Normal 13 7" xfId="9109" xr:uid="{00000000-0005-0000-0000-000029280000}"/>
    <cellStyle name="Normal 130" xfId="27287" xr:uid="{00000000-0005-0000-0000-00002A280000}"/>
    <cellStyle name="Normal 131" xfId="27291" xr:uid="{00000000-0005-0000-0000-00002B280000}"/>
    <cellStyle name="Normal 132" xfId="27154" xr:uid="{00000000-0005-0000-0000-00002C280000}"/>
    <cellStyle name="Normal 133" xfId="27167" xr:uid="{00000000-0005-0000-0000-00002D280000}"/>
    <cellStyle name="Normal 134" xfId="27174" xr:uid="{00000000-0005-0000-0000-00002E280000}"/>
    <cellStyle name="Normal 135" xfId="27157" xr:uid="{00000000-0005-0000-0000-00002F280000}"/>
    <cellStyle name="Normal 136" xfId="27156" xr:uid="{00000000-0005-0000-0000-000030280000}"/>
    <cellStyle name="Normal 137" xfId="27309" xr:uid="{00000000-0005-0000-0000-000031280000}"/>
    <cellStyle name="Normal 138" xfId="27173" xr:uid="{00000000-0005-0000-0000-000032280000}"/>
    <cellStyle name="Normal 139" xfId="27176" xr:uid="{00000000-0005-0000-0000-000033280000}"/>
    <cellStyle name="Normal 14" xfId="191" xr:uid="{00000000-0005-0000-0000-000034280000}"/>
    <cellStyle name="Normal 14 2" xfId="9111" xr:uid="{00000000-0005-0000-0000-000035280000}"/>
    <cellStyle name="Normal 14 2 2" xfId="9112" xr:uid="{00000000-0005-0000-0000-000036280000}"/>
    <cellStyle name="Normal 14 2 3" xfId="9113" xr:uid="{00000000-0005-0000-0000-000037280000}"/>
    <cellStyle name="Normal 14 3" xfId="9114" xr:uid="{00000000-0005-0000-0000-000038280000}"/>
    <cellStyle name="Normal 14 4" xfId="9115" xr:uid="{00000000-0005-0000-0000-000039280000}"/>
    <cellStyle name="Normal 14 5" xfId="9110" xr:uid="{00000000-0005-0000-0000-00003A280000}"/>
    <cellStyle name="Normal 140" xfId="27172" xr:uid="{00000000-0005-0000-0000-00003B280000}"/>
    <cellStyle name="Normal 141" xfId="27168" xr:uid="{00000000-0005-0000-0000-00003C280000}"/>
    <cellStyle name="Normal 142" xfId="27342" xr:uid="{00000000-0005-0000-0000-00003D280000}"/>
    <cellStyle name="Normal 142 2" xfId="33179" xr:uid="{000E85A9-E26D-4573-B024-02E5BFA2CBCD}"/>
    <cellStyle name="Normal 143" xfId="27466" xr:uid="{00000000-0005-0000-0000-00003E280000}"/>
    <cellStyle name="Normal 143 2" xfId="33303" xr:uid="{86F8C44B-778F-44B6-BC70-690E41917491}"/>
    <cellStyle name="Normal 144" xfId="27474" xr:uid="{00000000-0005-0000-0000-00003F280000}"/>
    <cellStyle name="Normal 144 2" xfId="33311" xr:uid="{FECCE552-D3FD-4E8F-B4AA-8284468C79FA}"/>
    <cellStyle name="Normal 145" xfId="27345" xr:uid="{00000000-0005-0000-0000-000040280000}"/>
    <cellStyle name="Normal 145 2" xfId="33182" xr:uid="{A05172D7-0141-4C68-82D1-1471A8D48E74}"/>
    <cellStyle name="Normal 146" xfId="27356" xr:uid="{00000000-0005-0000-0000-000041280000}"/>
    <cellStyle name="Normal 146 2" xfId="33193" xr:uid="{03FFF40A-4AF9-4123-91C6-E681AB5B2D41}"/>
    <cellStyle name="Normal 147" xfId="27351" xr:uid="{00000000-0005-0000-0000-000042280000}"/>
    <cellStyle name="Normal 147 2" xfId="33188" xr:uid="{393B4F53-1337-4F58-AA39-8A522AF72065}"/>
    <cellStyle name="Normal 148" xfId="27353" xr:uid="{00000000-0005-0000-0000-000043280000}"/>
    <cellStyle name="Normal 148 2" xfId="33190" xr:uid="{7C3AE245-B9D1-4352-BB4D-905D9E8DEA49}"/>
    <cellStyle name="Normal 149" xfId="27352" xr:uid="{00000000-0005-0000-0000-000044280000}"/>
    <cellStyle name="Normal 149 2" xfId="33189" xr:uid="{BF1CE4BD-1260-4C65-8496-B0D44C35172C}"/>
    <cellStyle name="Normal 15" xfId="192" xr:uid="{00000000-0005-0000-0000-000045280000}"/>
    <cellStyle name="Normal 15 2" xfId="193" xr:uid="{00000000-0005-0000-0000-000046280000}"/>
    <cellStyle name="Normal 15 2 2" xfId="9118" xr:uid="{00000000-0005-0000-0000-000047280000}"/>
    <cellStyle name="Normal 15 2 2 2" xfId="9119" xr:uid="{00000000-0005-0000-0000-000048280000}"/>
    <cellStyle name="Normal 15 2 2 2 2" xfId="9120" xr:uid="{00000000-0005-0000-0000-000049280000}"/>
    <cellStyle name="Normal 15 2 2 2 2 2" xfId="9121" xr:uid="{00000000-0005-0000-0000-00004A280000}"/>
    <cellStyle name="Normal 15 2 2 2 2 3" xfId="9122" xr:uid="{00000000-0005-0000-0000-00004B280000}"/>
    <cellStyle name="Normal 15 2 2 2 3" xfId="9123" xr:uid="{00000000-0005-0000-0000-00004C280000}"/>
    <cellStyle name="Normal 15 2 2 2 4" xfId="9124" xr:uid="{00000000-0005-0000-0000-00004D280000}"/>
    <cellStyle name="Normal 15 2 2 3" xfId="9125" xr:uid="{00000000-0005-0000-0000-00004E280000}"/>
    <cellStyle name="Normal 15 2 2 3 2" xfId="9126" xr:uid="{00000000-0005-0000-0000-00004F280000}"/>
    <cellStyle name="Normal 15 2 2 3 2 2" xfId="9127" xr:uid="{00000000-0005-0000-0000-000050280000}"/>
    <cellStyle name="Normal 15 2 2 3 2 3" xfId="9128" xr:uid="{00000000-0005-0000-0000-000051280000}"/>
    <cellStyle name="Normal 15 2 2 3 3" xfId="9129" xr:uid="{00000000-0005-0000-0000-000052280000}"/>
    <cellStyle name="Normal 15 2 2 3 4" xfId="9130" xr:uid="{00000000-0005-0000-0000-000053280000}"/>
    <cellStyle name="Normal 15 2 2 4" xfId="9131" xr:uid="{00000000-0005-0000-0000-000054280000}"/>
    <cellStyle name="Normal 15 2 2 5" xfId="9132" xr:uid="{00000000-0005-0000-0000-000055280000}"/>
    <cellStyle name="Normal 15 2 3" xfId="9133" xr:uid="{00000000-0005-0000-0000-000056280000}"/>
    <cellStyle name="Normal 15 2 4" xfId="9134" xr:uid="{00000000-0005-0000-0000-000057280000}"/>
    <cellStyle name="Normal 15 2 5" xfId="9117" xr:uid="{00000000-0005-0000-0000-000058280000}"/>
    <cellStyle name="Normal 15 3" xfId="194" xr:uid="{00000000-0005-0000-0000-000059280000}"/>
    <cellStyle name="Normal 15 3 2" xfId="9136" xr:uid="{00000000-0005-0000-0000-00005A280000}"/>
    <cellStyle name="Normal 15 3 3" xfId="9137" xr:uid="{00000000-0005-0000-0000-00005B280000}"/>
    <cellStyle name="Normal 15 3 4" xfId="9135" xr:uid="{00000000-0005-0000-0000-00005C280000}"/>
    <cellStyle name="Normal 15 4" xfId="9138" xr:uid="{00000000-0005-0000-0000-00005D280000}"/>
    <cellStyle name="Normal 15 5" xfId="9139" xr:uid="{00000000-0005-0000-0000-00005E280000}"/>
    <cellStyle name="Normal 15 6" xfId="9116" xr:uid="{00000000-0005-0000-0000-00005F280000}"/>
    <cellStyle name="Normal 150" xfId="27469" xr:uid="{00000000-0005-0000-0000-000060280000}"/>
    <cellStyle name="Normal 150 2" xfId="33306" xr:uid="{CE94D698-3C6B-4BD4-82DE-D52435D2AFEB}"/>
    <cellStyle name="Normal 151" xfId="27357" xr:uid="{00000000-0005-0000-0000-000061280000}"/>
    <cellStyle name="Normal 151 2" xfId="33194" xr:uid="{698728A7-048E-4343-A7C6-1591C4194EB4}"/>
    <cellStyle name="Normal 152" xfId="27531" xr:uid="{00000000-0005-0000-0000-000062280000}"/>
    <cellStyle name="Normal 153" xfId="27645" xr:uid="{00000000-0005-0000-0000-000063280000}"/>
    <cellStyle name="Normal 154" xfId="27532" xr:uid="{00000000-0005-0000-0000-000064280000}"/>
    <cellStyle name="Normal 155" xfId="27534" xr:uid="{00000000-0005-0000-0000-000065280000}"/>
    <cellStyle name="Normal 156" xfId="27675" xr:uid="{00000000-0005-0000-0000-000066280000}"/>
    <cellStyle name="Normal 156 2" xfId="33486" xr:uid="{979FAE72-B008-411C-B5DC-B81E121E6554}"/>
    <cellStyle name="Normal 157" xfId="27796" xr:uid="{00000000-0005-0000-0000-000067280000}"/>
    <cellStyle name="Normal 157 2" xfId="33607" xr:uid="{E7B2BD1B-F497-4E48-B18A-A5F0A9878D4F}"/>
    <cellStyle name="Normal 158" xfId="27801" xr:uid="{00000000-0005-0000-0000-000068280000}"/>
    <cellStyle name="Normal 158 2" xfId="33612" xr:uid="{5B03F2C0-A781-46EE-9D13-1CCD1D9DD6D3}"/>
    <cellStyle name="Normal 159" xfId="27799" xr:uid="{00000000-0005-0000-0000-000069280000}"/>
    <cellStyle name="Normal 159 2" xfId="33610" xr:uid="{71415E13-08BA-46F8-8B07-11340F806A97}"/>
    <cellStyle name="Normal 16" xfId="195" xr:uid="{00000000-0005-0000-0000-00006A280000}"/>
    <cellStyle name="Normal 16 2" xfId="9140" xr:uid="{00000000-0005-0000-0000-00006B280000}"/>
    <cellStyle name="Normal 16 2 2" xfId="9141" xr:uid="{00000000-0005-0000-0000-00006C280000}"/>
    <cellStyle name="Normal 16 3" xfId="9142" xr:uid="{00000000-0005-0000-0000-00006D280000}"/>
    <cellStyle name="Normal 16 3 2" xfId="9143" xr:uid="{00000000-0005-0000-0000-00006E280000}"/>
    <cellStyle name="Normal 16 3 3" xfId="9144" xr:uid="{00000000-0005-0000-0000-00006F280000}"/>
    <cellStyle name="Normal 16 4" xfId="9145" xr:uid="{00000000-0005-0000-0000-000070280000}"/>
    <cellStyle name="Normal 160" xfId="27678" xr:uid="{00000000-0005-0000-0000-000071280000}"/>
    <cellStyle name="Normal 160 2" xfId="33489" xr:uid="{06955783-06F5-4A34-B859-98CCFF1E3263}"/>
    <cellStyle name="Normal 161" xfId="27677" xr:uid="{00000000-0005-0000-0000-000072280000}"/>
    <cellStyle name="Normal 161 2" xfId="33488" xr:uid="{1272614B-EF3E-4C71-A3ED-7E255B7DB7C2}"/>
    <cellStyle name="Normal 162" xfId="27800" xr:uid="{00000000-0005-0000-0000-000073280000}"/>
    <cellStyle name="Normal 162 2" xfId="33611" xr:uid="{F8A54E59-62E9-4F15-B599-A7C74D14A40B}"/>
    <cellStyle name="Normal 163" xfId="27684" xr:uid="{00000000-0005-0000-0000-000074280000}"/>
    <cellStyle name="Normal 163 2" xfId="33495" xr:uid="{68363DE9-7D5C-43C2-B20E-7F6EA26B586F}"/>
    <cellStyle name="Normal 164" xfId="27803" xr:uid="{00000000-0005-0000-0000-000075280000}"/>
    <cellStyle name="Normal 164 2" xfId="33614" xr:uid="{A0FC4F88-C4FE-498A-94FE-4B8C4BACD5F7}"/>
    <cellStyle name="Normal 165" xfId="27682" xr:uid="{00000000-0005-0000-0000-000076280000}"/>
    <cellStyle name="Normal 165 2" xfId="33493" xr:uid="{1B2C2ED7-1801-46AD-9EB8-38705E3F4238}"/>
    <cellStyle name="Normal 166" xfId="27681" xr:uid="{00000000-0005-0000-0000-000077280000}"/>
    <cellStyle name="Normal 166 2" xfId="33492" xr:uid="{B6CF1B07-FC23-4F3A-873A-7E69DB04CD1F}"/>
    <cellStyle name="Normal 17" xfId="196" xr:uid="{00000000-0005-0000-0000-000078280000}"/>
    <cellStyle name="Normal 17 2" xfId="9147" xr:uid="{00000000-0005-0000-0000-000079280000}"/>
    <cellStyle name="Normal 17 2 2" xfId="9148" xr:uid="{00000000-0005-0000-0000-00007A280000}"/>
    <cellStyle name="Normal 17 2 3" xfId="9149" xr:uid="{00000000-0005-0000-0000-00007B280000}"/>
    <cellStyle name="Normal 17 3" xfId="9150" xr:uid="{00000000-0005-0000-0000-00007C280000}"/>
    <cellStyle name="Normal 17 4" xfId="9151" xr:uid="{00000000-0005-0000-0000-00007D280000}"/>
    <cellStyle name="Normal 17 5" xfId="9152" xr:uid="{00000000-0005-0000-0000-00007E280000}"/>
    <cellStyle name="Normal 17 6" xfId="9146" xr:uid="{00000000-0005-0000-0000-00007F280000}"/>
    <cellStyle name="Normal 17 7" xfId="26112" xr:uid="{00000000-0005-0000-0000-000080280000}"/>
    <cellStyle name="Normal 18" xfId="197" xr:uid="{00000000-0005-0000-0000-000081280000}"/>
    <cellStyle name="Normal 18 2" xfId="198" xr:uid="{00000000-0005-0000-0000-000082280000}"/>
    <cellStyle name="Normal 18 2 2" xfId="9155" xr:uid="{00000000-0005-0000-0000-000083280000}"/>
    <cellStyle name="Normal 18 2 3" xfId="9156" xr:uid="{00000000-0005-0000-0000-000084280000}"/>
    <cellStyle name="Normal 18 2 4" xfId="9154" xr:uid="{00000000-0005-0000-0000-000085280000}"/>
    <cellStyle name="Normal 18 3" xfId="9157" xr:uid="{00000000-0005-0000-0000-000086280000}"/>
    <cellStyle name="Normal 18 3 2" xfId="9158" xr:uid="{00000000-0005-0000-0000-000087280000}"/>
    <cellStyle name="Normal 18 3 2 2" xfId="9159" xr:uid="{00000000-0005-0000-0000-000088280000}"/>
    <cellStyle name="Normal 18 3 2 3" xfId="9160" xr:uid="{00000000-0005-0000-0000-000089280000}"/>
    <cellStyle name="Normal 18 3 3" xfId="9161" xr:uid="{00000000-0005-0000-0000-00008A280000}"/>
    <cellStyle name="Normal 18 3 3 2" xfId="9162" xr:uid="{00000000-0005-0000-0000-00008B280000}"/>
    <cellStyle name="Normal 18 3 3 2 2" xfId="9163" xr:uid="{00000000-0005-0000-0000-00008C280000}"/>
    <cellStyle name="Normal 18 3 3 2 2 2" xfId="9164" xr:uid="{00000000-0005-0000-0000-00008D280000}"/>
    <cellStyle name="Normal 18 3 3 2 3" xfId="9165" xr:uid="{00000000-0005-0000-0000-00008E280000}"/>
    <cellStyle name="Normal 18 3 3 3" xfId="9166" xr:uid="{00000000-0005-0000-0000-00008F280000}"/>
    <cellStyle name="Normal 18 3 3 3 2" xfId="9167" xr:uid="{00000000-0005-0000-0000-000090280000}"/>
    <cellStyle name="Normal 18 3 3 3 3" xfId="9168" xr:uid="{00000000-0005-0000-0000-000091280000}"/>
    <cellStyle name="Normal 18 3 3 3 4" xfId="9169" xr:uid="{00000000-0005-0000-0000-000092280000}"/>
    <cellStyle name="Normal 18 3 3 3 4 2" xfId="9170" xr:uid="{00000000-0005-0000-0000-000093280000}"/>
    <cellStyle name="Normal 18 3 3 3 5" xfId="9171" xr:uid="{00000000-0005-0000-0000-000094280000}"/>
    <cellStyle name="Normal 18 3 3 3 6" xfId="9172" xr:uid="{00000000-0005-0000-0000-000095280000}"/>
    <cellStyle name="Normal 18 3 3 3 7" xfId="9173" xr:uid="{00000000-0005-0000-0000-000096280000}"/>
    <cellStyle name="Normal 18 3 4" xfId="9174" xr:uid="{00000000-0005-0000-0000-000097280000}"/>
    <cellStyle name="Normal 18 3 5" xfId="9175" xr:uid="{00000000-0005-0000-0000-000098280000}"/>
    <cellStyle name="Normal 18 4" xfId="9176" xr:uid="{00000000-0005-0000-0000-000099280000}"/>
    <cellStyle name="Normal 18 5" xfId="9177" xr:uid="{00000000-0005-0000-0000-00009A280000}"/>
    <cellStyle name="Normal 18 6" xfId="9153" xr:uid="{00000000-0005-0000-0000-00009B280000}"/>
    <cellStyle name="Normal 19" xfId="199" xr:uid="{00000000-0005-0000-0000-00009C280000}"/>
    <cellStyle name="Normal 19 2" xfId="200" xr:uid="{00000000-0005-0000-0000-00009D280000}"/>
    <cellStyle name="Normal 19 2 2" xfId="9180" xr:uid="{00000000-0005-0000-0000-00009E280000}"/>
    <cellStyle name="Normal 19 2 2 2" xfId="9181" xr:uid="{00000000-0005-0000-0000-00009F280000}"/>
    <cellStyle name="Normal 19 2 2 3" xfId="9182" xr:uid="{00000000-0005-0000-0000-0000A0280000}"/>
    <cellStyle name="Normal 19 2 3" xfId="9183" xr:uid="{00000000-0005-0000-0000-0000A1280000}"/>
    <cellStyle name="Normal 19 2 4" xfId="9184" xr:uid="{00000000-0005-0000-0000-0000A2280000}"/>
    <cellStyle name="Normal 19 2 5" xfId="9185" xr:uid="{00000000-0005-0000-0000-0000A3280000}"/>
    <cellStyle name="Normal 19 2 6" xfId="9179" xr:uid="{00000000-0005-0000-0000-0000A4280000}"/>
    <cellStyle name="Normal 19 3" xfId="9186" xr:uid="{00000000-0005-0000-0000-0000A5280000}"/>
    <cellStyle name="Normal 19 4" xfId="9178" xr:uid="{00000000-0005-0000-0000-0000A6280000}"/>
    <cellStyle name="Normal 2" xfId="201" xr:uid="{00000000-0005-0000-0000-0000A7280000}"/>
    <cellStyle name="Normal 2 10" xfId="9187" xr:uid="{00000000-0005-0000-0000-0000A8280000}"/>
    <cellStyle name="Normal 2 10 2" xfId="9188" xr:uid="{00000000-0005-0000-0000-0000A9280000}"/>
    <cellStyle name="Normal 2 10 3" xfId="9189" xr:uid="{00000000-0005-0000-0000-0000AA280000}"/>
    <cellStyle name="Normal 2 10 4" xfId="9190" xr:uid="{00000000-0005-0000-0000-0000AB280000}"/>
    <cellStyle name="Normal 2 10 5" xfId="9191" xr:uid="{00000000-0005-0000-0000-0000AC280000}"/>
    <cellStyle name="Normal 2 10 5 2" xfId="9192" xr:uid="{00000000-0005-0000-0000-0000AD280000}"/>
    <cellStyle name="Normal 2 10 6" xfId="9193" xr:uid="{00000000-0005-0000-0000-0000AE280000}"/>
    <cellStyle name="Normal 2 10 6 2" xfId="9194" xr:uid="{00000000-0005-0000-0000-0000AF280000}"/>
    <cellStyle name="Normal 2 10 7" xfId="9195" xr:uid="{00000000-0005-0000-0000-0000B0280000}"/>
    <cellStyle name="Normal 2 10 7 2" xfId="9196" xr:uid="{00000000-0005-0000-0000-0000B1280000}"/>
    <cellStyle name="Normal 2 10 8" xfId="9197" xr:uid="{00000000-0005-0000-0000-0000B2280000}"/>
    <cellStyle name="Normal 2 10 8 2" xfId="9198" xr:uid="{00000000-0005-0000-0000-0000B3280000}"/>
    <cellStyle name="Normal 2 10 9" xfId="9199" xr:uid="{00000000-0005-0000-0000-0000B4280000}"/>
    <cellStyle name="Normal 2 100" xfId="9200" xr:uid="{00000000-0005-0000-0000-0000B5280000}"/>
    <cellStyle name="Normal 2 101" xfId="9201" xr:uid="{00000000-0005-0000-0000-0000B6280000}"/>
    <cellStyle name="Normal 2 102" xfId="9202" xr:uid="{00000000-0005-0000-0000-0000B7280000}"/>
    <cellStyle name="Normal 2 103" xfId="9203" xr:uid="{00000000-0005-0000-0000-0000B8280000}"/>
    <cellStyle name="Normal 2 104" xfId="9204" xr:uid="{00000000-0005-0000-0000-0000B9280000}"/>
    <cellStyle name="Normal 2 105" xfId="9205" xr:uid="{00000000-0005-0000-0000-0000BA280000}"/>
    <cellStyle name="Normal 2 106" xfId="9206" xr:uid="{00000000-0005-0000-0000-0000BB280000}"/>
    <cellStyle name="Normal 2 107" xfId="9207" xr:uid="{00000000-0005-0000-0000-0000BC280000}"/>
    <cellStyle name="Normal 2 108" xfId="9208" xr:uid="{00000000-0005-0000-0000-0000BD280000}"/>
    <cellStyle name="Normal 2 109" xfId="9209" xr:uid="{00000000-0005-0000-0000-0000BE280000}"/>
    <cellStyle name="Normal 2 11" xfId="9210" xr:uid="{00000000-0005-0000-0000-0000BF280000}"/>
    <cellStyle name="Normal 2 11 2" xfId="9211" xr:uid="{00000000-0005-0000-0000-0000C0280000}"/>
    <cellStyle name="Normal 2 110" xfId="9212" xr:uid="{00000000-0005-0000-0000-0000C1280000}"/>
    <cellStyle name="Normal 2 111" xfId="9213" xr:uid="{00000000-0005-0000-0000-0000C2280000}"/>
    <cellStyle name="Normal 2 112" xfId="9214" xr:uid="{00000000-0005-0000-0000-0000C3280000}"/>
    <cellStyle name="Normal 2 113" xfId="9215" xr:uid="{00000000-0005-0000-0000-0000C4280000}"/>
    <cellStyle name="Normal 2 114" xfId="9216" xr:uid="{00000000-0005-0000-0000-0000C5280000}"/>
    <cellStyle name="Normal 2 115" xfId="9217" xr:uid="{00000000-0005-0000-0000-0000C6280000}"/>
    <cellStyle name="Normal 2 116" xfId="9218" xr:uid="{00000000-0005-0000-0000-0000C7280000}"/>
    <cellStyle name="Normal 2 117" xfId="9219" xr:uid="{00000000-0005-0000-0000-0000C8280000}"/>
    <cellStyle name="Normal 2 118" xfId="9220" xr:uid="{00000000-0005-0000-0000-0000C9280000}"/>
    <cellStyle name="Normal 2 119" xfId="9221" xr:uid="{00000000-0005-0000-0000-0000CA280000}"/>
    <cellStyle name="Normal 2 12" xfId="9222" xr:uid="{00000000-0005-0000-0000-0000CB280000}"/>
    <cellStyle name="Normal 2 12 2" xfId="9223" xr:uid="{00000000-0005-0000-0000-0000CC280000}"/>
    <cellStyle name="Normal 2 12 2 2" xfId="9224" xr:uid="{00000000-0005-0000-0000-0000CD280000}"/>
    <cellStyle name="Normal 2 12 3" xfId="9225" xr:uid="{00000000-0005-0000-0000-0000CE280000}"/>
    <cellStyle name="Normal 2 12 3 2" xfId="9226" xr:uid="{00000000-0005-0000-0000-0000CF280000}"/>
    <cellStyle name="Normal 2 12 4" xfId="9227" xr:uid="{00000000-0005-0000-0000-0000D0280000}"/>
    <cellStyle name="Normal 2 12 4 2" xfId="9228" xr:uid="{00000000-0005-0000-0000-0000D1280000}"/>
    <cellStyle name="Normal 2 12 5" xfId="9229" xr:uid="{00000000-0005-0000-0000-0000D2280000}"/>
    <cellStyle name="Normal 2 12 5 2" xfId="9230" xr:uid="{00000000-0005-0000-0000-0000D3280000}"/>
    <cellStyle name="Normal 2 12 6" xfId="9231" xr:uid="{00000000-0005-0000-0000-0000D4280000}"/>
    <cellStyle name="Normal 2 120" xfId="9232" xr:uid="{00000000-0005-0000-0000-0000D5280000}"/>
    <cellStyle name="Normal 2 121" xfId="9233" xr:uid="{00000000-0005-0000-0000-0000D6280000}"/>
    <cellStyle name="Normal 2 122" xfId="9234" xr:uid="{00000000-0005-0000-0000-0000D7280000}"/>
    <cellStyle name="Normal 2 123" xfId="9235" xr:uid="{00000000-0005-0000-0000-0000D8280000}"/>
    <cellStyle name="Normal 2 124" xfId="9236" xr:uid="{00000000-0005-0000-0000-0000D9280000}"/>
    <cellStyle name="Normal 2 125" xfId="9237" xr:uid="{00000000-0005-0000-0000-0000DA280000}"/>
    <cellStyle name="Normal 2 126" xfId="25857" xr:uid="{00000000-0005-0000-0000-0000DB280000}"/>
    <cellStyle name="Normal 2 13" xfId="9238" xr:uid="{00000000-0005-0000-0000-0000DC280000}"/>
    <cellStyle name="Normal 2 13 2" xfId="9239" xr:uid="{00000000-0005-0000-0000-0000DD280000}"/>
    <cellStyle name="Normal 2 13 2 2" xfId="9240" xr:uid="{00000000-0005-0000-0000-0000DE280000}"/>
    <cellStyle name="Normal 2 13 3" xfId="9241" xr:uid="{00000000-0005-0000-0000-0000DF280000}"/>
    <cellStyle name="Normal 2 13 3 2" xfId="9242" xr:uid="{00000000-0005-0000-0000-0000E0280000}"/>
    <cellStyle name="Normal 2 13 4" xfId="9243" xr:uid="{00000000-0005-0000-0000-0000E1280000}"/>
    <cellStyle name="Normal 2 13 4 2" xfId="9244" xr:uid="{00000000-0005-0000-0000-0000E2280000}"/>
    <cellStyle name="Normal 2 13 5" xfId="9245" xr:uid="{00000000-0005-0000-0000-0000E3280000}"/>
    <cellStyle name="Normal 2 13 5 2" xfId="9246" xr:uid="{00000000-0005-0000-0000-0000E4280000}"/>
    <cellStyle name="Normal 2 13 6" xfId="9247" xr:uid="{00000000-0005-0000-0000-0000E5280000}"/>
    <cellStyle name="Normal 2 14" xfId="9248" xr:uid="{00000000-0005-0000-0000-0000E6280000}"/>
    <cellStyle name="Normal 2 14 2" xfId="9249" xr:uid="{00000000-0005-0000-0000-0000E7280000}"/>
    <cellStyle name="Normal 2 15" xfId="9250" xr:uid="{00000000-0005-0000-0000-0000E8280000}"/>
    <cellStyle name="Normal 2 15 2" xfId="9251" xr:uid="{00000000-0005-0000-0000-0000E9280000}"/>
    <cellStyle name="Normal 2 15 3" xfId="9252" xr:uid="{00000000-0005-0000-0000-0000EA280000}"/>
    <cellStyle name="Normal 2 15 4" xfId="9253" xr:uid="{00000000-0005-0000-0000-0000EB280000}"/>
    <cellStyle name="Normal 2 15 5" xfId="9254" xr:uid="{00000000-0005-0000-0000-0000EC280000}"/>
    <cellStyle name="Normal 2 15 6" xfId="9255" xr:uid="{00000000-0005-0000-0000-0000ED280000}"/>
    <cellStyle name="Normal 2 15 7" xfId="9256" xr:uid="{00000000-0005-0000-0000-0000EE280000}"/>
    <cellStyle name="Normal 2 15 8" xfId="9257" xr:uid="{00000000-0005-0000-0000-0000EF280000}"/>
    <cellStyle name="Normal 2 16" xfId="9258" xr:uid="{00000000-0005-0000-0000-0000F0280000}"/>
    <cellStyle name="Normal 2 17" xfId="9259" xr:uid="{00000000-0005-0000-0000-0000F1280000}"/>
    <cellStyle name="Normal 2 18" xfId="9260" xr:uid="{00000000-0005-0000-0000-0000F2280000}"/>
    <cellStyle name="Normal 2 19" xfId="9261" xr:uid="{00000000-0005-0000-0000-0000F3280000}"/>
    <cellStyle name="Normal 2 2" xfId="202" xr:uid="{00000000-0005-0000-0000-0000F4280000}"/>
    <cellStyle name="Normal 2 2 10" xfId="9262" xr:uid="{00000000-0005-0000-0000-0000F5280000}"/>
    <cellStyle name="Normal 2 2 10 2" xfId="9263" xr:uid="{00000000-0005-0000-0000-0000F6280000}"/>
    <cellStyle name="Normal 2 2 10 3" xfId="9264" xr:uid="{00000000-0005-0000-0000-0000F7280000}"/>
    <cellStyle name="Normal 2 2 100" xfId="9265" xr:uid="{00000000-0005-0000-0000-0000F8280000}"/>
    <cellStyle name="Normal 2 2 101" xfId="9266" xr:uid="{00000000-0005-0000-0000-0000F9280000}"/>
    <cellStyle name="Normal 2 2 102" xfId="9267" xr:uid="{00000000-0005-0000-0000-0000FA280000}"/>
    <cellStyle name="Normal 2 2 103" xfId="25858" xr:uid="{00000000-0005-0000-0000-0000FB280000}"/>
    <cellStyle name="Normal 2 2 11" xfId="9268" xr:uid="{00000000-0005-0000-0000-0000FC280000}"/>
    <cellStyle name="Normal 2 2 11 2" xfId="9269" xr:uid="{00000000-0005-0000-0000-0000FD280000}"/>
    <cellStyle name="Normal 2 2 11 3" xfId="9270" xr:uid="{00000000-0005-0000-0000-0000FE280000}"/>
    <cellStyle name="Normal 2 2 12" xfId="9271" xr:uid="{00000000-0005-0000-0000-0000FF280000}"/>
    <cellStyle name="Normal 2 2 12 2" xfId="9272" xr:uid="{00000000-0005-0000-0000-000000290000}"/>
    <cellStyle name="Normal 2 2 12 2 2" xfId="9273" xr:uid="{00000000-0005-0000-0000-000001290000}"/>
    <cellStyle name="Normal 2 2 12 2 3" xfId="9274" xr:uid="{00000000-0005-0000-0000-000002290000}"/>
    <cellStyle name="Normal 2 2 12 3" xfId="9275" xr:uid="{00000000-0005-0000-0000-000003290000}"/>
    <cellStyle name="Normal 2 2 12 4" xfId="9276" xr:uid="{00000000-0005-0000-0000-000004290000}"/>
    <cellStyle name="Normal 2 2 12 5" xfId="9277" xr:uid="{00000000-0005-0000-0000-000005290000}"/>
    <cellStyle name="Normal 2 2 12 6" xfId="9278" xr:uid="{00000000-0005-0000-0000-000006290000}"/>
    <cellStyle name="Normal 2 2 12 7" xfId="9279" xr:uid="{00000000-0005-0000-0000-000007290000}"/>
    <cellStyle name="Normal 2 2 12 8" xfId="9280" xr:uid="{00000000-0005-0000-0000-000008290000}"/>
    <cellStyle name="Normal 2 2 13" xfId="9281" xr:uid="{00000000-0005-0000-0000-000009290000}"/>
    <cellStyle name="Normal 2 2 13 2" xfId="9282" xr:uid="{00000000-0005-0000-0000-00000A290000}"/>
    <cellStyle name="Normal 2 2 13 2 2" xfId="9283" xr:uid="{00000000-0005-0000-0000-00000B290000}"/>
    <cellStyle name="Normal 2 2 13 2 3" xfId="9284" xr:uid="{00000000-0005-0000-0000-00000C290000}"/>
    <cellStyle name="Normal 2 2 13 3" xfId="9285" xr:uid="{00000000-0005-0000-0000-00000D290000}"/>
    <cellStyle name="Normal 2 2 13 4" xfId="9286" xr:uid="{00000000-0005-0000-0000-00000E290000}"/>
    <cellStyle name="Normal 2 2 13 5" xfId="9287" xr:uid="{00000000-0005-0000-0000-00000F290000}"/>
    <cellStyle name="Normal 2 2 14" xfId="9288" xr:uid="{00000000-0005-0000-0000-000010290000}"/>
    <cellStyle name="Normal 2 2 14 2" xfId="9289" xr:uid="{00000000-0005-0000-0000-000011290000}"/>
    <cellStyle name="Normal 2 2 14 2 2" xfId="9290" xr:uid="{00000000-0005-0000-0000-000012290000}"/>
    <cellStyle name="Normal 2 2 14 2 3" xfId="9291" xr:uid="{00000000-0005-0000-0000-000013290000}"/>
    <cellStyle name="Normal 2 2 14 3" xfId="9292" xr:uid="{00000000-0005-0000-0000-000014290000}"/>
    <cellStyle name="Normal 2 2 14 4" xfId="9293" xr:uid="{00000000-0005-0000-0000-000015290000}"/>
    <cellStyle name="Normal 2 2 14 5" xfId="9294" xr:uid="{00000000-0005-0000-0000-000016290000}"/>
    <cellStyle name="Normal 2 2 15" xfId="9295" xr:uid="{00000000-0005-0000-0000-000017290000}"/>
    <cellStyle name="Normal 2 2 15 2" xfId="9296" xr:uid="{00000000-0005-0000-0000-000018290000}"/>
    <cellStyle name="Normal 2 2 15 2 2" xfId="9297" xr:uid="{00000000-0005-0000-0000-000019290000}"/>
    <cellStyle name="Normal 2 2 15 2 3" xfId="9298" xr:uid="{00000000-0005-0000-0000-00001A290000}"/>
    <cellStyle name="Normal 2 2 15 3" xfId="9299" xr:uid="{00000000-0005-0000-0000-00001B290000}"/>
    <cellStyle name="Normal 2 2 15 4" xfId="9300" xr:uid="{00000000-0005-0000-0000-00001C290000}"/>
    <cellStyle name="Normal 2 2 15 5" xfId="9301" xr:uid="{00000000-0005-0000-0000-00001D290000}"/>
    <cellStyle name="Normal 2 2 16" xfId="9302" xr:uid="{00000000-0005-0000-0000-00001E290000}"/>
    <cellStyle name="Normal 2 2 16 2" xfId="9303" xr:uid="{00000000-0005-0000-0000-00001F290000}"/>
    <cellStyle name="Normal 2 2 16 2 2" xfId="9304" xr:uid="{00000000-0005-0000-0000-000020290000}"/>
    <cellStyle name="Normal 2 2 16 2 3" xfId="9305" xr:uid="{00000000-0005-0000-0000-000021290000}"/>
    <cellStyle name="Normal 2 2 16 3" xfId="9306" xr:uid="{00000000-0005-0000-0000-000022290000}"/>
    <cellStyle name="Normal 2 2 16 4" xfId="9307" xr:uid="{00000000-0005-0000-0000-000023290000}"/>
    <cellStyle name="Normal 2 2 16 5" xfId="9308" xr:uid="{00000000-0005-0000-0000-000024290000}"/>
    <cellStyle name="Normal 2 2 17" xfId="9309" xr:uid="{00000000-0005-0000-0000-000025290000}"/>
    <cellStyle name="Normal 2 2 17 2" xfId="9310" xr:uid="{00000000-0005-0000-0000-000026290000}"/>
    <cellStyle name="Normal 2 2 17 2 2" xfId="9311" xr:uid="{00000000-0005-0000-0000-000027290000}"/>
    <cellStyle name="Normal 2 2 17 2 3" xfId="9312" xr:uid="{00000000-0005-0000-0000-000028290000}"/>
    <cellStyle name="Normal 2 2 17 3" xfId="9313" xr:uid="{00000000-0005-0000-0000-000029290000}"/>
    <cellStyle name="Normal 2 2 17 4" xfId="9314" xr:uid="{00000000-0005-0000-0000-00002A290000}"/>
    <cellStyle name="Normal 2 2 17 5" xfId="9315" xr:uid="{00000000-0005-0000-0000-00002B290000}"/>
    <cellStyle name="Normal 2 2 18" xfId="9316" xr:uid="{00000000-0005-0000-0000-00002C290000}"/>
    <cellStyle name="Normal 2 2 18 2" xfId="9317" xr:uid="{00000000-0005-0000-0000-00002D290000}"/>
    <cellStyle name="Normal 2 2 18 2 2" xfId="9318" xr:uid="{00000000-0005-0000-0000-00002E290000}"/>
    <cellStyle name="Normal 2 2 18 2 3" xfId="9319" xr:uid="{00000000-0005-0000-0000-00002F290000}"/>
    <cellStyle name="Normal 2 2 18 3" xfId="9320" xr:uid="{00000000-0005-0000-0000-000030290000}"/>
    <cellStyle name="Normal 2 2 18 4" xfId="9321" xr:uid="{00000000-0005-0000-0000-000031290000}"/>
    <cellStyle name="Normal 2 2 18 5" xfId="9322" xr:uid="{00000000-0005-0000-0000-000032290000}"/>
    <cellStyle name="Normal 2 2 19" xfId="9323" xr:uid="{00000000-0005-0000-0000-000033290000}"/>
    <cellStyle name="Normal 2 2 19 2" xfId="9324" xr:uid="{00000000-0005-0000-0000-000034290000}"/>
    <cellStyle name="Normal 2 2 19 2 2" xfId="9325" xr:uid="{00000000-0005-0000-0000-000035290000}"/>
    <cellStyle name="Normal 2 2 19 2 3" xfId="9326" xr:uid="{00000000-0005-0000-0000-000036290000}"/>
    <cellStyle name="Normal 2 2 19 3" xfId="9327" xr:uid="{00000000-0005-0000-0000-000037290000}"/>
    <cellStyle name="Normal 2 2 19 4" xfId="9328" xr:uid="{00000000-0005-0000-0000-000038290000}"/>
    <cellStyle name="Normal 2 2 19 5" xfId="9329" xr:uid="{00000000-0005-0000-0000-000039290000}"/>
    <cellStyle name="Normal 2 2 2" xfId="203" xr:uid="{00000000-0005-0000-0000-00003A290000}"/>
    <cellStyle name="Normal 2 2 2 10" xfId="9330" xr:uid="{00000000-0005-0000-0000-00003B290000}"/>
    <cellStyle name="Normal 2 2 2 10 2" xfId="9331" xr:uid="{00000000-0005-0000-0000-00003C290000}"/>
    <cellStyle name="Normal 2 2 2 10 2 2" xfId="9332" xr:uid="{00000000-0005-0000-0000-00003D290000}"/>
    <cellStyle name="Normal 2 2 2 10 2 3" xfId="9333" xr:uid="{00000000-0005-0000-0000-00003E290000}"/>
    <cellStyle name="Normal 2 2 2 10 3" xfId="9334" xr:uid="{00000000-0005-0000-0000-00003F290000}"/>
    <cellStyle name="Normal 2 2 2 10 4" xfId="9335" xr:uid="{00000000-0005-0000-0000-000040290000}"/>
    <cellStyle name="Normal 2 2 2 10 5" xfId="9336" xr:uid="{00000000-0005-0000-0000-000041290000}"/>
    <cellStyle name="Normal 2 2 2 10 6" xfId="9337" xr:uid="{00000000-0005-0000-0000-000042290000}"/>
    <cellStyle name="Normal 2 2 2 10 7" xfId="9338" xr:uid="{00000000-0005-0000-0000-000043290000}"/>
    <cellStyle name="Normal 2 2 2 10 8" xfId="9339" xr:uid="{00000000-0005-0000-0000-000044290000}"/>
    <cellStyle name="Normal 2 2 2 11" xfId="9340" xr:uid="{00000000-0005-0000-0000-000045290000}"/>
    <cellStyle name="Normal 2 2 2 11 2" xfId="9341" xr:uid="{00000000-0005-0000-0000-000046290000}"/>
    <cellStyle name="Normal 2 2 2 11 2 2" xfId="9342" xr:uid="{00000000-0005-0000-0000-000047290000}"/>
    <cellStyle name="Normal 2 2 2 11 2 3" xfId="9343" xr:uid="{00000000-0005-0000-0000-000048290000}"/>
    <cellStyle name="Normal 2 2 2 11 3" xfId="9344" xr:uid="{00000000-0005-0000-0000-000049290000}"/>
    <cellStyle name="Normal 2 2 2 11 4" xfId="9345" xr:uid="{00000000-0005-0000-0000-00004A290000}"/>
    <cellStyle name="Normal 2 2 2 11 5" xfId="9346" xr:uid="{00000000-0005-0000-0000-00004B290000}"/>
    <cellStyle name="Normal 2 2 2 11 6" xfId="9347" xr:uid="{00000000-0005-0000-0000-00004C290000}"/>
    <cellStyle name="Normal 2 2 2 11 7" xfId="9348" xr:uid="{00000000-0005-0000-0000-00004D290000}"/>
    <cellStyle name="Normal 2 2 2 11 8" xfId="9349" xr:uid="{00000000-0005-0000-0000-00004E290000}"/>
    <cellStyle name="Normal 2 2 2 12" xfId="9350" xr:uid="{00000000-0005-0000-0000-00004F290000}"/>
    <cellStyle name="Normal 2 2 2 12 2" xfId="9351" xr:uid="{00000000-0005-0000-0000-000050290000}"/>
    <cellStyle name="Normal 2 2 2 12 2 2" xfId="9352" xr:uid="{00000000-0005-0000-0000-000051290000}"/>
    <cellStyle name="Normal 2 2 2 12 2 3" xfId="9353" xr:uid="{00000000-0005-0000-0000-000052290000}"/>
    <cellStyle name="Normal 2 2 2 12 3" xfId="9354" xr:uid="{00000000-0005-0000-0000-000053290000}"/>
    <cellStyle name="Normal 2 2 2 12 4" xfId="9355" xr:uid="{00000000-0005-0000-0000-000054290000}"/>
    <cellStyle name="Normal 2 2 2 12 5" xfId="9356" xr:uid="{00000000-0005-0000-0000-000055290000}"/>
    <cellStyle name="Normal 2 2 2 13" xfId="9357" xr:uid="{00000000-0005-0000-0000-000056290000}"/>
    <cellStyle name="Normal 2 2 2 13 2" xfId="9358" xr:uid="{00000000-0005-0000-0000-000057290000}"/>
    <cellStyle name="Normal 2 2 2 13 2 2" xfId="9359" xr:uid="{00000000-0005-0000-0000-000058290000}"/>
    <cellStyle name="Normal 2 2 2 13 2 3" xfId="9360" xr:uid="{00000000-0005-0000-0000-000059290000}"/>
    <cellStyle name="Normal 2 2 2 13 3" xfId="9361" xr:uid="{00000000-0005-0000-0000-00005A290000}"/>
    <cellStyle name="Normal 2 2 2 13 4" xfId="9362" xr:uid="{00000000-0005-0000-0000-00005B290000}"/>
    <cellStyle name="Normal 2 2 2 13 5" xfId="9363" xr:uid="{00000000-0005-0000-0000-00005C290000}"/>
    <cellStyle name="Normal 2 2 2 14" xfId="9364" xr:uid="{00000000-0005-0000-0000-00005D290000}"/>
    <cellStyle name="Normal 2 2 2 14 2" xfId="9365" xr:uid="{00000000-0005-0000-0000-00005E290000}"/>
    <cellStyle name="Normal 2 2 2 14 2 2" xfId="9366" xr:uid="{00000000-0005-0000-0000-00005F290000}"/>
    <cellStyle name="Normal 2 2 2 14 2 3" xfId="9367" xr:uid="{00000000-0005-0000-0000-000060290000}"/>
    <cellStyle name="Normal 2 2 2 14 3" xfId="9368" xr:uid="{00000000-0005-0000-0000-000061290000}"/>
    <cellStyle name="Normal 2 2 2 14 4" xfId="9369" xr:uid="{00000000-0005-0000-0000-000062290000}"/>
    <cellStyle name="Normal 2 2 2 14 5" xfId="9370" xr:uid="{00000000-0005-0000-0000-000063290000}"/>
    <cellStyle name="Normal 2 2 2 15" xfId="9371" xr:uid="{00000000-0005-0000-0000-000064290000}"/>
    <cellStyle name="Normal 2 2 2 15 2" xfId="9372" xr:uid="{00000000-0005-0000-0000-000065290000}"/>
    <cellStyle name="Normal 2 2 2 15 2 2" xfId="9373" xr:uid="{00000000-0005-0000-0000-000066290000}"/>
    <cellStyle name="Normal 2 2 2 15 2 3" xfId="9374" xr:uid="{00000000-0005-0000-0000-000067290000}"/>
    <cellStyle name="Normal 2 2 2 15 3" xfId="9375" xr:uid="{00000000-0005-0000-0000-000068290000}"/>
    <cellStyle name="Normal 2 2 2 15 4" xfId="9376" xr:uid="{00000000-0005-0000-0000-000069290000}"/>
    <cellStyle name="Normal 2 2 2 15 5" xfId="9377" xr:uid="{00000000-0005-0000-0000-00006A290000}"/>
    <cellStyle name="Normal 2 2 2 16" xfId="9378" xr:uid="{00000000-0005-0000-0000-00006B290000}"/>
    <cellStyle name="Normal 2 2 2 16 2" xfId="9379" xr:uid="{00000000-0005-0000-0000-00006C290000}"/>
    <cellStyle name="Normal 2 2 2 16 2 2" xfId="9380" xr:uid="{00000000-0005-0000-0000-00006D290000}"/>
    <cellStyle name="Normal 2 2 2 16 2 3" xfId="9381" xr:uid="{00000000-0005-0000-0000-00006E290000}"/>
    <cellStyle name="Normal 2 2 2 16 3" xfId="9382" xr:uid="{00000000-0005-0000-0000-00006F290000}"/>
    <cellStyle name="Normal 2 2 2 16 4" xfId="9383" xr:uid="{00000000-0005-0000-0000-000070290000}"/>
    <cellStyle name="Normal 2 2 2 16 5" xfId="9384" xr:uid="{00000000-0005-0000-0000-000071290000}"/>
    <cellStyle name="Normal 2 2 2 17" xfId="9385" xr:uid="{00000000-0005-0000-0000-000072290000}"/>
    <cellStyle name="Normal 2 2 2 17 2" xfId="9386" xr:uid="{00000000-0005-0000-0000-000073290000}"/>
    <cellStyle name="Normal 2 2 2 17 2 2" xfId="9387" xr:uid="{00000000-0005-0000-0000-000074290000}"/>
    <cellStyle name="Normal 2 2 2 17 2 3" xfId="9388" xr:uid="{00000000-0005-0000-0000-000075290000}"/>
    <cellStyle name="Normal 2 2 2 17 3" xfId="9389" xr:uid="{00000000-0005-0000-0000-000076290000}"/>
    <cellStyle name="Normal 2 2 2 17 4" xfId="9390" xr:uid="{00000000-0005-0000-0000-000077290000}"/>
    <cellStyle name="Normal 2 2 2 17 5" xfId="9391" xr:uid="{00000000-0005-0000-0000-000078290000}"/>
    <cellStyle name="Normal 2 2 2 18" xfId="9392" xr:uid="{00000000-0005-0000-0000-000079290000}"/>
    <cellStyle name="Normal 2 2 2 18 2" xfId="9393" xr:uid="{00000000-0005-0000-0000-00007A290000}"/>
    <cellStyle name="Normal 2 2 2 18 2 2" xfId="9394" xr:uid="{00000000-0005-0000-0000-00007B290000}"/>
    <cellStyle name="Normal 2 2 2 18 2 3" xfId="9395" xr:uid="{00000000-0005-0000-0000-00007C290000}"/>
    <cellStyle name="Normal 2 2 2 18 3" xfId="9396" xr:uid="{00000000-0005-0000-0000-00007D290000}"/>
    <cellStyle name="Normal 2 2 2 18 4" xfId="9397" xr:uid="{00000000-0005-0000-0000-00007E290000}"/>
    <cellStyle name="Normal 2 2 2 18 5" xfId="9398" xr:uid="{00000000-0005-0000-0000-00007F290000}"/>
    <cellStyle name="Normal 2 2 2 19" xfId="9399" xr:uid="{00000000-0005-0000-0000-000080290000}"/>
    <cellStyle name="Normal 2 2 2 19 2" xfId="9400" xr:uid="{00000000-0005-0000-0000-000081290000}"/>
    <cellStyle name="Normal 2 2 2 19 2 2" xfId="9401" xr:uid="{00000000-0005-0000-0000-000082290000}"/>
    <cellStyle name="Normal 2 2 2 19 2 3" xfId="9402" xr:uid="{00000000-0005-0000-0000-000083290000}"/>
    <cellStyle name="Normal 2 2 2 19 3" xfId="9403" xr:uid="{00000000-0005-0000-0000-000084290000}"/>
    <cellStyle name="Normal 2 2 2 19 4" xfId="9404" xr:uid="{00000000-0005-0000-0000-000085290000}"/>
    <cellStyle name="Normal 2 2 2 19 5" xfId="9405" xr:uid="{00000000-0005-0000-0000-000086290000}"/>
    <cellStyle name="Normal 2 2 2 2" xfId="9406" xr:uid="{00000000-0005-0000-0000-000087290000}"/>
    <cellStyle name="Normal 2 2 2 2 10" xfId="9407" xr:uid="{00000000-0005-0000-0000-000088290000}"/>
    <cellStyle name="Normal 2 2 2 2 10 2" xfId="9408" xr:uid="{00000000-0005-0000-0000-000089290000}"/>
    <cellStyle name="Normal 2 2 2 2 10 3" xfId="9409" xr:uid="{00000000-0005-0000-0000-00008A290000}"/>
    <cellStyle name="Normal 2 2 2 2 11" xfId="9410" xr:uid="{00000000-0005-0000-0000-00008B290000}"/>
    <cellStyle name="Normal 2 2 2 2 11 2" xfId="9411" xr:uid="{00000000-0005-0000-0000-00008C290000}"/>
    <cellStyle name="Normal 2 2 2 2 11 3" xfId="9412" xr:uid="{00000000-0005-0000-0000-00008D290000}"/>
    <cellStyle name="Normal 2 2 2 2 12" xfId="9413" xr:uid="{00000000-0005-0000-0000-00008E290000}"/>
    <cellStyle name="Normal 2 2 2 2 12 2" xfId="9414" xr:uid="{00000000-0005-0000-0000-00008F290000}"/>
    <cellStyle name="Normal 2 2 2 2 12 3" xfId="9415" xr:uid="{00000000-0005-0000-0000-000090290000}"/>
    <cellStyle name="Normal 2 2 2 2 13" xfId="9416" xr:uid="{00000000-0005-0000-0000-000091290000}"/>
    <cellStyle name="Normal 2 2 2 2 13 2" xfId="9417" xr:uid="{00000000-0005-0000-0000-000092290000}"/>
    <cellStyle name="Normal 2 2 2 2 13 3" xfId="9418" xr:uid="{00000000-0005-0000-0000-000093290000}"/>
    <cellStyle name="Normal 2 2 2 2 14" xfId="9419" xr:uid="{00000000-0005-0000-0000-000094290000}"/>
    <cellStyle name="Normal 2 2 2 2 14 2" xfId="9420" xr:uid="{00000000-0005-0000-0000-000095290000}"/>
    <cellStyle name="Normal 2 2 2 2 14 3" xfId="9421" xr:uid="{00000000-0005-0000-0000-000096290000}"/>
    <cellStyle name="Normal 2 2 2 2 15" xfId="9422" xr:uid="{00000000-0005-0000-0000-000097290000}"/>
    <cellStyle name="Normal 2 2 2 2 15 2" xfId="9423" xr:uid="{00000000-0005-0000-0000-000098290000}"/>
    <cellStyle name="Normal 2 2 2 2 15 3" xfId="9424" xr:uid="{00000000-0005-0000-0000-000099290000}"/>
    <cellStyle name="Normal 2 2 2 2 16" xfId="9425" xr:uid="{00000000-0005-0000-0000-00009A290000}"/>
    <cellStyle name="Normal 2 2 2 2 16 2" xfId="9426" xr:uid="{00000000-0005-0000-0000-00009B290000}"/>
    <cellStyle name="Normal 2 2 2 2 16 3" xfId="9427" xr:uid="{00000000-0005-0000-0000-00009C290000}"/>
    <cellStyle name="Normal 2 2 2 2 17" xfId="9428" xr:uid="{00000000-0005-0000-0000-00009D290000}"/>
    <cellStyle name="Normal 2 2 2 2 18" xfId="9429" xr:uid="{00000000-0005-0000-0000-00009E290000}"/>
    <cellStyle name="Normal 2 2 2 2 19" xfId="9430" xr:uid="{00000000-0005-0000-0000-00009F290000}"/>
    <cellStyle name="Normal 2 2 2 2 2" xfId="9431" xr:uid="{00000000-0005-0000-0000-0000A0290000}"/>
    <cellStyle name="Normal 2 2 2 2 2 2" xfId="9432" xr:uid="{00000000-0005-0000-0000-0000A1290000}"/>
    <cellStyle name="Normal 2 2 2 2 2 3" xfId="9433" xr:uid="{00000000-0005-0000-0000-0000A2290000}"/>
    <cellStyle name="Normal 2 2 2 2 2 4" xfId="27092" xr:uid="{00000000-0005-0000-0000-0000A3290000}"/>
    <cellStyle name="Normal 2 2 2 2 20" xfId="9434" xr:uid="{00000000-0005-0000-0000-0000A4290000}"/>
    <cellStyle name="Normal 2 2 2 2 21" xfId="9435" xr:uid="{00000000-0005-0000-0000-0000A5290000}"/>
    <cellStyle name="Normal 2 2 2 2 22" xfId="9436" xr:uid="{00000000-0005-0000-0000-0000A6290000}"/>
    <cellStyle name="Normal 2 2 2 2 23" xfId="9437" xr:uid="{00000000-0005-0000-0000-0000A7290000}"/>
    <cellStyle name="Normal 2 2 2 2 24" xfId="9438" xr:uid="{00000000-0005-0000-0000-0000A8290000}"/>
    <cellStyle name="Normal 2 2 2 2 25" xfId="9439" xr:uid="{00000000-0005-0000-0000-0000A9290000}"/>
    <cellStyle name="Normal 2 2 2 2 26" xfId="9440" xr:uid="{00000000-0005-0000-0000-0000AA290000}"/>
    <cellStyle name="Normal 2 2 2 2 27" xfId="9441" xr:uid="{00000000-0005-0000-0000-0000AB290000}"/>
    <cellStyle name="Normal 2 2 2 2 28" xfId="9442" xr:uid="{00000000-0005-0000-0000-0000AC290000}"/>
    <cellStyle name="Normal 2 2 2 2 29" xfId="9443" xr:uid="{00000000-0005-0000-0000-0000AD290000}"/>
    <cellStyle name="Normal 2 2 2 2 3" xfId="9444" xr:uid="{00000000-0005-0000-0000-0000AE290000}"/>
    <cellStyle name="Normal 2 2 2 2 3 2" xfId="9445" xr:uid="{00000000-0005-0000-0000-0000AF290000}"/>
    <cellStyle name="Normal 2 2 2 2 3 3" xfId="9446" xr:uid="{00000000-0005-0000-0000-0000B0290000}"/>
    <cellStyle name="Normal 2 2 2 2 30" xfId="9447" xr:uid="{00000000-0005-0000-0000-0000B1290000}"/>
    <cellStyle name="Normal 2 2 2 2 31" xfId="9448" xr:uid="{00000000-0005-0000-0000-0000B2290000}"/>
    <cellStyle name="Normal 2 2 2 2 32" xfId="9449" xr:uid="{00000000-0005-0000-0000-0000B3290000}"/>
    <cellStyle name="Normal 2 2 2 2 33" xfId="9450" xr:uid="{00000000-0005-0000-0000-0000B4290000}"/>
    <cellStyle name="Normal 2 2 2 2 34" xfId="9451" xr:uid="{00000000-0005-0000-0000-0000B5290000}"/>
    <cellStyle name="Normal 2 2 2 2 35" xfId="9452" xr:uid="{00000000-0005-0000-0000-0000B6290000}"/>
    <cellStyle name="Normal 2 2 2 2 36" xfId="9453" xr:uid="{00000000-0005-0000-0000-0000B7290000}"/>
    <cellStyle name="Normal 2 2 2 2 37" xfId="9454" xr:uid="{00000000-0005-0000-0000-0000B8290000}"/>
    <cellStyle name="Normal 2 2 2 2 38" xfId="25859" xr:uid="{00000000-0005-0000-0000-0000B9290000}"/>
    <cellStyle name="Normal 2 2 2 2 4" xfId="9455" xr:uid="{00000000-0005-0000-0000-0000BA290000}"/>
    <cellStyle name="Normal 2 2 2 2 4 2" xfId="9456" xr:uid="{00000000-0005-0000-0000-0000BB290000}"/>
    <cellStyle name="Normal 2 2 2 2 4 3" xfId="9457" xr:uid="{00000000-0005-0000-0000-0000BC290000}"/>
    <cellStyle name="Normal 2 2 2 2 5" xfId="9458" xr:uid="{00000000-0005-0000-0000-0000BD290000}"/>
    <cellStyle name="Normal 2 2 2 2 5 2" xfId="9459" xr:uid="{00000000-0005-0000-0000-0000BE290000}"/>
    <cellStyle name="Normal 2 2 2 2 5 3" xfId="9460" xr:uid="{00000000-0005-0000-0000-0000BF290000}"/>
    <cellStyle name="Normal 2 2 2 2 6" xfId="9461" xr:uid="{00000000-0005-0000-0000-0000C0290000}"/>
    <cellStyle name="Normal 2 2 2 2 6 2" xfId="9462" xr:uid="{00000000-0005-0000-0000-0000C1290000}"/>
    <cellStyle name="Normal 2 2 2 2 6 3" xfId="9463" xr:uid="{00000000-0005-0000-0000-0000C2290000}"/>
    <cellStyle name="Normal 2 2 2 2 7" xfId="9464" xr:uid="{00000000-0005-0000-0000-0000C3290000}"/>
    <cellStyle name="Normal 2 2 2 2 7 2" xfId="9465" xr:uid="{00000000-0005-0000-0000-0000C4290000}"/>
    <cellStyle name="Normal 2 2 2 2 7 3" xfId="9466" xr:uid="{00000000-0005-0000-0000-0000C5290000}"/>
    <cellStyle name="Normal 2 2 2 2 8" xfId="9467" xr:uid="{00000000-0005-0000-0000-0000C6290000}"/>
    <cellStyle name="Normal 2 2 2 2 8 2" xfId="9468" xr:uid="{00000000-0005-0000-0000-0000C7290000}"/>
    <cellStyle name="Normal 2 2 2 2 8 3" xfId="9469" xr:uid="{00000000-0005-0000-0000-0000C8290000}"/>
    <cellStyle name="Normal 2 2 2 2 9" xfId="9470" xr:uid="{00000000-0005-0000-0000-0000C9290000}"/>
    <cellStyle name="Normal 2 2 2 2 9 2" xfId="9471" xr:uid="{00000000-0005-0000-0000-0000CA290000}"/>
    <cellStyle name="Normal 2 2 2 2 9 3" xfId="9472" xr:uid="{00000000-0005-0000-0000-0000CB290000}"/>
    <cellStyle name="Normal 2 2 2 20" xfId="9473" xr:uid="{00000000-0005-0000-0000-0000CC290000}"/>
    <cellStyle name="Normal 2 2 2 20 2" xfId="9474" xr:uid="{00000000-0005-0000-0000-0000CD290000}"/>
    <cellStyle name="Normal 2 2 2 20 2 2" xfId="9475" xr:uid="{00000000-0005-0000-0000-0000CE290000}"/>
    <cellStyle name="Normal 2 2 2 20 2 3" xfId="9476" xr:uid="{00000000-0005-0000-0000-0000CF290000}"/>
    <cellStyle name="Normal 2 2 2 20 3" xfId="9477" xr:uid="{00000000-0005-0000-0000-0000D0290000}"/>
    <cellStyle name="Normal 2 2 2 20 4" xfId="9478" xr:uid="{00000000-0005-0000-0000-0000D1290000}"/>
    <cellStyle name="Normal 2 2 2 20 5" xfId="9479" xr:uid="{00000000-0005-0000-0000-0000D2290000}"/>
    <cellStyle name="Normal 2 2 2 21" xfId="9480" xr:uid="{00000000-0005-0000-0000-0000D3290000}"/>
    <cellStyle name="Normal 2 2 2 21 2" xfId="9481" xr:uid="{00000000-0005-0000-0000-0000D4290000}"/>
    <cellStyle name="Normal 2 2 2 21 3" xfId="9482" xr:uid="{00000000-0005-0000-0000-0000D5290000}"/>
    <cellStyle name="Normal 2 2 2 22" xfId="9483" xr:uid="{00000000-0005-0000-0000-0000D6290000}"/>
    <cellStyle name="Normal 2 2 2 22 2" xfId="9484" xr:uid="{00000000-0005-0000-0000-0000D7290000}"/>
    <cellStyle name="Normal 2 2 2 22 3" xfId="9485" xr:uid="{00000000-0005-0000-0000-0000D8290000}"/>
    <cellStyle name="Normal 2 2 2 23" xfId="9486" xr:uid="{00000000-0005-0000-0000-0000D9290000}"/>
    <cellStyle name="Normal 2 2 2 23 2" xfId="9487" xr:uid="{00000000-0005-0000-0000-0000DA290000}"/>
    <cellStyle name="Normal 2 2 2 23 3" xfId="9488" xr:uid="{00000000-0005-0000-0000-0000DB290000}"/>
    <cellStyle name="Normal 2 2 2 24" xfId="9489" xr:uid="{00000000-0005-0000-0000-0000DC290000}"/>
    <cellStyle name="Normal 2 2 2 24 2" xfId="9490" xr:uid="{00000000-0005-0000-0000-0000DD290000}"/>
    <cellStyle name="Normal 2 2 2 24 2 2" xfId="9491" xr:uid="{00000000-0005-0000-0000-0000DE290000}"/>
    <cellStyle name="Normal 2 2 2 24 2 3" xfId="9492" xr:uid="{00000000-0005-0000-0000-0000DF290000}"/>
    <cellStyle name="Normal 2 2 2 24 3" xfId="9493" xr:uid="{00000000-0005-0000-0000-0000E0290000}"/>
    <cellStyle name="Normal 2 2 2 24 4" xfId="9494" xr:uid="{00000000-0005-0000-0000-0000E1290000}"/>
    <cellStyle name="Normal 2 2 2 25" xfId="9495" xr:uid="{00000000-0005-0000-0000-0000E2290000}"/>
    <cellStyle name="Normal 2 2 2 25 2" xfId="9496" xr:uid="{00000000-0005-0000-0000-0000E3290000}"/>
    <cellStyle name="Normal 2 2 2 25 3" xfId="9497" xr:uid="{00000000-0005-0000-0000-0000E4290000}"/>
    <cellStyle name="Normal 2 2 2 26" xfId="9498" xr:uid="{00000000-0005-0000-0000-0000E5290000}"/>
    <cellStyle name="Normal 2 2 2 26 2" xfId="9499" xr:uid="{00000000-0005-0000-0000-0000E6290000}"/>
    <cellStyle name="Normal 2 2 2 26 3" xfId="9500" xr:uid="{00000000-0005-0000-0000-0000E7290000}"/>
    <cellStyle name="Normal 2 2 2 27" xfId="9501" xr:uid="{00000000-0005-0000-0000-0000E8290000}"/>
    <cellStyle name="Normal 2 2 2 27 2" xfId="9502" xr:uid="{00000000-0005-0000-0000-0000E9290000}"/>
    <cellStyle name="Normal 2 2 2 27 3" xfId="9503" xr:uid="{00000000-0005-0000-0000-0000EA290000}"/>
    <cellStyle name="Normal 2 2 2 28" xfId="9504" xr:uid="{00000000-0005-0000-0000-0000EB290000}"/>
    <cellStyle name="Normal 2 2 2 28 2" xfId="9505" xr:uid="{00000000-0005-0000-0000-0000EC290000}"/>
    <cellStyle name="Normal 2 2 2 28 3" xfId="9506" xr:uid="{00000000-0005-0000-0000-0000ED290000}"/>
    <cellStyle name="Normal 2 2 2 29" xfId="9507" xr:uid="{00000000-0005-0000-0000-0000EE290000}"/>
    <cellStyle name="Normal 2 2 2 29 2" xfId="9508" xr:uid="{00000000-0005-0000-0000-0000EF290000}"/>
    <cellStyle name="Normal 2 2 2 29 3" xfId="9509" xr:uid="{00000000-0005-0000-0000-0000F0290000}"/>
    <cellStyle name="Normal 2 2 2 3" xfId="9510" xr:uid="{00000000-0005-0000-0000-0000F1290000}"/>
    <cellStyle name="Normal 2 2 2 3 2" xfId="9511" xr:uid="{00000000-0005-0000-0000-0000F2290000}"/>
    <cellStyle name="Normal 2 2 2 3 3" xfId="9512" xr:uid="{00000000-0005-0000-0000-0000F3290000}"/>
    <cellStyle name="Normal 2 2 2 30" xfId="9513" xr:uid="{00000000-0005-0000-0000-0000F4290000}"/>
    <cellStyle name="Normal 2 2 2 30 2" xfId="9514" xr:uid="{00000000-0005-0000-0000-0000F5290000}"/>
    <cellStyle name="Normal 2 2 2 30 3" xfId="9515" xr:uid="{00000000-0005-0000-0000-0000F6290000}"/>
    <cellStyle name="Normal 2 2 2 31" xfId="9516" xr:uid="{00000000-0005-0000-0000-0000F7290000}"/>
    <cellStyle name="Normal 2 2 2 31 2" xfId="9517" xr:uid="{00000000-0005-0000-0000-0000F8290000}"/>
    <cellStyle name="Normal 2 2 2 31 3" xfId="9518" xr:uid="{00000000-0005-0000-0000-0000F9290000}"/>
    <cellStyle name="Normal 2 2 2 32" xfId="9519" xr:uid="{00000000-0005-0000-0000-0000FA290000}"/>
    <cellStyle name="Normal 2 2 2 32 2" xfId="9520" xr:uid="{00000000-0005-0000-0000-0000FB290000}"/>
    <cellStyle name="Normal 2 2 2 32 3" xfId="9521" xr:uid="{00000000-0005-0000-0000-0000FC290000}"/>
    <cellStyle name="Normal 2 2 2 33" xfId="9522" xr:uid="{00000000-0005-0000-0000-0000FD290000}"/>
    <cellStyle name="Normal 2 2 2 33 2" xfId="9523" xr:uid="{00000000-0005-0000-0000-0000FE290000}"/>
    <cellStyle name="Normal 2 2 2 33 3" xfId="9524" xr:uid="{00000000-0005-0000-0000-0000FF290000}"/>
    <cellStyle name="Normal 2 2 2 34" xfId="9525" xr:uid="{00000000-0005-0000-0000-0000002A0000}"/>
    <cellStyle name="Normal 2 2 2 34 2" xfId="9526" xr:uid="{00000000-0005-0000-0000-0000012A0000}"/>
    <cellStyle name="Normal 2 2 2 34 3" xfId="9527" xr:uid="{00000000-0005-0000-0000-0000022A0000}"/>
    <cellStyle name="Normal 2 2 2 35" xfId="9528" xr:uid="{00000000-0005-0000-0000-0000032A0000}"/>
    <cellStyle name="Normal 2 2 2 36" xfId="9529" xr:uid="{00000000-0005-0000-0000-0000042A0000}"/>
    <cellStyle name="Normal 2 2 2 37" xfId="9530" xr:uid="{00000000-0005-0000-0000-0000052A0000}"/>
    <cellStyle name="Normal 2 2 2 4" xfId="9531" xr:uid="{00000000-0005-0000-0000-0000062A0000}"/>
    <cellStyle name="Normal 2 2 2 4 2" xfId="9532" xr:uid="{00000000-0005-0000-0000-0000072A0000}"/>
    <cellStyle name="Normal 2 2 2 4 3" xfId="9533" xr:uid="{00000000-0005-0000-0000-0000082A0000}"/>
    <cellStyle name="Normal 2 2 2 5" xfId="9534" xr:uid="{00000000-0005-0000-0000-0000092A0000}"/>
    <cellStyle name="Normal 2 2 2 5 2" xfId="9535" xr:uid="{00000000-0005-0000-0000-00000A2A0000}"/>
    <cellStyle name="Normal 2 2 2 5 3" xfId="9536" xr:uid="{00000000-0005-0000-0000-00000B2A0000}"/>
    <cellStyle name="Normal 2 2 2 6" xfId="9537" xr:uid="{00000000-0005-0000-0000-00000C2A0000}"/>
    <cellStyle name="Normal 2 2 2 6 2" xfId="9538" xr:uid="{00000000-0005-0000-0000-00000D2A0000}"/>
    <cellStyle name="Normal 2 2 2 6 3" xfId="9539" xr:uid="{00000000-0005-0000-0000-00000E2A0000}"/>
    <cellStyle name="Normal 2 2 2 7" xfId="9540" xr:uid="{00000000-0005-0000-0000-00000F2A0000}"/>
    <cellStyle name="Normal 2 2 2 7 2" xfId="9541" xr:uid="{00000000-0005-0000-0000-0000102A0000}"/>
    <cellStyle name="Normal 2 2 2 7 3" xfId="9542" xr:uid="{00000000-0005-0000-0000-0000112A0000}"/>
    <cellStyle name="Normal 2 2 2 8" xfId="9543" xr:uid="{00000000-0005-0000-0000-0000122A0000}"/>
    <cellStyle name="Normal 2 2 2 8 2" xfId="9544" xr:uid="{00000000-0005-0000-0000-0000132A0000}"/>
    <cellStyle name="Normal 2 2 2 8 3" xfId="9545" xr:uid="{00000000-0005-0000-0000-0000142A0000}"/>
    <cellStyle name="Normal 2 2 2 9" xfId="9546" xr:uid="{00000000-0005-0000-0000-0000152A0000}"/>
    <cellStyle name="Normal 2 2 2 9 2" xfId="9547" xr:uid="{00000000-0005-0000-0000-0000162A0000}"/>
    <cellStyle name="Normal 2 2 2 9 3" xfId="9548" xr:uid="{00000000-0005-0000-0000-0000172A0000}"/>
    <cellStyle name="Normal 2 2 2_Recurso Jan a Mar 09 DEF" xfId="9549" xr:uid="{00000000-0005-0000-0000-0000182A0000}"/>
    <cellStyle name="Normal 2 2 20" xfId="9550" xr:uid="{00000000-0005-0000-0000-0000192A0000}"/>
    <cellStyle name="Normal 2 2 20 2" xfId="9551" xr:uid="{00000000-0005-0000-0000-00001A2A0000}"/>
    <cellStyle name="Normal 2 2 20 2 2" xfId="9552" xr:uid="{00000000-0005-0000-0000-00001B2A0000}"/>
    <cellStyle name="Normal 2 2 20 2 3" xfId="9553" xr:uid="{00000000-0005-0000-0000-00001C2A0000}"/>
    <cellStyle name="Normal 2 2 20 3" xfId="9554" xr:uid="{00000000-0005-0000-0000-00001D2A0000}"/>
    <cellStyle name="Normal 2 2 20 4" xfId="9555" xr:uid="{00000000-0005-0000-0000-00001E2A0000}"/>
    <cellStyle name="Normal 2 2 20 5" xfId="9556" xr:uid="{00000000-0005-0000-0000-00001F2A0000}"/>
    <cellStyle name="Normal 2 2 21" xfId="9557" xr:uid="{00000000-0005-0000-0000-0000202A0000}"/>
    <cellStyle name="Normal 2 2 21 2" xfId="9558" xr:uid="{00000000-0005-0000-0000-0000212A0000}"/>
    <cellStyle name="Normal 2 2 21 2 2" xfId="9559" xr:uid="{00000000-0005-0000-0000-0000222A0000}"/>
    <cellStyle name="Normal 2 2 21 2 3" xfId="9560" xr:uid="{00000000-0005-0000-0000-0000232A0000}"/>
    <cellStyle name="Normal 2 2 21 3" xfId="9561" xr:uid="{00000000-0005-0000-0000-0000242A0000}"/>
    <cellStyle name="Normal 2 2 21 4" xfId="9562" xr:uid="{00000000-0005-0000-0000-0000252A0000}"/>
    <cellStyle name="Normal 2 2 21 5" xfId="9563" xr:uid="{00000000-0005-0000-0000-0000262A0000}"/>
    <cellStyle name="Normal 2 2 22" xfId="9564" xr:uid="{00000000-0005-0000-0000-0000272A0000}"/>
    <cellStyle name="Normal 2 2 22 2" xfId="9565" xr:uid="{00000000-0005-0000-0000-0000282A0000}"/>
    <cellStyle name="Normal 2 2 22 2 2" xfId="9566" xr:uid="{00000000-0005-0000-0000-0000292A0000}"/>
    <cellStyle name="Normal 2 2 22 2 3" xfId="9567" xr:uid="{00000000-0005-0000-0000-00002A2A0000}"/>
    <cellStyle name="Normal 2 2 22 3" xfId="9568" xr:uid="{00000000-0005-0000-0000-00002B2A0000}"/>
    <cellStyle name="Normal 2 2 22 4" xfId="9569" xr:uid="{00000000-0005-0000-0000-00002C2A0000}"/>
    <cellStyle name="Normal 2 2 22 5" xfId="9570" xr:uid="{00000000-0005-0000-0000-00002D2A0000}"/>
    <cellStyle name="Normal 2 2 23" xfId="9571" xr:uid="{00000000-0005-0000-0000-00002E2A0000}"/>
    <cellStyle name="Normal 2 2 23 2" xfId="9572" xr:uid="{00000000-0005-0000-0000-00002F2A0000}"/>
    <cellStyle name="Normal 2 2 23 3" xfId="9573" xr:uid="{00000000-0005-0000-0000-0000302A0000}"/>
    <cellStyle name="Normal 2 2 24" xfId="9574" xr:uid="{00000000-0005-0000-0000-0000312A0000}"/>
    <cellStyle name="Normal 2 2 24 2" xfId="9575" xr:uid="{00000000-0005-0000-0000-0000322A0000}"/>
    <cellStyle name="Normal 2 2 24 3" xfId="9576" xr:uid="{00000000-0005-0000-0000-0000332A0000}"/>
    <cellStyle name="Normal 2 2 25" xfId="9577" xr:uid="{00000000-0005-0000-0000-0000342A0000}"/>
    <cellStyle name="Normal 2 2 25 2" xfId="9578" xr:uid="{00000000-0005-0000-0000-0000352A0000}"/>
    <cellStyle name="Normal 2 2 25 2 2" xfId="9579" xr:uid="{00000000-0005-0000-0000-0000362A0000}"/>
    <cellStyle name="Normal 2 2 25 2 3" xfId="9580" xr:uid="{00000000-0005-0000-0000-0000372A0000}"/>
    <cellStyle name="Normal 2 2 25 3" xfId="9581" xr:uid="{00000000-0005-0000-0000-0000382A0000}"/>
    <cellStyle name="Normal 2 2 25 4" xfId="9582" xr:uid="{00000000-0005-0000-0000-0000392A0000}"/>
    <cellStyle name="Normal 2 2 26" xfId="9583" xr:uid="{00000000-0005-0000-0000-00003A2A0000}"/>
    <cellStyle name="Normal 2 2 26 2" xfId="9584" xr:uid="{00000000-0005-0000-0000-00003B2A0000}"/>
    <cellStyle name="Normal 2 2 26 3" xfId="9585" xr:uid="{00000000-0005-0000-0000-00003C2A0000}"/>
    <cellStyle name="Normal 2 2 27" xfId="9586" xr:uid="{00000000-0005-0000-0000-00003D2A0000}"/>
    <cellStyle name="Normal 2 2 27 2" xfId="9587" xr:uid="{00000000-0005-0000-0000-00003E2A0000}"/>
    <cellStyle name="Normal 2 2 27 3" xfId="9588" xr:uid="{00000000-0005-0000-0000-00003F2A0000}"/>
    <cellStyle name="Normal 2 2 28" xfId="9589" xr:uid="{00000000-0005-0000-0000-0000402A0000}"/>
    <cellStyle name="Normal 2 2 28 2" xfId="9590" xr:uid="{00000000-0005-0000-0000-0000412A0000}"/>
    <cellStyle name="Normal 2 2 28 3" xfId="9591" xr:uid="{00000000-0005-0000-0000-0000422A0000}"/>
    <cellStyle name="Normal 2 2 29" xfId="9592" xr:uid="{00000000-0005-0000-0000-0000432A0000}"/>
    <cellStyle name="Normal 2 2 29 2" xfId="9593" xr:uid="{00000000-0005-0000-0000-0000442A0000}"/>
    <cellStyle name="Normal 2 2 29 3" xfId="9594" xr:uid="{00000000-0005-0000-0000-0000452A0000}"/>
    <cellStyle name="Normal 2 2 3" xfId="204" xr:uid="{00000000-0005-0000-0000-0000462A0000}"/>
    <cellStyle name="Normal 2 2 3 2" xfId="9596" xr:uid="{00000000-0005-0000-0000-0000472A0000}"/>
    <cellStyle name="Normal 2 2 3 2 2" xfId="25861" xr:uid="{00000000-0005-0000-0000-0000482A0000}"/>
    <cellStyle name="Normal 2 2 3 3" xfId="9597" xr:uid="{00000000-0005-0000-0000-0000492A0000}"/>
    <cellStyle name="Normal 2 2 3 4" xfId="9598" xr:uid="{00000000-0005-0000-0000-00004A2A0000}"/>
    <cellStyle name="Normal 2 2 3 5" xfId="9595" xr:uid="{00000000-0005-0000-0000-00004B2A0000}"/>
    <cellStyle name="Normal 2 2 3 6" xfId="25860" xr:uid="{00000000-0005-0000-0000-00004C2A0000}"/>
    <cellStyle name="Normal 2 2 30" xfId="9599" xr:uid="{00000000-0005-0000-0000-00004D2A0000}"/>
    <cellStyle name="Normal 2 2 30 2" xfId="9600" xr:uid="{00000000-0005-0000-0000-00004E2A0000}"/>
    <cellStyle name="Normal 2 2 30 3" xfId="9601" xr:uid="{00000000-0005-0000-0000-00004F2A0000}"/>
    <cellStyle name="Normal 2 2 31" xfId="9602" xr:uid="{00000000-0005-0000-0000-0000502A0000}"/>
    <cellStyle name="Normal 2 2 31 2" xfId="9603" xr:uid="{00000000-0005-0000-0000-0000512A0000}"/>
    <cellStyle name="Normal 2 2 31 3" xfId="9604" xr:uid="{00000000-0005-0000-0000-0000522A0000}"/>
    <cellStyle name="Normal 2 2 32" xfId="9605" xr:uid="{00000000-0005-0000-0000-0000532A0000}"/>
    <cellStyle name="Normal 2 2 32 2" xfId="9606" xr:uid="{00000000-0005-0000-0000-0000542A0000}"/>
    <cellStyle name="Normal 2 2 32 3" xfId="9607" xr:uid="{00000000-0005-0000-0000-0000552A0000}"/>
    <cellStyle name="Normal 2 2 33" xfId="9608" xr:uid="{00000000-0005-0000-0000-0000562A0000}"/>
    <cellStyle name="Normal 2 2 33 2" xfId="9609" xr:uid="{00000000-0005-0000-0000-0000572A0000}"/>
    <cellStyle name="Normal 2 2 33 3" xfId="9610" xr:uid="{00000000-0005-0000-0000-0000582A0000}"/>
    <cellStyle name="Normal 2 2 34" xfId="9611" xr:uid="{00000000-0005-0000-0000-0000592A0000}"/>
    <cellStyle name="Normal 2 2 34 2" xfId="9612" xr:uid="{00000000-0005-0000-0000-00005A2A0000}"/>
    <cellStyle name="Normal 2 2 34 3" xfId="9613" xr:uid="{00000000-0005-0000-0000-00005B2A0000}"/>
    <cellStyle name="Normal 2 2 35" xfId="9614" xr:uid="{00000000-0005-0000-0000-00005C2A0000}"/>
    <cellStyle name="Normal 2 2 35 2" xfId="9615" xr:uid="{00000000-0005-0000-0000-00005D2A0000}"/>
    <cellStyle name="Normal 2 2 35 3" xfId="9616" xr:uid="{00000000-0005-0000-0000-00005E2A0000}"/>
    <cellStyle name="Normal 2 2 36" xfId="9617" xr:uid="{00000000-0005-0000-0000-00005F2A0000}"/>
    <cellStyle name="Normal 2 2 37" xfId="9618" xr:uid="{00000000-0005-0000-0000-0000602A0000}"/>
    <cellStyle name="Normal 2 2 38" xfId="9619" xr:uid="{00000000-0005-0000-0000-0000612A0000}"/>
    <cellStyle name="Normal 2 2 39" xfId="9620" xr:uid="{00000000-0005-0000-0000-0000622A0000}"/>
    <cellStyle name="Normal 2 2 4" xfId="9621" xr:uid="{00000000-0005-0000-0000-0000632A0000}"/>
    <cellStyle name="Normal 2 2 4 2" xfId="9622" xr:uid="{00000000-0005-0000-0000-0000642A0000}"/>
    <cellStyle name="Normal 2 2 4 2 2" xfId="9623" xr:uid="{00000000-0005-0000-0000-0000652A0000}"/>
    <cellStyle name="Normal 2 2 4 2 3" xfId="9624" xr:uid="{00000000-0005-0000-0000-0000662A0000}"/>
    <cellStyle name="Normal 2 2 4 3" xfId="9625" xr:uid="{00000000-0005-0000-0000-0000672A0000}"/>
    <cellStyle name="Normal 2 2 4 4" xfId="9626" xr:uid="{00000000-0005-0000-0000-0000682A0000}"/>
    <cellStyle name="Normal 2 2 4 5" xfId="9627" xr:uid="{00000000-0005-0000-0000-0000692A0000}"/>
    <cellStyle name="Normal 2 2 4 6" xfId="25862" xr:uid="{00000000-0005-0000-0000-00006A2A0000}"/>
    <cellStyle name="Normal 2 2 40" xfId="9628" xr:uid="{00000000-0005-0000-0000-00006B2A0000}"/>
    <cellStyle name="Normal 2 2 41" xfId="9629" xr:uid="{00000000-0005-0000-0000-00006C2A0000}"/>
    <cellStyle name="Normal 2 2 42" xfId="9630" xr:uid="{00000000-0005-0000-0000-00006D2A0000}"/>
    <cellStyle name="Normal 2 2 43" xfId="9631" xr:uid="{00000000-0005-0000-0000-00006E2A0000}"/>
    <cellStyle name="Normal 2 2 44" xfId="9632" xr:uid="{00000000-0005-0000-0000-00006F2A0000}"/>
    <cellStyle name="Normal 2 2 45" xfId="9633" xr:uid="{00000000-0005-0000-0000-0000702A0000}"/>
    <cellStyle name="Normal 2 2 46" xfId="9634" xr:uid="{00000000-0005-0000-0000-0000712A0000}"/>
    <cellStyle name="Normal 2 2 47" xfId="9635" xr:uid="{00000000-0005-0000-0000-0000722A0000}"/>
    <cellStyle name="Normal 2 2 48" xfId="9636" xr:uid="{00000000-0005-0000-0000-0000732A0000}"/>
    <cellStyle name="Normal 2 2 49" xfId="9637" xr:uid="{00000000-0005-0000-0000-0000742A0000}"/>
    <cellStyle name="Normal 2 2 5" xfId="9638" xr:uid="{00000000-0005-0000-0000-0000752A0000}"/>
    <cellStyle name="Normal 2 2 5 2" xfId="9639" xr:uid="{00000000-0005-0000-0000-0000762A0000}"/>
    <cellStyle name="Normal 2 2 5 3" xfId="9640" xr:uid="{00000000-0005-0000-0000-0000772A0000}"/>
    <cellStyle name="Normal 2 2 5 4" xfId="27091" xr:uid="{00000000-0005-0000-0000-0000782A0000}"/>
    <cellStyle name="Normal 2 2 50" xfId="9641" xr:uid="{00000000-0005-0000-0000-0000792A0000}"/>
    <cellStyle name="Normal 2 2 51" xfId="9642" xr:uid="{00000000-0005-0000-0000-00007A2A0000}"/>
    <cellStyle name="Normal 2 2 52" xfId="9643" xr:uid="{00000000-0005-0000-0000-00007B2A0000}"/>
    <cellStyle name="Normal 2 2 53" xfId="9644" xr:uid="{00000000-0005-0000-0000-00007C2A0000}"/>
    <cellStyle name="Normal 2 2 54" xfId="9645" xr:uid="{00000000-0005-0000-0000-00007D2A0000}"/>
    <cellStyle name="Normal 2 2 55" xfId="9646" xr:uid="{00000000-0005-0000-0000-00007E2A0000}"/>
    <cellStyle name="Normal 2 2 56" xfId="9647" xr:uid="{00000000-0005-0000-0000-00007F2A0000}"/>
    <cellStyle name="Normal 2 2 57" xfId="9648" xr:uid="{00000000-0005-0000-0000-0000802A0000}"/>
    <cellStyle name="Normal 2 2 58" xfId="9649" xr:uid="{00000000-0005-0000-0000-0000812A0000}"/>
    <cellStyle name="Normal 2 2 59" xfId="9650" xr:uid="{00000000-0005-0000-0000-0000822A0000}"/>
    <cellStyle name="Normal 2 2 6" xfId="9651" xr:uid="{00000000-0005-0000-0000-0000832A0000}"/>
    <cellStyle name="Normal 2 2 6 10" xfId="9652" xr:uid="{00000000-0005-0000-0000-0000842A0000}"/>
    <cellStyle name="Normal 2 2 6 10 2" xfId="9653" xr:uid="{00000000-0005-0000-0000-0000852A0000}"/>
    <cellStyle name="Normal 2 2 6 10 3" xfId="9654" xr:uid="{00000000-0005-0000-0000-0000862A0000}"/>
    <cellStyle name="Normal 2 2 6 11" xfId="9655" xr:uid="{00000000-0005-0000-0000-0000872A0000}"/>
    <cellStyle name="Normal 2 2 6 12" xfId="9656" xr:uid="{00000000-0005-0000-0000-0000882A0000}"/>
    <cellStyle name="Normal 2 2 6 13" xfId="9657" xr:uid="{00000000-0005-0000-0000-0000892A0000}"/>
    <cellStyle name="Normal 2 2 6 14" xfId="9658" xr:uid="{00000000-0005-0000-0000-00008A2A0000}"/>
    <cellStyle name="Normal 2 2 6 15" xfId="9659" xr:uid="{00000000-0005-0000-0000-00008B2A0000}"/>
    <cellStyle name="Normal 2 2 6 2" xfId="9660" xr:uid="{00000000-0005-0000-0000-00008C2A0000}"/>
    <cellStyle name="Normal 2 2 6 2 2" xfId="9661" xr:uid="{00000000-0005-0000-0000-00008D2A0000}"/>
    <cellStyle name="Normal 2 2 6 2 2 2" xfId="9662" xr:uid="{00000000-0005-0000-0000-00008E2A0000}"/>
    <cellStyle name="Normal 2 2 6 2 2 3" xfId="9663" xr:uid="{00000000-0005-0000-0000-00008F2A0000}"/>
    <cellStyle name="Normal 2 2 6 2 3" xfId="9664" xr:uid="{00000000-0005-0000-0000-0000902A0000}"/>
    <cellStyle name="Normal 2 2 6 2 4" xfId="9665" xr:uid="{00000000-0005-0000-0000-0000912A0000}"/>
    <cellStyle name="Normal 2 2 6 2 5" xfId="9666" xr:uid="{00000000-0005-0000-0000-0000922A0000}"/>
    <cellStyle name="Normal 2 2 6 2 6" xfId="9667" xr:uid="{00000000-0005-0000-0000-0000932A0000}"/>
    <cellStyle name="Normal 2 2 6 2 7" xfId="9668" xr:uid="{00000000-0005-0000-0000-0000942A0000}"/>
    <cellStyle name="Normal 2 2 6 2 8" xfId="9669" xr:uid="{00000000-0005-0000-0000-0000952A0000}"/>
    <cellStyle name="Normal 2 2 6 3" xfId="9670" xr:uid="{00000000-0005-0000-0000-0000962A0000}"/>
    <cellStyle name="Normal 2 2 6 4" xfId="9671" xr:uid="{00000000-0005-0000-0000-0000972A0000}"/>
    <cellStyle name="Normal 2 2 6 5" xfId="9672" xr:uid="{00000000-0005-0000-0000-0000982A0000}"/>
    <cellStyle name="Normal 2 2 6 5 2" xfId="9673" xr:uid="{00000000-0005-0000-0000-0000992A0000}"/>
    <cellStyle name="Normal 2 2 6 5 3" xfId="9674" xr:uid="{00000000-0005-0000-0000-00009A2A0000}"/>
    <cellStyle name="Normal 2 2 6 5 4" xfId="9675" xr:uid="{00000000-0005-0000-0000-00009B2A0000}"/>
    <cellStyle name="Normal 2 2 6 6" xfId="9676" xr:uid="{00000000-0005-0000-0000-00009C2A0000}"/>
    <cellStyle name="Normal 2 2 6 6 2" xfId="9677" xr:uid="{00000000-0005-0000-0000-00009D2A0000}"/>
    <cellStyle name="Normal 2 2 6 6 3" xfId="9678" xr:uid="{00000000-0005-0000-0000-00009E2A0000}"/>
    <cellStyle name="Normal 2 2 6 6 4" xfId="9679" xr:uid="{00000000-0005-0000-0000-00009F2A0000}"/>
    <cellStyle name="Normal 2 2 6 7" xfId="9680" xr:uid="{00000000-0005-0000-0000-0000A02A0000}"/>
    <cellStyle name="Normal 2 2 6 7 2" xfId="9681" xr:uid="{00000000-0005-0000-0000-0000A12A0000}"/>
    <cellStyle name="Normal 2 2 6 7 3" xfId="9682" xr:uid="{00000000-0005-0000-0000-0000A22A0000}"/>
    <cellStyle name="Normal 2 2 6 7 4" xfId="9683" xr:uid="{00000000-0005-0000-0000-0000A32A0000}"/>
    <cellStyle name="Normal 2 2 6 8" xfId="9684" xr:uid="{00000000-0005-0000-0000-0000A42A0000}"/>
    <cellStyle name="Normal 2 2 6 9" xfId="9685" xr:uid="{00000000-0005-0000-0000-0000A52A0000}"/>
    <cellStyle name="Normal 2 2 60" xfId="9686" xr:uid="{00000000-0005-0000-0000-0000A62A0000}"/>
    <cellStyle name="Normal 2 2 61" xfId="9687" xr:uid="{00000000-0005-0000-0000-0000A72A0000}"/>
    <cellStyle name="Normal 2 2 62" xfId="9688" xr:uid="{00000000-0005-0000-0000-0000A82A0000}"/>
    <cellStyle name="Normal 2 2 63" xfId="9689" xr:uid="{00000000-0005-0000-0000-0000A92A0000}"/>
    <cellStyle name="Normal 2 2 64" xfId="9690" xr:uid="{00000000-0005-0000-0000-0000AA2A0000}"/>
    <cellStyle name="Normal 2 2 65" xfId="9691" xr:uid="{00000000-0005-0000-0000-0000AB2A0000}"/>
    <cellStyle name="Normal 2 2 66" xfId="9692" xr:uid="{00000000-0005-0000-0000-0000AC2A0000}"/>
    <cellStyle name="Normal 2 2 67" xfId="9693" xr:uid="{00000000-0005-0000-0000-0000AD2A0000}"/>
    <cellStyle name="Normal 2 2 68" xfId="9694" xr:uid="{00000000-0005-0000-0000-0000AE2A0000}"/>
    <cellStyle name="Normal 2 2 69" xfId="9695" xr:uid="{00000000-0005-0000-0000-0000AF2A0000}"/>
    <cellStyle name="Normal 2 2 7" xfId="9696" xr:uid="{00000000-0005-0000-0000-0000B02A0000}"/>
    <cellStyle name="Normal 2 2 7 2" xfId="9697" xr:uid="{00000000-0005-0000-0000-0000B12A0000}"/>
    <cellStyle name="Normal 2 2 7 3" xfId="9698" xr:uid="{00000000-0005-0000-0000-0000B22A0000}"/>
    <cellStyle name="Normal 2 2 70" xfId="9699" xr:uid="{00000000-0005-0000-0000-0000B32A0000}"/>
    <cellStyle name="Normal 2 2 71" xfId="9700" xr:uid="{00000000-0005-0000-0000-0000B42A0000}"/>
    <cellStyle name="Normal 2 2 72" xfId="9701" xr:uid="{00000000-0005-0000-0000-0000B52A0000}"/>
    <cellStyle name="Normal 2 2 73" xfId="9702" xr:uid="{00000000-0005-0000-0000-0000B62A0000}"/>
    <cellStyle name="Normal 2 2 74" xfId="9703" xr:uid="{00000000-0005-0000-0000-0000B72A0000}"/>
    <cellStyle name="Normal 2 2 75" xfId="9704" xr:uid="{00000000-0005-0000-0000-0000B82A0000}"/>
    <cellStyle name="Normal 2 2 76" xfId="9705" xr:uid="{00000000-0005-0000-0000-0000B92A0000}"/>
    <cellStyle name="Normal 2 2 77" xfId="9706" xr:uid="{00000000-0005-0000-0000-0000BA2A0000}"/>
    <cellStyle name="Normal 2 2 78" xfId="9707" xr:uid="{00000000-0005-0000-0000-0000BB2A0000}"/>
    <cellStyle name="Normal 2 2 79" xfId="9708" xr:uid="{00000000-0005-0000-0000-0000BC2A0000}"/>
    <cellStyle name="Normal 2 2 8" xfId="9709" xr:uid="{00000000-0005-0000-0000-0000BD2A0000}"/>
    <cellStyle name="Normal 2 2 8 2" xfId="9710" xr:uid="{00000000-0005-0000-0000-0000BE2A0000}"/>
    <cellStyle name="Normal 2 2 8 3" xfId="9711" xr:uid="{00000000-0005-0000-0000-0000BF2A0000}"/>
    <cellStyle name="Normal 2 2 80" xfId="9712" xr:uid="{00000000-0005-0000-0000-0000C02A0000}"/>
    <cellStyle name="Normal 2 2 81" xfId="9713" xr:uid="{00000000-0005-0000-0000-0000C12A0000}"/>
    <cellStyle name="Normal 2 2 82" xfId="9714" xr:uid="{00000000-0005-0000-0000-0000C22A0000}"/>
    <cellStyle name="Normal 2 2 83" xfId="9715" xr:uid="{00000000-0005-0000-0000-0000C32A0000}"/>
    <cellStyle name="Normal 2 2 84" xfId="9716" xr:uid="{00000000-0005-0000-0000-0000C42A0000}"/>
    <cellStyle name="Normal 2 2 85" xfId="9717" xr:uid="{00000000-0005-0000-0000-0000C52A0000}"/>
    <cellStyle name="Normal 2 2 86" xfId="9718" xr:uid="{00000000-0005-0000-0000-0000C62A0000}"/>
    <cellStyle name="Normal 2 2 87" xfId="9719" xr:uid="{00000000-0005-0000-0000-0000C72A0000}"/>
    <cellStyle name="Normal 2 2 88" xfId="9720" xr:uid="{00000000-0005-0000-0000-0000C82A0000}"/>
    <cellStyle name="Normal 2 2 89" xfId="9721" xr:uid="{00000000-0005-0000-0000-0000C92A0000}"/>
    <cellStyle name="Normal 2 2 9" xfId="9722" xr:uid="{00000000-0005-0000-0000-0000CA2A0000}"/>
    <cellStyle name="Normal 2 2 9 2" xfId="9723" xr:uid="{00000000-0005-0000-0000-0000CB2A0000}"/>
    <cellStyle name="Normal 2 2 9 3" xfId="9724" xr:uid="{00000000-0005-0000-0000-0000CC2A0000}"/>
    <cellStyle name="Normal 2 2 90" xfId="9725" xr:uid="{00000000-0005-0000-0000-0000CD2A0000}"/>
    <cellStyle name="Normal 2 2 91" xfId="9726" xr:uid="{00000000-0005-0000-0000-0000CE2A0000}"/>
    <cellStyle name="Normal 2 2 92" xfId="9727" xr:uid="{00000000-0005-0000-0000-0000CF2A0000}"/>
    <cellStyle name="Normal 2 2 93" xfId="9728" xr:uid="{00000000-0005-0000-0000-0000D02A0000}"/>
    <cellStyle name="Normal 2 2 94" xfId="9729" xr:uid="{00000000-0005-0000-0000-0000D12A0000}"/>
    <cellStyle name="Normal 2 2 95" xfId="9730" xr:uid="{00000000-0005-0000-0000-0000D22A0000}"/>
    <cellStyle name="Normal 2 2 96" xfId="9731" xr:uid="{00000000-0005-0000-0000-0000D32A0000}"/>
    <cellStyle name="Normal 2 2 97" xfId="9732" xr:uid="{00000000-0005-0000-0000-0000D42A0000}"/>
    <cellStyle name="Normal 2 2 98" xfId="9733" xr:uid="{00000000-0005-0000-0000-0000D52A0000}"/>
    <cellStyle name="Normal 2 2 99" xfId="9734" xr:uid="{00000000-0005-0000-0000-0000D62A0000}"/>
    <cellStyle name="Normal 2 20" xfId="9735" xr:uid="{00000000-0005-0000-0000-0000D72A0000}"/>
    <cellStyle name="Normal 2 21" xfId="9736" xr:uid="{00000000-0005-0000-0000-0000D82A0000}"/>
    <cellStyle name="Normal 2 22" xfId="9737" xr:uid="{00000000-0005-0000-0000-0000D92A0000}"/>
    <cellStyle name="Normal 2 23" xfId="9738" xr:uid="{00000000-0005-0000-0000-0000DA2A0000}"/>
    <cellStyle name="Normal 2 24" xfId="9739" xr:uid="{00000000-0005-0000-0000-0000DB2A0000}"/>
    <cellStyle name="Normal 2 25" xfId="9740" xr:uid="{00000000-0005-0000-0000-0000DC2A0000}"/>
    <cellStyle name="Normal 2 26" xfId="9741" xr:uid="{00000000-0005-0000-0000-0000DD2A0000}"/>
    <cellStyle name="Normal 2 27" xfId="9742" xr:uid="{00000000-0005-0000-0000-0000DE2A0000}"/>
    <cellStyle name="Normal 2 28" xfId="9743" xr:uid="{00000000-0005-0000-0000-0000DF2A0000}"/>
    <cellStyle name="Normal 2 29" xfId="9744" xr:uid="{00000000-0005-0000-0000-0000E02A0000}"/>
    <cellStyle name="Normal 2 3" xfId="205" xr:uid="{00000000-0005-0000-0000-0000E12A0000}"/>
    <cellStyle name="Normal 2 3 10" xfId="9745" xr:uid="{00000000-0005-0000-0000-0000E22A0000}"/>
    <cellStyle name="Normal 2 3 10 2" xfId="9746" xr:uid="{00000000-0005-0000-0000-0000E32A0000}"/>
    <cellStyle name="Normal 2 3 10 3" xfId="9747" xr:uid="{00000000-0005-0000-0000-0000E42A0000}"/>
    <cellStyle name="Normal 2 3 11" xfId="9748" xr:uid="{00000000-0005-0000-0000-0000E52A0000}"/>
    <cellStyle name="Normal 2 3 11 2" xfId="9749" xr:uid="{00000000-0005-0000-0000-0000E62A0000}"/>
    <cellStyle name="Normal 2 3 11 3" xfId="9750" xr:uid="{00000000-0005-0000-0000-0000E72A0000}"/>
    <cellStyle name="Normal 2 3 12" xfId="9751" xr:uid="{00000000-0005-0000-0000-0000E82A0000}"/>
    <cellStyle name="Normal 2 3 12 2" xfId="9752" xr:uid="{00000000-0005-0000-0000-0000E92A0000}"/>
    <cellStyle name="Normal 2 3 12 3" xfId="9753" xr:uid="{00000000-0005-0000-0000-0000EA2A0000}"/>
    <cellStyle name="Normal 2 3 13" xfId="9754" xr:uid="{00000000-0005-0000-0000-0000EB2A0000}"/>
    <cellStyle name="Normal 2 3 13 2" xfId="9755" xr:uid="{00000000-0005-0000-0000-0000EC2A0000}"/>
    <cellStyle name="Normal 2 3 13 3" xfId="9756" xr:uid="{00000000-0005-0000-0000-0000ED2A0000}"/>
    <cellStyle name="Normal 2 3 14" xfId="9757" xr:uid="{00000000-0005-0000-0000-0000EE2A0000}"/>
    <cellStyle name="Normal 2 3 14 2" xfId="9758" xr:uid="{00000000-0005-0000-0000-0000EF2A0000}"/>
    <cellStyle name="Normal 2 3 14 3" xfId="9759" xr:uid="{00000000-0005-0000-0000-0000F02A0000}"/>
    <cellStyle name="Normal 2 3 15" xfId="9760" xr:uid="{00000000-0005-0000-0000-0000F12A0000}"/>
    <cellStyle name="Normal 2 3 15 2" xfId="9761" xr:uid="{00000000-0005-0000-0000-0000F22A0000}"/>
    <cellStyle name="Normal 2 3 15 3" xfId="9762" xr:uid="{00000000-0005-0000-0000-0000F32A0000}"/>
    <cellStyle name="Normal 2 3 16" xfId="9763" xr:uid="{00000000-0005-0000-0000-0000F42A0000}"/>
    <cellStyle name="Normal 2 3 16 2" xfId="9764" xr:uid="{00000000-0005-0000-0000-0000F52A0000}"/>
    <cellStyle name="Normal 2 3 16 3" xfId="9765" xr:uid="{00000000-0005-0000-0000-0000F62A0000}"/>
    <cellStyle name="Normal 2 3 17" xfId="9766" xr:uid="{00000000-0005-0000-0000-0000F72A0000}"/>
    <cellStyle name="Normal 2 3 17 2" xfId="9767" xr:uid="{00000000-0005-0000-0000-0000F82A0000}"/>
    <cellStyle name="Normal 2 3 17 3" xfId="9768" xr:uid="{00000000-0005-0000-0000-0000F92A0000}"/>
    <cellStyle name="Normal 2 3 18" xfId="9769" xr:uid="{00000000-0005-0000-0000-0000FA2A0000}"/>
    <cellStyle name="Normal 2 3 19" xfId="9770" xr:uid="{00000000-0005-0000-0000-0000FB2A0000}"/>
    <cellStyle name="Normal 2 3 2" xfId="206" xr:uid="{00000000-0005-0000-0000-0000FC2A0000}"/>
    <cellStyle name="Normal 2 3 2 10" xfId="9772" xr:uid="{00000000-0005-0000-0000-0000FD2A0000}"/>
    <cellStyle name="Normal 2 3 2 11" xfId="9773" xr:uid="{00000000-0005-0000-0000-0000FE2A0000}"/>
    <cellStyle name="Normal 2 3 2 12" xfId="9774" xr:uid="{00000000-0005-0000-0000-0000FF2A0000}"/>
    <cellStyle name="Normal 2 3 2 13" xfId="9775" xr:uid="{00000000-0005-0000-0000-0000002B0000}"/>
    <cellStyle name="Normal 2 3 2 14" xfId="9776" xr:uid="{00000000-0005-0000-0000-0000012B0000}"/>
    <cellStyle name="Normal 2 3 2 15" xfId="9777" xr:uid="{00000000-0005-0000-0000-0000022B0000}"/>
    <cellStyle name="Normal 2 3 2 16" xfId="9778" xr:uid="{00000000-0005-0000-0000-0000032B0000}"/>
    <cellStyle name="Normal 2 3 2 17" xfId="9779" xr:uid="{00000000-0005-0000-0000-0000042B0000}"/>
    <cellStyle name="Normal 2 3 2 18" xfId="9780" xr:uid="{00000000-0005-0000-0000-0000052B0000}"/>
    <cellStyle name="Normal 2 3 2 19" xfId="9781" xr:uid="{00000000-0005-0000-0000-0000062B0000}"/>
    <cellStyle name="Normal 2 3 2 2" xfId="9782" xr:uid="{00000000-0005-0000-0000-0000072B0000}"/>
    <cellStyle name="Normal 2 3 2 2 2" xfId="9783" xr:uid="{00000000-0005-0000-0000-0000082B0000}"/>
    <cellStyle name="Normal 2 3 2 2 3" xfId="9784" xr:uid="{00000000-0005-0000-0000-0000092B0000}"/>
    <cellStyle name="Normal 2 3 2 2 4" xfId="27094" xr:uid="{00000000-0005-0000-0000-00000A2B0000}"/>
    <cellStyle name="Normal 2 3 2 20" xfId="9785" xr:uid="{00000000-0005-0000-0000-00000B2B0000}"/>
    <cellStyle name="Normal 2 3 2 21" xfId="9786" xr:uid="{00000000-0005-0000-0000-00000C2B0000}"/>
    <cellStyle name="Normal 2 3 2 22" xfId="9787" xr:uid="{00000000-0005-0000-0000-00000D2B0000}"/>
    <cellStyle name="Normal 2 3 2 23" xfId="9788" xr:uid="{00000000-0005-0000-0000-00000E2B0000}"/>
    <cellStyle name="Normal 2 3 2 24" xfId="9789" xr:uid="{00000000-0005-0000-0000-00000F2B0000}"/>
    <cellStyle name="Normal 2 3 2 25" xfId="9790" xr:uid="{00000000-0005-0000-0000-0000102B0000}"/>
    <cellStyle name="Normal 2 3 2 26" xfId="9791" xr:uid="{00000000-0005-0000-0000-0000112B0000}"/>
    <cellStyle name="Normal 2 3 2 27" xfId="9792" xr:uid="{00000000-0005-0000-0000-0000122B0000}"/>
    <cellStyle name="Normal 2 3 2 28" xfId="9793" xr:uid="{00000000-0005-0000-0000-0000132B0000}"/>
    <cellStyle name="Normal 2 3 2 29" xfId="9794" xr:uid="{00000000-0005-0000-0000-0000142B0000}"/>
    <cellStyle name="Normal 2 3 2 3" xfId="9795" xr:uid="{00000000-0005-0000-0000-0000152B0000}"/>
    <cellStyle name="Normal 2 3 2 3 2" xfId="9796" xr:uid="{00000000-0005-0000-0000-0000162B0000}"/>
    <cellStyle name="Normal 2 3 2 3 3" xfId="9797" xr:uid="{00000000-0005-0000-0000-0000172B0000}"/>
    <cellStyle name="Normal 2 3 2 30" xfId="9798" xr:uid="{00000000-0005-0000-0000-0000182B0000}"/>
    <cellStyle name="Normal 2 3 2 31" xfId="9799" xr:uid="{00000000-0005-0000-0000-0000192B0000}"/>
    <cellStyle name="Normal 2 3 2 32" xfId="9800" xr:uid="{00000000-0005-0000-0000-00001A2B0000}"/>
    <cellStyle name="Normal 2 3 2 33" xfId="9801" xr:uid="{00000000-0005-0000-0000-00001B2B0000}"/>
    <cellStyle name="Normal 2 3 2 34" xfId="9802" xr:uid="{00000000-0005-0000-0000-00001C2B0000}"/>
    <cellStyle name="Normal 2 3 2 35" xfId="9803" xr:uid="{00000000-0005-0000-0000-00001D2B0000}"/>
    <cellStyle name="Normal 2 3 2 36" xfId="9804" xr:uid="{00000000-0005-0000-0000-00001E2B0000}"/>
    <cellStyle name="Normal 2 3 2 37" xfId="9805" xr:uid="{00000000-0005-0000-0000-00001F2B0000}"/>
    <cellStyle name="Normal 2 3 2 38" xfId="9771" xr:uid="{00000000-0005-0000-0000-0000202B0000}"/>
    <cellStyle name="Normal 2 3 2 39" xfId="25863" xr:uid="{00000000-0005-0000-0000-0000212B0000}"/>
    <cellStyle name="Normal 2 3 2 4" xfId="9806" xr:uid="{00000000-0005-0000-0000-0000222B0000}"/>
    <cellStyle name="Normal 2 3 2 5" xfId="9807" xr:uid="{00000000-0005-0000-0000-0000232B0000}"/>
    <cellStyle name="Normal 2 3 2 6" xfId="9808" xr:uid="{00000000-0005-0000-0000-0000242B0000}"/>
    <cellStyle name="Normal 2 3 2 7" xfId="9809" xr:uid="{00000000-0005-0000-0000-0000252B0000}"/>
    <cellStyle name="Normal 2 3 2 8" xfId="9810" xr:uid="{00000000-0005-0000-0000-0000262B0000}"/>
    <cellStyle name="Normal 2 3 2 9" xfId="9811" xr:uid="{00000000-0005-0000-0000-0000272B0000}"/>
    <cellStyle name="Normal 2 3 20" xfId="9812" xr:uid="{00000000-0005-0000-0000-0000282B0000}"/>
    <cellStyle name="Normal 2 3 21" xfId="9813" xr:uid="{00000000-0005-0000-0000-0000292B0000}"/>
    <cellStyle name="Normal 2 3 22" xfId="9814" xr:uid="{00000000-0005-0000-0000-00002A2B0000}"/>
    <cellStyle name="Normal 2 3 23" xfId="9815" xr:uid="{00000000-0005-0000-0000-00002B2B0000}"/>
    <cellStyle name="Normal 2 3 24" xfId="9816" xr:uid="{00000000-0005-0000-0000-00002C2B0000}"/>
    <cellStyle name="Normal 2 3 25" xfId="9817" xr:uid="{00000000-0005-0000-0000-00002D2B0000}"/>
    <cellStyle name="Normal 2 3 26" xfId="9818" xr:uid="{00000000-0005-0000-0000-00002E2B0000}"/>
    <cellStyle name="Normal 2 3 27" xfId="9819" xr:uid="{00000000-0005-0000-0000-00002F2B0000}"/>
    <cellStyle name="Normal 2 3 28" xfId="9820" xr:uid="{00000000-0005-0000-0000-0000302B0000}"/>
    <cellStyle name="Normal 2 3 29" xfId="9821" xr:uid="{00000000-0005-0000-0000-0000312B0000}"/>
    <cellStyle name="Normal 2 3 3" xfId="9822" xr:uid="{00000000-0005-0000-0000-0000322B0000}"/>
    <cellStyle name="Normal 2 3 3 2" xfId="9823" xr:uid="{00000000-0005-0000-0000-0000332B0000}"/>
    <cellStyle name="Normal 2 3 3 3" xfId="9824" xr:uid="{00000000-0005-0000-0000-0000342B0000}"/>
    <cellStyle name="Normal 2 3 3 4" xfId="27093" xr:uid="{00000000-0005-0000-0000-0000352B0000}"/>
    <cellStyle name="Normal 2 3 30" xfId="9825" xr:uid="{00000000-0005-0000-0000-0000362B0000}"/>
    <cellStyle name="Normal 2 3 31" xfId="9826" xr:uid="{00000000-0005-0000-0000-0000372B0000}"/>
    <cellStyle name="Normal 2 3 32" xfId="9827" xr:uid="{00000000-0005-0000-0000-0000382B0000}"/>
    <cellStyle name="Normal 2 3 33" xfId="9828" xr:uid="{00000000-0005-0000-0000-0000392B0000}"/>
    <cellStyle name="Normal 2 3 34" xfId="9829" xr:uid="{00000000-0005-0000-0000-00003A2B0000}"/>
    <cellStyle name="Normal 2 3 35" xfId="9830" xr:uid="{00000000-0005-0000-0000-00003B2B0000}"/>
    <cellStyle name="Normal 2 3 36" xfId="9831" xr:uid="{00000000-0005-0000-0000-00003C2B0000}"/>
    <cellStyle name="Normal 2 3 4" xfId="9832" xr:uid="{00000000-0005-0000-0000-00003D2B0000}"/>
    <cellStyle name="Normal 2 3 4 2" xfId="9833" xr:uid="{00000000-0005-0000-0000-00003E2B0000}"/>
    <cellStyle name="Normal 2 3 4 3" xfId="9834" xr:uid="{00000000-0005-0000-0000-00003F2B0000}"/>
    <cellStyle name="Normal 2 3 5" xfId="9835" xr:uid="{00000000-0005-0000-0000-0000402B0000}"/>
    <cellStyle name="Normal 2 3 5 2" xfId="9836" xr:uid="{00000000-0005-0000-0000-0000412B0000}"/>
    <cellStyle name="Normal 2 3 5 3" xfId="9837" xr:uid="{00000000-0005-0000-0000-0000422B0000}"/>
    <cellStyle name="Normal 2 3 6" xfId="9838" xr:uid="{00000000-0005-0000-0000-0000432B0000}"/>
    <cellStyle name="Normal 2 3 6 2" xfId="9839" xr:uid="{00000000-0005-0000-0000-0000442B0000}"/>
    <cellStyle name="Normal 2 3 6 3" xfId="9840" xr:uid="{00000000-0005-0000-0000-0000452B0000}"/>
    <cellStyle name="Normal 2 3 7" xfId="9841" xr:uid="{00000000-0005-0000-0000-0000462B0000}"/>
    <cellStyle name="Normal 2 3 7 2" xfId="9842" xr:uid="{00000000-0005-0000-0000-0000472B0000}"/>
    <cellStyle name="Normal 2 3 7 3" xfId="9843" xr:uid="{00000000-0005-0000-0000-0000482B0000}"/>
    <cellStyle name="Normal 2 3 8" xfId="9844" xr:uid="{00000000-0005-0000-0000-0000492B0000}"/>
    <cellStyle name="Normal 2 3 8 2" xfId="9845" xr:uid="{00000000-0005-0000-0000-00004A2B0000}"/>
    <cellStyle name="Normal 2 3 8 3" xfId="9846" xr:uid="{00000000-0005-0000-0000-00004B2B0000}"/>
    <cellStyle name="Normal 2 3 9" xfId="9847" xr:uid="{00000000-0005-0000-0000-00004C2B0000}"/>
    <cellStyle name="Normal 2 3 9 2" xfId="9848" xr:uid="{00000000-0005-0000-0000-00004D2B0000}"/>
    <cellStyle name="Normal 2 3 9 3" xfId="9849" xr:uid="{00000000-0005-0000-0000-00004E2B0000}"/>
    <cellStyle name="Normal 2 30" xfId="9850" xr:uid="{00000000-0005-0000-0000-00004F2B0000}"/>
    <cellStyle name="Normal 2 31" xfId="9851" xr:uid="{00000000-0005-0000-0000-0000502B0000}"/>
    <cellStyle name="Normal 2 32" xfId="9852" xr:uid="{00000000-0005-0000-0000-0000512B0000}"/>
    <cellStyle name="Normal 2 33" xfId="9853" xr:uid="{00000000-0005-0000-0000-0000522B0000}"/>
    <cellStyle name="Normal 2 34" xfId="9854" xr:uid="{00000000-0005-0000-0000-0000532B0000}"/>
    <cellStyle name="Normal 2 35" xfId="9855" xr:uid="{00000000-0005-0000-0000-0000542B0000}"/>
    <cellStyle name="Normal 2 36" xfId="9856" xr:uid="{00000000-0005-0000-0000-0000552B0000}"/>
    <cellStyle name="Normal 2 37" xfId="9857" xr:uid="{00000000-0005-0000-0000-0000562B0000}"/>
    <cellStyle name="Normal 2 38" xfId="9858" xr:uid="{00000000-0005-0000-0000-0000572B0000}"/>
    <cellStyle name="Normal 2 39" xfId="9859" xr:uid="{00000000-0005-0000-0000-0000582B0000}"/>
    <cellStyle name="Normal 2 4" xfId="207" xr:uid="{00000000-0005-0000-0000-0000592B0000}"/>
    <cellStyle name="Normal 2 4 10" xfId="9860" xr:uid="{00000000-0005-0000-0000-00005A2B0000}"/>
    <cellStyle name="Normal 2 4 10 2" xfId="9861" xr:uid="{00000000-0005-0000-0000-00005B2B0000}"/>
    <cellStyle name="Normal 2 4 10 3" xfId="9862" xr:uid="{00000000-0005-0000-0000-00005C2B0000}"/>
    <cellStyle name="Normal 2 4 11" xfId="9863" xr:uid="{00000000-0005-0000-0000-00005D2B0000}"/>
    <cellStyle name="Normal 2 4 11 2" xfId="9864" xr:uid="{00000000-0005-0000-0000-00005E2B0000}"/>
    <cellStyle name="Normal 2 4 11 3" xfId="9865" xr:uid="{00000000-0005-0000-0000-00005F2B0000}"/>
    <cellStyle name="Normal 2 4 12" xfId="9866" xr:uid="{00000000-0005-0000-0000-0000602B0000}"/>
    <cellStyle name="Normal 2 4 12 2" xfId="9867" xr:uid="{00000000-0005-0000-0000-0000612B0000}"/>
    <cellStyle name="Normal 2 4 12 3" xfId="9868" xr:uid="{00000000-0005-0000-0000-0000622B0000}"/>
    <cellStyle name="Normal 2 4 13" xfId="9869" xr:uid="{00000000-0005-0000-0000-0000632B0000}"/>
    <cellStyle name="Normal 2 4 13 2" xfId="9870" xr:uid="{00000000-0005-0000-0000-0000642B0000}"/>
    <cellStyle name="Normal 2 4 13 3" xfId="9871" xr:uid="{00000000-0005-0000-0000-0000652B0000}"/>
    <cellStyle name="Normal 2 4 14" xfId="9872" xr:uid="{00000000-0005-0000-0000-0000662B0000}"/>
    <cellStyle name="Normal 2 4 14 2" xfId="9873" xr:uid="{00000000-0005-0000-0000-0000672B0000}"/>
    <cellStyle name="Normal 2 4 14 3" xfId="9874" xr:uid="{00000000-0005-0000-0000-0000682B0000}"/>
    <cellStyle name="Normal 2 4 15" xfId="9875" xr:uid="{00000000-0005-0000-0000-0000692B0000}"/>
    <cellStyle name="Normal 2 4 15 2" xfId="9876" xr:uid="{00000000-0005-0000-0000-00006A2B0000}"/>
    <cellStyle name="Normal 2 4 15 3" xfId="9877" xr:uid="{00000000-0005-0000-0000-00006B2B0000}"/>
    <cellStyle name="Normal 2 4 16" xfId="9878" xr:uid="{00000000-0005-0000-0000-00006C2B0000}"/>
    <cellStyle name="Normal 2 4 16 2" xfId="9879" xr:uid="{00000000-0005-0000-0000-00006D2B0000}"/>
    <cellStyle name="Normal 2 4 16 3" xfId="9880" xr:uid="{00000000-0005-0000-0000-00006E2B0000}"/>
    <cellStyle name="Normal 2 4 17" xfId="9881" xr:uid="{00000000-0005-0000-0000-00006F2B0000}"/>
    <cellStyle name="Normal 2 4 17 2" xfId="9882" xr:uid="{00000000-0005-0000-0000-0000702B0000}"/>
    <cellStyle name="Normal 2 4 17 3" xfId="9883" xr:uid="{00000000-0005-0000-0000-0000712B0000}"/>
    <cellStyle name="Normal 2 4 18" xfId="9884" xr:uid="{00000000-0005-0000-0000-0000722B0000}"/>
    <cellStyle name="Normal 2 4 18 2" xfId="9885" xr:uid="{00000000-0005-0000-0000-0000732B0000}"/>
    <cellStyle name="Normal 2 4 18 3" xfId="9886" xr:uid="{00000000-0005-0000-0000-0000742B0000}"/>
    <cellStyle name="Normal 2 4 19" xfId="9887" xr:uid="{00000000-0005-0000-0000-0000752B0000}"/>
    <cellStyle name="Normal 2 4 19 2" xfId="9888" xr:uid="{00000000-0005-0000-0000-0000762B0000}"/>
    <cellStyle name="Normal 2 4 19 3" xfId="9889" xr:uid="{00000000-0005-0000-0000-0000772B0000}"/>
    <cellStyle name="Normal 2 4 2" xfId="208" xr:uid="{00000000-0005-0000-0000-0000782B0000}"/>
    <cellStyle name="Normal 2 4 2 10" xfId="9891" xr:uid="{00000000-0005-0000-0000-0000792B0000}"/>
    <cellStyle name="Normal 2 4 2 11" xfId="9892" xr:uid="{00000000-0005-0000-0000-00007A2B0000}"/>
    <cellStyle name="Normal 2 4 2 12" xfId="9893" xr:uid="{00000000-0005-0000-0000-00007B2B0000}"/>
    <cellStyle name="Normal 2 4 2 13" xfId="9894" xr:uid="{00000000-0005-0000-0000-00007C2B0000}"/>
    <cellStyle name="Normal 2 4 2 14" xfId="9895" xr:uid="{00000000-0005-0000-0000-00007D2B0000}"/>
    <cellStyle name="Normal 2 4 2 15" xfId="9896" xr:uid="{00000000-0005-0000-0000-00007E2B0000}"/>
    <cellStyle name="Normal 2 4 2 16" xfId="9897" xr:uid="{00000000-0005-0000-0000-00007F2B0000}"/>
    <cellStyle name="Normal 2 4 2 17" xfId="9898" xr:uid="{00000000-0005-0000-0000-0000802B0000}"/>
    <cellStyle name="Normal 2 4 2 18" xfId="9899" xr:uid="{00000000-0005-0000-0000-0000812B0000}"/>
    <cellStyle name="Normal 2 4 2 19" xfId="9900" xr:uid="{00000000-0005-0000-0000-0000822B0000}"/>
    <cellStyle name="Normal 2 4 2 2" xfId="9901" xr:uid="{00000000-0005-0000-0000-0000832B0000}"/>
    <cellStyle name="Normal 2 4 2 2 2" xfId="9902" xr:uid="{00000000-0005-0000-0000-0000842B0000}"/>
    <cellStyle name="Normal 2 4 2 2 2 2" xfId="9903" xr:uid="{00000000-0005-0000-0000-0000852B0000}"/>
    <cellStyle name="Normal 2 4 2 2 2 3" xfId="9904" xr:uid="{00000000-0005-0000-0000-0000862B0000}"/>
    <cellStyle name="Normal 2 4 2 2 2 4" xfId="9905" xr:uid="{00000000-0005-0000-0000-0000872B0000}"/>
    <cellStyle name="Normal 2 4 2 2 2 4 2" xfId="9906" xr:uid="{00000000-0005-0000-0000-0000882B0000}"/>
    <cellStyle name="Normal 2 4 2 2 2 5" xfId="9907" xr:uid="{00000000-0005-0000-0000-0000892B0000}"/>
    <cellStyle name="Normal 2 4 2 2 2 6" xfId="9908" xr:uid="{00000000-0005-0000-0000-00008A2B0000}"/>
    <cellStyle name="Normal 2 4 2 2 2 7" xfId="9909" xr:uid="{00000000-0005-0000-0000-00008B2B0000}"/>
    <cellStyle name="Normal 2 4 2 2 3" xfId="9910" xr:uid="{00000000-0005-0000-0000-00008C2B0000}"/>
    <cellStyle name="Normal 2 4 2 2 4" xfId="27096" xr:uid="{00000000-0005-0000-0000-00008D2B0000}"/>
    <cellStyle name="Normal 2 4 2 20" xfId="9911" xr:uid="{00000000-0005-0000-0000-00008E2B0000}"/>
    <cellStyle name="Normal 2 4 2 21" xfId="9912" xr:uid="{00000000-0005-0000-0000-00008F2B0000}"/>
    <cellStyle name="Normal 2 4 2 22" xfId="9913" xr:uid="{00000000-0005-0000-0000-0000902B0000}"/>
    <cellStyle name="Normal 2 4 2 23" xfId="9914" xr:uid="{00000000-0005-0000-0000-0000912B0000}"/>
    <cellStyle name="Normal 2 4 2 24" xfId="9915" xr:uid="{00000000-0005-0000-0000-0000922B0000}"/>
    <cellStyle name="Normal 2 4 2 25" xfId="9916" xr:uid="{00000000-0005-0000-0000-0000932B0000}"/>
    <cellStyle name="Normal 2 4 2 26" xfId="9917" xr:uid="{00000000-0005-0000-0000-0000942B0000}"/>
    <cellStyle name="Normal 2 4 2 27" xfId="9918" xr:uid="{00000000-0005-0000-0000-0000952B0000}"/>
    <cellStyle name="Normal 2 4 2 28" xfId="9919" xr:uid="{00000000-0005-0000-0000-0000962B0000}"/>
    <cellStyle name="Normal 2 4 2 29" xfId="9920" xr:uid="{00000000-0005-0000-0000-0000972B0000}"/>
    <cellStyle name="Normal 2 4 2 3" xfId="9921" xr:uid="{00000000-0005-0000-0000-0000982B0000}"/>
    <cellStyle name="Normal 2 4 2 30" xfId="9922" xr:uid="{00000000-0005-0000-0000-0000992B0000}"/>
    <cellStyle name="Normal 2 4 2 31" xfId="9923" xr:uid="{00000000-0005-0000-0000-00009A2B0000}"/>
    <cellStyle name="Normal 2 4 2 32" xfId="9924" xr:uid="{00000000-0005-0000-0000-00009B2B0000}"/>
    <cellStyle name="Normal 2 4 2 33" xfId="9925" xr:uid="{00000000-0005-0000-0000-00009C2B0000}"/>
    <cellStyle name="Normal 2 4 2 34" xfId="9926" xr:uid="{00000000-0005-0000-0000-00009D2B0000}"/>
    <cellStyle name="Normal 2 4 2 35" xfId="9927" xr:uid="{00000000-0005-0000-0000-00009E2B0000}"/>
    <cellStyle name="Normal 2 4 2 36" xfId="9928" xr:uid="{00000000-0005-0000-0000-00009F2B0000}"/>
    <cellStyle name="Normal 2 4 2 37" xfId="9929" xr:uid="{00000000-0005-0000-0000-0000A02B0000}"/>
    <cellStyle name="Normal 2 4 2 38" xfId="9890" xr:uid="{00000000-0005-0000-0000-0000A12B0000}"/>
    <cellStyle name="Normal 2 4 2 39" xfId="25864" xr:uid="{00000000-0005-0000-0000-0000A22B0000}"/>
    <cellStyle name="Normal 2 4 2 4" xfId="9930" xr:uid="{00000000-0005-0000-0000-0000A32B0000}"/>
    <cellStyle name="Normal 2 4 2 5" xfId="9931" xr:uid="{00000000-0005-0000-0000-0000A42B0000}"/>
    <cellStyle name="Normal 2 4 2 6" xfId="9932" xr:uid="{00000000-0005-0000-0000-0000A52B0000}"/>
    <cellStyle name="Normal 2 4 2 7" xfId="9933" xr:uid="{00000000-0005-0000-0000-0000A62B0000}"/>
    <cellStyle name="Normal 2 4 2 8" xfId="9934" xr:uid="{00000000-0005-0000-0000-0000A72B0000}"/>
    <cellStyle name="Normal 2 4 2 9" xfId="9935" xr:uid="{00000000-0005-0000-0000-0000A82B0000}"/>
    <cellStyle name="Normal 2 4 20" xfId="9936" xr:uid="{00000000-0005-0000-0000-0000A92B0000}"/>
    <cellStyle name="Normal 2 4 21" xfId="9937" xr:uid="{00000000-0005-0000-0000-0000AA2B0000}"/>
    <cellStyle name="Normal 2 4 22" xfId="9938" xr:uid="{00000000-0005-0000-0000-0000AB2B0000}"/>
    <cellStyle name="Normal 2 4 23" xfId="9939" xr:uid="{00000000-0005-0000-0000-0000AC2B0000}"/>
    <cellStyle name="Normal 2 4 24" xfId="9940" xr:uid="{00000000-0005-0000-0000-0000AD2B0000}"/>
    <cellStyle name="Normal 2 4 25" xfId="9941" xr:uid="{00000000-0005-0000-0000-0000AE2B0000}"/>
    <cellStyle name="Normal 2 4 26" xfId="9942" xr:uid="{00000000-0005-0000-0000-0000AF2B0000}"/>
    <cellStyle name="Normal 2 4 27" xfId="9943" xr:uid="{00000000-0005-0000-0000-0000B02B0000}"/>
    <cellStyle name="Normal 2 4 28" xfId="9944" xr:uid="{00000000-0005-0000-0000-0000B12B0000}"/>
    <cellStyle name="Normal 2 4 29" xfId="9945" xr:uid="{00000000-0005-0000-0000-0000B22B0000}"/>
    <cellStyle name="Normal 2 4 3" xfId="209" xr:uid="{00000000-0005-0000-0000-0000B32B0000}"/>
    <cellStyle name="Normal 2 4 3 2" xfId="9947" xr:uid="{00000000-0005-0000-0000-0000B42B0000}"/>
    <cellStyle name="Normal 2 4 3 3" xfId="9948" xr:uid="{00000000-0005-0000-0000-0000B52B0000}"/>
    <cellStyle name="Normal 2 4 3 4" xfId="9946" xr:uid="{00000000-0005-0000-0000-0000B62B0000}"/>
    <cellStyle name="Normal 2 4 3 5" xfId="27095" xr:uid="{00000000-0005-0000-0000-0000B72B0000}"/>
    <cellStyle name="Normal 2 4 30" xfId="9949" xr:uid="{00000000-0005-0000-0000-0000B82B0000}"/>
    <cellStyle name="Normal 2 4 31" xfId="9950" xr:uid="{00000000-0005-0000-0000-0000B92B0000}"/>
    <cellStyle name="Normal 2 4 32" xfId="9951" xr:uid="{00000000-0005-0000-0000-0000BA2B0000}"/>
    <cellStyle name="Normal 2 4 33" xfId="9952" xr:uid="{00000000-0005-0000-0000-0000BB2B0000}"/>
    <cellStyle name="Normal 2 4 34" xfId="9953" xr:uid="{00000000-0005-0000-0000-0000BC2B0000}"/>
    <cellStyle name="Normal 2 4 35" xfId="9954" xr:uid="{00000000-0005-0000-0000-0000BD2B0000}"/>
    <cellStyle name="Normal 2 4 36" xfId="9955" xr:uid="{00000000-0005-0000-0000-0000BE2B0000}"/>
    <cellStyle name="Normal 2 4 37" xfId="9956" xr:uid="{00000000-0005-0000-0000-0000BF2B0000}"/>
    <cellStyle name="Normal 2 4 4" xfId="9957" xr:uid="{00000000-0005-0000-0000-0000C02B0000}"/>
    <cellStyle name="Normal 2 4 4 2" xfId="9958" xr:uid="{00000000-0005-0000-0000-0000C12B0000}"/>
    <cellStyle name="Normal 2 4 4 2 2" xfId="9959" xr:uid="{00000000-0005-0000-0000-0000C22B0000}"/>
    <cellStyle name="Normal 2 4 4 3" xfId="9960" xr:uid="{00000000-0005-0000-0000-0000C32B0000}"/>
    <cellStyle name="Normal 2 4 4 3 2" xfId="9961" xr:uid="{00000000-0005-0000-0000-0000C42B0000}"/>
    <cellStyle name="Normal 2 4 4 3 3" xfId="9962" xr:uid="{00000000-0005-0000-0000-0000C52B0000}"/>
    <cellStyle name="Normal 2 4 4 3 3 2" xfId="9963" xr:uid="{00000000-0005-0000-0000-0000C62B0000}"/>
    <cellStyle name="Normal 2 4 4 3 4" xfId="9964" xr:uid="{00000000-0005-0000-0000-0000C72B0000}"/>
    <cellStyle name="Normal 2 4 4 3 4 2" xfId="9965" xr:uid="{00000000-0005-0000-0000-0000C82B0000}"/>
    <cellStyle name="Normal 2 4 4 3 5" xfId="9966" xr:uid="{00000000-0005-0000-0000-0000C92B0000}"/>
    <cellStyle name="Normal 2 4 4 3 6" xfId="9967" xr:uid="{00000000-0005-0000-0000-0000CA2B0000}"/>
    <cellStyle name="Normal 2 4 4 3 7" xfId="9968" xr:uid="{00000000-0005-0000-0000-0000CB2B0000}"/>
    <cellStyle name="Normal 2 4 4 4" xfId="9969" xr:uid="{00000000-0005-0000-0000-0000CC2B0000}"/>
    <cellStyle name="Normal 2 4 4 4 2" xfId="9970" xr:uid="{00000000-0005-0000-0000-0000CD2B0000}"/>
    <cellStyle name="Normal 2 4 5" xfId="9971" xr:uid="{00000000-0005-0000-0000-0000CE2B0000}"/>
    <cellStyle name="Normal 2 4 5 2" xfId="9972" xr:uid="{00000000-0005-0000-0000-0000CF2B0000}"/>
    <cellStyle name="Normal 2 4 5 3" xfId="9973" xr:uid="{00000000-0005-0000-0000-0000D02B0000}"/>
    <cellStyle name="Normal 2 4 6" xfId="9974" xr:uid="{00000000-0005-0000-0000-0000D12B0000}"/>
    <cellStyle name="Normal 2 4 6 2" xfId="9975" xr:uid="{00000000-0005-0000-0000-0000D22B0000}"/>
    <cellStyle name="Normal 2 4 6 3" xfId="9976" xr:uid="{00000000-0005-0000-0000-0000D32B0000}"/>
    <cellStyle name="Normal 2 4 7" xfId="9977" xr:uid="{00000000-0005-0000-0000-0000D42B0000}"/>
    <cellStyle name="Normal 2 4 7 2" xfId="9978" xr:uid="{00000000-0005-0000-0000-0000D52B0000}"/>
    <cellStyle name="Normal 2 4 7 3" xfId="9979" xr:uid="{00000000-0005-0000-0000-0000D62B0000}"/>
    <cellStyle name="Normal 2 4 8" xfId="9980" xr:uid="{00000000-0005-0000-0000-0000D72B0000}"/>
    <cellStyle name="Normal 2 4 8 2" xfId="9981" xr:uid="{00000000-0005-0000-0000-0000D82B0000}"/>
    <cellStyle name="Normal 2 4 8 3" xfId="9982" xr:uid="{00000000-0005-0000-0000-0000D92B0000}"/>
    <cellStyle name="Normal 2 4 9" xfId="9983" xr:uid="{00000000-0005-0000-0000-0000DA2B0000}"/>
    <cellStyle name="Normal 2 4 9 2" xfId="9984" xr:uid="{00000000-0005-0000-0000-0000DB2B0000}"/>
    <cellStyle name="Normal 2 4 9 3" xfId="9985" xr:uid="{00000000-0005-0000-0000-0000DC2B0000}"/>
    <cellStyle name="Normal 2 40" xfId="9986" xr:uid="{00000000-0005-0000-0000-0000DD2B0000}"/>
    <cellStyle name="Normal 2 41" xfId="9987" xr:uid="{00000000-0005-0000-0000-0000DE2B0000}"/>
    <cellStyle name="Normal 2 42" xfId="9988" xr:uid="{00000000-0005-0000-0000-0000DF2B0000}"/>
    <cellStyle name="Normal 2 43" xfId="9989" xr:uid="{00000000-0005-0000-0000-0000E02B0000}"/>
    <cellStyle name="Normal 2 44" xfId="9990" xr:uid="{00000000-0005-0000-0000-0000E12B0000}"/>
    <cellStyle name="Normal 2 45" xfId="9991" xr:uid="{00000000-0005-0000-0000-0000E22B0000}"/>
    <cellStyle name="Normal 2 46" xfId="9992" xr:uid="{00000000-0005-0000-0000-0000E32B0000}"/>
    <cellStyle name="Normal 2 47" xfId="9993" xr:uid="{00000000-0005-0000-0000-0000E42B0000}"/>
    <cellStyle name="Normal 2 48" xfId="9994" xr:uid="{00000000-0005-0000-0000-0000E52B0000}"/>
    <cellStyle name="Normal 2 49" xfId="9995" xr:uid="{00000000-0005-0000-0000-0000E62B0000}"/>
    <cellStyle name="Normal 2 5" xfId="210" xr:uid="{00000000-0005-0000-0000-0000E72B0000}"/>
    <cellStyle name="Normal 2 5 2" xfId="211" xr:uid="{00000000-0005-0000-0000-0000E82B0000}"/>
    <cellStyle name="Normal 2 5 2 2" xfId="9997" xr:uid="{00000000-0005-0000-0000-0000E92B0000}"/>
    <cellStyle name="Normal 2 5 2 3" xfId="25865" xr:uid="{00000000-0005-0000-0000-0000EA2B0000}"/>
    <cellStyle name="Normal 2 5 3" xfId="9998" xr:uid="{00000000-0005-0000-0000-0000EB2B0000}"/>
    <cellStyle name="Normal 2 5 4" xfId="9996" xr:uid="{00000000-0005-0000-0000-0000EC2B0000}"/>
    <cellStyle name="Normal 2 50" xfId="9999" xr:uid="{00000000-0005-0000-0000-0000ED2B0000}"/>
    <cellStyle name="Normal 2 51" xfId="10000" xr:uid="{00000000-0005-0000-0000-0000EE2B0000}"/>
    <cellStyle name="Normal 2 52" xfId="10001" xr:uid="{00000000-0005-0000-0000-0000EF2B0000}"/>
    <cellStyle name="Normal 2 53" xfId="10002" xr:uid="{00000000-0005-0000-0000-0000F02B0000}"/>
    <cellStyle name="Normal 2 54" xfId="10003" xr:uid="{00000000-0005-0000-0000-0000F12B0000}"/>
    <cellStyle name="Normal 2 55" xfId="10004" xr:uid="{00000000-0005-0000-0000-0000F22B0000}"/>
    <cellStyle name="Normal 2 56" xfId="10005" xr:uid="{00000000-0005-0000-0000-0000F32B0000}"/>
    <cellStyle name="Normal 2 57" xfId="10006" xr:uid="{00000000-0005-0000-0000-0000F42B0000}"/>
    <cellStyle name="Normal 2 58" xfId="10007" xr:uid="{00000000-0005-0000-0000-0000F52B0000}"/>
    <cellStyle name="Normal 2 59" xfId="10008" xr:uid="{00000000-0005-0000-0000-0000F62B0000}"/>
    <cellStyle name="Normal 2 6" xfId="212" xr:uid="{00000000-0005-0000-0000-0000F72B0000}"/>
    <cellStyle name="Normal 2 6 2" xfId="10010" xr:uid="{00000000-0005-0000-0000-0000F82B0000}"/>
    <cellStyle name="Normal 2 6 2 2" xfId="10011" xr:uid="{00000000-0005-0000-0000-0000F92B0000}"/>
    <cellStyle name="Normal 2 6 2 3" xfId="10012" xr:uid="{00000000-0005-0000-0000-0000FA2B0000}"/>
    <cellStyle name="Normal 2 6 3" xfId="10013" xr:uid="{00000000-0005-0000-0000-0000FB2B0000}"/>
    <cellStyle name="Normal 2 6 4" xfId="10009" xr:uid="{00000000-0005-0000-0000-0000FC2B0000}"/>
    <cellStyle name="Normal 2 60" xfId="10014" xr:uid="{00000000-0005-0000-0000-0000FD2B0000}"/>
    <cellStyle name="Normal 2 61" xfId="10015" xr:uid="{00000000-0005-0000-0000-0000FE2B0000}"/>
    <cellStyle name="Normal 2 62" xfId="10016" xr:uid="{00000000-0005-0000-0000-0000FF2B0000}"/>
    <cellStyle name="Normal 2 63" xfId="10017" xr:uid="{00000000-0005-0000-0000-0000002C0000}"/>
    <cellStyle name="Normal 2 64" xfId="10018" xr:uid="{00000000-0005-0000-0000-0000012C0000}"/>
    <cellStyle name="Normal 2 65" xfId="10019" xr:uid="{00000000-0005-0000-0000-0000022C0000}"/>
    <cellStyle name="Normal 2 66" xfId="10020" xr:uid="{00000000-0005-0000-0000-0000032C0000}"/>
    <cellStyle name="Normal 2 67" xfId="10021" xr:uid="{00000000-0005-0000-0000-0000042C0000}"/>
    <cellStyle name="Normal 2 68" xfId="10022" xr:uid="{00000000-0005-0000-0000-0000052C0000}"/>
    <cellStyle name="Normal 2 69" xfId="10023" xr:uid="{00000000-0005-0000-0000-0000062C0000}"/>
    <cellStyle name="Normal 2 7" xfId="10024" xr:uid="{00000000-0005-0000-0000-0000072C0000}"/>
    <cellStyle name="Normal 2 7 2" xfId="25866" xr:uid="{00000000-0005-0000-0000-0000082C0000}"/>
    <cellStyle name="Normal 2 70" xfId="10025" xr:uid="{00000000-0005-0000-0000-0000092C0000}"/>
    <cellStyle name="Normal 2 71" xfId="10026" xr:uid="{00000000-0005-0000-0000-00000A2C0000}"/>
    <cellStyle name="Normal 2 72" xfId="10027" xr:uid="{00000000-0005-0000-0000-00000B2C0000}"/>
    <cellStyle name="Normal 2 73" xfId="10028" xr:uid="{00000000-0005-0000-0000-00000C2C0000}"/>
    <cellStyle name="Normal 2 74" xfId="10029" xr:uid="{00000000-0005-0000-0000-00000D2C0000}"/>
    <cellStyle name="Normal 2 75" xfId="10030" xr:uid="{00000000-0005-0000-0000-00000E2C0000}"/>
    <cellStyle name="Normal 2 76" xfId="10031" xr:uid="{00000000-0005-0000-0000-00000F2C0000}"/>
    <cellStyle name="Normal 2 77" xfId="10032" xr:uid="{00000000-0005-0000-0000-0000102C0000}"/>
    <cellStyle name="Normal 2 78" xfId="10033" xr:uid="{00000000-0005-0000-0000-0000112C0000}"/>
    <cellStyle name="Normal 2 79" xfId="10034" xr:uid="{00000000-0005-0000-0000-0000122C0000}"/>
    <cellStyle name="Normal 2 8" xfId="10035" xr:uid="{00000000-0005-0000-0000-0000132C0000}"/>
    <cellStyle name="Normal 2 80" xfId="10036" xr:uid="{00000000-0005-0000-0000-0000142C0000}"/>
    <cellStyle name="Normal 2 81" xfId="10037" xr:uid="{00000000-0005-0000-0000-0000152C0000}"/>
    <cellStyle name="Normal 2 82" xfId="10038" xr:uid="{00000000-0005-0000-0000-0000162C0000}"/>
    <cellStyle name="Normal 2 83" xfId="10039" xr:uid="{00000000-0005-0000-0000-0000172C0000}"/>
    <cellStyle name="Normal 2 84" xfId="10040" xr:uid="{00000000-0005-0000-0000-0000182C0000}"/>
    <cellStyle name="Normal 2 85" xfId="10041" xr:uid="{00000000-0005-0000-0000-0000192C0000}"/>
    <cellStyle name="Normal 2 86" xfId="10042" xr:uid="{00000000-0005-0000-0000-00001A2C0000}"/>
    <cellStyle name="Normal 2 87" xfId="10043" xr:uid="{00000000-0005-0000-0000-00001B2C0000}"/>
    <cellStyle name="Normal 2 88" xfId="10044" xr:uid="{00000000-0005-0000-0000-00001C2C0000}"/>
    <cellStyle name="Normal 2 89" xfId="10045" xr:uid="{00000000-0005-0000-0000-00001D2C0000}"/>
    <cellStyle name="Normal 2 9" xfId="10046" xr:uid="{00000000-0005-0000-0000-00001E2C0000}"/>
    <cellStyle name="Normal 2 9 2" xfId="27148" xr:uid="{00000000-0005-0000-0000-00001F2C0000}"/>
    <cellStyle name="Normal 2 90" xfId="10047" xr:uid="{00000000-0005-0000-0000-0000202C0000}"/>
    <cellStyle name="Normal 2 91" xfId="10048" xr:uid="{00000000-0005-0000-0000-0000212C0000}"/>
    <cellStyle name="Normal 2 92" xfId="10049" xr:uid="{00000000-0005-0000-0000-0000222C0000}"/>
    <cellStyle name="Normal 2 93" xfId="10050" xr:uid="{00000000-0005-0000-0000-0000232C0000}"/>
    <cellStyle name="Normal 2 94" xfId="10051" xr:uid="{00000000-0005-0000-0000-0000242C0000}"/>
    <cellStyle name="Normal 2 95" xfId="10052" xr:uid="{00000000-0005-0000-0000-0000252C0000}"/>
    <cellStyle name="Normal 2 96" xfId="10053" xr:uid="{00000000-0005-0000-0000-0000262C0000}"/>
    <cellStyle name="Normal 2 97" xfId="10054" xr:uid="{00000000-0005-0000-0000-0000272C0000}"/>
    <cellStyle name="Normal 2 98" xfId="10055" xr:uid="{00000000-0005-0000-0000-0000282C0000}"/>
    <cellStyle name="Normal 2 99" xfId="10056" xr:uid="{00000000-0005-0000-0000-0000292C0000}"/>
    <cellStyle name="Normal 2_2008 - Planilha Medição EAS Casco-002 JUN08" xfId="10057" xr:uid="{00000000-0005-0000-0000-00002A2C0000}"/>
    <cellStyle name="Normal 20" xfId="213" xr:uid="{00000000-0005-0000-0000-00002B2C0000}"/>
    <cellStyle name="Normal 20 2" xfId="214" xr:uid="{00000000-0005-0000-0000-00002C2C0000}"/>
    <cellStyle name="Normal 20 2 2" xfId="10060" xr:uid="{00000000-0005-0000-0000-00002D2C0000}"/>
    <cellStyle name="Normal 20 2 3" xfId="10061" xr:uid="{00000000-0005-0000-0000-00002E2C0000}"/>
    <cellStyle name="Normal 20 2 4" xfId="10059" xr:uid="{00000000-0005-0000-0000-00002F2C0000}"/>
    <cellStyle name="Normal 20 3" xfId="10062" xr:uid="{00000000-0005-0000-0000-0000302C0000}"/>
    <cellStyle name="Normal 20 4" xfId="10063" xr:uid="{00000000-0005-0000-0000-0000312C0000}"/>
    <cellStyle name="Normal 20 5" xfId="10058" xr:uid="{00000000-0005-0000-0000-0000322C0000}"/>
    <cellStyle name="Normal 21" xfId="215" xr:uid="{00000000-0005-0000-0000-0000332C0000}"/>
    <cellStyle name="Normal 21 2" xfId="216" xr:uid="{00000000-0005-0000-0000-0000342C0000}"/>
    <cellStyle name="Normal 21 2 2" xfId="10066" xr:uid="{00000000-0005-0000-0000-0000352C0000}"/>
    <cellStyle name="Normal 21 2 3" xfId="10065" xr:uid="{00000000-0005-0000-0000-0000362C0000}"/>
    <cellStyle name="Normal 21 3" xfId="10067" xr:uid="{00000000-0005-0000-0000-0000372C0000}"/>
    <cellStyle name="Normal 21 3 2" xfId="10068" xr:uid="{00000000-0005-0000-0000-0000382C0000}"/>
    <cellStyle name="Normal 21 4" xfId="10064" xr:uid="{00000000-0005-0000-0000-0000392C0000}"/>
    <cellStyle name="Normal 21 5" xfId="27505" xr:uid="{00000000-0005-0000-0000-00003A2C0000}"/>
    <cellStyle name="Normal 22" xfId="217" xr:uid="{00000000-0005-0000-0000-00003B2C0000}"/>
    <cellStyle name="Normal 22 2" xfId="218" xr:uid="{00000000-0005-0000-0000-00003C2C0000}"/>
    <cellStyle name="Normal 22 2 2" xfId="10071" xr:uid="{00000000-0005-0000-0000-00003D2C0000}"/>
    <cellStyle name="Normal 22 2 2 2" xfId="10072" xr:uid="{00000000-0005-0000-0000-00003E2C0000}"/>
    <cellStyle name="Normal 22 2 2 3" xfId="10073" xr:uid="{00000000-0005-0000-0000-00003F2C0000}"/>
    <cellStyle name="Normal 22 2 3" xfId="10074" xr:uid="{00000000-0005-0000-0000-0000402C0000}"/>
    <cellStyle name="Normal 22 2 3 2" xfId="10075" xr:uid="{00000000-0005-0000-0000-0000412C0000}"/>
    <cellStyle name="Normal 22 2 3 2 2" xfId="10076" xr:uid="{00000000-0005-0000-0000-0000422C0000}"/>
    <cellStyle name="Normal 22 2 3 3" xfId="10077" xr:uid="{00000000-0005-0000-0000-0000432C0000}"/>
    <cellStyle name="Normal 22 2 3 4" xfId="10078" xr:uid="{00000000-0005-0000-0000-0000442C0000}"/>
    <cellStyle name="Normal 22 2 4" xfId="10079" xr:uid="{00000000-0005-0000-0000-0000452C0000}"/>
    <cellStyle name="Normal 22 2 5" xfId="10080" xr:uid="{00000000-0005-0000-0000-0000462C0000}"/>
    <cellStyle name="Normal 22 2 6" xfId="10070" xr:uid="{00000000-0005-0000-0000-0000472C0000}"/>
    <cellStyle name="Normal 22 3" xfId="10081" xr:uid="{00000000-0005-0000-0000-0000482C0000}"/>
    <cellStyle name="Normal 22 3 2" xfId="10082" xr:uid="{00000000-0005-0000-0000-0000492C0000}"/>
    <cellStyle name="Normal 22 3 2 2" xfId="10083" xr:uid="{00000000-0005-0000-0000-00004A2C0000}"/>
    <cellStyle name="Normal 22 3 2 3" xfId="10084" xr:uid="{00000000-0005-0000-0000-00004B2C0000}"/>
    <cellStyle name="Normal 22 3 3" xfId="10085" xr:uid="{00000000-0005-0000-0000-00004C2C0000}"/>
    <cellStyle name="Normal 22 3 4" xfId="10086" xr:uid="{00000000-0005-0000-0000-00004D2C0000}"/>
    <cellStyle name="Normal 22 4" xfId="10087" xr:uid="{00000000-0005-0000-0000-00004E2C0000}"/>
    <cellStyle name="Normal 22 4 2" xfId="10088" xr:uid="{00000000-0005-0000-0000-00004F2C0000}"/>
    <cellStyle name="Normal 22 4 2 2" xfId="10089" xr:uid="{00000000-0005-0000-0000-0000502C0000}"/>
    <cellStyle name="Normal 22 4 3" xfId="10090" xr:uid="{00000000-0005-0000-0000-0000512C0000}"/>
    <cellStyle name="Normal 22 4 4" xfId="10091" xr:uid="{00000000-0005-0000-0000-0000522C0000}"/>
    <cellStyle name="Normal 22 5" xfId="10092" xr:uid="{00000000-0005-0000-0000-0000532C0000}"/>
    <cellStyle name="Normal 22 5 2" xfId="10093" xr:uid="{00000000-0005-0000-0000-0000542C0000}"/>
    <cellStyle name="Normal 22 6" xfId="10094" xr:uid="{00000000-0005-0000-0000-0000552C0000}"/>
    <cellStyle name="Normal 22 7" xfId="10069" xr:uid="{00000000-0005-0000-0000-0000562C0000}"/>
    <cellStyle name="Normal 22_Recurso Jan a Mar 09 DEF" xfId="10095" xr:uid="{00000000-0005-0000-0000-0000572C0000}"/>
    <cellStyle name="Normal 23" xfId="219" xr:uid="{00000000-0005-0000-0000-0000582C0000}"/>
    <cellStyle name="Normal 23 2" xfId="220" xr:uid="{00000000-0005-0000-0000-0000592C0000}"/>
    <cellStyle name="Normal 23 2 2" xfId="10097" xr:uid="{00000000-0005-0000-0000-00005A2C0000}"/>
    <cellStyle name="Normal 23 3" xfId="10098" xr:uid="{00000000-0005-0000-0000-00005B2C0000}"/>
    <cellStyle name="Normal 23 4" xfId="10099" xr:uid="{00000000-0005-0000-0000-00005C2C0000}"/>
    <cellStyle name="Normal 23 5" xfId="10096" xr:uid="{00000000-0005-0000-0000-00005D2C0000}"/>
    <cellStyle name="Normal 24" xfId="221" xr:uid="{00000000-0005-0000-0000-00005E2C0000}"/>
    <cellStyle name="Normal 24 2" xfId="222" xr:uid="{00000000-0005-0000-0000-00005F2C0000}"/>
    <cellStyle name="Normal 24 2 2" xfId="10101" xr:uid="{00000000-0005-0000-0000-0000602C0000}"/>
    <cellStyle name="Normal 24 3" xfId="10102" xr:uid="{00000000-0005-0000-0000-0000612C0000}"/>
    <cellStyle name="Normal 24 4" xfId="10100" xr:uid="{00000000-0005-0000-0000-0000622C0000}"/>
    <cellStyle name="Normal 24 5" xfId="27506" xr:uid="{00000000-0005-0000-0000-0000632C0000}"/>
    <cellStyle name="Normal 25" xfId="223" xr:uid="{00000000-0005-0000-0000-0000642C0000}"/>
    <cellStyle name="Normal 25 2" xfId="224" xr:uid="{00000000-0005-0000-0000-0000652C0000}"/>
    <cellStyle name="Normal 25 2 2" xfId="10104" xr:uid="{00000000-0005-0000-0000-0000662C0000}"/>
    <cellStyle name="Normal 25 3" xfId="10105" xr:uid="{00000000-0005-0000-0000-0000672C0000}"/>
    <cellStyle name="Normal 25 4" xfId="10103" xr:uid="{00000000-0005-0000-0000-0000682C0000}"/>
    <cellStyle name="Normal 25 5" xfId="27507" xr:uid="{00000000-0005-0000-0000-0000692C0000}"/>
    <cellStyle name="Normal 26" xfId="225" xr:uid="{00000000-0005-0000-0000-00006A2C0000}"/>
    <cellStyle name="Normal 26 2" xfId="226" xr:uid="{00000000-0005-0000-0000-00006B2C0000}"/>
    <cellStyle name="Normal 26 2 2" xfId="10107" xr:uid="{00000000-0005-0000-0000-00006C2C0000}"/>
    <cellStyle name="Normal 26 3" xfId="10108" xr:uid="{00000000-0005-0000-0000-00006D2C0000}"/>
    <cellStyle name="Normal 26 4" xfId="10106" xr:uid="{00000000-0005-0000-0000-00006E2C0000}"/>
    <cellStyle name="Normal 26 5" xfId="27508" xr:uid="{00000000-0005-0000-0000-00006F2C0000}"/>
    <cellStyle name="Normal 27" xfId="227" xr:uid="{00000000-0005-0000-0000-0000702C0000}"/>
    <cellStyle name="Normal 27 2" xfId="228" xr:uid="{00000000-0005-0000-0000-0000712C0000}"/>
    <cellStyle name="Normal 27 2 2" xfId="10111" xr:uid="{00000000-0005-0000-0000-0000722C0000}"/>
    <cellStyle name="Normal 27 2 3" xfId="10110" xr:uid="{00000000-0005-0000-0000-0000732C0000}"/>
    <cellStyle name="Normal 27 3" xfId="10109" xr:uid="{00000000-0005-0000-0000-0000742C0000}"/>
    <cellStyle name="Normal 28" xfId="229" xr:uid="{00000000-0005-0000-0000-0000752C0000}"/>
    <cellStyle name="Normal 28 2" xfId="230" xr:uid="{00000000-0005-0000-0000-0000762C0000}"/>
    <cellStyle name="Normal 28 3" xfId="10112" xr:uid="{00000000-0005-0000-0000-0000772C0000}"/>
    <cellStyle name="Normal 28 4" xfId="27509" xr:uid="{00000000-0005-0000-0000-0000782C0000}"/>
    <cellStyle name="Normal 29" xfId="231" xr:uid="{00000000-0005-0000-0000-0000792C0000}"/>
    <cellStyle name="Normal 29 2" xfId="232" xr:uid="{00000000-0005-0000-0000-00007A2C0000}"/>
    <cellStyle name="Normal 29 3" xfId="10113" xr:uid="{00000000-0005-0000-0000-00007B2C0000}"/>
    <cellStyle name="Normal 29 4" xfId="27510" xr:uid="{00000000-0005-0000-0000-00007C2C0000}"/>
    <cellStyle name="Normal 3" xfId="233" xr:uid="{00000000-0005-0000-0000-00007D2C0000}"/>
    <cellStyle name="Normal 3 10" xfId="10115" xr:uid="{00000000-0005-0000-0000-00007E2C0000}"/>
    <cellStyle name="Normal 3 11" xfId="10116" xr:uid="{00000000-0005-0000-0000-00007F2C0000}"/>
    <cellStyle name="Normal 3 12" xfId="10117" xr:uid="{00000000-0005-0000-0000-0000802C0000}"/>
    <cellStyle name="Normal 3 13" xfId="10118" xr:uid="{00000000-0005-0000-0000-0000812C0000}"/>
    <cellStyle name="Normal 3 14" xfId="10119" xr:uid="{00000000-0005-0000-0000-0000822C0000}"/>
    <cellStyle name="Normal 3 15" xfId="10120" xr:uid="{00000000-0005-0000-0000-0000832C0000}"/>
    <cellStyle name="Normal 3 16" xfId="10121" xr:uid="{00000000-0005-0000-0000-0000842C0000}"/>
    <cellStyle name="Normal 3 17" xfId="10122" xr:uid="{00000000-0005-0000-0000-0000852C0000}"/>
    <cellStyle name="Normal 3 18" xfId="10123" xr:uid="{00000000-0005-0000-0000-0000862C0000}"/>
    <cellStyle name="Normal 3 19" xfId="10124" xr:uid="{00000000-0005-0000-0000-0000872C0000}"/>
    <cellStyle name="Normal 3 2" xfId="234" xr:uid="{00000000-0005-0000-0000-0000882C0000}"/>
    <cellStyle name="Normal 3 2 10" xfId="10126" xr:uid="{00000000-0005-0000-0000-0000892C0000}"/>
    <cellStyle name="Normal 3 2 11" xfId="10127" xr:uid="{00000000-0005-0000-0000-00008A2C0000}"/>
    <cellStyle name="Normal 3 2 12" xfId="10128" xr:uid="{00000000-0005-0000-0000-00008B2C0000}"/>
    <cellStyle name="Normal 3 2 13" xfId="10129" xr:uid="{00000000-0005-0000-0000-00008C2C0000}"/>
    <cellStyle name="Normal 3 2 14" xfId="10130" xr:uid="{00000000-0005-0000-0000-00008D2C0000}"/>
    <cellStyle name="Normal 3 2 15" xfId="10131" xr:uid="{00000000-0005-0000-0000-00008E2C0000}"/>
    <cellStyle name="Normal 3 2 16" xfId="10132" xr:uid="{00000000-0005-0000-0000-00008F2C0000}"/>
    <cellStyle name="Normal 3 2 17" xfId="10133" xr:uid="{00000000-0005-0000-0000-0000902C0000}"/>
    <cellStyle name="Normal 3 2 18" xfId="10134" xr:uid="{00000000-0005-0000-0000-0000912C0000}"/>
    <cellStyle name="Normal 3 2 19" xfId="10135" xr:uid="{00000000-0005-0000-0000-0000922C0000}"/>
    <cellStyle name="Normal 3 2 2" xfId="235" xr:uid="{00000000-0005-0000-0000-0000932C0000}"/>
    <cellStyle name="Normal 3 2 2 10" xfId="10137" xr:uid="{00000000-0005-0000-0000-0000942C0000}"/>
    <cellStyle name="Normal 3 2 2 11" xfId="10138" xr:uid="{00000000-0005-0000-0000-0000952C0000}"/>
    <cellStyle name="Normal 3 2 2 12" xfId="10139" xr:uid="{00000000-0005-0000-0000-0000962C0000}"/>
    <cellStyle name="Normal 3 2 2 13" xfId="10140" xr:uid="{00000000-0005-0000-0000-0000972C0000}"/>
    <cellStyle name="Normal 3 2 2 14" xfId="10141" xr:uid="{00000000-0005-0000-0000-0000982C0000}"/>
    <cellStyle name="Normal 3 2 2 15" xfId="10142" xr:uid="{00000000-0005-0000-0000-0000992C0000}"/>
    <cellStyle name="Normal 3 2 2 16" xfId="10143" xr:uid="{00000000-0005-0000-0000-00009A2C0000}"/>
    <cellStyle name="Normal 3 2 2 17" xfId="10144" xr:uid="{00000000-0005-0000-0000-00009B2C0000}"/>
    <cellStyle name="Normal 3 2 2 18" xfId="10145" xr:uid="{00000000-0005-0000-0000-00009C2C0000}"/>
    <cellStyle name="Normal 3 2 2 19" xfId="10146" xr:uid="{00000000-0005-0000-0000-00009D2C0000}"/>
    <cellStyle name="Normal 3 2 2 2" xfId="236" xr:uid="{00000000-0005-0000-0000-00009E2C0000}"/>
    <cellStyle name="Normal 3 2 2 2 10" xfId="10148" xr:uid="{00000000-0005-0000-0000-00009F2C0000}"/>
    <cellStyle name="Normal 3 2 2 2 11" xfId="10149" xr:uid="{00000000-0005-0000-0000-0000A02C0000}"/>
    <cellStyle name="Normal 3 2 2 2 12" xfId="10150" xr:uid="{00000000-0005-0000-0000-0000A12C0000}"/>
    <cellStyle name="Normal 3 2 2 2 13" xfId="10151" xr:uid="{00000000-0005-0000-0000-0000A22C0000}"/>
    <cellStyle name="Normal 3 2 2 2 14" xfId="10152" xr:uid="{00000000-0005-0000-0000-0000A32C0000}"/>
    <cellStyle name="Normal 3 2 2 2 15" xfId="10153" xr:uid="{00000000-0005-0000-0000-0000A42C0000}"/>
    <cellStyle name="Normal 3 2 2 2 16" xfId="10154" xr:uid="{00000000-0005-0000-0000-0000A52C0000}"/>
    <cellStyle name="Normal 3 2 2 2 17" xfId="10155" xr:uid="{00000000-0005-0000-0000-0000A62C0000}"/>
    <cellStyle name="Normal 3 2 2 2 18" xfId="10156" xr:uid="{00000000-0005-0000-0000-0000A72C0000}"/>
    <cellStyle name="Normal 3 2 2 2 19" xfId="10157" xr:uid="{00000000-0005-0000-0000-0000A82C0000}"/>
    <cellStyle name="Normal 3 2 2 2 2" xfId="10158" xr:uid="{00000000-0005-0000-0000-0000A92C0000}"/>
    <cellStyle name="Normal 3 2 2 2 20" xfId="10159" xr:uid="{00000000-0005-0000-0000-0000AA2C0000}"/>
    <cellStyle name="Normal 3 2 2 2 21" xfId="10160" xr:uid="{00000000-0005-0000-0000-0000AB2C0000}"/>
    <cellStyle name="Normal 3 2 2 2 22" xfId="10161" xr:uid="{00000000-0005-0000-0000-0000AC2C0000}"/>
    <cellStyle name="Normal 3 2 2 2 23" xfId="10162" xr:uid="{00000000-0005-0000-0000-0000AD2C0000}"/>
    <cellStyle name="Normal 3 2 2 2 24" xfId="10163" xr:uid="{00000000-0005-0000-0000-0000AE2C0000}"/>
    <cellStyle name="Normal 3 2 2 2 25" xfId="10164" xr:uid="{00000000-0005-0000-0000-0000AF2C0000}"/>
    <cellStyle name="Normal 3 2 2 2 26" xfId="10165" xr:uid="{00000000-0005-0000-0000-0000B02C0000}"/>
    <cellStyle name="Normal 3 2 2 2 27" xfId="10166" xr:uid="{00000000-0005-0000-0000-0000B12C0000}"/>
    <cellStyle name="Normal 3 2 2 2 28" xfId="10167" xr:uid="{00000000-0005-0000-0000-0000B22C0000}"/>
    <cellStyle name="Normal 3 2 2 2 29" xfId="10168" xr:uid="{00000000-0005-0000-0000-0000B32C0000}"/>
    <cellStyle name="Normal 3 2 2 2 3" xfId="10169" xr:uid="{00000000-0005-0000-0000-0000B42C0000}"/>
    <cellStyle name="Normal 3 2 2 2 30" xfId="10170" xr:uid="{00000000-0005-0000-0000-0000B52C0000}"/>
    <cellStyle name="Normal 3 2 2 2 31" xfId="10171" xr:uid="{00000000-0005-0000-0000-0000B62C0000}"/>
    <cellStyle name="Normal 3 2 2 2 32" xfId="10172" xr:uid="{00000000-0005-0000-0000-0000B72C0000}"/>
    <cellStyle name="Normal 3 2 2 2 33" xfId="10173" xr:uid="{00000000-0005-0000-0000-0000B82C0000}"/>
    <cellStyle name="Normal 3 2 2 2 34" xfId="10174" xr:uid="{00000000-0005-0000-0000-0000B92C0000}"/>
    <cellStyle name="Normal 3 2 2 2 35" xfId="10175" xr:uid="{00000000-0005-0000-0000-0000BA2C0000}"/>
    <cellStyle name="Normal 3 2 2 2 36" xfId="10147" xr:uid="{00000000-0005-0000-0000-0000BB2C0000}"/>
    <cellStyle name="Normal 3 2 2 2 4" xfId="10176" xr:uid="{00000000-0005-0000-0000-0000BC2C0000}"/>
    <cellStyle name="Normal 3 2 2 2 5" xfId="10177" xr:uid="{00000000-0005-0000-0000-0000BD2C0000}"/>
    <cellStyle name="Normal 3 2 2 2 6" xfId="10178" xr:uid="{00000000-0005-0000-0000-0000BE2C0000}"/>
    <cellStyle name="Normal 3 2 2 2 7" xfId="10179" xr:uid="{00000000-0005-0000-0000-0000BF2C0000}"/>
    <cellStyle name="Normal 3 2 2 2 8" xfId="10180" xr:uid="{00000000-0005-0000-0000-0000C02C0000}"/>
    <cellStyle name="Normal 3 2 2 2 9" xfId="10181" xr:uid="{00000000-0005-0000-0000-0000C12C0000}"/>
    <cellStyle name="Normal 3 2 2 20" xfId="10182" xr:uid="{00000000-0005-0000-0000-0000C22C0000}"/>
    <cellStyle name="Normal 3 2 2 21" xfId="10183" xr:uid="{00000000-0005-0000-0000-0000C32C0000}"/>
    <cellStyle name="Normal 3 2 2 22" xfId="10184" xr:uid="{00000000-0005-0000-0000-0000C42C0000}"/>
    <cellStyle name="Normal 3 2 2 23" xfId="10185" xr:uid="{00000000-0005-0000-0000-0000C52C0000}"/>
    <cellStyle name="Normal 3 2 2 24" xfId="10186" xr:uid="{00000000-0005-0000-0000-0000C62C0000}"/>
    <cellStyle name="Normal 3 2 2 25" xfId="10187" xr:uid="{00000000-0005-0000-0000-0000C72C0000}"/>
    <cellStyle name="Normal 3 2 2 26" xfId="10188" xr:uid="{00000000-0005-0000-0000-0000C82C0000}"/>
    <cellStyle name="Normal 3 2 2 27" xfId="10189" xr:uid="{00000000-0005-0000-0000-0000C92C0000}"/>
    <cellStyle name="Normal 3 2 2 28" xfId="10190" xr:uid="{00000000-0005-0000-0000-0000CA2C0000}"/>
    <cellStyle name="Normal 3 2 2 29" xfId="10191" xr:uid="{00000000-0005-0000-0000-0000CB2C0000}"/>
    <cellStyle name="Normal 3 2 2 3" xfId="237" xr:uid="{00000000-0005-0000-0000-0000CC2C0000}"/>
    <cellStyle name="Normal 3 2 2 3 2" xfId="10192" xr:uid="{00000000-0005-0000-0000-0000CD2C0000}"/>
    <cellStyle name="Normal 3 2 2 30" xfId="10193" xr:uid="{00000000-0005-0000-0000-0000CE2C0000}"/>
    <cellStyle name="Normal 3 2 2 31" xfId="10194" xr:uid="{00000000-0005-0000-0000-0000CF2C0000}"/>
    <cellStyle name="Normal 3 2 2 32" xfId="10195" xr:uid="{00000000-0005-0000-0000-0000D02C0000}"/>
    <cellStyle name="Normal 3 2 2 33" xfId="10196" xr:uid="{00000000-0005-0000-0000-0000D12C0000}"/>
    <cellStyle name="Normal 3 2 2 34" xfId="10197" xr:uid="{00000000-0005-0000-0000-0000D22C0000}"/>
    <cellStyle name="Normal 3 2 2 35" xfId="10198" xr:uid="{00000000-0005-0000-0000-0000D32C0000}"/>
    <cellStyle name="Normal 3 2 2 36" xfId="10136" xr:uid="{00000000-0005-0000-0000-0000D42C0000}"/>
    <cellStyle name="Normal 3 2 2 37" xfId="25867" xr:uid="{00000000-0005-0000-0000-0000D52C0000}"/>
    <cellStyle name="Normal 3 2 2 4" xfId="10199" xr:uid="{00000000-0005-0000-0000-0000D62C0000}"/>
    <cellStyle name="Normal 3 2 2 5" xfId="10200" xr:uid="{00000000-0005-0000-0000-0000D72C0000}"/>
    <cellStyle name="Normal 3 2 2 6" xfId="10201" xr:uid="{00000000-0005-0000-0000-0000D82C0000}"/>
    <cellStyle name="Normal 3 2 2 7" xfId="10202" xr:uid="{00000000-0005-0000-0000-0000D92C0000}"/>
    <cellStyle name="Normal 3 2 2 8" xfId="10203" xr:uid="{00000000-0005-0000-0000-0000DA2C0000}"/>
    <cellStyle name="Normal 3 2 2 9" xfId="10204" xr:uid="{00000000-0005-0000-0000-0000DB2C0000}"/>
    <cellStyle name="Normal 3 2 20" xfId="10205" xr:uid="{00000000-0005-0000-0000-0000DC2C0000}"/>
    <cellStyle name="Normal 3 2 21" xfId="10206" xr:uid="{00000000-0005-0000-0000-0000DD2C0000}"/>
    <cellStyle name="Normal 3 2 22" xfId="10207" xr:uid="{00000000-0005-0000-0000-0000DE2C0000}"/>
    <cellStyle name="Normal 3 2 23" xfId="10208" xr:uid="{00000000-0005-0000-0000-0000DF2C0000}"/>
    <cellStyle name="Normal 3 2 24" xfId="10209" xr:uid="{00000000-0005-0000-0000-0000E02C0000}"/>
    <cellStyle name="Normal 3 2 25" xfId="10210" xr:uid="{00000000-0005-0000-0000-0000E12C0000}"/>
    <cellStyle name="Normal 3 2 26" xfId="10211" xr:uid="{00000000-0005-0000-0000-0000E22C0000}"/>
    <cellStyle name="Normal 3 2 27" xfId="10212" xr:uid="{00000000-0005-0000-0000-0000E32C0000}"/>
    <cellStyle name="Normal 3 2 28" xfId="10213" xr:uid="{00000000-0005-0000-0000-0000E42C0000}"/>
    <cellStyle name="Normal 3 2 29" xfId="10214" xr:uid="{00000000-0005-0000-0000-0000E52C0000}"/>
    <cellStyle name="Normal 3 2 3" xfId="238" xr:uid="{00000000-0005-0000-0000-0000E62C0000}"/>
    <cellStyle name="Normal 3 2 3 2" xfId="239" xr:uid="{00000000-0005-0000-0000-0000E72C0000}"/>
    <cellStyle name="Normal 3 2 3 2 2" xfId="240" xr:uid="{00000000-0005-0000-0000-0000E82C0000}"/>
    <cellStyle name="Normal 3 2 3 2 2 2" xfId="241" xr:uid="{00000000-0005-0000-0000-0000E92C0000}"/>
    <cellStyle name="Normal 3 2 3 2 3" xfId="242" xr:uid="{00000000-0005-0000-0000-0000EA2C0000}"/>
    <cellStyle name="Normal 3 2 3 3" xfId="243" xr:uid="{00000000-0005-0000-0000-0000EB2C0000}"/>
    <cellStyle name="Normal 3 2 3 3 2" xfId="244" xr:uid="{00000000-0005-0000-0000-0000EC2C0000}"/>
    <cellStyle name="Normal 3 2 3 4" xfId="245" xr:uid="{00000000-0005-0000-0000-0000ED2C0000}"/>
    <cellStyle name="Normal 3 2 3 5" xfId="10215" xr:uid="{00000000-0005-0000-0000-0000EE2C0000}"/>
    <cellStyle name="Normal 3 2 30" xfId="10216" xr:uid="{00000000-0005-0000-0000-0000EF2C0000}"/>
    <cellStyle name="Normal 3 2 31" xfId="10217" xr:uid="{00000000-0005-0000-0000-0000F02C0000}"/>
    <cellStyle name="Normal 3 2 32" xfId="10218" xr:uid="{00000000-0005-0000-0000-0000F12C0000}"/>
    <cellStyle name="Normal 3 2 33" xfId="10219" xr:uid="{00000000-0005-0000-0000-0000F22C0000}"/>
    <cellStyle name="Normal 3 2 34" xfId="10220" xr:uid="{00000000-0005-0000-0000-0000F32C0000}"/>
    <cellStyle name="Normal 3 2 35" xfId="10221" xr:uid="{00000000-0005-0000-0000-0000F42C0000}"/>
    <cellStyle name="Normal 3 2 36" xfId="10222" xr:uid="{00000000-0005-0000-0000-0000F52C0000}"/>
    <cellStyle name="Normal 3 2 37" xfId="10223" xr:uid="{00000000-0005-0000-0000-0000F62C0000}"/>
    <cellStyle name="Normal 3 2 38" xfId="10224" xr:uid="{00000000-0005-0000-0000-0000F72C0000}"/>
    <cellStyle name="Normal 3 2 39" xfId="10125" xr:uid="{00000000-0005-0000-0000-0000F82C0000}"/>
    <cellStyle name="Normal 3 2 4" xfId="246" xr:uid="{00000000-0005-0000-0000-0000F92C0000}"/>
    <cellStyle name="Normal 3 2 4 2" xfId="247" xr:uid="{00000000-0005-0000-0000-0000FA2C0000}"/>
    <cellStyle name="Normal 3 2 4 2 2" xfId="248" xr:uid="{00000000-0005-0000-0000-0000FB2C0000}"/>
    <cellStyle name="Normal 3 2 4 3" xfId="249" xr:uid="{00000000-0005-0000-0000-0000FC2C0000}"/>
    <cellStyle name="Normal 3 2 4 4" xfId="10225" xr:uid="{00000000-0005-0000-0000-0000FD2C0000}"/>
    <cellStyle name="Normal 3 2 5" xfId="250" xr:uid="{00000000-0005-0000-0000-0000FE2C0000}"/>
    <cellStyle name="Normal 3 2 5 2" xfId="251" xr:uid="{00000000-0005-0000-0000-0000FF2C0000}"/>
    <cellStyle name="Normal 3 2 5 2 2" xfId="252" xr:uid="{00000000-0005-0000-0000-0000002D0000}"/>
    <cellStyle name="Normal 3 2 5 3" xfId="253" xr:uid="{00000000-0005-0000-0000-0000012D0000}"/>
    <cellStyle name="Normal 3 2 5 4" xfId="10226" xr:uid="{00000000-0005-0000-0000-0000022D0000}"/>
    <cellStyle name="Normal 3 2 6" xfId="254" xr:uid="{00000000-0005-0000-0000-0000032D0000}"/>
    <cellStyle name="Normal 3 2 6 2" xfId="10227" xr:uid="{00000000-0005-0000-0000-0000042D0000}"/>
    <cellStyle name="Normal 3 2 7" xfId="255" xr:uid="{00000000-0005-0000-0000-0000052D0000}"/>
    <cellStyle name="Normal 3 2 7 2" xfId="10228" xr:uid="{00000000-0005-0000-0000-0000062D0000}"/>
    <cellStyle name="Normal 3 2 8" xfId="10229" xr:uid="{00000000-0005-0000-0000-0000072D0000}"/>
    <cellStyle name="Normal 3 2 9" xfId="10230" xr:uid="{00000000-0005-0000-0000-0000082D0000}"/>
    <cellStyle name="Normal 3 20" xfId="10231" xr:uid="{00000000-0005-0000-0000-0000092D0000}"/>
    <cellStyle name="Normal 3 21" xfId="10232" xr:uid="{00000000-0005-0000-0000-00000A2D0000}"/>
    <cellStyle name="Normal 3 22" xfId="10233" xr:uid="{00000000-0005-0000-0000-00000B2D0000}"/>
    <cellStyle name="Normal 3 23" xfId="10234" xr:uid="{00000000-0005-0000-0000-00000C2D0000}"/>
    <cellStyle name="Normal 3 24" xfId="10235" xr:uid="{00000000-0005-0000-0000-00000D2D0000}"/>
    <cellStyle name="Normal 3 25" xfId="10236" xr:uid="{00000000-0005-0000-0000-00000E2D0000}"/>
    <cellStyle name="Normal 3 26" xfId="10237" xr:uid="{00000000-0005-0000-0000-00000F2D0000}"/>
    <cellStyle name="Normal 3 27" xfId="10238" xr:uid="{00000000-0005-0000-0000-0000102D0000}"/>
    <cellStyle name="Normal 3 28" xfId="10239" xr:uid="{00000000-0005-0000-0000-0000112D0000}"/>
    <cellStyle name="Normal 3 29" xfId="10240" xr:uid="{00000000-0005-0000-0000-0000122D0000}"/>
    <cellStyle name="Normal 3 3" xfId="256" xr:uid="{00000000-0005-0000-0000-0000132D0000}"/>
    <cellStyle name="Normal 3 3 2" xfId="257" xr:uid="{00000000-0005-0000-0000-0000142D0000}"/>
    <cellStyle name="Normal 3 3 2 2" xfId="258" xr:uid="{00000000-0005-0000-0000-0000152D0000}"/>
    <cellStyle name="Normal 3 3 2 2 2" xfId="259" xr:uid="{00000000-0005-0000-0000-0000162D0000}"/>
    <cellStyle name="Normal 3 3 2 3" xfId="260" xr:uid="{00000000-0005-0000-0000-0000172D0000}"/>
    <cellStyle name="Normal 3 3 2 4" xfId="10242" xr:uid="{00000000-0005-0000-0000-0000182D0000}"/>
    <cellStyle name="Normal 3 3 3" xfId="261" xr:uid="{00000000-0005-0000-0000-0000192D0000}"/>
    <cellStyle name="Normal 3 3 3 2" xfId="262" xr:uid="{00000000-0005-0000-0000-00001A2D0000}"/>
    <cellStyle name="Normal 3 3 4" xfId="263" xr:uid="{00000000-0005-0000-0000-00001B2D0000}"/>
    <cellStyle name="Normal 3 3 5" xfId="10241" xr:uid="{00000000-0005-0000-0000-00001C2D0000}"/>
    <cellStyle name="Normal 3 3 6" xfId="25868" xr:uid="{00000000-0005-0000-0000-00001D2D0000}"/>
    <cellStyle name="Normal 3 30" xfId="10243" xr:uid="{00000000-0005-0000-0000-00001E2D0000}"/>
    <cellStyle name="Normal 3 31" xfId="10244" xr:uid="{00000000-0005-0000-0000-00001F2D0000}"/>
    <cellStyle name="Normal 3 32" xfId="10245" xr:uid="{00000000-0005-0000-0000-0000202D0000}"/>
    <cellStyle name="Normal 3 33" xfId="10246" xr:uid="{00000000-0005-0000-0000-0000212D0000}"/>
    <cellStyle name="Normal 3 34" xfId="10247" xr:uid="{00000000-0005-0000-0000-0000222D0000}"/>
    <cellStyle name="Normal 3 35" xfId="10248" xr:uid="{00000000-0005-0000-0000-0000232D0000}"/>
    <cellStyle name="Normal 3 36" xfId="10249" xr:uid="{00000000-0005-0000-0000-0000242D0000}"/>
    <cellStyle name="Normal 3 37" xfId="10250" xr:uid="{00000000-0005-0000-0000-0000252D0000}"/>
    <cellStyle name="Normal 3 38" xfId="10251" xr:uid="{00000000-0005-0000-0000-0000262D0000}"/>
    <cellStyle name="Normal 3 39" xfId="10252" xr:uid="{00000000-0005-0000-0000-0000272D0000}"/>
    <cellStyle name="Normal 3 4" xfId="264" xr:uid="{00000000-0005-0000-0000-0000282D0000}"/>
    <cellStyle name="Normal 3 4 10" xfId="10254" xr:uid="{00000000-0005-0000-0000-0000292D0000}"/>
    <cellStyle name="Normal 3 4 10 2" xfId="10255" xr:uid="{00000000-0005-0000-0000-00002A2D0000}"/>
    <cellStyle name="Normal 3 4 11" xfId="10256" xr:uid="{00000000-0005-0000-0000-00002B2D0000}"/>
    <cellStyle name="Normal 3 4 11 2" xfId="10257" xr:uid="{00000000-0005-0000-0000-00002C2D0000}"/>
    <cellStyle name="Normal 3 4 12" xfId="10258" xr:uid="{00000000-0005-0000-0000-00002D2D0000}"/>
    <cellStyle name="Normal 3 4 12 2" xfId="10259" xr:uid="{00000000-0005-0000-0000-00002E2D0000}"/>
    <cellStyle name="Normal 3 4 13" xfId="10253" xr:uid="{00000000-0005-0000-0000-00002F2D0000}"/>
    <cellStyle name="Normal 3 4 2" xfId="265" xr:uid="{00000000-0005-0000-0000-0000302D0000}"/>
    <cellStyle name="Normal 3 4 2 10" xfId="10260" xr:uid="{00000000-0005-0000-0000-0000312D0000}"/>
    <cellStyle name="Normal 3 4 2 11" xfId="10261" xr:uid="{00000000-0005-0000-0000-0000322D0000}"/>
    <cellStyle name="Normal 3 4 2 2" xfId="266" xr:uid="{00000000-0005-0000-0000-0000332D0000}"/>
    <cellStyle name="Normal 3 4 2 2 2" xfId="10262" xr:uid="{00000000-0005-0000-0000-0000342D0000}"/>
    <cellStyle name="Normal 3 4 2 2 2 2" xfId="27099" xr:uid="{00000000-0005-0000-0000-0000352D0000}"/>
    <cellStyle name="Normal 3 4 2 3" xfId="10263" xr:uid="{00000000-0005-0000-0000-0000362D0000}"/>
    <cellStyle name="Normal 3 4 2 3 2" xfId="27098" xr:uid="{00000000-0005-0000-0000-0000372D0000}"/>
    <cellStyle name="Normal 3 4 2 4" xfId="10264" xr:uid="{00000000-0005-0000-0000-0000382D0000}"/>
    <cellStyle name="Normal 3 4 2 5" xfId="10265" xr:uid="{00000000-0005-0000-0000-0000392D0000}"/>
    <cellStyle name="Normal 3 4 2 6" xfId="10266" xr:uid="{00000000-0005-0000-0000-00003A2D0000}"/>
    <cellStyle name="Normal 3 4 2 7" xfId="10267" xr:uid="{00000000-0005-0000-0000-00003B2D0000}"/>
    <cellStyle name="Normal 3 4 2 8" xfId="10268" xr:uid="{00000000-0005-0000-0000-00003C2D0000}"/>
    <cellStyle name="Normal 3 4 2 9" xfId="10269" xr:uid="{00000000-0005-0000-0000-00003D2D0000}"/>
    <cellStyle name="Normal 3 4 3" xfId="267" xr:uid="{00000000-0005-0000-0000-00003E2D0000}"/>
    <cellStyle name="Normal 3 4 3 2" xfId="10270" xr:uid="{00000000-0005-0000-0000-00003F2D0000}"/>
    <cellStyle name="Normal 3 4 3 2 2" xfId="27100" xr:uid="{00000000-0005-0000-0000-0000402D0000}"/>
    <cellStyle name="Normal 3 4 4" xfId="10271" xr:uid="{00000000-0005-0000-0000-0000412D0000}"/>
    <cellStyle name="Normal 3 4 4 2" xfId="27097" xr:uid="{00000000-0005-0000-0000-0000422D0000}"/>
    <cellStyle name="Normal 3 4 5" xfId="10272" xr:uid="{00000000-0005-0000-0000-0000432D0000}"/>
    <cellStyle name="Normal 3 4 5 2" xfId="10273" xr:uid="{00000000-0005-0000-0000-0000442D0000}"/>
    <cellStyle name="Normal 3 4 6" xfId="10274" xr:uid="{00000000-0005-0000-0000-0000452D0000}"/>
    <cellStyle name="Normal 3 4 6 2" xfId="10275" xr:uid="{00000000-0005-0000-0000-0000462D0000}"/>
    <cellStyle name="Normal 3 4 7" xfId="10276" xr:uid="{00000000-0005-0000-0000-0000472D0000}"/>
    <cellStyle name="Normal 3 4 7 2" xfId="10277" xr:uid="{00000000-0005-0000-0000-0000482D0000}"/>
    <cellStyle name="Normal 3 4 8" xfId="10278" xr:uid="{00000000-0005-0000-0000-0000492D0000}"/>
    <cellStyle name="Normal 3 4 8 2" xfId="10279" xr:uid="{00000000-0005-0000-0000-00004A2D0000}"/>
    <cellStyle name="Normal 3 4 9" xfId="10280" xr:uid="{00000000-0005-0000-0000-00004B2D0000}"/>
    <cellStyle name="Normal 3 4 9 2" xfId="10281" xr:uid="{00000000-0005-0000-0000-00004C2D0000}"/>
    <cellStyle name="Normal 3 40" xfId="10114" xr:uid="{00000000-0005-0000-0000-00004D2D0000}"/>
    <cellStyle name="Normal 3 5" xfId="268" xr:uid="{00000000-0005-0000-0000-00004E2D0000}"/>
    <cellStyle name="Normal 3 5 2" xfId="269" xr:uid="{00000000-0005-0000-0000-00004F2D0000}"/>
    <cellStyle name="Normal 3 5 2 2" xfId="270" xr:uid="{00000000-0005-0000-0000-0000502D0000}"/>
    <cellStyle name="Normal 3 5 3" xfId="271" xr:uid="{00000000-0005-0000-0000-0000512D0000}"/>
    <cellStyle name="Normal 3 5 4" xfId="10282" xr:uid="{00000000-0005-0000-0000-0000522D0000}"/>
    <cellStyle name="Normal 3 5 5" xfId="25869" xr:uid="{00000000-0005-0000-0000-0000532D0000}"/>
    <cellStyle name="Normal 3 6" xfId="272" xr:uid="{00000000-0005-0000-0000-0000542D0000}"/>
    <cellStyle name="Normal 3 6 10" xfId="10284" xr:uid="{00000000-0005-0000-0000-0000552D0000}"/>
    <cellStyle name="Normal 3 6 10 2" xfId="10285" xr:uid="{00000000-0005-0000-0000-0000562D0000}"/>
    <cellStyle name="Normal 3 6 11" xfId="10283" xr:uid="{00000000-0005-0000-0000-0000572D0000}"/>
    <cellStyle name="Normal 3 6 2" xfId="10286" xr:uid="{00000000-0005-0000-0000-0000582D0000}"/>
    <cellStyle name="Normal 3 6 2 2" xfId="10287" xr:uid="{00000000-0005-0000-0000-0000592D0000}"/>
    <cellStyle name="Normal 3 6 3" xfId="10288" xr:uid="{00000000-0005-0000-0000-00005A2D0000}"/>
    <cellStyle name="Normal 3 6 3 2" xfId="10289" xr:uid="{00000000-0005-0000-0000-00005B2D0000}"/>
    <cellStyle name="Normal 3 6 4" xfId="10290" xr:uid="{00000000-0005-0000-0000-00005C2D0000}"/>
    <cellStyle name="Normal 3 6 4 2" xfId="10291" xr:uid="{00000000-0005-0000-0000-00005D2D0000}"/>
    <cellStyle name="Normal 3 6 5" xfId="10292" xr:uid="{00000000-0005-0000-0000-00005E2D0000}"/>
    <cellStyle name="Normal 3 6 5 2" xfId="10293" xr:uid="{00000000-0005-0000-0000-00005F2D0000}"/>
    <cellStyle name="Normal 3 6 6" xfId="10294" xr:uid="{00000000-0005-0000-0000-0000602D0000}"/>
    <cellStyle name="Normal 3 6 6 2" xfId="10295" xr:uid="{00000000-0005-0000-0000-0000612D0000}"/>
    <cellStyle name="Normal 3 6 7" xfId="10296" xr:uid="{00000000-0005-0000-0000-0000622D0000}"/>
    <cellStyle name="Normal 3 6 7 2" xfId="10297" xr:uid="{00000000-0005-0000-0000-0000632D0000}"/>
    <cellStyle name="Normal 3 6 8" xfId="10298" xr:uid="{00000000-0005-0000-0000-0000642D0000}"/>
    <cellStyle name="Normal 3 6 8 2" xfId="10299" xr:uid="{00000000-0005-0000-0000-0000652D0000}"/>
    <cellStyle name="Normal 3 6 9" xfId="10300" xr:uid="{00000000-0005-0000-0000-0000662D0000}"/>
    <cellStyle name="Normal 3 6 9 2" xfId="10301" xr:uid="{00000000-0005-0000-0000-0000672D0000}"/>
    <cellStyle name="Normal 3 7" xfId="273" xr:uid="{00000000-0005-0000-0000-0000682D0000}"/>
    <cellStyle name="Normal 3 7 10" xfId="10303" xr:uid="{00000000-0005-0000-0000-0000692D0000}"/>
    <cellStyle name="Normal 3 7 10 2" xfId="10304" xr:uid="{00000000-0005-0000-0000-00006A2D0000}"/>
    <cellStyle name="Normal 3 7 11" xfId="10302" xr:uid="{00000000-0005-0000-0000-00006B2D0000}"/>
    <cellStyle name="Normal 3 7 2" xfId="10305" xr:uid="{00000000-0005-0000-0000-00006C2D0000}"/>
    <cellStyle name="Normal 3 7 2 2" xfId="10306" xr:uid="{00000000-0005-0000-0000-00006D2D0000}"/>
    <cellStyle name="Normal 3 7 3" xfId="10307" xr:uid="{00000000-0005-0000-0000-00006E2D0000}"/>
    <cellStyle name="Normal 3 7 3 2" xfId="10308" xr:uid="{00000000-0005-0000-0000-00006F2D0000}"/>
    <cellStyle name="Normal 3 7 4" xfId="10309" xr:uid="{00000000-0005-0000-0000-0000702D0000}"/>
    <cellStyle name="Normal 3 7 4 2" xfId="10310" xr:uid="{00000000-0005-0000-0000-0000712D0000}"/>
    <cellStyle name="Normal 3 7 5" xfId="10311" xr:uid="{00000000-0005-0000-0000-0000722D0000}"/>
    <cellStyle name="Normal 3 7 5 2" xfId="10312" xr:uid="{00000000-0005-0000-0000-0000732D0000}"/>
    <cellStyle name="Normal 3 7 6" xfId="10313" xr:uid="{00000000-0005-0000-0000-0000742D0000}"/>
    <cellStyle name="Normal 3 7 6 2" xfId="10314" xr:uid="{00000000-0005-0000-0000-0000752D0000}"/>
    <cellStyle name="Normal 3 7 7" xfId="10315" xr:uid="{00000000-0005-0000-0000-0000762D0000}"/>
    <cellStyle name="Normal 3 7 7 2" xfId="10316" xr:uid="{00000000-0005-0000-0000-0000772D0000}"/>
    <cellStyle name="Normal 3 7 8" xfId="10317" xr:uid="{00000000-0005-0000-0000-0000782D0000}"/>
    <cellStyle name="Normal 3 7 8 2" xfId="10318" xr:uid="{00000000-0005-0000-0000-0000792D0000}"/>
    <cellStyle name="Normal 3 7 9" xfId="10319" xr:uid="{00000000-0005-0000-0000-00007A2D0000}"/>
    <cellStyle name="Normal 3 7 9 2" xfId="10320" xr:uid="{00000000-0005-0000-0000-00007B2D0000}"/>
    <cellStyle name="Normal 3 8" xfId="274" xr:uid="{00000000-0005-0000-0000-00007C2D0000}"/>
    <cellStyle name="Normal 3 8 2" xfId="10321" xr:uid="{00000000-0005-0000-0000-00007D2D0000}"/>
    <cellStyle name="Normal 3 9" xfId="275" xr:uid="{00000000-0005-0000-0000-00007E2D0000}"/>
    <cellStyle name="Normal 3 9 2" xfId="10322" xr:uid="{00000000-0005-0000-0000-00007F2D0000}"/>
    <cellStyle name="Normal 3_2008 - Planilha Medição EAS Casco-002 OUT08" xfId="10323" xr:uid="{00000000-0005-0000-0000-0000802D0000}"/>
    <cellStyle name="Normal 30" xfId="276" xr:uid="{00000000-0005-0000-0000-0000812D0000}"/>
    <cellStyle name="Normal 30 10" xfId="10325" xr:uid="{00000000-0005-0000-0000-0000822D0000}"/>
    <cellStyle name="Normal 30 11" xfId="10326" xr:uid="{00000000-0005-0000-0000-0000832D0000}"/>
    <cellStyle name="Normal 30 12" xfId="10327" xr:uid="{00000000-0005-0000-0000-0000842D0000}"/>
    <cellStyle name="Normal 30 13" xfId="10328" xr:uid="{00000000-0005-0000-0000-0000852D0000}"/>
    <cellStyle name="Normal 30 14" xfId="10329" xr:uid="{00000000-0005-0000-0000-0000862D0000}"/>
    <cellStyle name="Normal 30 15" xfId="10324" xr:uid="{00000000-0005-0000-0000-0000872D0000}"/>
    <cellStyle name="Normal 30 2" xfId="277" xr:uid="{00000000-0005-0000-0000-0000882D0000}"/>
    <cellStyle name="Normal 30 2 2" xfId="10331" xr:uid="{00000000-0005-0000-0000-0000892D0000}"/>
    <cellStyle name="Normal 30 2 3" xfId="10332" xr:uid="{00000000-0005-0000-0000-00008A2D0000}"/>
    <cellStyle name="Normal 30 2 4" xfId="10330" xr:uid="{00000000-0005-0000-0000-00008B2D0000}"/>
    <cellStyle name="Normal 30 3" xfId="10333" xr:uid="{00000000-0005-0000-0000-00008C2D0000}"/>
    <cellStyle name="Normal 30 4" xfId="10334" xr:uid="{00000000-0005-0000-0000-00008D2D0000}"/>
    <cellStyle name="Normal 30 5" xfId="10335" xr:uid="{00000000-0005-0000-0000-00008E2D0000}"/>
    <cellStyle name="Normal 30 6" xfId="10336" xr:uid="{00000000-0005-0000-0000-00008F2D0000}"/>
    <cellStyle name="Normal 30 7" xfId="10337" xr:uid="{00000000-0005-0000-0000-0000902D0000}"/>
    <cellStyle name="Normal 30 8" xfId="10338" xr:uid="{00000000-0005-0000-0000-0000912D0000}"/>
    <cellStyle name="Normal 30 9" xfId="10339" xr:uid="{00000000-0005-0000-0000-0000922D0000}"/>
    <cellStyle name="Normal 31" xfId="278" xr:uid="{00000000-0005-0000-0000-0000932D0000}"/>
    <cellStyle name="Normal 31 10" xfId="10341" xr:uid="{00000000-0005-0000-0000-0000942D0000}"/>
    <cellStyle name="Normal 31 11" xfId="10342" xr:uid="{00000000-0005-0000-0000-0000952D0000}"/>
    <cellStyle name="Normal 31 12" xfId="10343" xr:uid="{00000000-0005-0000-0000-0000962D0000}"/>
    <cellStyle name="Normal 31 13" xfId="10344" xr:uid="{00000000-0005-0000-0000-0000972D0000}"/>
    <cellStyle name="Normal 31 14" xfId="10345" xr:uid="{00000000-0005-0000-0000-0000982D0000}"/>
    <cellStyle name="Normal 31 15" xfId="10340" xr:uid="{00000000-0005-0000-0000-0000992D0000}"/>
    <cellStyle name="Normal 31 16" xfId="27511" xr:uid="{00000000-0005-0000-0000-00009A2D0000}"/>
    <cellStyle name="Normal 31 2" xfId="279" xr:uid="{00000000-0005-0000-0000-00009B2D0000}"/>
    <cellStyle name="Normal 31 2 2" xfId="10346" xr:uid="{00000000-0005-0000-0000-00009C2D0000}"/>
    <cellStyle name="Normal 31 3" xfId="10347" xr:uid="{00000000-0005-0000-0000-00009D2D0000}"/>
    <cellStyle name="Normal 31 4" xfId="10348" xr:uid="{00000000-0005-0000-0000-00009E2D0000}"/>
    <cellStyle name="Normal 31 5" xfId="10349" xr:uid="{00000000-0005-0000-0000-00009F2D0000}"/>
    <cellStyle name="Normal 31 6" xfId="10350" xr:uid="{00000000-0005-0000-0000-0000A02D0000}"/>
    <cellStyle name="Normal 31 7" xfId="10351" xr:uid="{00000000-0005-0000-0000-0000A12D0000}"/>
    <cellStyle name="Normal 31 8" xfId="10352" xr:uid="{00000000-0005-0000-0000-0000A22D0000}"/>
    <cellStyle name="Normal 31 9" xfId="10353" xr:uid="{00000000-0005-0000-0000-0000A32D0000}"/>
    <cellStyle name="Normal 32" xfId="280" xr:uid="{00000000-0005-0000-0000-0000A42D0000}"/>
    <cellStyle name="Normal 32 10" xfId="10355" xr:uid="{00000000-0005-0000-0000-0000A52D0000}"/>
    <cellStyle name="Normal 32 11" xfId="10356" xr:uid="{00000000-0005-0000-0000-0000A62D0000}"/>
    <cellStyle name="Normal 32 12" xfId="10357" xr:uid="{00000000-0005-0000-0000-0000A72D0000}"/>
    <cellStyle name="Normal 32 13" xfId="10358" xr:uid="{00000000-0005-0000-0000-0000A82D0000}"/>
    <cellStyle name="Normal 32 14" xfId="10359" xr:uid="{00000000-0005-0000-0000-0000A92D0000}"/>
    <cellStyle name="Normal 32 15" xfId="10354" xr:uid="{00000000-0005-0000-0000-0000AA2D0000}"/>
    <cellStyle name="Normal 32 2" xfId="281" xr:uid="{00000000-0005-0000-0000-0000AB2D0000}"/>
    <cellStyle name="Normal 32 2 2" xfId="10360" xr:uid="{00000000-0005-0000-0000-0000AC2D0000}"/>
    <cellStyle name="Normal 32 3" xfId="10361" xr:uid="{00000000-0005-0000-0000-0000AD2D0000}"/>
    <cellStyle name="Normal 32 4" xfId="10362" xr:uid="{00000000-0005-0000-0000-0000AE2D0000}"/>
    <cellStyle name="Normal 32 5" xfId="10363" xr:uid="{00000000-0005-0000-0000-0000AF2D0000}"/>
    <cellStyle name="Normal 32 6" xfId="10364" xr:uid="{00000000-0005-0000-0000-0000B02D0000}"/>
    <cellStyle name="Normal 32 7" xfId="10365" xr:uid="{00000000-0005-0000-0000-0000B12D0000}"/>
    <cellStyle name="Normal 32 8" xfId="10366" xr:uid="{00000000-0005-0000-0000-0000B22D0000}"/>
    <cellStyle name="Normal 32 9" xfId="10367" xr:uid="{00000000-0005-0000-0000-0000B32D0000}"/>
    <cellStyle name="Normal 33" xfId="282" xr:uid="{00000000-0005-0000-0000-0000B42D0000}"/>
    <cellStyle name="Normal 33 2" xfId="283" xr:uid="{00000000-0005-0000-0000-0000B52D0000}"/>
    <cellStyle name="Normal 33 2 2" xfId="10369" xr:uid="{00000000-0005-0000-0000-0000B62D0000}"/>
    <cellStyle name="Normal 33 3" xfId="10370" xr:uid="{00000000-0005-0000-0000-0000B72D0000}"/>
    <cellStyle name="Normal 33 4" xfId="10371" xr:uid="{00000000-0005-0000-0000-0000B82D0000}"/>
    <cellStyle name="Normal 33 5" xfId="10368" xr:uid="{00000000-0005-0000-0000-0000B92D0000}"/>
    <cellStyle name="Normal 34" xfId="284" xr:uid="{00000000-0005-0000-0000-0000BA2D0000}"/>
    <cellStyle name="Normal 34 2" xfId="285" xr:uid="{00000000-0005-0000-0000-0000BB2D0000}"/>
    <cellStyle name="Normal 34 2 2" xfId="10373" xr:uid="{00000000-0005-0000-0000-0000BC2D0000}"/>
    <cellStyle name="Normal 34 3" xfId="10374" xr:uid="{00000000-0005-0000-0000-0000BD2D0000}"/>
    <cellStyle name="Normal 34 4" xfId="10372" xr:uid="{00000000-0005-0000-0000-0000BE2D0000}"/>
    <cellStyle name="Normal 34 5" xfId="27512" xr:uid="{00000000-0005-0000-0000-0000BF2D0000}"/>
    <cellStyle name="Normal 35" xfId="286" xr:uid="{00000000-0005-0000-0000-0000C02D0000}"/>
    <cellStyle name="Normal 35 2" xfId="287" xr:uid="{00000000-0005-0000-0000-0000C12D0000}"/>
    <cellStyle name="Normal 35 3" xfId="10375" xr:uid="{00000000-0005-0000-0000-0000C22D0000}"/>
    <cellStyle name="Normal 35 4" xfId="27513" xr:uid="{00000000-0005-0000-0000-0000C32D0000}"/>
    <cellStyle name="Normal 36" xfId="288" xr:uid="{00000000-0005-0000-0000-0000C42D0000}"/>
    <cellStyle name="Normal 36 2" xfId="289" xr:uid="{00000000-0005-0000-0000-0000C52D0000}"/>
    <cellStyle name="Normal 36 3" xfId="10376" xr:uid="{00000000-0005-0000-0000-0000C62D0000}"/>
    <cellStyle name="Normal 36 4" xfId="27514" xr:uid="{00000000-0005-0000-0000-0000C72D0000}"/>
    <cellStyle name="Normal 37" xfId="290" xr:uid="{00000000-0005-0000-0000-0000C82D0000}"/>
    <cellStyle name="Normal 37 2" xfId="291" xr:uid="{00000000-0005-0000-0000-0000C92D0000}"/>
    <cellStyle name="Normal 37 3" xfId="10377" xr:uid="{00000000-0005-0000-0000-0000CA2D0000}"/>
    <cellStyle name="Normal 37 4" xfId="27515" xr:uid="{00000000-0005-0000-0000-0000CB2D0000}"/>
    <cellStyle name="Normal 38" xfId="292" xr:uid="{00000000-0005-0000-0000-0000CC2D0000}"/>
    <cellStyle name="Normal 38 2" xfId="293" xr:uid="{00000000-0005-0000-0000-0000CD2D0000}"/>
    <cellStyle name="Normal 38 3" xfId="10378" xr:uid="{00000000-0005-0000-0000-0000CE2D0000}"/>
    <cellStyle name="Normal 39" xfId="294" xr:uid="{00000000-0005-0000-0000-0000CF2D0000}"/>
    <cellStyle name="Normal 39 2" xfId="295" xr:uid="{00000000-0005-0000-0000-0000D02D0000}"/>
    <cellStyle name="Normal 39 3" xfId="10379" xr:uid="{00000000-0005-0000-0000-0000D12D0000}"/>
    <cellStyle name="Normal 39 4" xfId="27516" xr:uid="{00000000-0005-0000-0000-0000D22D0000}"/>
    <cellStyle name="Normal 4" xfId="296" xr:uid="{00000000-0005-0000-0000-0000D32D0000}"/>
    <cellStyle name="Normal 4 10" xfId="297" xr:uid="{00000000-0005-0000-0000-0000D42D0000}"/>
    <cellStyle name="Normal 4 10 2" xfId="10380" xr:uid="{00000000-0005-0000-0000-0000D52D0000}"/>
    <cellStyle name="Normal 4 11" xfId="10381" xr:uid="{00000000-0005-0000-0000-0000D62D0000}"/>
    <cellStyle name="Normal 4 12" xfId="10382" xr:uid="{00000000-0005-0000-0000-0000D72D0000}"/>
    <cellStyle name="Normal 4 13" xfId="10383" xr:uid="{00000000-0005-0000-0000-0000D82D0000}"/>
    <cellStyle name="Normal 4 14" xfId="10384" xr:uid="{00000000-0005-0000-0000-0000D92D0000}"/>
    <cellStyle name="Normal 4 15" xfId="10385" xr:uid="{00000000-0005-0000-0000-0000DA2D0000}"/>
    <cellStyle name="Normal 4 16" xfId="10386" xr:uid="{00000000-0005-0000-0000-0000DB2D0000}"/>
    <cellStyle name="Normal 4 17" xfId="10387" xr:uid="{00000000-0005-0000-0000-0000DC2D0000}"/>
    <cellStyle name="Normal 4 18" xfId="10388" xr:uid="{00000000-0005-0000-0000-0000DD2D0000}"/>
    <cellStyle name="Normal 4 19" xfId="10389" xr:uid="{00000000-0005-0000-0000-0000DE2D0000}"/>
    <cellStyle name="Normal 4 2" xfId="298" xr:uid="{00000000-0005-0000-0000-0000DF2D0000}"/>
    <cellStyle name="Normal 4 2 2" xfId="299" xr:uid="{00000000-0005-0000-0000-0000E02D0000}"/>
    <cellStyle name="Normal 4 2 2 2" xfId="10391" xr:uid="{00000000-0005-0000-0000-0000E12D0000}"/>
    <cellStyle name="Normal 4 2 2 2 2" xfId="25872" xr:uid="{00000000-0005-0000-0000-0000E22D0000}"/>
    <cellStyle name="Normal 4 2 2 2 2 2" xfId="27104" xr:uid="{00000000-0005-0000-0000-0000E32D0000}"/>
    <cellStyle name="Normal 4 2 2 2 3" xfId="27103" xr:uid="{00000000-0005-0000-0000-0000E42D0000}"/>
    <cellStyle name="Normal 4 2 2 2 4" xfId="25871" xr:uid="{00000000-0005-0000-0000-0000E52D0000}"/>
    <cellStyle name="Normal 4 2 2 3" xfId="25873" xr:uid="{00000000-0005-0000-0000-0000E62D0000}"/>
    <cellStyle name="Normal 4 2 2 3 2" xfId="27105" xr:uid="{00000000-0005-0000-0000-0000E72D0000}"/>
    <cellStyle name="Normal 4 2 2 4" xfId="27102" xr:uid="{00000000-0005-0000-0000-0000E82D0000}"/>
    <cellStyle name="Normal 4 2 2 5" xfId="25870" xr:uid="{00000000-0005-0000-0000-0000E92D0000}"/>
    <cellStyle name="Normal 4 2 3" xfId="300" xr:uid="{00000000-0005-0000-0000-0000EA2D0000}"/>
    <cellStyle name="Normal 4 2 4" xfId="10390" xr:uid="{00000000-0005-0000-0000-0000EB2D0000}"/>
    <cellStyle name="Normal 4 2 4 2" xfId="25874" xr:uid="{00000000-0005-0000-0000-0000EC2D0000}"/>
    <cellStyle name="Normal 4 2 4 2 2" xfId="27107" xr:uid="{00000000-0005-0000-0000-0000ED2D0000}"/>
    <cellStyle name="Normal 4 2 4 3" xfId="27106" xr:uid="{00000000-0005-0000-0000-0000EE2D0000}"/>
    <cellStyle name="Normal 4 2 5" xfId="25875" xr:uid="{00000000-0005-0000-0000-0000EF2D0000}"/>
    <cellStyle name="Normal 4 2 5 2" xfId="27108" xr:uid="{00000000-0005-0000-0000-0000F02D0000}"/>
    <cellStyle name="Normal 4 20" xfId="10392" xr:uid="{00000000-0005-0000-0000-0000F12D0000}"/>
    <cellStyle name="Normal 4 21" xfId="10393" xr:uid="{00000000-0005-0000-0000-0000F22D0000}"/>
    <cellStyle name="Normal 4 22" xfId="10394" xr:uid="{00000000-0005-0000-0000-0000F32D0000}"/>
    <cellStyle name="Normal 4 23" xfId="10395" xr:uid="{00000000-0005-0000-0000-0000F42D0000}"/>
    <cellStyle name="Normal 4 24" xfId="10396" xr:uid="{00000000-0005-0000-0000-0000F52D0000}"/>
    <cellStyle name="Normal 4 25" xfId="10397" xr:uid="{00000000-0005-0000-0000-0000F62D0000}"/>
    <cellStyle name="Normal 4 26" xfId="10398" xr:uid="{00000000-0005-0000-0000-0000F72D0000}"/>
    <cellStyle name="Normal 4 27" xfId="10399" xr:uid="{00000000-0005-0000-0000-0000F82D0000}"/>
    <cellStyle name="Normal 4 28" xfId="10400" xr:uid="{00000000-0005-0000-0000-0000F92D0000}"/>
    <cellStyle name="Normal 4 29" xfId="10401" xr:uid="{00000000-0005-0000-0000-0000FA2D0000}"/>
    <cellStyle name="Normal 4 3" xfId="301" xr:uid="{00000000-0005-0000-0000-0000FB2D0000}"/>
    <cellStyle name="Normal 4 3 2" xfId="302" xr:uid="{00000000-0005-0000-0000-0000FC2D0000}"/>
    <cellStyle name="Normal 4 3 2 2" xfId="303" xr:uid="{00000000-0005-0000-0000-0000FD2D0000}"/>
    <cellStyle name="Normal 4 3 2 2 2" xfId="304" xr:uid="{00000000-0005-0000-0000-0000FE2D0000}"/>
    <cellStyle name="Normal 4 3 2 3" xfId="305" xr:uid="{00000000-0005-0000-0000-0000FF2D0000}"/>
    <cellStyle name="Normal 4 3 2 4" xfId="10403" xr:uid="{00000000-0005-0000-0000-0000002E0000}"/>
    <cellStyle name="Normal 4 3 3" xfId="306" xr:uid="{00000000-0005-0000-0000-0000012E0000}"/>
    <cellStyle name="Normal 4 3 3 2" xfId="307" xr:uid="{00000000-0005-0000-0000-0000022E0000}"/>
    <cellStyle name="Normal 4 3 3 3" xfId="10404" xr:uid="{00000000-0005-0000-0000-0000032E0000}"/>
    <cellStyle name="Normal 4 3 4" xfId="308" xr:uid="{00000000-0005-0000-0000-0000042E0000}"/>
    <cellStyle name="Normal 4 3 4 2" xfId="10405" xr:uid="{00000000-0005-0000-0000-0000052E0000}"/>
    <cellStyle name="Normal 4 3 5" xfId="10402" xr:uid="{00000000-0005-0000-0000-0000062E0000}"/>
    <cellStyle name="Normal 4 30" xfId="10406" xr:uid="{00000000-0005-0000-0000-0000072E0000}"/>
    <cellStyle name="Normal 4 31" xfId="10407" xr:uid="{00000000-0005-0000-0000-0000082E0000}"/>
    <cellStyle name="Normal 4 32" xfId="10408" xr:uid="{00000000-0005-0000-0000-0000092E0000}"/>
    <cellStyle name="Normal 4 33" xfId="10409" xr:uid="{00000000-0005-0000-0000-00000A2E0000}"/>
    <cellStyle name="Normal 4 34" xfId="10410" xr:uid="{00000000-0005-0000-0000-00000B2E0000}"/>
    <cellStyle name="Normal 4 35" xfId="10411" xr:uid="{00000000-0005-0000-0000-00000C2E0000}"/>
    <cellStyle name="Normal 4 36" xfId="10412" xr:uid="{00000000-0005-0000-0000-00000D2E0000}"/>
    <cellStyle name="Normal 4 37" xfId="10413" xr:uid="{00000000-0005-0000-0000-00000E2E0000}"/>
    <cellStyle name="Normal 4 4" xfId="309" xr:uid="{00000000-0005-0000-0000-00000F2E0000}"/>
    <cellStyle name="Normal 4 4 10" xfId="10415" xr:uid="{00000000-0005-0000-0000-0000102E0000}"/>
    <cellStyle name="Normal 4 4 10 2" xfId="10416" xr:uid="{00000000-0005-0000-0000-0000112E0000}"/>
    <cellStyle name="Normal 4 4 11" xfId="10417" xr:uid="{00000000-0005-0000-0000-0000122E0000}"/>
    <cellStyle name="Normal 4 4 11 2" xfId="10418" xr:uid="{00000000-0005-0000-0000-0000132E0000}"/>
    <cellStyle name="Normal 4 4 12" xfId="10419" xr:uid="{00000000-0005-0000-0000-0000142E0000}"/>
    <cellStyle name="Normal 4 4 12 2" xfId="10420" xr:uid="{00000000-0005-0000-0000-0000152E0000}"/>
    <cellStyle name="Normal 4 4 13" xfId="10414" xr:uid="{00000000-0005-0000-0000-0000162E0000}"/>
    <cellStyle name="Normal 4 4 2" xfId="310" xr:uid="{00000000-0005-0000-0000-0000172E0000}"/>
    <cellStyle name="Normal 4 4 2 10" xfId="10421" xr:uid="{00000000-0005-0000-0000-0000182E0000}"/>
    <cellStyle name="Normal 4 4 2 11" xfId="10422" xr:uid="{00000000-0005-0000-0000-0000192E0000}"/>
    <cellStyle name="Normal 4 4 2 2" xfId="311" xr:uid="{00000000-0005-0000-0000-00001A2E0000}"/>
    <cellStyle name="Normal 4 4 2 2 2" xfId="10423" xr:uid="{00000000-0005-0000-0000-00001B2E0000}"/>
    <cellStyle name="Normal 4 4 2 3" xfId="10424" xr:uid="{00000000-0005-0000-0000-00001C2E0000}"/>
    <cellStyle name="Normal 4 4 2 4" xfId="10425" xr:uid="{00000000-0005-0000-0000-00001D2E0000}"/>
    <cellStyle name="Normal 4 4 2 5" xfId="10426" xr:uid="{00000000-0005-0000-0000-00001E2E0000}"/>
    <cellStyle name="Normal 4 4 2 6" xfId="10427" xr:uid="{00000000-0005-0000-0000-00001F2E0000}"/>
    <cellStyle name="Normal 4 4 2 7" xfId="10428" xr:uid="{00000000-0005-0000-0000-0000202E0000}"/>
    <cellStyle name="Normal 4 4 2 8" xfId="10429" xr:uid="{00000000-0005-0000-0000-0000212E0000}"/>
    <cellStyle name="Normal 4 4 2 9" xfId="10430" xr:uid="{00000000-0005-0000-0000-0000222E0000}"/>
    <cellStyle name="Normal 4 4 3" xfId="312" xr:uid="{00000000-0005-0000-0000-0000232E0000}"/>
    <cellStyle name="Normal 4 4 3 2" xfId="10431" xr:uid="{00000000-0005-0000-0000-0000242E0000}"/>
    <cellStyle name="Normal 4 4 4" xfId="10432" xr:uid="{00000000-0005-0000-0000-0000252E0000}"/>
    <cellStyle name="Normal 4 4 5" xfId="10433" xr:uid="{00000000-0005-0000-0000-0000262E0000}"/>
    <cellStyle name="Normal 4 4 5 2" xfId="10434" xr:uid="{00000000-0005-0000-0000-0000272E0000}"/>
    <cellStyle name="Normal 4 4 6" xfId="10435" xr:uid="{00000000-0005-0000-0000-0000282E0000}"/>
    <cellStyle name="Normal 4 4 6 2" xfId="10436" xr:uid="{00000000-0005-0000-0000-0000292E0000}"/>
    <cellStyle name="Normal 4 4 7" xfId="10437" xr:uid="{00000000-0005-0000-0000-00002A2E0000}"/>
    <cellStyle name="Normal 4 4 7 2" xfId="10438" xr:uid="{00000000-0005-0000-0000-00002B2E0000}"/>
    <cellStyle name="Normal 4 4 8" xfId="10439" xr:uid="{00000000-0005-0000-0000-00002C2E0000}"/>
    <cellStyle name="Normal 4 4 8 2" xfId="10440" xr:uid="{00000000-0005-0000-0000-00002D2E0000}"/>
    <cellStyle name="Normal 4 4 9" xfId="10441" xr:uid="{00000000-0005-0000-0000-00002E2E0000}"/>
    <cellStyle name="Normal 4 4 9 2" xfId="10442" xr:uid="{00000000-0005-0000-0000-00002F2E0000}"/>
    <cellStyle name="Normal 4 5" xfId="313" xr:uid="{00000000-0005-0000-0000-0000302E0000}"/>
    <cellStyle name="Normal 4 5 2" xfId="314" xr:uid="{00000000-0005-0000-0000-0000312E0000}"/>
    <cellStyle name="Normal 4 5 2 2" xfId="315" xr:uid="{00000000-0005-0000-0000-0000322E0000}"/>
    <cellStyle name="Normal 4 5 3" xfId="316" xr:uid="{00000000-0005-0000-0000-0000332E0000}"/>
    <cellStyle name="Normal 4 5 4" xfId="10443" xr:uid="{00000000-0005-0000-0000-0000342E0000}"/>
    <cellStyle name="Normal 4 6" xfId="317" xr:uid="{00000000-0005-0000-0000-0000352E0000}"/>
    <cellStyle name="Normal 4 6 10" xfId="10445" xr:uid="{00000000-0005-0000-0000-0000362E0000}"/>
    <cellStyle name="Normal 4 6 10 2" xfId="10446" xr:uid="{00000000-0005-0000-0000-0000372E0000}"/>
    <cellStyle name="Normal 4 6 11" xfId="10444" xr:uid="{00000000-0005-0000-0000-0000382E0000}"/>
    <cellStyle name="Normal 4 6 2" xfId="10447" xr:uid="{00000000-0005-0000-0000-0000392E0000}"/>
    <cellStyle name="Normal 4 6 2 2" xfId="10448" xr:uid="{00000000-0005-0000-0000-00003A2E0000}"/>
    <cellStyle name="Normal 4 6 3" xfId="10449" xr:uid="{00000000-0005-0000-0000-00003B2E0000}"/>
    <cellStyle name="Normal 4 6 3 2" xfId="10450" xr:uid="{00000000-0005-0000-0000-00003C2E0000}"/>
    <cellStyle name="Normal 4 6 4" xfId="10451" xr:uid="{00000000-0005-0000-0000-00003D2E0000}"/>
    <cellStyle name="Normal 4 6 4 2" xfId="10452" xr:uid="{00000000-0005-0000-0000-00003E2E0000}"/>
    <cellStyle name="Normal 4 6 5" xfId="10453" xr:uid="{00000000-0005-0000-0000-00003F2E0000}"/>
    <cellStyle name="Normal 4 6 5 2" xfId="10454" xr:uid="{00000000-0005-0000-0000-0000402E0000}"/>
    <cellStyle name="Normal 4 6 6" xfId="10455" xr:uid="{00000000-0005-0000-0000-0000412E0000}"/>
    <cellStyle name="Normal 4 6 6 2" xfId="10456" xr:uid="{00000000-0005-0000-0000-0000422E0000}"/>
    <cellStyle name="Normal 4 6 7" xfId="10457" xr:uid="{00000000-0005-0000-0000-0000432E0000}"/>
    <cellStyle name="Normal 4 6 7 2" xfId="10458" xr:uid="{00000000-0005-0000-0000-0000442E0000}"/>
    <cellStyle name="Normal 4 6 8" xfId="10459" xr:uid="{00000000-0005-0000-0000-0000452E0000}"/>
    <cellStyle name="Normal 4 6 8 2" xfId="10460" xr:uid="{00000000-0005-0000-0000-0000462E0000}"/>
    <cellStyle name="Normal 4 6 9" xfId="10461" xr:uid="{00000000-0005-0000-0000-0000472E0000}"/>
    <cellStyle name="Normal 4 6 9 2" xfId="10462" xr:uid="{00000000-0005-0000-0000-0000482E0000}"/>
    <cellStyle name="Normal 4 7" xfId="318" xr:uid="{00000000-0005-0000-0000-0000492E0000}"/>
    <cellStyle name="Normal 4 7 10" xfId="10464" xr:uid="{00000000-0005-0000-0000-00004A2E0000}"/>
    <cellStyle name="Normal 4 7 10 2" xfId="10465" xr:uid="{00000000-0005-0000-0000-00004B2E0000}"/>
    <cellStyle name="Normal 4 7 11" xfId="10463" xr:uid="{00000000-0005-0000-0000-00004C2E0000}"/>
    <cellStyle name="Normal 4 7 12" xfId="27101" xr:uid="{00000000-0005-0000-0000-00004D2E0000}"/>
    <cellStyle name="Normal 4 7 2" xfId="319" xr:uid="{00000000-0005-0000-0000-00004E2E0000}"/>
    <cellStyle name="Normal 4 7 2 2" xfId="10466" xr:uid="{00000000-0005-0000-0000-00004F2E0000}"/>
    <cellStyle name="Normal 4 7 3" xfId="10467" xr:uid="{00000000-0005-0000-0000-0000502E0000}"/>
    <cellStyle name="Normal 4 7 3 2" xfId="10468" xr:uid="{00000000-0005-0000-0000-0000512E0000}"/>
    <cellStyle name="Normal 4 7 4" xfId="10469" xr:uid="{00000000-0005-0000-0000-0000522E0000}"/>
    <cellStyle name="Normal 4 7 4 2" xfId="10470" xr:uid="{00000000-0005-0000-0000-0000532E0000}"/>
    <cellStyle name="Normal 4 7 5" xfId="10471" xr:uid="{00000000-0005-0000-0000-0000542E0000}"/>
    <cellStyle name="Normal 4 7 5 2" xfId="10472" xr:uid="{00000000-0005-0000-0000-0000552E0000}"/>
    <cellStyle name="Normal 4 7 6" xfId="10473" xr:uid="{00000000-0005-0000-0000-0000562E0000}"/>
    <cellStyle name="Normal 4 7 6 2" xfId="10474" xr:uid="{00000000-0005-0000-0000-0000572E0000}"/>
    <cellStyle name="Normal 4 7 7" xfId="10475" xr:uid="{00000000-0005-0000-0000-0000582E0000}"/>
    <cellStyle name="Normal 4 7 7 2" xfId="10476" xr:uid="{00000000-0005-0000-0000-0000592E0000}"/>
    <cellStyle name="Normal 4 7 8" xfId="10477" xr:uid="{00000000-0005-0000-0000-00005A2E0000}"/>
    <cellStyle name="Normal 4 7 8 2" xfId="10478" xr:uid="{00000000-0005-0000-0000-00005B2E0000}"/>
    <cellStyle name="Normal 4 7 9" xfId="10479" xr:uid="{00000000-0005-0000-0000-00005C2E0000}"/>
    <cellStyle name="Normal 4 7 9 2" xfId="10480" xr:uid="{00000000-0005-0000-0000-00005D2E0000}"/>
    <cellStyle name="Normal 4 8" xfId="320" xr:uid="{00000000-0005-0000-0000-00005E2E0000}"/>
    <cellStyle name="Normal 4 8 2" xfId="10481" xr:uid="{00000000-0005-0000-0000-00005F2E0000}"/>
    <cellStyle name="Normal 4 9" xfId="321" xr:uid="{00000000-0005-0000-0000-0000602E0000}"/>
    <cellStyle name="Normal 4 9 2" xfId="10482" xr:uid="{00000000-0005-0000-0000-0000612E0000}"/>
    <cellStyle name="Normal 4_Dívida - Eletrobrás - contrato genérico v2" xfId="10483" xr:uid="{00000000-0005-0000-0000-0000622E0000}"/>
    <cellStyle name="Normal 40" xfId="322" xr:uid="{00000000-0005-0000-0000-0000632E0000}"/>
    <cellStyle name="Normal 40 2" xfId="323" xr:uid="{00000000-0005-0000-0000-0000642E0000}"/>
    <cellStyle name="Normal 40 3" xfId="25029" xr:uid="{00000000-0005-0000-0000-0000652E0000}"/>
    <cellStyle name="Normal 41" xfId="324" xr:uid="{00000000-0005-0000-0000-0000662E0000}"/>
    <cellStyle name="Normal 41 2" xfId="325" xr:uid="{00000000-0005-0000-0000-0000672E0000}"/>
    <cellStyle name="Normal 41 3" xfId="10484" xr:uid="{00000000-0005-0000-0000-0000682E0000}"/>
    <cellStyle name="Normal 41 4" xfId="27517" xr:uid="{00000000-0005-0000-0000-0000692E0000}"/>
    <cellStyle name="Normal 42" xfId="326" xr:uid="{00000000-0005-0000-0000-00006A2E0000}"/>
    <cellStyle name="Normal 42 2" xfId="327" xr:uid="{00000000-0005-0000-0000-00006B2E0000}"/>
    <cellStyle name="Normal 42 3" xfId="10485" xr:uid="{00000000-0005-0000-0000-00006C2E0000}"/>
    <cellStyle name="Normal 43" xfId="328" xr:uid="{00000000-0005-0000-0000-00006D2E0000}"/>
    <cellStyle name="Normal 43 2" xfId="329" xr:uid="{00000000-0005-0000-0000-00006E2E0000}"/>
    <cellStyle name="Normal 43 3" xfId="10486" xr:uid="{00000000-0005-0000-0000-00006F2E0000}"/>
    <cellStyle name="Normal 44" xfId="330" xr:uid="{00000000-0005-0000-0000-0000702E0000}"/>
    <cellStyle name="Normal 44 2" xfId="331" xr:uid="{00000000-0005-0000-0000-0000712E0000}"/>
    <cellStyle name="Normal 44 3" xfId="10487" xr:uid="{00000000-0005-0000-0000-0000722E0000}"/>
    <cellStyle name="Normal 45" xfId="332" xr:uid="{00000000-0005-0000-0000-0000732E0000}"/>
    <cellStyle name="Normal 45 2" xfId="333" xr:uid="{00000000-0005-0000-0000-0000742E0000}"/>
    <cellStyle name="Normal 45 3" xfId="10488" xr:uid="{00000000-0005-0000-0000-0000752E0000}"/>
    <cellStyle name="Normal 46" xfId="334" xr:uid="{00000000-0005-0000-0000-0000762E0000}"/>
    <cellStyle name="Normal 46 2" xfId="335" xr:uid="{00000000-0005-0000-0000-0000772E0000}"/>
    <cellStyle name="Normal 46 3" xfId="10489" xr:uid="{00000000-0005-0000-0000-0000782E0000}"/>
    <cellStyle name="Normal 47" xfId="336" xr:uid="{00000000-0005-0000-0000-0000792E0000}"/>
    <cellStyle name="Normal 47 2" xfId="337" xr:uid="{00000000-0005-0000-0000-00007A2E0000}"/>
    <cellStyle name="Normal 47 3" xfId="10490" xr:uid="{00000000-0005-0000-0000-00007B2E0000}"/>
    <cellStyle name="Normal 48" xfId="338" xr:uid="{00000000-0005-0000-0000-00007C2E0000}"/>
    <cellStyle name="Normal 48 2" xfId="339" xr:uid="{00000000-0005-0000-0000-00007D2E0000}"/>
    <cellStyle name="Normal 48 3" xfId="10491" xr:uid="{00000000-0005-0000-0000-00007E2E0000}"/>
    <cellStyle name="Normal 48 4" xfId="27519" xr:uid="{00000000-0005-0000-0000-00007F2E0000}"/>
    <cellStyle name="Normal 49" xfId="340" xr:uid="{00000000-0005-0000-0000-0000802E0000}"/>
    <cellStyle name="Normal 49 2" xfId="341" xr:uid="{00000000-0005-0000-0000-0000812E0000}"/>
    <cellStyle name="Normal 49 3" xfId="10492" xr:uid="{00000000-0005-0000-0000-0000822E0000}"/>
    <cellStyle name="Normal 5" xfId="342" xr:uid="{00000000-0005-0000-0000-0000832E0000}"/>
    <cellStyle name="Normal 5 10" xfId="10493" xr:uid="{00000000-0005-0000-0000-0000842E0000}"/>
    <cellStyle name="Normal 5 10 10" xfId="10494" xr:uid="{00000000-0005-0000-0000-0000852E0000}"/>
    <cellStyle name="Normal 5 10 11" xfId="10495" xr:uid="{00000000-0005-0000-0000-0000862E0000}"/>
    <cellStyle name="Normal 5 10 2" xfId="10496" xr:uid="{00000000-0005-0000-0000-0000872E0000}"/>
    <cellStyle name="Normal 5 10 3" xfId="10497" xr:uid="{00000000-0005-0000-0000-0000882E0000}"/>
    <cellStyle name="Normal 5 10 4" xfId="10498" xr:uid="{00000000-0005-0000-0000-0000892E0000}"/>
    <cellStyle name="Normal 5 10 5" xfId="10499" xr:uid="{00000000-0005-0000-0000-00008A2E0000}"/>
    <cellStyle name="Normal 5 10 6" xfId="10500" xr:uid="{00000000-0005-0000-0000-00008B2E0000}"/>
    <cellStyle name="Normal 5 10 7" xfId="10501" xr:uid="{00000000-0005-0000-0000-00008C2E0000}"/>
    <cellStyle name="Normal 5 10 8" xfId="10502" xr:uid="{00000000-0005-0000-0000-00008D2E0000}"/>
    <cellStyle name="Normal 5 10 9" xfId="10503" xr:uid="{00000000-0005-0000-0000-00008E2E0000}"/>
    <cellStyle name="Normal 5 11" xfId="10504" xr:uid="{00000000-0005-0000-0000-00008F2E0000}"/>
    <cellStyle name="Normal 5 11 2" xfId="10505" xr:uid="{00000000-0005-0000-0000-0000902E0000}"/>
    <cellStyle name="Normal 5 11 3" xfId="10506" xr:uid="{00000000-0005-0000-0000-0000912E0000}"/>
    <cellStyle name="Normal 5 12" xfId="10507" xr:uid="{00000000-0005-0000-0000-0000922E0000}"/>
    <cellStyle name="Normal 5 12 2" xfId="10508" xr:uid="{00000000-0005-0000-0000-0000932E0000}"/>
    <cellStyle name="Normal 5 12 3" xfId="10509" xr:uid="{00000000-0005-0000-0000-0000942E0000}"/>
    <cellStyle name="Normal 5 13" xfId="10510" xr:uid="{00000000-0005-0000-0000-0000952E0000}"/>
    <cellStyle name="Normal 5 13 2" xfId="10511" xr:uid="{00000000-0005-0000-0000-0000962E0000}"/>
    <cellStyle name="Normal 5 13 3" xfId="10512" xr:uid="{00000000-0005-0000-0000-0000972E0000}"/>
    <cellStyle name="Normal 5 14" xfId="10513" xr:uid="{00000000-0005-0000-0000-0000982E0000}"/>
    <cellStyle name="Normal 5 14 2" xfId="10514" xr:uid="{00000000-0005-0000-0000-0000992E0000}"/>
    <cellStyle name="Normal 5 14 3" xfId="10515" xr:uid="{00000000-0005-0000-0000-00009A2E0000}"/>
    <cellStyle name="Normal 5 15" xfId="10516" xr:uid="{00000000-0005-0000-0000-00009B2E0000}"/>
    <cellStyle name="Normal 5 15 2" xfId="10517" xr:uid="{00000000-0005-0000-0000-00009C2E0000}"/>
    <cellStyle name="Normal 5 15 3" xfId="10518" xr:uid="{00000000-0005-0000-0000-00009D2E0000}"/>
    <cellStyle name="Normal 5 16" xfId="10519" xr:uid="{00000000-0005-0000-0000-00009E2E0000}"/>
    <cellStyle name="Normal 5 16 2" xfId="10520" xr:uid="{00000000-0005-0000-0000-00009F2E0000}"/>
    <cellStyle name="Normal 5 16 3" xfId="10521" xr:uid="{00000000-0005-0000-0000-0000A02E0000}"/>
    <cellStyle name="Normal 5 17" xfId="10522" xr:uid="{00000000-0005-0000-0000-0000A12E0000}"/>
    <cellStyle name="Normal 5 17 2" xfId="10523" xr:uid="{00000000-0005-0000-0000-0000A22E0000}"/>
    <cellStyle name="Normal 5 17 3" xfId="10524" xr:uid="{00000000-0005-0000-0000-0000A32E0000}"/>
    <cellStyle name="Normal 5 18" xfId="10525" xr:uid="{00000000-0005-0000-0000-0000A42E0000}"/>
    <cellStyle name="Normal 5 18 2" xfId="10526" xr:uid="{00000000-0005-0000-0000-0000A52E0000}"/>
    <cellStyle name="Normal 5 18 3" xfId="10527" xr:uid="{00000000-0005-0000-0000-0000A62E0000}"/>
    <cellStyle name="Normal 5 19" xfId="10528" xr:uid="{00000000-0005-0000-0000-0000A72E0000}"/>
    <cellStyle name="Normal 5 19 2" xfId="10529" xr:uid="{00000000-0005-0000-0000-0000A82E0000}"/>
    <cellStyle name="Normal 5 19 3" xfId="10530" xr:uid="{00000000-0005-0000-0000-0000A92E0000}"/>
    <cellStyle name="Normal 5 2" xfId="343" xr:uid="{00000000-0005-0000-0000-0000AA2E0000}"/>
    <cellStyle name="Normal 5 2 10" xfId="10531" xr:uid="{00000000-0005-0000-0000-0000AB2E0000}"/>
    <cellStyle name="Normal 5 2 10 2" xfId="10532" xr:uid="{00000000-0005-0000-0000-0000AC2E0000}"/>
    <cellStyle name="Normal 5 2 10 3" xfId="10533" xr:uid="{00000000-0005-0000-0000-0000AD2E0000}"/>
    <cellStyle name="Normal 5 2 11" xfId="10534" xr:uid="{00000000-0005-0000-0000-0000AE2E0000}"/>
    <cellStyle name="Normal 5 2 11 2" xfId="10535" xr:uid="{00000000-0005-0000-0000-0000AF2E0000}"/>
    <cellStyle name="Normal 5 2 11 3" xfId="10536" xr:uid="{00000000-0005-0000-0000-0000B02E0000}"/>
    <cellStyle name="Normal 5 2 12" xfId="10537" xr:uid="{00000000-0005-0000-0000-0000B12E0000}"/>
    <cellStyle name="Normal 5 2 12 2" xfId="10538" xr:uid="{00000000-0005-0000-0000-0000B22E0000}"/>
    <cellStyle name="Normal 5 2 12 3" xfId="10539" xr:uid="{00000000-0005-0000-0000-0000B32E0000}"/>
    <cellStyle name="Normal 5 2 13" xfId="10540" xr:uid="{00000000-0005-0000-0000-0000B42E0000}"/>
    <cellStyle name="Normal 5 2 13 2" xfId="10541" xr:uid="{00000000-0005-0000-0000-0000B52E0000}"/>
    <cellStyle name="Normal 5 2 13 3" xfId="10542" xr:uid="{00000000-0005-0000-0000-0000B62E0000}"/>
    <cellStyle name="Normal 5 2 14" xfId="10543" xr:uid="{00000000-0005-0000-0000-0000B72E0000}"/>
    <cellStyle name="Normal 5 2 14 2" xfId="10544" xr:uid="{00000000-0005-0000-0000-0000B82E0000}"/>
    <cellStyle name="Normal 5 2 14 3" xfId="10545" xr:uid="{00000000-0005-0000-0000-0000B92E0000}"/>
    <cellStyle name="Normal 5 2 15" xfId="10546" xr:uid="{00000000-0005-0000-0000-0000BA2E0000}"/>
    <cellStyle name="Normal 5 2 15 2" xfId="10547" xr:uid="{00000000-0005-0000-0000-0000BB2E0000}"/>
    <cellStyle name="Normal 5 2 15 3" xfId="10548" xr:uid="{00000000-0005-0000-0000-0000BC2E0000}"/>
    <cellStyle name="Normal 5 2 16" xfId="10549" xr:uid="{00000000-0005-0000-0000-0000BD2E0000}"/>
    <cellStyle name="Normal 5 2 16 2" xfId="10550" xr:uid="{00000000-0005-0000-0000-0000BE2E0000}"/>
    <cellStyle name="Normal 5 2 16 3" xfId="10551" xr:uid="{00000000-0005-0000-0000-0000BF2E0000}"/>
    <cellStyle name="Normal 5 2 17" xfId="10552" xr:uid="{00000000-0005-0000-0000-0000C02E0000}"/>
    <cellStyle name="Normal 5 2 17 2" xfId="10553" xr:uid="{00000000-0005-0000-0000-0000C12E0000}"/>
    <cellStyle name="Normal 5 2 17 3" xfId="10554" xr:uid="{00000000-0005-0000-0000-0000C22E0000}"/>
    <cellStyle name="Normal 5 2 18" xfId="10555" xr:uid="{00000000-0005-0000-0000-0000C32E0000}"/>
    <cellStyle name="Normal 5 2 18 2" xfId="10556" xr:uid="{00000000-0005-0000-0000-0000C42E0000}"/>
    <cellStyle name="Normal 5 2 18 3" xfId="10557" xr:uid="{00000000-0005-0000-0000-0000C52E0000}"/>
    <cellStyle name="Normal 5 2 19" xfId="10558" xr:uid="{00000000-0005-0000-0000-0000C62E0000}"/>
    <cellStyle name="Normal 5 2 19 2" xfId="10559" xr:uid="{00000000-0005-0000-0000-0000C72E0000}"/>
    <cellStyle name="Normal 5 2 19 3" xfId="10560" xr:uid="{00000000-0005-0000-0000-0000C82E0000}"/>
    <cellStyle name="Normal 5 2 2" xfId="344" xr:uid="{00000000-0005-0000-0000-0000C92E0000}"/>
    <cellStyle name="Normal 5 2 2 10" xfId="10561" xr:uid="{00000000-0005-0000-0000-0000CA2E0000}"/>
    <cellStyle name="Normal 5 2 2 10 2" xfId="10562" xr:uid="{00000000-0005-0000-0000-0000CB2E0000}"/>
    <cellStyle name="Normal 5 2 2 10 3" xfId="10563" xr:uid="{00000000-0005-0000-0000-0000CC2E0000}"/>
    <cellStyle name="Normal 5 2 2 11" xfId="10564" xr:uid="{00000000-0005-0000-0000-0000CD2E0000}"/>
    <cellStyle name="Normal 5 2 2 11 2" xfId="10565" xr:uid="{00000000-0005-0000-0000-0000CE2E0000}"/>
    <cellStyle name="Normal 5 2 2 11 3" xfId="10566" xr:uid="{00000000-0005-0000-0000-0000CF2E0000}"/>
    <cellStyle name="Normal 5 2 2 12" xfId="10567" xr:uid="{00000000-0005-0000-0000-0000D02E0000}"/>
    <cellStyle name="Normal 5 2 2 12 2" xfId="10568" xr:uid="{00000000-0005-0000-0000-0000D12E0000}"/>
    <cellStyle name="Normal 5 2 2 12 3" xfId="10569" xr:uid="{00000000-0005-0000-0000-0000D22E0000}"/>
    <cellStyle name="Normal 5 2 2 13" xfId="10570" xr:uid="{00000000-0005-0000-0000-0000D32E0000}"/>
    <cellStyle name="Normal 5 2 2 13 2" xfId="10571" xr:uid="{00000000-0005-0000-0000-0000D42E0000}"/>
    <cellStyle name="Normal 5 2 2 13 3" xfId="10572" xr:uid="{00000000-0005-0000-0000-0000D52E0000}"/>
    <cellStyle name="Normal 5 2 2 14" xfId="10573" xr:uid="{00000000-0005-0000-0000-0000D62E0000}"/>
    <cellStyle name="Normal 5 2 2 14 2" xfId="10574" xr:uid="{00000000-0005-0000-0000-0000D72E0000}"/>
    <cellStyle name="Normal 5 2 2 14 3" xfId="10575" xr:uid="{00000000-0005-0000-0000-0000D82E0000}"/>
    <cellStyle name="Normal 5 2 2 15" xfId="10576" xr:uid="{00000000-0005-0000-0000-0000D92E0000}"/>
    <cellStyle name="Normal 5 2 2 15 2" xfId="10577" xr:uid="{00000000-0005-0000-0000-0000DA2E0000}"/>
    <cellStyle name="Normal 5 2 2 15 3" xfId="10578" xr:uid="{00000000-0005-0000-0000-0000DB2E0000}"/>
    <cellStyle name="Normal 5 2 2 16" xfId="10579" xr:uid="{00000000-0005-0000-0000-0000DC2E0000}"/>
    <cellStyle name="Normal 5 2 2 16 2" xfId="10580" xr:uid="{00000000-0005-0000-0000-0000DD2E0000}"/>
    <cellStyle name="Normal 5 2 2 16 3" xfId="10581" xr:uid="{00000000-0005-0000-0000-0000DE2E0000}"/>
    <cellStyle name="Normal 5 2 2 17" xfId="10582" xr:uid="{00000000-0005-0000-0000-0000DF2E0000}"/>
    <cellStyle name="Normal 5 2 2 17 2" xfId="10583" xr:uid="{00000000-0005-0000-0000-0000E02E0000}"/>
    <cellStyle name="Normal 5 2 2 17 3" xfId="10584" xr:uid="{00000000-0005-0000-0000-0000E12E0000}"/>
    <cellStyle name="Normal 5 2 2 18" xfId="10585" xr:uid="{00000000-0005-0000-0000-0000E22E0000}"/>
    <cellStyle name="Normal 5 2 2 18 2" xfId="10586" xr:uid="{00000000-0005-0000-0000-0000E32E0000}"/>
    <cellStyle name="Normal 5 2 2 18 3" xfId="10587" xr:uid="{00000000-0005-0000-0000-0000E42E0000}"/>
    <cellStyle name="Normal 5 2 2 19" xfId="10588" xr:uid="{00000000-0005-0000-0000-0000E52E0000}"/>
    <cellStyle name="Normal 5 2 2 19 2" xfId="10589" xr:uid="{00000000-0005-0000-0000-0000E62E0000}"/>
    <cellStyle name="Normal 5 2 2 19 3" xfId="10590" xr:uid="{00000000-0005-0000-0000-0000E72E0000}"/>
    <cellStyle name="Normal 5 2 2 2" xfId="345" xr:uid="{00000000-0005-0000-0000-0000E82E0000}"/>
    <cellStyle name="Normal 5 2 2 2 10" xfId="10592" xr:uid="{00000000-0005-0000-0000-0000E92E0000}"/>
    <cellStyle name="Normal 5 2 2 2 11" xfId="10593" xr:uid="{00000000-0005-0000-0000-0000EA2E0000}"/>
    <cellStyle name="Normal 5 2 2 2 11 2" xfId="10594" xr:uid="{00000000-0005-0000-0000-0000EB2E0000}"/>
    <cellStyle name="Normal 5 2 2 2 12" xfId="10595" xr:uid="{00000000-0005-0000-0000-0000EC2E0000}"/>
    <cellStyle name="Normal 5 2 2 2 12 2" xfId="10596" xr:uid="{00000000-0005-0000-0000-0000ED2E0000}"/>
    <cellStyle name="Normal 5 2 2 2 13" xfId="10597" xr:uid="{00000000-0005-0000-0000-0000EE2E0000}"/>
    <cellStyle name="Normal 5 2 2 2 14" xfId="10598" xr:uid="{00000000-0005-0000-0000-0000EF2E0000}"/>
    <cellStyle name="Normal 5 2 2 2 14 2" xfId="10599" xr:uid="{00000000-0005-0000-0000-0000F02E0000}"/>
    <cellStyle name="Normal 5 2 2 2 15" xfId="10600" xr:uid="{00000000-0005-0000-0000-0000F12E0000}"/>
    <cellStyle name="Normal 5 2 2 2 15 2" xfId="10601" xr:uid="{00000000-0005-0000-0000-0000F22E0000}"/>
    <cellStyle name="Normal 5 2 2 2 16" xfId="10602" xr:uid="{00000000-0005-0000-0000-0000F32E0000}"/>
    <cellStyle name="Normal 5 2 2 2 17" xfId="10603" xr:uid="{00000000-0005-0000-0000-0000F42E0000}"/>
    <cellStyle name="Normal 5 2 2 2 17 2" xfId="10604" xr:uid="{00000000-0005-0000-0000-0000F52E0000}"/>
    <cellStyle name="Normal 5 2 2 2 18" xfId="10605" xr:uid="{00000000-0005-0000-0000-0000F62E0000}"/>
    <cellStyle name="Normal 5 2 2 2 18 2" xfId="10606" xr:uid="{00000000-0005-0000-0000-0000F72E0000}"/>
    <cellStyle name="Normal 5 2 2 2 19" xfId="10607" xr:uid="{00000000-0005-0000-0000-0000F82E0000}"/>
    <cellStyle name="Normal 5 2 2 2 2" xfId="346" xr:uid="{00000000-0005-0000-0000-0000F92E0000}"/>
    <cellStyle name="Normal 5 2 2 2 2 10" xfId="10608" xr:uid="{00000000-0005-0000-0000-0000FA2E0000}"/>
    <cellStyle name="Normal 5 2 2 2 2 10 2" xfId="10609" xr:uid="{00000000-0005-0000-0000-0000FB2E0000}"/>
    <cellStyle name="Normal 5 2 2 2 2 11" xfId="10610" xr:uid="{00000000-0005-0000-0000-0000FC2E0000}"/>
    <cellStyle name="Normal 5 2 2 2 2 11 2" xfId="10611" xr:uid="{00000000-0005-0000-0000-0000FD2E0000}"/>
    <cellStyle name="Normal 5 2 2 2 2 12" xfId="10612" xr:uid="{00000000-0005-0000-0000-0000FE2E0000}"/>
    <cellStyle name="Normal 5 2 2 2 2 12 2" xfId="10613" xr:uid="{00000000-0005-0000-0000-0000FF2E0000}"/>
    <cellStyle name="Normal 5 2 2 2 2 13" xfId="10614" xr:uid="{00000000-0005-0000-0000-0000002F0000}"/>
    <cellStyle name="Normal 5 2 2 2 2 13 2" xfId="10615" xr:uid="{00000000-0005-0000-0000-0000012F0000}"/>
    <cellStyle name="Normal 5 2 2 2 2 14" xfId="10616" xr:uid="{00000000-0005-0000-0000-0000022F0000}"/>
    <cellStyle name="Normal 5 2 2 2 2 14 2" xfId="10617" xr:uid="{00000000-0005-0000-0000-0000032F0000}"/>
    <cellStyle name="Normal 5 2 2 2 2 15" xfId="10618" xr:uid="{00000000-0005-0000-0000-0000042F0000}"/>
    <cellStyle name="Normal 5 2 2 2 2 15 2" xfId="10619" xr:uid="{00000000-0005-0000-0000-0000052F0000}"/>
    <cellStyle name="Normal 5 2 2 2 2 16" xfId="10620" xr:uid="{00000000-0005-0000-0000-0000062F0000}"/>
    <cellStyle name="Normal 5 2 2 2 2 16 2" xfId="10621" xr:uid="{00000000-0005-0000-0000-0000072F0000}"/>
    <cellStyle name="Normal 5 2 2 2 2 17" xfId="10622" xr:uid="{00000000-0005-0000-0000-0000082F0000}"/>
    <cellStyle name="Normal 5 2 2 2 2 17 2" xfId="10623" xr:uid="{00000000-0005-0000-0000-0000092F0000}"/>
    <cellStyle name="Normal 5 2 2 2 2 18" xfId="10624" xr:uid="{00000000-0005-0000-0000-00000A2F0000}"/>
    <cellStyle name="Normal 5 2 2 2 2 18 2" xfId="10625" xr:uid="{00000000-0005-0000-0000-00000B2F0000}"/>
    <cellStyle name="Normal 5 2 2 2 2 19" xfId="10626" xr:uid="{00000000-0005-0000-0000-00000C2F0000}"/>
    <cellStyle name="Normal 5 2 2 2 2 19 2" xfId="10627" xr:uid="{00000000-0005-0000-0000-00000D2F0000}"/>
    <cellStyle name="Normal 5 2 2 2 2 2" xfId="10628" xr:uid="{00000000-0005-0000-0000-00000E2F0000}"/>
    <cellStyle name="Normal 5 2 2 2 2 2 10" xfId="10629" xr:uid="{00000000-0005-0000-0000-00000F2F0000}"/>
    <cellStyle name="Normal 5 2 2 2 2 2 11" xfId="10630" xr:uid="{00000000-0005-0000-0000-0000102F0000}"/>
    <cellStyle name="Normal 5 2 2 2 2 2 12" xfId="10631" xr:uid="{00000000-0005-0000-0000-0000112F0000}"/>
    <cellStyle name="Normal 5 2 2 2 2 2 13" xfId="10632" xr:uid="{00000000-0005-0000-0000-0000122F0000}"/>
    <cellStyle name="Normal 5 2 2 2 2 2 14" xfId="10633" xr:uid="{00000000-0005-0000-0000-0000132F0000}"/>
    <cellStyle name="Normal 5 2 2 2 2 2 15" xfId="10634" xr:uid="{00000000-0005-0000-0000-0000142F0000}"/>
    <cellStyle name="Normal 5 2 2 2 2 2 16" xfId="10635" xr:uid="{00000000-0005-0000-0000-0000152F0000}"/>
    <cellStyle name="Normal 5 2 2 2 2 2 2" xfId="10636" xr:uid="{00000000-0005-0000-0000-0000162F0000}"/>
    <cellStyle name="Normal 5 2 2 2 2 2 2 10" xfId="10637" xr:uid="{00000000-0005-0000-0000-0000172F0000}"/>
    <cellStyle name="Normal 5 2 2 2 2 2 2 10 2" xfId="10638" xr:uid="{00000000-0005-0000-0000-0000182F0000}"/>
    <cellStyle name="Normal 5 2 2 2 2 2 2 2" xfId="10639" xr:uid="{00000000-0005-0000-0000-0000192F0000}"/>
    <cellStyle name="Normal 5 2 2 2 2 2 2 2 2" xfId="10640" xr:uid="{00000000-0005-0000-0000-00001A2F0000}"/>
    <cellStyle name="Normal 5 2 2 2 2 2 2 3" xfId="10641" xr:uid="{00000000-0005-0000-0000-00001B2F0000}"/>
    <cellStyle name="Normal 5 2 2 2 2 2 2 3 2" xfId="10642" xr:uid="{00000000-0005-0000-0000-00001C2F0000}"/>
    <cellStyle name="Normal 5 2 2 2 2 2 2 4" xfId="10643" xr:uid="{00000000-0005-0000-0000-00001D2F0000}"/>
    <cellStyle name="Normal 5 2 2 2 2 2 2 4 2" xfId="10644" xr:uid="{00000000-0005-0000-0000-00001E2F0000}"/>
    <cellStyle name="Normal 5 2 2 2 2 2 2 5" xfId="10645" xr:uid="{00000000-0005-0000-0000-00001F2F0000}"/>
    <cellStyle name="Normal 5 2 2 2 2 2 2 5 2" xfId="10646" xr:uid="{00000000-0005-0000-0000-0000202F0000}"/>
    <cellStyle name="Normal 5 2 2 2 2 2 2 6" xfId="10647" xr:uid="{00000000-0005-0000-0000-0000212F0000}"/>
    <cellStyle name="Normal 5 2 2 2 2 2 2 6 2" xfId="10648" xr:uid="{00000000-0005-0000-0000-0000222F0000}"/>
    <cellStyle name="Normal 5 2 2 2 2 2 2 7" xfId="10649" xr:uid="{00000000-0005-0000-0000-0000232F0000}"/>
    <cellStyle name="Normal 5 2 2 2 2 2 2 7 2" xfId="10650" xr:uid="{00000000-0005-0000-0000-0000242F0000}"/>
    <cellStyle name="Normal 5 2 2 2 2 2 2 8" xfId="10651" xr:uid="{00000000-0005-0000-0000-0000252F0000}"/>
    <cellStyle name="Normal 5 2 2 2 2 2 2 8 2" xfId="10652" xr:uid="{00000000-0005-0000-0000-0000262F0000}"/>
    <cellStyle name="Normal 5 2 2 2 2 2 2 9" xfId="10653" xr:uid="{00000000-0005-0000-0000-0000272F0000}"/>
    <cellStyle name="Normal 5 2 2 2 2 2 2 9 2" xfId="10654" xr:uid="{00000000-0005-0000-0000-0000282F0000}"/>
    <cellStyle name="Normal 5 2 2 2 2 2 3" xfId="10655" xr:uid="{00000000-0005-0000-0000-0000292F0000}"/>
    <cellStyle name="Normal 5 2 2 2 2 2 3 2" xfId="10656" xr:uid="{00000000-0005-0000-0000-00002A2F0000}"/>
    <cellStyle name="Normal 5 2 2 2 2 2 3 2 2" xfId="10657" xr:uid="{00000000-0005-0000-0000-00002B2F0000}"/>
    <cellStyle name="Normal 5 2 2 2 2 2 3 3" xfId="10658" xr:uid="{00000000-0005-0000-0000-00002C2F0000}"/>
    <cellStyle name="Normal 5 2 2 2 2 2 3 3 2" xfId="10659" xr:uid="{00000000-0005-0000-0000-00002D2F0000}"/>
    <cellStyle name="Normal 5 2 2 2 2 2 3 4" xfId="10660" xr:uid="{00000000-0005-0000-0000-00002E2F0000}"/>
    <cellStyle name="Normal 5 2 2 2 2 2 3 4 2" xfId="10661" xr:uid="{00000000-0005-0000-0000-00002F2F0000}"/>
    <cellStyle name="Normal 5 2 2 2 2 2 3 5" xfId="10662" xr:uid="{00000000-0005-0000-0000-0000302F0000}"/>
    <cellStyle name="Normal 5 2 2 2 2 2 3 5 2" xfId="10663" xr:uid="{00000000-0005-0000-0000-0000312F0000}"/>
    <cellStyle name="Normal 5 2 2 2 2 2 3 6" xfId="10664" xr:uid="{00000000-0005-0000-0000-0000322F0000}"/>
    <cellStyle name="Normal 5 2 2 2 2 2 4" xfId="10665" xr:uid="{00000000-0005-0000-0000-0000332F0000}"/>
    <cellStyle name="Normal 5 2 2 2 2 2 4 2" xfId="10666" xr:uid="{00000000-0005-0000-0000-0000342F0000}"/>
    <cellStyle name="Normal 5 2 2 2 2 2 4 2 2" xfId="10667" xr:uid="{00000000-0005-0000-0000-0000352F0000}"/>
    <cellStyle name="Normal 5 2 2 2 2 2 4 3" xfId="10668" xr:uid="{00000000-0005-0000-0000-0000362F0000}"/>
    <cellStyle name="Normal 5 2 2 2 2 2 4 3 2" xfId="10669" xr:uid="{00000000-0005-0000-0000-0000372F0000}"/>
    <cellStyle name="Normal 5 2 2 2 2 2 4 4" xfId="10670" xr:uid="{00000000-0005-0000-0000-0000382F0000}"/>
    <cellStyle name="Normal 5 2 2 2 2 2 4 4 2" xfId="10671" xr:uid="{00000000-0005-0000-0000-0000392F0000}"/>
    <cellStyle name="Normal 5 2 2 2 2 2 4 5" xfId="10672" xr:uid="{00000000-0005-0000-0000-00003A2F0000}"/>
    <cellStyle name="Normal 5 2 2 2 2 2 4 5 2" xfId="10673" xr:uid="{00000000-0005-0000-0000-00003B2F0000}"/>
    <cellStyle name="Normal 5 2 2 2 2 2 4 6" xfId="10674" xr:uid="{00000000-0005-0000-0000-00003C2F0000}"/>
    <cellStyle name="Normal 5 2 2 2 2 2 5" xfId="10675" xr:uid="{00000000-0005-0000-0000-00003D2F0000}"/>
    <cellStyle name="Normal 5 2 2 2 2 2 6" xfId="10676" xr:uid="{00000000-0005-0000-0000-00003E2F0000}"/>
    <cellStyle name="Normal 5 2 2 2 2 2 7" xfId="10677" xr:uid="{00000000-0005-0000-0000-00003F2F0000}"/>
    <cellStyle name="Normal 5 2 2 2 2 2 8" xfId="10678" xr:uid="{00000000-0005-0000-0000-0000402F0000}"/>
    <cellStyle name="Normal 5 2 2 2 2 2 9" xfId="10679" xr:uid="{00000000-0005-0000-0000-0000412F0000}"/>
    <cellStyle name="Normal 5 2 2 2 2 20" xfId="10680" xr:uid="{00000000-0005-0000-0000-0000422F0000}"/>
    <cellStyle name="Normal 5 2 2 2 2 20 2" xfId="10681" xr:uid="{00000000-0005-0000-0000-0000432F0000}"/>
    <cellStyle name="Normal 5 2 2 2 2 21" xfId="10682" xr:uid="{00000000-0005-0000-0000-0000442F0000}"/>
    <cellStyle name="Normal 5 2 2 2 2 21 2" xfId="10683" xr:uid="{00000000-0005-0000-0000-0000452F0000}"/>
    <cellStyle name="Normal 5 2 2 2 2 22" xfId="10684" xr:uid="{00000000-0005-0000-0000-0000462F0000}"/>
    <cellStyle name="Normal 5 2 2 2 2 22 2" xfId="10685" xr:uid="{00000000-0005-0000-0000-0000472F0000}"/>
    <cellStyle name="Normal 5 2 2 2 2 23" xfId="10686" xr:uid="{00000000-0005-0000-0000-0000482F0000}"/>
    <cellStyle name="Normal 5 2 2 2 2 23 2" xfId="10687" xr:uid="{00000000-0005-0000-0000-0000492F0000}"/>
    <cellStyle name="Normal 5 2 2 2 2 24" xfId="10688" xr:uid="{00000000-0005-0000-0000-00004A2F0000}"/>
    <cellStyle name="Normal 5 2 2 2 2 24 2" xfId="10689" xr:uid="{00000000-0005-0000-0000-00004B2F0000}"/>
    <cellStyle name="Normal 5 2 2 2 2 25" xfId="10690" xr:uid="{00000000-0005-0000-0000-00004C2F0000}"/>
    <cellStyle name="Normal 5 2 2 2 2 25 2" xfId="10691" xr:uid="{00000000-0005-0000-0000-00004D2F0000}"/>
    <cellStyle name="Normal 5 2 2 2 2 26" xfId="10692" xr:uid="{00000000-0005-0000-0000-00004E2F0000}"/>
    <cellStyle name="Normal 5 2 2 2 2 26 2" xfId="10693" xr:uid="{00000000-0005-0000-0000-00004F2F0000}"/>
    <cellStyle name="Normal 5 2 2 2 2 27" xfId="10694" xr:uid="{00000000-0005-0000-0000-0000502F0000}"/>
    <cellStyle name="Normal 5 2 2 2 2 27 2" xfId="10695" xr:uid="{00000000-0005-0000-0000-0000512F0000}"/>
    <cellStyle name="Normal 5 2 2 2 2 28" xfId="10696" xr:uid="{00000000-0005-0000-0000-0000522F0000}"/>
    <cellStyle name="Normal 5 2 2 2 2 28 2" xfId="10697" xr:uid="{00000000-0005-0000-0000-0000532F0000}"/>
    <cellStyle name="Normal 5 2 2 2 2 29" xfId="10698" xr:uid="{00000000-0005-0000-0000-0000542F0000}"/>
    <cellStyle name="Normal 5 2 2 2 2 29 2" xfId="10699" xr:uid="{00000000-0005-0000-0000-0000552F0000}"/>
    <cellStyle name="Normal 5 2 2 2 2 3" xfId="10700" xr:uid="{00000000-0005-0000-0000-0000562F0000}"/>
    <cellStyle name="Normal 5 2 2 2 2 3 2" xfId="10701" xr:uid="{00000000-0005-0000-0000-0000572F0000}"/>
    <cellStyle name="Normal 5 2 2 2 2 3 2 2" xfId="10702" xr:uid="{00000000-0005-0000-0000-0000582F0000}"/>
    <cellStyle name="Normal 5 2 2 2 2 3 3" xfId="10703" xr:uid="{00000000-0005-0000-0000-0000592F0000}"/>
    <cellStyle name="Normal 5 2 2 2 2 3 3 2" xfId="10704" xr:uid="{00000000-0005-0000-0000-00005A2F0000}"/>
    <cellStyle name="Normal 5 2 2 2 2 3 4" xfId="10705" xr:uid="{00000000-0005-0000-0000-00005B2F0000}"/>
    <cellStyle name="Normal 5 2 2 2 2 3 4 2" xfId="10706" xr:uid="{00000000-0005-0000-0000-00005C2F0000}"/>
    <cellStyle name="Normal 5 2 2 2 2 3 5" xfId="10707" xr:uid="{00000000-0005-0000-0000-00005D2F0000}"/>
    <cellStyle name="Normal 5 2 2 2 2 3 5 2" xfId="10708" xr:uid="{00000000-0005-0000-0000-00005E2F0000}"/>
    <cellStyle name="Normal 5 2 2 2 2 3 6" xfId="10709" xr:uid="{00000000-0005-0000-0000-00005F2F0000}"/>
    <cellStyle name="Normal 5 2 2 2 2 30" xfId="10710" xr:uid="{00000000-0005-0000-0000-0000602F0000}"/>
    <cellStyle name="Normal 5 2 2 2 2 30 2" xfId="10711" xr:uid="{00000000-0005-0000-0000-0000612F0000}"/>
    <cellStyle name="Normal 5 2 2 2 2 31" xfId="10712" xr:uid="{00000000-0005-0000-0000-0000622F0000}"/>
    <cellStyle name="Normal 5 2 2 2 2 31 2" xfId="10713" xr:uid="{00000000-0005-0000-0000-0000632F0000}"/>
    <cellStyle name="Normal 5 2 2 2 2 32" xfId="10714" xr:uid="{00000000-0005-0000-0000-0000642F0000}"/>
    <cellStyle name="Normal 5 2 2 2 2 32 2" xfId="10715" xr:uid="{00000000-0005-0000-0000-0000652F0000}"/>
    <cellStyle name="Normal 5 2 2 2 2 33" xfId="10716" xr:uid="{00000000-0005-0000-0000-0000662F0000}"/>
    <cellStyle name="Normal 5 2 2 2 2 33 2" xfId="10717" xr:uid="{00000000-0005-0000-0000-0000672F0000}"/>
    <cellStyle name="Normal 5 2 2 2 2 34" xfId="10718" xr:uid="{00000000-0005-0000-0000-0000682F0000}"/>
    <cellStyle name="Normal 5 2 2 2 2 34 2" xfId="10719" xr:uid="{00000000-0005-0000-0000-0000692F0000}"/>
    <cellStyle name="Normal 5 2 2 2 2 35" xfId="10720" xr:uid="{00000000-0005-0000-0000-00006A2F0000}"/>
    <cellStyle name="Normal 5 2 2 2 2 35 2" xfId="10721" xr:uid="{00000000-0005-0000-0000-00006B2F0000}"/>
    <cellStyle name="Normal 5 2 2 2 2 36" xfId="10722" xr:uid="{00000000-0005-0000-0000-00006C2F0000}"/>
    <cellStyle name="Normal 5 2 2 2 2 36 2" xfId="10723" xr:uid="{00000000-0005-0000-0000-00006D2F0000}"/>
    <cellStyle name="Normal 5 2 2 2 2 37" xfId="10724" xr:uid="{00000000-0005-0000-0000-00006E2F0000}"/>
    <cellStyle name="Normal 5 2 2 2 2 37 2" xfId="10725" xr:uid="{00000000-0005-0000-0000-00006F2F0000}"/>
    <cellStyle name="Normal 5 2 2 2 2 38" xfId="10726" xr:uid="{00000000-0005-0000-0000-0000702F0000}"/>
    <cellStyle name="Normal 5 2 2 2 2 38 2" xfId="10727" xr:uid="{00000000-0005-0000-0000-0000712F0000}"/>
    <cellStyle name="Normal 5 2 2 2 2 39" xfId="10728" xr:uid="{00000000-0005-0000-0000-0000722F0000}"/>
    <cellStyle name="Normal 5 2 2 2 2 4" xfId="10729" xr:uid="{00000000-0005-0000-0000-0000732F0000}"/>
    <cellStyle name="Normal 5 2 2 2 2 4 2" xfId="10730" xr:uid="{00000000-0005-0000-0000-0000742F0000}"/>
    <cellStyle name="Normal 5 2 2 2 2 4 2 2" xfId="10731" xr:uid="{00000000-0005-0000-0000-0000752F0000}"/>
    <cellStyle name="Normal 5 2 2 2 2 4 3" xfId="10732" xr:uid="{00000000-0005-0000-0000-0000762F0000}"/>
    <cellStyle name="Normal 5 2 2 2 2 4 3 2" xfId="10733" xr:uid="{00000000-0005-0000-0000-0000772F0000}"/>
    <cellStyle name="Normal 5 2 2 2 2 4 4" xfId="10734" xr:uid="{00000000-0005-0000-0000-0000782F0000}"/>
    <cellStyle name="Normal 5 2 2 2 2 4 4 2" xfId="10735" xr:uid="{00000000-0005-0000-0000-0000792F0000}"/>
    <cellStyle name="Normal 5 2 2 2 2 4 5" xfId="10736" xr:uid="{00000000-0005-0000-0000-00007A2F0000}"/>
    <cellStyle name="Normal 5 2 2 2 2 4 5 2" xfId="10737" xr:uid="{00000000-0005-0000-0000-00007B2F0000}"/>
    <cellStyle name="Normal 5 2 2 2 2 4 6" xfId="10738" xr:uid="{00000000-0005-0000-0000-00007C2F0000}"/>
    <cellStyle name="Normal 5 2 2 2 2 5" xfId="10739" xr:uid="{00000000-0005-0000-0000-00007D2F0000}"/>
    <cellStyle name="Normal 5 2 2 2 2 6" xfId="10740" xr:uid="{00000000-0005-0000-0000-00007E2F0000}"/>
    <cellStyle name="Normal 5 2 2 2 2 7" xfId="10741" xr:uid="{00000000-0005-0000-0000-00007F2F0000}"/>
    <cellStyle name="Normal 5 2 2 2 2 7 2" xfId="10742" xr:uid="{00000000-0005-0000-0000-0000802F0000}"/>
    <cellStyle name="Normal 5 2 2 2 2 8" xfId="10743" xr:uid="{00000000-0005-0000-0000-0000812F0000}"/>
    <cellStyle name="Normal 5 2 2 2 2 8 2" xfId="10744" xr:uid="{00000000-0005-0000-0000-0000822F0000}"/>
    <cellStyle name="Normal 5 2 2 2 2 9" xfId="10745" xr:uid="{00000000-0005-0000-0000-0000832F0000}"/>
    <cellStyle name="Normal 5 2 2 2 2 9 2" xfId="10746" xr:uid="{00000000-0005-0000-0000-0000842F0000}"/>
    <cellStyle name="Normal 5 2 2 2 20" xfId="10747" xr:uid="{00000000-0005-0000-0000-0000852F0000}"/>
    <cellStyle name="Normal 5 2 2 2 20 2" xfId="10748" xr:uid="{00000000-0005-0000-0000-0000862F0000}"/>
    <cellStyle name="Normal 5 2 2 2 21" xfId="10749" xr:uid="{00000000-0005-0000-0000-0000872F0000}"/>
    <cellStyle name="Normal 5 2 2 2 21 2" xfId="10750" xr:uid="{00000000-0005-0000-0000-0000882F0000}"/>
    <cellStyle name="Normal 5 2 2 2 22" xfId="10751" xr:uid="{00000000-0005-0000-0000-0000892F0000}"/>
    <cellStyle name="Normal 5 2 2 2 23" xfId="10752" xr:uid="{00000000-0005-0000-0000-00008A2F0000}"/>
    <cellStyle name="Normal 5 2 2 2 23 2" xfId="10753" xr:uid="{00000000-0005-0000-0000-00008B2F0000}"/>
    <cellStyle name="Normal 5 2 2 2 24" xfId="10754" xr:uid="{00000000-0005-0000-0000-00008C2F0000}"/>
    <cellStyle name="Normal 5 2 2 2 25" xfId="10755" xr:uid="{00000000-0005-0000-0000-00008D2F0000}"/>
    <cellStyle name="Normal 5 2 2 2 25 2" xfId="10756" xr:uid="{00000000-0005-0000-0000-00008E2F0000}"/>
    <cellStyle name="Normal 5 2 2 2 26" xfId="10757" xr:uid="{00000000-0005-0000-0000-00008F2F0000}"/>
    <cellStyle name="Normal 5 2 2 2 26 2" xfId="10758" xr:uid="{00000000-0005-0000-0000-0000902F0000}"/>
    <cellStyle name="Normal 5 2 2 2 27" xfId="10759" xr:uid="{00000000-0005-0000-0000-0000912F0000}"/>
    <cellStyle name="Normal 5 2 2 2 27 2" xfId="10760" xr:uid="{00000000-0005-0000-0000-0000922F0000}"/>
    <cellStyle name="Normal 5 2 2 2 28" xfId="10761" xr:uid="{00000000-0005-0000-0000-0000932F0000}"/>
    <cellStyle name="Normal 5 2 2 2 28 2" xfId="10762" xr:uid="{00000000-0005-0000-0000-0000942F0000}"/>
    <cellStyle name="Normal 5 2 2 2 29" xfId="10763" xr:uid="{00000000-0005-0000-0000-0000952F0000}"/>
    <cellStyle name="Normal 5 2 2 2 29 2" xfId="10764" xr:uid="{00000000-0005-0000-0000-0000962F0000}"/>
    <cellStyle name="Normal 5 2 2 2 3" xfId="10765" xr:uid="{00000000-0005-0000-0000-0000972F0000}"/>
    <cellStyle name="Normal 5 2 2 2 3 10" xfId="10766" xr:uid="{00000000-0005-0000-0000-0000982F0000}"/>
    <cellStyle name="Normal 5 2 2 2 3 10 2" xfId="10767" xr:uid="{00000000-0005-0000-0000-0000992F0000}"/>
    <cellStyle name="Normal 5 2 2 2 3 11" xfId="10768" xr:uid="{00000000-0005-0000-0000-00009A2F0000}"/>
    <cellStyle name="Normal 5 2 2 2 3 11 2" xfId="10769" xr:uid="{00000000-0005-0000-0000-00009B2F0000}"/>
    <cellStyle name="Normal 5 2 2 2 3 12" xfId="10770" xr:uid="{00000000-0005-0000-0000-00009C2F0000}"/>
    <cellStyle name="Normal 5 2 2 2 3 12 2" xfId="10771" xr:uid="{00000000-0005-0000-0000-00009D2F0000}"/>
    <cellStyle name="Normal 5 2 2 2 3 13" xfId="10772" xr:uid="{00000000-0005-0000-0000-00009E2F0000}"/>
    <cellStyle name="Normal 5 2 2 2 3 13 2" xfId="10773" xr:uid="{00000000-0005-0000-0000-00009F2F0000}"/>
    <cellStyle name="Normal 5 2 2 2 3 14" xfId="10774" xr:uid="{00000000-0005-0000-0000-0000A02F0000}"/>
    <cellStyle name="Normal 5 2 2 2 3 14 2" xfId="10775" xr:uid="{00000000-0005-0000-0000-0000A12F0000}"/>
    <cellStyle name="Normal 5 2 2 2 3 15" xfId="10776" xr:uid="{00000000-0005-0000-0000-0000A22F0000}"/>
    <cellStyle name="Normal 5 2 2 2 3 15 2" xfId="10777" xr:uid="{00000000-0005-0000-0000-0000A32F0000}"/>
    <cellStyle name="Normal 5 2 2 2 3 16" xfId="10778" xr:uid="{00000000-0005-0000-0000-0000A42F0000}"/>
    <cellStyle name="Normal 5 2 2 2 3 16 2" xfId="10779" xr:uid="{00000000-0005-0000-0000-0000A52F0000}"/>
    <cellStyle name="Normal 5 2 2 2 3 17" xfId="10780" xr:uid="{00000000-0005-0000-0000-0000A62F0000}"/>
    <cellStyle name="Normal 5 2 2 2 3 17 2" xfId="10781" xr:uid="{00000000-0005-0000-0000-0000A72F0000}"/>
    <cellStyle name="Normal 5 2 2 2 3 18" xfId="10782" xr:uid="{00000000-0005-0000-0000-0000A82F0000}"/>
    <cellStyle name="Normal 5 2 2 2 3 18 2" xfId="10783" xr:uid="{00000000-0005-0000-0000-0000A92F0000}"/>
    <cellStyle name="Normal 5 2 2 2 3 19" xfId="10784" xr:uid="{00000000-0005-0000-0000-0000AA2F0000}"/>
    <cellStyle name="Normal 5 2 2 2 3 19 2" xfId="10785" xr:uid="{00000000-0005-0000-0000-0000AB2F0000}"/>
    <cellStyle name="Normal 5 2 2 2 3 2" xfId="10786" xr:uid="{00000000-0005-0000-0000-0000AC2F0000}"/>
    <cellStyle name="Normal 5 2 2 2 3 2 10" xfId="10787" xr:uid="{00000000-0005-0000-0000-0000AD2F0000}"/>
    <cellStyle name="Normal 5 2 2 2 3 2 11" xfId="10788" xr:uid="{00000000-0005-0000-0000-0000AE2F0000}"/>
    <cellStyle name="Normal 5 2 2 2 3 2 2" xfId="10789" xr:uid="{00000000-0005-0000-0000-0000AF2F0000}"/>
    <cellStyle name="Normal 5 2 2 2 3 2 3" xfId="10790" xr:uid="{00000000-0005-0000-0000-0000B02F0000}"/>
    <cellStyle name="Normal 5 2 2 2 3 2 4" xfId="10791" xr:uid="{00000000-0005-0000-0000-0000B12F0000}"/>
    <cellStyle name="Normal 5 2 2 2 3 2 5" xfId="10792" xr:uid="{00000000-0005-0000-0000-0000B22F0000}"/>
    <cellStyle name="Normal 5 2 2 2 3 2 6" xfId="10793" xr:uid="{00000000-0005-0000-0000-0000B32F0000}"/>
    <cellStyle name="Normal 5 2 2 2 3 2 7" xfId="10794" xr:uid="{00000000-0005-0000-0000-0000B42F0000}"/>
    <cellStyle name="Normal 5 2 2 2 3 2 8" xfId="10795" xr:uid="{00000000-0005-0000-0000-0000B52F0000}"/>
    <cellStyle name="Normal 5 2 2 2 3 2 9" xfId="10796" xr:uid="{00000000-0005-0000-0000-0000B62F0000}"/>
    <cellStyle name="Normal 5 2 2 2 3 20" xfId="10797" xr:uid="{00000000-0005-0000-0000-0000B72F0000}"/>
    <cellStyle name="Normal 5 2 2 2 3 20 2" xfId="10798" xr:uid="{00000000-0005-0000-0000-0000B82F0000}"/>
    <cellStyle name="Normal 5 2 2 2 3 21" xfId="10799" xr:uid="{00000000-0005-0000-0000-0000B92F0000}"/>
    <cellStyle name="Normal 5 2 2 2 3 21 2" xfId="10800" xr:uid="{00000000-0005-0000-0000-0000BA2F0000}"/>
    <cellStyle name="Normal 5 2 2 2 3 22" xfId="10801" xr:uid="{00000000-0005-0000-0000-0000BB2F0000}"/>
    <cellStyle name="Normal 5 2 2 2 3 22 2" xfId="10802" xr:uid="{00000000-0005-0000-0000-0000BC2F0000}"/>
    <cellStyle name="Normal 5 2 2 2 3 23" xfId="10803" xr:uid="{00000000-0005-0000-0000-0000BD2F0000}"/>
    <cellStyle name="Normal 5 2 2 2 3 23 2" xfId="10804" xr:uid="{00000000-0005-0000-0000-0000BE2F0000}"/>
    <cellStyle name="Normal 5 2 2 2 3 24" xfId="10805" xr:uid="{00000000-0005-0000-0000-0000BF2F0000}"/>
    <cellStyle name="Normal 5 2 2 2 3 24 2" xfId="10806" xr:uid="{00000000-0005-0000-0000-0000C02F0000}"/>
    <cellStyle name="Normal 5 2 2 2 3 25" xfId="10807" xr:uid="{00000000-0005-0000-0000-0000C12F0000}"/>
    <cellStyle name="Normal 5 2 2 2 3 25 2" xfId="10808" xr:uid="{00000000-0005-0000-0000-0000C22F0000}"/>
    <cellStyle name="Normal 5 2 2 2 3 26" xfId="10809" xr:uid="{00000000-0005-0000-0000-0000C32F0000}"/>
    <cellStyle name="Normal 5 2 2 2 3 26 2" xfId="10810" xr:uid="{00000000-0005-0000-0000-0000C42F0000}"/>
    <cellStyle name="Normal 5 2 2 2 3 27" xfId="10811" xr:uid="{00000000-0005-0000-0000-0000C52F0000}"/>
    <cellStyle name="Normal 5 2 2 2 3 27 2" xfId="10812" xr:uid="{00000000-0005-0000-0000-0000C62F0000}"/>
    <cellStyle name="Normal 5 2 2 2 3 28" xfId="10813" xr:uid="{00000000-0005-0000-0000-0000C72F0000}"/>
    <cellStyle name="Normal 5 2 2 2 3 28 2" xfId="10814" xr:uid="{00000000-0005-0000-0000-0000C82F0000}"/>
    <cellStyle name="Normal 5 2 2 2 3 29" xfId="10815" xr:uid="{00000000-0005-0000-0000-0000C92F0000}"/>
    <cellStyle name="Normal 5 2 2 2 3 29 2" xfId="10816" xr:uid="{00000000-0005-0000-0000-0000CA2F0000}"/>
    <cellStyle name="Normal 5 2 2 2 3 3" xfId="10817" xr:uid="{00000000-0005-0000-0000-0000CB2F0000}"/>
    <cellStyle name="Normal 5 2 2 2 3 30" xfId="10818" xr:uid="{00000000-0005-0000-0000-0000CC2F0000}"/>
    <cellStyle name="Normal 5 2 2 2 3 30 2" xfId="10819" xr:uid="{00000000-0005-0000-0000-0000CD2F0000}"/>
    <cellStyle name="Normal 5 2 2 2 3 31" xfId="10820" xr:uid="{00000000-0005-0000-0000-0000CE2F0000}"/>
    <cellStyle name="Normal 5 2 2 2 3 31 2" xfId="10821" xr:uid="{00000000-0005-0000-0000-0000CF2F0000}"/>
    <cellStyle name="Normal 5 2 2 2 3 32" xfId="10822" xr:uid="{00000000-0005-0000-0000-0000D02F0000}"/>
    <cellStyle name="Normal 5 2 2 2 3 32 2" xfId="10823" xr:uid="{00000000-0005-0000-0000-0000D12F0000}"/>
    <cellStyle name="Normal 5 2 2 2 3 33" xfId="10824" xr:uid="{00000000-0005-0000-0000-0000D22F0000}"/>
    <cellStyle name="Normal 5 2 2 2 3 33 2" xfId="10825" xr:uid="{00000000-0005-0000-0000-0000D32F0000}"/>
    <cellStyle name="Normal 5 2 2 2 3 34" xfId="10826" xr:uid="{00000000-0005-0000-0000-0000D42F0000}"/>
    <cellStyle name="Normal 5 2 2 2 3 34 2" xfId="10827" xr:uid="{00000000-0005-0000-0000-0000D52F0000}"/>
    <cellStyle name="Normal 5 2 2 2 3 35" xfId="10828" xr:uid="{00000000-0005-0000-0000-0000D62F0000}"/>
    <cellStyle name="Normal 5 2 2 2 3 35 2" xfId="10829" xr:uid="{00000000-0005-0000-0000-0000D72F0000}"/>
    <cellStyle name="Normal 5 2 2 2 3 36" xfId="10830" xr:uid="{00000000-0005-0000-0000-0000D82F0000}"/>
    <cellStyle name="Normal 5 2 2 2 3 36 2" xfId="10831" xr:uid="{00000000-0005-0000-0000-0000D92F0000}"/>
    <cellStyle name="Normal 5 2 2 2 3 37" xfId="10832" xr:uid="{00000000-0005-0000-0000-0000DA2F0000}"/>
    <cellStyle name="Normal 5 2 2 2 3 4" xfId="10833" xr:uid="{00000000-0005-0000-0000-0000DB2F0000}"/>
    <cellStyle name="Normal 5 2 2 2 3 5" xfId="10834" xr:uid="{00000000-0005-0000-0000-0000DC2F0000}"/>
    <cellStyle name="Normal 5 2 2 2 3 5 2" xfId="10835" xr:uid="{00000000-0005-0000-0000-0000DD2F0000}"/>
    <cellStyle name="Normal 5 2 2 2 3 6" xfId="10836" xr:uid="{00000000-0005-0000-0000-0000DE2F0000}"/>
    <cellStyle name="Normal 5 2 2 2 3 6 2" xfId="10837" xr:uid="{00000000-0005-0000-0000-0000DF2F0000}"/>
    <cellStyle name="Normal 5 2 2 2 3 7" xfId="10838" xr:uid="{00000000-0005-0000-0000-0000E02F0000}"/>
    <cellStyle name="Normal 5 2 2 2 3 7 2" xfId="10839" xr:uid="{00000000-0005-0000-0000-0000E12F0000}"/>
    <cellStyle name="Normal 5 2 2 2 3 8" xfId="10840" xr:uid="{00000000-0005-0000-0000-0000E22F0000}"/>
    <cellStyle name="Normal 5 2 2 2 3 8 2" xfId="10841" xr:uid="{00000000-0005-0000-0000-0000E32F0000}"/>
    <cellStyle name="Normal 5 2 2 2 3 9" xfId="10842" xr:uid="{00000000-0005-0000-0000-0000E42F0000}"/>
    <cellStyle name="Normal 5 2 2 2 3 9 2" xfId="10843" xr:uid="{00000000-0005-0000-0000-0000E52F0000}"/>
    <cellStyle name="Normal 5 2 2 2 30" xfId="10844" xr:uid="{00000000-0005-0000-0000-0000E62F0000}"/>
    <cellStyle name="Normal 5 2 2 2 30 2" xfId="10845" xr:uid="{00000000-0005-0000-0000-0000E72F0000}"/>
    <cellStyle name="Normal 5 2 2 2 31" xfId="10846" xr:uid="{00000000-0005-0000-0000-0000E82F0000}"/>
    <cellStyle name="Normal 5 2 2 2 31 2" xfId="10847" xr:uid="{00000000-0005-0000-0000-0000E92F0000}"/>
    <cellStyle name="Normal 5 2 2 2 32" xfId="10848" xr:uid="{00000000-0005-0000-0000-0000EA2F0000}"/>
    <cellStyle name="Normal 5 2 2 2 32 2" xfId="10849" xr:uid="{00000000-0005-0000-0000-0000EB2F0000}"/>
    <cellStyle name="Normal 5 2 2 2 33" xfId="10850" xr:uid="{00000000-0005-0000-0000-0000EC2F0000}"/>
    <cellStyle name="Normal 5 2 2 2 33 2" xfId="10851" xr:uid="{00000000-0005-0000-0000-0000ED2F0000}"/>
    <cellStyle name="Normal 5 2 2 2 34" xfId="10852" xr:uid="{00000000-0005-0000-0000-0000EE2F0000}"/>
    <cellStyle name="Normal 5 2 2 2 34 2" xfId="10853" xr:uid="{00000000-0005-0000-0000-0000EF2F0000}"/>
    <cellStyle name="Normal 5 2 2 2 35" xfId="10854" xr:uid="{00000000-0005-0000-0000-0000F02F0000}"/>
    <cellStyle name="Normal 5 2 2 2 35 2" xfId="10855" xr:uid="{00000000-0005-0000-0000-0000F12F0000}"/>
    <cellStyle name="Normal 5 2 2 2 36" xfId="10856" xr:uid="{00000000-0005-0000-0000-0000F22F0000}"/>
    <cellStyle name="Normal 5 2 2 2 36 2" xfId="10857" xr:uid="{00000000-0005-0000-0000-0000F32F0000}"/>
    <cellStyle name="Normal 5 2 2 2 37" xfId="10858" xr:uid="{00000000-0005-0000-0000-0000F42F0000}"/>
    <cellStyle name="Normal 5 2 2 2 37 2" xfId="10859" xr:uid="{00000000-0005-0000-0000-0000F52F0000}"/>
    <cellStyle name="Normal 5 2 2 2 38" xfId="10860" xr:uid="{00000000-0005-0000-0000-0000F62F0000}"/>
    <cellStyle name="Normal 5 2 2 2 38 2" xfId="10861" xr:uid="{00000000-0005-0000-0000-0000F72F0000}"/>
    <cellStyle name="Normal 5 2 2 2 39" xfId="10862" xr:uid="{00000000-0005-0000-0000-0000F82F0000}"/>
    <cellStyle name="Normal 5 2 2 2 39 2" xfId="10863" xr:uid="{00000000-0005-0000-0000-0000F92F0000}"/>
    <cellStyle name="Normal 5 2 2 2 4" xfId="10864" xr:uid="{00000000-0005-0000-0000-0000FA2F0000}"/>
    <cellStyle name="Normal 5 2 2 2 40" xfId="10865" xr:uid="{00000000-0005-0000-0000-0000FB2F0000}"/>
    <cellStyle name="Normal 5 2 2 2 40 2" xfId="10866" xr:uid="{00000000-0005-0000-0000-0000FC2F0000}"/>
    <cellStyle name="Normal 5 2 2 2 41" xfId="10867" xr:uid="{00000000-0005-0000-0000-0000FD2F0000}"/>
    <cellStyle name="Normal 5 2 2 2 41 2" xfId="10868" xr:uid="{00000000-0005-0000-0000-0000FE2F0000}"/>
    <cellStyle name="Normal 5 2 2 2 42" xfId="10869" xr:uid="{00000000-0005-0000-0000-0000FF2F0000}"/>
    <cellStyle name="Normal 5 2 2 2 42 2" xfId="10870" xr:uid="{00000000-0005-0000-0000-000000300000}"/>
    <cellStyle name="Normal 5 2 2 2 43" xfId="10871" xr:uid="{00000000-0005-0000-0000-000001300000}"/>
    <cellStyle name="Normal 5 2 2 2 44" xfId="10872" xr:uid="{00000000-0005-0000-0000-000002300000}"/>
    <cellStyle name="Normal 5 2 2 2 44 2" xfId="10873" xr:uid="{00000000-0005-0000-0000-000003300000}"/>
    <cellStyle name="Normal 5 2 2 2 45" xfId="10874" xr:uid="{00000000-0005-0000-0000-000004300000}"/>
    <cellStyle name="Normal 5 2 2 2 45 2" xfId="10875" xr:uid="{00000000-0005-0000-0000-000005300000}"/>
    <cellStyle name="Normal 5 2 2 2 46" xfId="10876" xr:uid="{00000000-0005-0000-0000-000006300000}"/>
    <cellStyle name="Normal 5 2 2 2 46 2" xfId="10877" xr:uid="{00000000-0005-0000-0000-000007300000}"/>
    <cellStyle name="Normal 5 2 2 2 47" xfId="10878" xr:uid="{00000000-0005-0000-0000-000008300000}"/>
    <cellStyle name="Normal 5 2 2 2 47 2" xfId="10879" xr:uid="{00000000-0005-0000-0000-000009300000}"/>
    <cellStyle name="Normal 5 2 2 2 48" xfId="10880" xr:uid="{00000000-0005-0000-0000-00000A300000}"/>
    <cellStyle name="Normal 5 2 2 2 48 2" xfId="10881" xr:uid="{00000000-0005-0000-0000-00000B300000}"/>
    <cellStyle name="Normal 5 2 2 2 49" xfId="10882" xr:uid="{00000000-0005-0000-0000-00000C300000}"/>
    <cellStyle name="Normal 5 2 2 2 5" xfId="10883" xr:uid="{00000000-0005-0000-0000-00000D300000}"/>
    <cellStyle name="Normal 5 2 2 2 5 2" xfId="10884" xr:uid="{00000000-0005-0000-0000-00000E300000}"/>
    <cellStyle name="Normal 5 2 2 2 5 2 2" xfId="10885" xr:uid="{00000000-0005-0000-0000-00000F300000}"/>
    <cellStyle name="Normal 5 2 2 2 5 3" xfId="10886" xr:uid="{00000000-0005-0000-0000-000010300000}"/>
    <cellStyle name="Normal 5 2 2 2 5 3 2" xfId="10887" xr:uid="{00000000-0005-0000-0000-000011300000}"/>
    <cellStyle name="Normal 5 2 2 2 5 4" xfId="10888" xr:uid="{00000000-0005-0000-0000-000012300000}"/>
    <cellStyle name="Normal 5 2 2 2 5 4 2" xfId="10889" xr:uid="{00000000-0005-0000-0000-000013300000}"/>
    <cellStyle name="Normal 5 2 2 2 5 5" xfId="10890" xr:uid="{00000000-0005-0000-0000-000014300000}"/>
    <cellStyle name="Normal 5 2 2 2 5 5 2" xfId="10891" xr:uid="{00000000-0005-0000-0000-000015300000}"/>
    <cellStyle name="Normal 5 2 2 2 5 6" xfId="10892" xr:uid="{00000000-0005-0000-0000-000016300000}"/>
    <cellStyle name="Normal 5 2 2 2 50" xfId="10591" xr:uid="{00000000-0005-0000-0000-000017300000}"/>
    <cellStyle name="Normal 5 2 2 2 6" xfId="10893" xr:uid="{00000000-0005-0000-0000-000018300000}"/>
    <cellStyle name="Normal 5 2 2 2 6 2" xfId="10894" xr:uid="{00000000-0005-0000-0000-000019300000}"/>
    <cellStyle name="Normal 5 2 2 2 6 2 2" xfId="10895" xr:uid="{00000000-0005-0000-0000-00001A300000}"/>
    <cellStyle name="Normal 5 2 2 2 6 3" xfId="10896" xr:uid="{00000000-0005-0000-0000-00001B300000}"/>
    <cellStyle name="Normal 5 2 2 2 6 3 2" xfId="10897" xr:uid="{00000000-0005-0000-0000-00001C300000}"/>
    <cellStyle name="Normal 5 2 2 2 6 4" xfId="10898" xr:uid="{00000000-0005-0000-0000-00001D300000}"/>
    <cellStyle name="Normal 5 2 2 2 6 4 2" xfId="10899" xr:uid="{00000000-0005-0000-0000-00001E300000}"/>
    <cellStyle name="Normal 5 2 2 2 6 5" xfId="10900" xr:uid="{00000000-0005-0000-0000-00001F300000}"/>
    <cellStyle name="Normal 5 2 2 2 6 5 2" xfId="10901" xr:uid="{00000000-0005-0000-0000-000020300000}"/>
    <cellStyle name="Normal 5 2 2 2 6 6" xfId="10902" xr:uid="{00000000-0005-0000-0000-000021300000}"/>
    <cellStyle name="Normal 5 2 2 2 7" xfId="10903" xr:uid="{00000000-0005-0000-0000-000022300000}"/>
    <cellStyle name="Normal 5 2 2 2 7 2" xfId="10904" xr:uid="{00000000-0005-0000-0000-000023300000}"/>
    <cellStyle name="Normal 5 2 2 2 8" xfId="10905" xr:uid="{00000000-0005-0000-0000-000024300000}"/>
    <cellStyle name="Normal 5 2 2 2 8 2" xfId="10906" xr:uid="{00000000-0005-0000-0000-000025300000}"/>
    <cellStyle name="Normal 5 2 2 2 9" xfId="10907" xr:uid="{00000000-0005-0000-0000-000026300000}"/>
    <cellStyle name="Normal 5 2 2 20" xfId="10908" xr:uid="{00000000-0005-0000-0000-000027300000}"/>
    <cellStyle name="Normal 5 2 2 20 2" xfId="10909" xr:uid="{00000000-0005-0000-0000-000028300000}"/>
    <cellStyle name="Normal 5 2 2 20 3" xfId="10910" xr:uid="{00000000-0005-0000-0000-000029300000}"/>
    <cellStyle name="Normal 5 2 2 21" xfId="10911" xr:uid="{00000000-0005-0000-0000-00002A300000}"/>
    <cellStyle name="Normal 5 2 2 22" xfId="10912" xr:uid="{00000000-0005-0000-0000-00002B300000}"/>
    <cellStyle name="Normal 5 2 2 23" xfId="10913" xr:uid="{00000000-0005-0000-0000-00002C300000}"/>
    <cellStyle name="Normal 5 2 2 24" xfId="10914" xr:uid="{00000000-0005-0000-0000-00002D300000}"/>
    <cellStyle name="Normal 5 2 2 25" xfId="10915" xr:uid="{00000000-0005-0000-0000-00002E300000}"/>
    <cellStyle name="Normal 5 2 2 26" xfId="10916" xr:uid="{00000000-0005-0000-0000-00002F300000}"/>
    <cellStyle name="Normal 5 2 2 27" xfId="10917" xr:uid="{00000000-0005-0000-0000-000030300000}"/>
    <cellStyle name="Normal 5 2 2 28" xfId="10918" xr:uid="{00000000-0005-0000-0000-000031300000}"/>
    <cellStyle name="Normal 5 2 2 29" xfId="10919" xr:uid="{00000000-0005-0000-0000-000032300000}"/>
    <cellStyle name="Normal 5 2 2 3" xfId="347" xr:uid="{00000000-0005-0000-0000-000033300000}"/>
    <cellStyle name="Normal 5 2 2 3 10" xfId="10921" xr:uid="{00000000-0005-0000-0000-000034300000}"/>
    <cellStyle name="Normal 5 2 2 3 10 2" xfId="10922" xr:uid="{00000000-0005-0000-0000-000035300000}"/>
    <cellStyle name="Normal 5 2 2 3 11" xfId="10923" xr:uid="{00000000-0005-0000-0000-000036300000}"/>
    <cellStyle name="Normal 5 2 2 3 11 2" xfId="10924" xr:uid="{00000000-0005-0000-0000-000037300000}"/>
    <cellStyle name="Normal 5 2 2 3 12" xfId="10925" xr:uid="{00000000-0005-0000-0000-000038300000}"/>
    <cellStyle name="Normal 5 2 2 3 12 2" xfId="10926" xr:uid="{00000000-0005-0000-0000-000039300000}"/>
    <cellStyle name="Normal 5 2 2 3 13" xfId="10927" xr:uid="{00000000-0005-0000-0000-00003A300000}"/>
    <cellStyle name="Normal 5 2 2 3 13 2" xfId="10928" xr:uid="{00000000-0005-0000-0000-00003B300000}"/>
    <cellStyle name="Normal 5 2 2 3 14" xfId="10929" xr:uid="{00000000-0005-0000-0000-00003C300000}"/>
    <cellStyle name="Normal 5 2 2 3 14 2" xfId="10930" xr:uid="{00000000-0005-0000-0000-00003D300000}"/>
    <cellStyle name="Normal 5 2 2 3 15" xfId="10931" xr:uid="{00000000-0005-0000-0000-00003E300000}"/>
    <cellStyle name="Normal 5 2 2 3 15 2" xfId="10932" xr:uid="{00000000-0005-0000-0000-00003F300000}"/>
    <cellStyle name="Normal 5 2 2 3 16" xfId="10933" xr:uid="{00000000-0005-0000-0000-000040300000}"/>
    <cellStyle name="Normal 5 2 2 3 16 2" xfId="10934" xr:uid="{00000000-0005-0000-0000-000041300000}"/>
    <cellStyle name="Normal 5 2 2 3 17" xfId="10935" xr:uid="{00000000-0005-0000-0000-000042300000}"/>
    <cellStyle name="Normal 5 2 2 3 17 2" xfId="10936" xr:uid="{00000000-0005-0000-0000-000043300000}"/>
    <cellStyle name="Normal 5 2 2 3 18" xfId="10937" xr:uid="{00000000-0005-0000-0000-000044300000}"/>
    <cellStyle name="Normal 5 2 2 3 18 2" xfId="10938" xr:uid="{00000000-0005-0000-0000-000045300000}"/>
    <cellStyle name="Normal 5 2 2 3 19" xfId="10939" xr:uid="{00000000-0005-0000-0000-000046300000}"/>
    <cellStyle name="Normal 5 2 2 3 19 2" xfId="10940" xr:uid="{00000000-0005-0000-0000-000047300000}"/>
    <cellStyle name="Normal 5 2 2 3 2" xfId="10941" xr:uid="{00000000-0005-0000-0000-000048300000}"/>
    <cellStyle name="Normal 5 2 2 3 2 10" xfId="10942" xr:uid="{00000000-0005-0000-0000-000049300000}"/>
    <cellStyle name="Normal 5 2 2 3 2 10 2" xfId="10943" xr:uid="{00000000-0005-0000-0000-00004A300000}"/>
    <cellStyle name="Normal 5 2 2 3 2 11" xfId="10944" xr:uid="{00000000-0005-0000-0000-00004B300000}"/>
    <cellStyle name="Normal 5 2 2 3 2 11 2" xfId="10945" xr:uid="{00000000-0005-0000-0000-00004C300000}"/>
    <cellStyle name="Normal 5 2 2 3 2 12" xfId="10946" xr:uid="{00000000-0005-0000-0000-00004D300000}"/>
    <cellStyle name="Normal 5 2 2 3 2 12 2" xfId="10947" xr:uid="{00000000-0005-0000-0000-00004E300000}"/>
    <cellStyle name="Normal 5 2 2 3 2 13" xfId="10948" xr:uid="{00000000-0005-0000-0000-00004F300000}"/>
    <cellStyle name="Normal 5 2 2 3 2 13 2" xfId="10949" xr:uid="{00000000-0005-0000-0000-000050300000}"/>
    <cellStyle name="Normal 5 2 2 3 2 14" xfId="10950" xr:uid="{00000000-0005-0000-0000-000051300000}"/>
    <cellStyle name="Normal 5 2 2 3 2 14 2" xfId="10951" xr:uid="{00000000-0005-0000-0000-000052300000}"/>
    <cellStyle name="Normal 5 2 2 3 2 15" xfId="10952" xr:uid="{00000000-0005-0000-0000-000053300000}"/>
    <cellStyle name="Normal 5 2 2 3 2 15 2" xfId="10953" xr:uid="{00000000-0005-0000-0000-000054300000}"/>
    <cellStyle name="Normal 5 2 2 3 2 16" xfId="10954" xr:uid="{00000000-0005-0000-0000-000055300000}"/>
    <cellStyle name="Normal 5 2 2 3 2 16 2" xfId="10955" xr:uid="{00000000-0005-0000-0000-000056300000}"/>
    <cellStyle name="Normal 5 2 2 3 2 17" xfId="10956" xr:uid="{00000000-0005-0000-0000-000057300000}"/>
    <cellStyle name="Normal 5 2 2 3 2 17 2" xfId="10957" xr:uid="{00000000-0005-0000-0000-000058300000}"/>
    <cellStyle name="Normal 5 2 2 3 2 18" xfId="10958" xr:uid="{00000000-0005-0000-0000-000059300000}"/>
    <cellStyle name="Normal 5 2 2 3 2 18 2" xfId="10959" xr:uid="{00000000-0005-0000-0000-00005A300000}"/>
    <cellStyle name="Normal 5 2 2 3 2 19" xfId="10960" xr:uid="{00000000-0005-0000-0000-00005B300000}"/>
    <cellStyle name="Normal 5 2 2 3 2 19 2" xfId="10961" xr:uid="{00000000-0005-0000-0000-00005C300000}"/>
    <cellStyle name="Normal 5 2 2 3 2 2" xfId="10962" xr:uid="{00000000-0005-0000-0000-00005D300000}"/>
    <cellStyle name="Normal 5 2 2 3 2 2 2" xfId="10963" xr:uid="{00000000-0005-0000-0000-00005E300000}"/>
    <cellStyle name="Normal 5 2 2 3 2 20" xfId="10964" xr:uid="{00000000-0005-0000-0000-00005F300000}"/>
    <cellStyle name="Normal 5 2 2 3 2 20 2" xfId="10965" xr:uid="{00000000-0005-0000-0000-000060300000}"/>
    <cellStyle name="Normal 5 2 2 3 2 21" xfId="10966" xr:uid="{00000000-0005-0000-0000-000061300000}"/>
    <cellStyle name="Normal 5 2 2 3 2 21 2" xfId="10967" xr:uid="{00000000-0005-0000-0000-000062300000}"/>
    <cellStyle name="Normal 5 2 2 3 2 22" xfId="10968" xr:uid="{00000000-0005-0000-0000-000063300000}"/>
    <cellStyle name="Normal 5 2 2 3 2 22 2" xfId="10969" xr:uid="{00000000-0005-0000-0000-000064300000}"/>
    <cellStyle name="Normal 5 2 2 3 2 23" xfId="10970" xr:uid="{00000000-0005-0000-0000-000065300000}"/>
    <cellStyle name="Normal 5 2 2 3 2 23 2" xfId="10971" xr:uid="{00000000-0005-0000-0000-000066300000}"/>
    <cellStyle name="Normal 5 2 2 3 2 24" xfId="10972" xr:uid="{00000000-0005-0000-0000-000067300000}"/>
    <cellStyle name="Normal 5 2 2 3 2 24 2" xfId="10973" xr:uid="{00000000-0005-0000-0000-000068300000}"/>
    <cellStyle name="Normal 5 2 2 3 2 25" xfId="10974" xr:uid="{00000000-0005-0000-0000-000069300000}"/>
    <cellStyle name="Normal 5 2 2 3 2 25 2" xfId="10975" xr:uid="{00000000-0005-0000-0000-00006A300000}"/>
    <cellStyle name="Normal 5 2 2 3 2 26" xfId="10976" xr:uid="{00000000-0005-0000-0000-00006B300000}"/>
    <cellStyle name="Normal 5 2 2 3 2 26 2" xfId="10977" xr:uid="{00000000-0005-0000-0000-00006C300000}"/>
    <cellStyle name="Normal 5 2 2 3 2 27" xfId="10978" xr:uid="{00000000-0005-0000-0000-00006D300000}"/>
    <cellStyle name="Normal 5 2 2 3 2 27 2" xfId="10979" xr:uid="{00000000-0005-0000-0000-00006E300000}"/>
    <cellStyle name="Normal 5 2 2 3 2 28" xfId="10980" xr:uid="{00000000-0005-0000-0000-00006F300000}"/>
    <cellStyle name="Normal 5 2 2 3 2 28 2" xfId="10981" xr:uid="{00000000-0005-0000-0000-000070300000}"/>
    <cellStyle name="Normal 5 2 2 3 2 29" xfId="10982" xr:uid="{00000000-0005-0000-0000-000071300000}"/>
    <cellStyle name="Normal 5 2 2 3 2 29 2" xfId="10983" xr:uid="{00000000-0005-0000-0000-000072300000}"/>
    <cellStyle name="Normal 5 2 2 3 2 3" xfId="10984" xr:uid="{00000000-0005-0000-0000-000073300000}"/>
    <cellStyle name="Normal 5 2 2 3 2 3 2" xfId="10985" xr:uid="{00000000-0005-0000-0000-000074300000}"/>
    <cellStyle name="Normal 5 2 2 3 2 30" xfId="10986" xr:uid="{00000000-0005-0000-0000-000075300000}"/>
    <cellStyle name="Normal 5 2 2 3 2 30 2" xfId="10987" xr:uid="{00000000-0005-0000-0000-000076300000}"/>
    <cellStyle name="Normal 5 2 2 3 2 31" xfId="10988" xr:uid="{00000000-0005-0000-0000-000077300000}"/>
    <cellStyle name="Normal 5 2 2 3 2 31 2" xfId="10989" xr:uid="{00000000-0005-0000-0000-000078300000}"/>
    <cellStyle name="Normal 5 2 2 3 2 32" xfId="10990" xr:uid="{00000000-0005-0000-0000-000079300000}"/>
    <cellStyle name="Normal 5 2 2 3 2 32 2" xfId="10991" xr:uid="{00000000-0005-0000-0000-00007A300000}"/>
    <cellStyle name="Normal 5 2 2 3 2 33" xfId="10992" xr:uid="{00000000-0005-0000-0000-00007B300000}"/>
    <cellStyle name="Normal 5 2 2 3 2 33 2" xfId="10993" xr:uid="{00000000-0005-0000-0000-00007C300000}"/>
    <cellStyle name="Normal 5 2 2 3 2 34" xfId="10994" xr:uid="{00000000-0005-0000-0000-00007D300000}"/>
    <cellStyle name="Normal 5 2 2 3 2 34 2" xfId="10995" xr:uid="{00000000-0005-0000-0000-00007E300000}"/>
    <cellStyle name="Normal 5 2 2 3 2 35" xfId="10996" xr:uid="{00000000-0005-0000-0000-00007F300000}"/>
    <cellStyle name="Normal 5 2 2 3 2 4" xfId="10997" xr:uid="{00000000-0005-0000-0000-000080300000}"/>
    <cellStyle name="Normal 5 2 2 3 2 4 2" xfId="10998" xr:uid="{00000000-0005-0000-0000-000081300000}"/>
    <cellStyle name="Normal 5 2 2 3 2 5" xfId="10999" xr:uid="{00000000-0005-0000-0000-000082300000}"/>
    <cellStyle name="Normal 5 2 2 3 2 5 2" xfId="11000" xr:uid="{00000000-0005-0000-0000-000083300000}"/>
    <cellStyle name="Normal 5 2 2 3 2 6" xfId="11001" xr:uid="{00000000-0005-0000-0000-000084300000}"/>
    <cellStyle name="Normal 5 2 2 3 2 6 2" xfId="11002" xr:uid="{00000000-0005-0000-0000-000085300000}"/>
    <cellStyle name="Normal 5 2 2 3 2 7" xfId="11003" xr:uid="{00000000-0005-0000-0000-000086300000}"/>
    <cellStyle name="Normal 5 2 2 3 2 7 2" xfId="11004" xr:uid="{00000000-0005-0000-0000-000087300000}"/>
    <cellStyle name="Normal 5 2 2 3 2 8" xfId="11005" xr:uid="{00000000-0005-0000-0000-000088300000}"/>
    <cellStyle name="Normal 5 2 2 3 2 8 2" xfId="11006" xr:uid="{00000000-0005-0000-0000-000089300000}"/>
    <cellStyle name="Normal 5 2 2 3 2 9" xfId="11007" xr:uid="{00000000-0005-0000-0000-00008A300000}"/>
    <cellStyle name="Normal 5 2 2 3 2 9 2" xfId="11008" xr:uid="{00000000-0005-0000-0000-00008B300000}"/>
    <cellStyle name="Normal 5 2 2 3 20" xfId="11009" xr:uid="{00000000-0005-0000-0000-00008C300000}"/>
    <cellStyle name="Normal 5 2 2 3 20 2" xfId="11010" xr:uid="{00000000-0005-0000-0000-00008D300000}"/>
    <cellStyle name="Normal 5 2 2 3 21" xfId="11011" xr:uid="{00000000-0005-0000-0000-00008E300000}"/>
    <cellStyle name="Normal 5 2 2 3 21 2" xfId="11012" xr:uid="{00000000-0005-0000-0000-00008F300000}"/>
    <cellStyle name="Normal 5 2 2 3 22" xfId="11013" xr:uid="{00000000-0005-0000-0000-000090300000}"/>
    <cellStyle name="Normal 5 2 2 3 22 2" xfId="11014" xr:uid="{00000000-0005-0000-0000-000091300000}"/>
    <cellStyle name="Normal 5 2 2 3 23" xfId="11015" xr:uid="{00000000-0005-0000-0000-000092300000}"/>
    <cellStyle name="Normal 5 2 2 3 23 2" xfId="11016" xr:uid="{00000000-0005-0000-0000-000093300000}"/>
    <cellStyle name="Normal 5 2 2 3 24" xfId="11017" xr:uid="{00000000-0005-0000-0000-000094300000}"/>
    <cellStyle name="Normal 5 2 2 3 24 2" xfId="11018" xr:uid="{00000000-0005-0000-0000-000095300000}"/>
    <cellStyle name="Normal 5 2 2 3 25" xfId="11019" xr:uid="{00000000-0005-0000-0000-000096300000}"/>
    <cellStyle name="Normal 5 2 2 3 25 2" xfId="11020" xr:uid="{00000000-0005-0000-0000-000097300000}"/>
    <cellStyle name="Normal 5 2 2 3 26" xfId="11021" xr:uid="{00000000-0005-0000-0000-000098300000}"/>
    <cellStyle name="Normal 5 2 2 3 26 2" xfId="11022" xr:uid="{00000000-0005-0000-0000-000099300000}"/>
    <cellStyle name="Normal 5 2 2 3 27" xfId="11023" xr:uid="{00000000-0005-0000-0000-00009A300000}"/>
    <cellStyle name="Normal 5 2 2 3 27 2" xfId="11024" xr:uid="{00000000-0005-0000-0000-00009B300000}"/>
    <cellStyle name="Normal 5 2 2 3 28" xfId="11025" xr:uid="{00000000-0005-0000-0000-00009C300000}"/>
    <cellStyle name="Normal 5 2 2 3 28 2" xfId="11026" xr:uid="{00000000-0005-0000-0000-00009D300000}"/>
    <cellStyle name="Normal 5 2 2 3 29" xfId="11027" xr:uid="{00000000-0005-0000-0000-00009E300000}"/>
    <cellStyle name="Normal 5 2 2 3 29 2" xfId="11028" xr:uid="{00000000-0005-0000-0000-00009F300000}"/>
    <cellStyle name="Normal 5 2 2 3 3" xfId="11029" xr:uid="{00000000-0005-0000-0000-0000A0300000}"/>
    <cellStyle name="Normal 5 2 2 3 3 10" xfId="11030" xr:uid="{00000000-0005-0000-0000-0000A1300000}"/>
    <cellStyle name="Normal 5 2 2 3 3 10 2" xfId="11031" xr:uid="{00000000-0005-0000-0000-0000A2300000}"/>
    <cellStyle name="Normal 5 2 2 3 3 11" xfId="11032" xr:uid="{00000000-0005-0000-0000-0000A3300000}"/>
    <cellStyle name="Normal 5 2 2 3 3 11 2" xfId="11033" xr:uid="{00000000-0005-0000-0000-0000A4300000}"/>
    <cellStyle name="Normal 5 2 2 3 3 12" xfId="11034" xr:uid="{00000000-0005-0000-0000-0000A5300000}"/>
    <cellStyle name="Normal 5 2 2 3 3 12 2" xfId="11035" xr:uid="{00000000-0005-0000-0000-0000A6300000}"/>
    <cellStyle name="Normal 5 2 2 3 3 13" xfId="11036" xr:uid="{00000000-0005-0000-0000-0000A7300000}"/>
    <cellStyle name="Normal 5 2 2 3 3 13 2" xfId="11037" xr:uid="{00000000-0005-0000-0000-0000A8300000}"/>
    <cellStyle name="Normal 5 2 2 3 3 14" xfId="11038" xr:uid="{00000000-0005-0000-0000-0000A9300000}"/>
    <cellStyle name="Normal 5 2 2 3 3 14 2" xfId="11039" xr:uid="{00000000-0005-0000-0000-0000AA300000}"/>
    <cellStyle name="Normal 5 2 2 3 3 15" xfId="11040" xr:uid="{00000000-0005-0000-0000-0000AB300000}"/>
    <cellStyle name="Normal 5 2 2 3 3 15 2" xfId="11041" xr:uid="{00000000-0005-0000-0000-0000AC300000}"/>
    <cellStyle name="Normal 5 2 2 3 3 16" xfId="11042" xr:uid="{00000000-0005-0000-0000-0000AD300000}"/>
    <cellStyle name="Normal 5 2 2 3 3 16 2" xfId="11043" xr:uid="{00000000-0005-0000-0000-0000AE300000}"/>
    <cellStyle name="Normal 5 2 2 3 3 17" xfId="11044" xr:uid="{00000000-0005-0000-0000-0000AF300000}"/>
    <cellStyle name="Normal 5 2 2 3 3 17 2" xfId="11045" xr:uid="{00000000-0005-0000-0000-0000B0300000}"/>
    <cellStyle name="Normal 5 2 2 3 3 18" xfId="11046" xr:uid="{00000000-0005-0000-0000-0000B1300000}"/>
    <cellStyle name="Normal 5 2 2 3 3 18 2" xfId="11047" xr:uid="{00000000-0005-0000-0000-0000B2300000}"/>
    <cellStyle name="Normal 5 2 2 3 3 19" xfId="11048" xr:uid="{00000000-0005-0000-0000-0000B3300000}"/>
    <cellStyle name="Normal 5 2 2 3 3 19 2" xfId="11049" xr:uid="{00000000-0005-0000-0000-0000B4300000}"/>
    <cellStyle name="Normal 5 2 2 3 3 2" xfId="11050" xr:uid="{00000000-0005-0000-0000-0000B5300000}"/>
    <cellStyle name="Normal 5 2 2 3 3 2 2" xfId="11051" xr:uid="{00000000-0005-0000-0000-0000B6300000}"/>
    <cellStyle name="Normal 5 2 2 3 3 20" xfId="11052" xr:uid="{00000000-0005-0000-0000-0000B7300000}"/>
    <cellStyle name="Normal 5 2 2 3 3 20 2" xfId="11053" xr:uid="{00000000-0005-0000-0000-0000B8300000}"/>
    <cellStyle name="Normal 5 2 2 3 3 21" xfId="11054" xr:uid="{00000000-0005-0000-0000-0000B9300000}"/>
    <cellStyle name="Normal 5 2 2 3 3 21 2" xfId="11055" xr:uid="{00000000-0005-0000-0000-0000BA300000}"/>
    <cellStyle name="Normal 5 2 2 3 3 22" xfId="11056" xr:uid="{00000000-0005-0000-0000-0000BB300000}"/>
    <cellStyle name="Normal 5 2 2 3 3 22 2" xfId="11057" xr:uid="{00000000-0005-0000-0000-0000BC300000}"/>
    <cellStyle name="Normal 5 2 2 3 3 23" xfId="11058" xr:uid="{00000000-0005-0000-0000-0000BD300000}"/>
    <cellStyle name="Normal 5 2 2 3 3 23 2" xfId="11059" xr:uid="{00000000-0005-0000-0000-0000BE300000}"/>
    <cellStyle name="Normal 5 2 2 3 3 24" xfId="11060" xr:uid="{00000000-0005-0000-0000-0000BF300000}"/>
    <cellStyle name="Normal 5 2 2 3 3 24 2" xfId="11061" xr:uid="{00000000-0005-0000-0000-0000C0300000}"/>
    <cellStyle name="Normal 5 2 2 3 3 25" xfId="11062" xr:uid="{00000000-0005-0000-0000-0000C1300000}"/>
    <cellStyle name="Normal 5 2 2 3 3 25 2" xfId="11063" xr:uid="{00000000-0005-0000-0000-0000C2300000}"/>
    <cellStyle name="Normal 5 2 2 3 3 26" xfId="11064" xr:uid="{00000000-0005-0000-0000-0000C3300000}"/>
    <cellStyle name="Normal 5 2 2 3 3 26 2" xfId="11065" xr:uid="{00000000-0005-0000-0000-0000C4300000}"/>
    <cellStyle name="Normal 5 2 2 3 3 27" xfId="11066" xr:uid="{00000000-0005-0000-0000-0000C5300000}"/>
    <cellStyle name="Normal 5 2 2 3 3 27 2" xfId="11067" xr:uid="{00000000-0005-0000-0000-0000C6300000}"/>
    <cellStyle name="Normal 5 2 2 3 3 28" xfId="11068" xr:uid="{00000000-0005-0000-0000-0000C7300000}"/>
    <cellStyle name="Normal 5 2 2 3 3 28 2" xfId="11069" xr:uid="{00000000-0005-0000-0000-0000C8300000}"/>
    <cellStyle name="Normal 5 2 2 3 3 29" xfId="11070" xr:uid="{00000000-0005-0000-0000-0000C9300000}"/>
    <cellStyle name="Normal 5 2 2 3 3 29 2" xfId="11071" xr:uid="{00000000-0005-0000-0000-0000CA300000}"/>
    <cellStyle name="Normal 5 2 2 3 3 3" xfId="11072" xr:uid="{00000000-0005-0000-0000-0000CB300000}"/>
    <cellStyle name="Normal 5 2 2 3 3 3 2" xfId="11073" xr:uid="{00000000-0005-0000-0000-0000CC300000}"/>
    <cellStyle name="Normal 5 2 2 3 3 30" xfId="11074" xr:uid="{00000000-0005-0000-0000-0000CD300000}"/>
    <cellStyle name="Normal 5 2 2 3 3 30 2" xfId="11075" xr:uid="{00000000-0005-0000-0000-0000CE300000}"/>
    <cellStyle name="Normal 5 2 2 3 3 31" xfId="11076" xr:uid="{00000000-0005-0000-0000-0000CF300000}"/>
    <cellStyle name="Normal 5 2 2 3 3 31 2" xfId="11077" xr:uid="{00000000-0005-0000-0000-0000D0300000}"/>
    <cellStyle name="Normal 5 2 2 3 3 32" xfId="11078" xr:uid="{00000000-0005-0000-0000-0000D1300000}"/>
    <cellStyle name="Normal 5 2 2 3 3 32 2" xfId="11079" xr:uid="{00000000-0005-0000-0000-0000D2300000}"/>
    <cellStyle name="Normal 5 2 2 3 3 33" xfId="11080" xr:uid="{00000000-0005-0000-0000-0000D3300000}"/>
    <cellStyle name="Normal 5 2 2 3 3 33 2" xfId="11081" xr:uid="{00000000-0005-0000-0000-0000D4300000}"/>
    <cellStyle name="Normal 5 2 2 3 3 34" xfId="11082" xr:uid="{00000000-0005-0000-0000-0000D5300000}"/>
    <cellStyle name="Normal 5 2 2 3 3 34 2" xfId="11083" xr:uid="{00000000-0005-0000-0000-0000D6300000}"/>
    <cellStyle name="Normal 5 2 2 3 3 35" xfId="11084" xr:uid="{00000000-0005-0000-0000-0000D7300000}"/>
    <cellStyle name="Normal 5 2 2 3 3 4" xfId="11085" xr:uid="{00000000-0005-0000-0000-0000D8300000}"/>
    <cellStyle name="Normal 5 2 2 3 3 4 2" xfId="11086" xr:uid="{00000000-0005-0000-0000-0000D9300000}"/>
    <cellStyle name="Normal 5 2 2 3 3 5" xfId="11087" xr:uid="{00000000-0005-0000-0000-0000DA300000}"/>
    <cellStyle name="Normal 5 2 2 3 3 5 2" xfId="11088" xr:uid="{00000000-0005-0000-0000-0000DB300000}"/>
    <cellStyle name="Normal 5 2 2 3 3 6" xfId="11089" xr:uid="{00000000-0005-0000-0000-0000DC300000}"/>
    <cellStyle name="Normal 5 2 2 3 3 6 2" xfId="11090" xr:uid="{00000000-0005-0000-0000-0000DD300000}"/>
    <cellStyle name="Normal 5 2 2 3 3 7" xfId="11091" xr:uid="{00000000-0005-0000-0000-0000DE300000}"/>
    <cellStyle name="Normal 5 2 2 3 3 7 2" xfId="11092" xr:uid="{00000000-0005-0000-0000-0000DF300000}"/>
    <cellStyle name="Normal 5 2 2 3 3 8" xfId="11093" xr:uid="{00000000-0005-0000-0000-0000E0300000}"/>
    <cellStyle name="Normal 5 2 2 3 3 8 2" xfId="11094" xr:uid="{00000000-0005-0000-0000-0000E1300000}"/>
    <cellStyle name="Normal 5 2 2 3 3 9" xfId="11095" xr:uid="{00000000-0005-0000-0000-0000E2300000}"/>
    <cellStyle name="Normal 5 2 2 3 3 9 2" xfId="11096" xr:uid="{00000000-0005-0000-0000-0000E3300000}"/>
    <cellStyle name="Normal 5 2 2 3 30" xfId="11097" xr:uid="{00000000-0005-0000-0000-0000E4300000}"/>
    <cellStyle name="Normal 5 2 2 3 30 2" xfId="11098" xr:uid="{00000000-0005-0000-0000-0000E5300000}"/>
    <cellStyle name="Normal 5 2 2 3 31" xfId="11099" xr:uid="{00000000-0005-0000-0000-0000E6300000}"/>
    <cellStyle name="Normal 5 2 2 3 31 2" xfId="11100" xr:uid="{00000000-0005-0000-0000-0000E7300000}"/>
    <cellStyle name="Normal 5 2 2 3 32" xfId="11101" xr:uid="{00000000-0005-0000-0000-0000E8300000}"/>
    <cellStyle name="Normal 5 2 2 3 32 2" xfId="11102" xr:uid="{00000000-0005-0000-0000-0000E9300000}"/>
    <cellStyle name="Normal 5 2 2 3 33" xfId="11103" xr:uid="{00000000-0005-0000-0000-0000EA300000}"/>
    <cellStyle name="Normal 5 2 2 3 33 2" xfId="11104" xr:uid="{00000000-0005-0000-0000-0000EB300000}"/>
    <cellStyle name="Normal 5 2 2 3 34" xfId="11105" xr:uid="{00000000-0005-0000-0000-0000EC300000}"/>
    <cellStyle name="Normal 5 2 2 3 34 2" xfId="11106" xr:uid="{00000000-0005-0000-0000-0000ED300000}"/>
    <cellStyle name="Normal 5 2 2 3 35" xfId="11107" xr:uid="{00000000-0005-0000-0000-0000EE300000}"/>
    <cellStyle name="Normal 5 2 2 3 35 2" xfId="11108" xr:uid="{00000000-0005-0000-0000-0000EF300000}"/>
    <cellStyle name="Normal 5 2 2 3 36" xfId="11109" xr:uid="{00000000-0005-0000-0000-0000F0300000}"/>
    <cellStyle name="Normal 5 2 2 3 36 2" xfId="11110" xr:uid="{00000000-0005-0000-0000-0000F1300000}"/>
    <cellStyle name="Normal 5 2 2 3 37" xfId="11111" xr:uid="{00000000-0005-0000-0000-0000F2300000}"/>
    <cellStyle name="Normal 5 2 2 3 37 2" xfId="11112" xr:uid="{00000000-0005-0000-0000-0000F3300000}"/>
    <cellStyle name="Normal 5 2 2 3 38" xfId="11113" xr:uid="{00000000-0005-0000-0000-0000F4300000}"/>
    <cellStyle name="Normal 5 2 2 3 38 2" xfId="11114" xr:uid="{00000000-0005-0000-0000-0000F5300000}"/>
    <cellStyle name="Normal 5 2 2 3 39" xfId="11115" xr:uid="{00000000-0005-0000-0000-0000F6300000}"/>
    <cellStyle name="Normal 5 2 2 3 39 2" xfId="11116" xr:uid="{00000000-0005-0000-0000-0000F7300000}"/>
    <cellStyle name="Normal 5 2 2 3 4" xfId="11117" xr:uid="{00000000-0005-0000-0000-0000F8300000}"/>
    <cellStyle name="Normal 5 2 2 3 4 2" xfId="11118" xr:uid="{00000000-0005-0000-0000-0000F9300000}"/>
    <cellStyle name="Normal 5 2 2 3 4 2 2" xfId="11119" xr:uid="{00000000-0005-0000-0000-0000FA300000}"/>
    <cellStyle name="Normal 5 2 2 3 4 3" xfId="11120" xr:uid="{00000000-0005-0000-0000-0000FB300000}"/>
    <cellStyle name="Normal 5 2 2 3 4 3 2" xfId="11121" xr:uid="{00000000-0005-0000-0000-0000FC300000}"/>
    <cellStyle name="Normal 5 2 2 3 4 4" xfId="11122" xr:uid="{00000000-0005-0000-0000-0000FD300000}"/>
    <cellStyle name="Normal 5 2 2 3 4 4 2" xfId="11123" xr:uid="{00000000-0005-0000-0000-0000FE300000}"/>
    <cellStyle name="Normal 5 2 2 3 4 5" xfId="11124" xr:uid="{00000000-0005-0000-0000-0000FF300000}"/>
    <cellStyle name="Normal 5 2 2 3 4 5 2" xfId="11125" xr:uid="{00000000-0005-0000-0000-000000310000}"/>
    <cellStyle name="Normal 5 2 2 3 4 6" xfId="11126" xr:uid="{00000000-0005-0000-0000-000001310000}"/>
    <cellStyle name="Normal 5 2 2 3 40" xfId="11127" xr:uid="{00000000-0005-0000-0000-000002310000}"/>
    <cellStyle name="Normal 5 2 2 3 40 2" xfId="11128" xr:uid="{00000000-0005-0000-0000-000003310000}"/>
    <cellStyle name="Normal 5 2 2 3 41" xfId="11129" xr:uid="{00000000-0005-0000-0000-000004310000}"/>
    <cellStyle name="Normal 5 2 2 3 41 2" xfId="11130" xr:uid="{00000000-0005-0000-0000-000005310000}"/>
    <cellStyle name="Normal 5 2 2 3 42" xfId="11131" xr:uid="{00000000-0005-0000-0000-000006310000}"/>
    <cellStyle name="Normal 5 2 2 3 42 2" xfId="11132" xr:uid="{00000000-0005-0000-0000-000007310000}"/>
    <cellStyle name="Normal 5 2 2 3 43" xfId="11133" xr:uid="{00000000-0005-0000-0000-000008310000}"/>
    <cellStyle name="Normal 5 2 2 3 43 2" xfId="11134" xr:uid="{00000000-0005-0000-0000-000009310000}"/>
    <cellStyle name="Normal 5 2 2 3 44" xfId="11135" xr:uid="{00000000-0005-0000-0000-00000A310000}"/>
    <cellStyle name="Normal 5 2 2 3 44 2" xfId="11136" xr:uid="{00000000-0005-0000-0000-00000B310000}"/>
    <cellStyle name="Normal 5 2 2 3 45" xfId="11137" xr:uid="{00000000-0005-0000-0000-00000C310000}"/>
    <cellStyle name="Normal 5 2 2 3 45 2" xfId="11138" xr:uid="{00000000-0005-0000-0000-00000D310000}"/>
    <cellStyle name="Normal 5 2 2 3 46" xfId="11139" xr:uid="{00000000-0005-0000-0000-00000E310000}"/>
    <cellStyle name="Normal 5 2 2 3 46 2" xfId="11140" xr:uid="{00000000-0005-0000-0000-00000F310000}"/>
    <cellStyle name="Normal 5 2 2 3 47" xfId="11141" xr:uid="{00000000-0005-0000-0000-000010310000}"/>
    <cellStyle name="Normal 5 2 2 3 48" xfId="10920" xr:uid="{00000000-0005-0000-0000-000011310000}"/>
    <cellStyle name="Normal 5 2 2 3 5" xfId="11142" xr:uid="{00000000-0005-0000-0000-000012310000}"/>
    <cellStyle name="Normal 5 2 2 3 5 2" xfId="11143" xr:uid="{00000000-0005-0000-0000-000013310000}"/>
    <cellStyle name="Normal 5 2 2 3 6" xfId="11144" xr:uid="{00000000-0005-0000-0000-000014310000}"/>
    <cellStyle name="Normal 5 2 2 3 6 2" xfId="11145" xr:uid="{00000000-0005-0000-0000-000015310000}"/>
    <cellStyle name="Normal 5 2 2 3 7" xfId="11146" xr:uid="{00000000-0005-0000-0000-000016310000}"/>
    <cellStyle name="Normal 5 2 2 3 7 2" xfId="11147" xr:uid="{00000000-0005-0000-0000-000017310000}"/>
    <cellStyle name="Normal 5 2 2 3 8" xfId="11148" xr:uid="{00000000-0005-0000-0000-000018310000}"/>
    <cellStyle name="Normal 5 2 2 3 8 2" xfId="11149" xr:uid="{00000000-0005-0000-0000-000019310000}"/>
    <cellStyle name="Normal 5 2 2 3 9" xfId="11150" xr:uid="{00000000-0005-0000-0000-00001A310000}"/>
    <cellStyle name="Normal 5 2 2 3 9 2" xfId="11151" xr:uid="{00000000-0005-0000-0000-00001B310000}"/>
    <cellStyle name="Normal 5 2 2 30" xfId="11152" xr:uid="{00000000-0005-0000-0000-00001C310000}"/>
    <cellStyle name="Normal 5 2 2 31" xfId="11153" xr:uid="{00000000-0005-0000-0000-00001D310000}"/>
    <cellStyle name="Normal 5 2 2 32" xfId="11154" xr:uid="{00000000-0005-0000-0000-00001E310000}"/>
    <cellStyle name="Normal 5 2 2 33" xfId="11155" xr:uid="{00000000-0005-0000-0000-00001F310000}"/>
    <cellStyle name="Normal 5 2 2 34" xfId="11156" xr:uid="{00000000-0005-0000-0000-000020310000}"/>
    <cellStyle name="Normal 5 2 2 35" xfId="11157" xr:uid="{00000000-0005-0000-0000-000021310000}"/>
    <cellStyle name="Normal 5 2 2 36" xfId="11158" xr:uid="{00000000-0005-0000-0000-000022310000}"/>
    <cellStyle name="Normal 5 2 2 37" xfId="11159" xr:uid="{00000000-0005-0000-0000-000023310000}"/>
    <cellStyle name="Normal 5 2 2 38" xfId="27110" xr:uid="{00000000-0005-0000-0000-000024310000}"/>
    <cellStyle name="Normal 5 2 2 4" xfId="11160" xr:uid="{00000000-0005-0000-0000-000025310000}"/>
    <cellStyle name="Normal 5 2 2 4 10" xfId="11161" xr:uid="{00000000-0005-0000-0000-000026310000}"/>
    <cellStyle name="Normal 5 2 2 4 10 2" xfId="11162" xr:uid="{00000000-0005-0000-0000-000027310000}"/>
    <cellStyle name="Normal 5 2 2 4 11" xfId="11163" xr:uid="{00000000-0005-0000-0000-000028310000}"/>
    <cellStyle name="Normal 5 2 2 4 11 2" xfId="11164" xr:uid="{00000000-0005-0000-0000-000029310000}"/>
    <cellStyle name="Normal 5 2 2 4 12" xfId="11165" xr:uid="{00000000-0005-0000-0000-00002A310000}"/>
    <cellStyle name="Normal 5 2 2 4 12 2" xfId="11166" xr:uid="{00000000-0005-0000-0000-00002B310000}"/>
    <cellStyle name="Normal 5 2 2 4 13" xfId="11167" xr:uid="{00000000-0005-0000-0000-00002C310000}"/>
    <cellStyle name="Normal 5 2 2 4 13 2" xfId="11168" xr:uid="{00000000-0005-0000-0000-00002D310000}"/>
    <cellStyle name="Normal 5 2 2 4 14" xfId="11169" xr:uid="{00000000-0005-0000-0000-00002E310000}"/>
    <cellStyle name="Normal 5 2 2 4 14 2" xfId="11170" xr:uid="{00000000-0005-0000-0000-00002F310000}"/>
    <cellStyle name="Normal 5 2 2 4 15" xfId="11171" xr:uid="{00000000-0005-0000-0000-000030310000}"/>
    <cellStyle name="Normal 5 2 2 4 15 2" xfId="11172" xr:uid="{00000000-0005-0000-0000-000031310000}"/>
    <cellStyle name="Normal 5 2 2 4 16" xfId="11173" xr:uid="{00000000-0005-0000-0000-000032310000}"/>
    <cellStyle name="Normal 5 2 2 4 16 2" xfId="11174" xr:uid="{00000000-0005-0000-0000-000033310000}"/>
    <cellStyle name="Normal 5 2 2 4 17" xfId="11175" xr:uid="{00000000-0005-0000-0000-000034310000}"/>
    <cellStyle name="Normal 5 2 2 4 17 2" xfId="11176" xr:uid="{00000000-0005-0000-0000-000035310000}"/>
    <cellStyle name="Normal 5 2 2 4 18" xfId="11177" xr:uid="{00000000-0005-0000-0000-000036310000}"/>
    <cellStyle name="Normal 5 2 2 4 18 2" xfId="11178" xr:uid="{00000000-0005-0000-0000-000037310000}"/>
    <cellStyle name="Normal 5 2 2 4 19" xfId="11179" xr:uid="{00000000-0005-0000-0000-000038310000}"/>
    <cellStyle name="Normal 5 2 2 4 2" xfId="11180" xr:uid="{00000000-0005-0000-0000-000039310000}"/>
    <cellStyle name="Normal 5 2 2 4 2 2" xfId="11181" xr:uid="{00000000-0005-0000-0000-00003A310000}"/>
    <cellStyle name="Normal 5 2 2 4 2 2 2" xfId="11182" xr:uid="{00000000-0005-0000-0000-00003B310000}"/>
    <cellStyle name="Normal 5 2 2 4 2 3" xfId="11183" xr:uid="{00000000-0005-0000-0000-00003C310000}"/>
    <cellStyle name="Normal 5 2 2 4 2 3 2" xfId="11184" xr:uid="{00000000-0005-0000-0000-00003D310000}"/>
    <cellStyle name="Normal 5 2 2 4 2 4" xfId="11185" xr:uid="{00000000-0005-0000-0000-00003E310000}"/>
    <cellStyle name="Normal 5 2 2 4 2 4 2" xfId="11186" xr:uid="{00000000-0005-0000-0000-00003F310000}"/>
    <cellStyle name="Normal 5 2 2 4 2 5" xfId="11187" xr:uid="{00000000-0005-0000-0000-000040310000}"/>
    <cellStyle name="Normal 5 2 2 4 2 5 2" xfId="11188" xr:uid="{00000000-0005-0000-0000-000041310000}"/>
    <cellStyle name="Normal 5 2 2 4 2 6" xfId="11189" xr:uid="{00000000-0005-0000-0000-000042310000}"/>
    <cellStyle name="Normal 5 2 2 4 3" xfId="11190" xr:uid="{00000000-0005-0000-0000-000043310000}"/>
    <cellStyle name="Normal 5 2 2 4 3 2" xfId="11191" xr:uid="{00000000-0005-0000-0000-000044310000}"/>
    <cellStyle name="Normal 5 2 2 4 3 2 2" xfId="11192" xr:uid="{00000000-0005-0000-0000-000045310000}"/>
    <cellStyle name="Normal 5 2 2 4 3 3" xfId="11193" xr:uid="{00000000-0005-0000-0000-000046310000}"/>
    <cellStyle name="Normal 5 2 2 4 3 3 2" xfId="11194" xr:uid="{00000000-0005-0000-0000-000047310000}"/>
    <cellStyle name="Normal 5 2 2 4 3 4" xfId="11195" xr:uid="{00000000-0005-0000-0000-000048310000}"/>
    <cellStyle name="Normal 5 2 2 4 3 4 2" xfId="11196" xr:uid="{00000000-0005-0000-0000-000049310000}"/>
    <cellStyle name="Normal 5 2 2 4 3 5" xfId="11197" xr:uid="{00000000-0005-0000-0000-00004A310000}"/>
    <cellStyle name="Normal 5 2 2 4 3 5 2" xfId="11198" xr:uid="{00000000-0005-0000-0000-00004B310000}"/>
    <cellStyle name="Normal 5 2 2 4 3 6" xfId="11199" xr:uid="{00000000-0005-0000-0000-00004C310000}"/>
    <cellStyle name="Normal 5 2 2 4 4" xfId="11200" xr:uid="{00000000-0005-0000-0000-00004D310000}"/>
    <cellStyle name="Normal 5 2 2 4 4 2" xfId="11201" xr:uid="{00000000-0005-0000-0000-00004E310000}"/>
    <cellStyle name="Normal 5 2 2 4 4 2 2" xfId="11202" xr:uid="{00000000-0005-0000-0000-00004F310000}"/>
    <cellStyle name="Normal 5 2 2 4 4 3" xfId="11203" xr:uid="{00000000-0005-0000-0000-000050310000}"/>
    <cellStyle name="Normal 5 2 2 4 4 3 2" xfId="11204" xr:uid="{00000000-0005-0000-0000-000051310000}"/>
    <cellStyle name="Normal 5 2 2 4 4 4" xfId="11205" xr:uid="{00000000-0005-0000-0000-000052310000}"/>
    <cellStyle name="Normal 5 2 2 4 4 4 2" xfId="11206" xr:uid="{00000000-0005-0000-0000-000053310000}"/>
    <cellStyle name="Normal 5 2 2 4 4 5" xfId="11207" xr:uid="{00000000-0005-0000-0000-000054310000}"/>
    <cellStyle name="Normal 5 2 2 4 4 5 2" xfId="11208" xr:uid="{00000000-0005-0000-0000-000055310000}"/>
    <cellStyle name="Normal 5 2 2 4 4 6" xfId="11209" xr:uid="{00000000-0005-0000-0000-000056310000}"/>
    <cellStyle name="Normal 5 2 2 4 5" xfId="11210" xr:uid="{00000000-0005-0000-0000-000057310000}"/>
    <cellStyle name="Normal 5 2 2 4 5 2" xfId="11211" xr:uid="{00000000-0005-0000-0000-000058310000}"/>
    <cellStyle name="Normal 5 2 2 4 6" xfId="11212" xr:uid="{00000000-0005-0000-0000-000059310000}"/>
    <cellStyle name="Normal 5 2 2 4 6 2" xfId="11213" xr:uid="{00000000-0005-0000-0000-00005A310000}"/>
    <cellStyle name="Normal 5 2 2 4 7" xfId="11214" xr:uid="{00000000-0005-0000-0000-00005B310000}"/>
    <cellStyle name="Normal 5 2 2 4 7 2" xfId="11215" xr:uid="{00000000-0005-0000-0000-00005C310000}"/>
    <cellStyle name="Normal 5 2 2 4 8" xfId="11216" xr:uid="{00000000-0005-0000-0000-00005D310000}"/>
    <cellStyle name="Normal 5 2 2 4 8 2" xfId="11217" xr:uid="{00000000-0005-0000-0000-00005E310000}"/>
    <cellStyle name="Normal 5 2 2 4 9" xfId="11218" xr:uid="{00000000-0005-0000-0000-00005F310000}"/>
    <cellStyle name="Normal 5 2 2 4 9 2" xfId="11219" xr:uid="{00000000-0005-0000-0000-000060310000}"/>
    <cellStyle name="Normal 5 2 2 5" xfId="11220" xr:uid="{00000000-0005-0000-0000-000061310000}"/>
    <cellStyle name="Normal 5 2 2 5 2" xfId="11221" xr:uid="{00000000-0005-0000-0000-000062310000}"/>
    <cellStyle name="Normal 5 2 2 5 2 2" xfId="11222" xr:uid="{00000000-0005-0000-0000-000063310000}"/>
    <cellStyle name="Normal 5 2 2 5 2 2 2" xfId="11223" xr:uid="{00000000-0005-0000-0000-000064310000}"/>
    <cellStyle name="Normal 5 2 2 5 2 3" xfId="11224" xr:uid="{00000000-0005-0000-0000-000065310000}"/>
    <cellStyle name="Normal 5 2 2 5 2 3 2" xfId="11225" xr:uid="{00000000-0005-0000-0000-000066310000}"/>
    <cellStyle name="Normal 5 2 2 5 2 4" xfId="11226" xr:uid="{00000000-0005-0000-0000-000067310000}"/>
    <cellStyle name="Normal 5 2 2 5 2 4 2" xfId="11227" xr:uid="{00000000-0005-0000-0000-000068310000}"/>
    <cellStyle name="Normal 5 2 2 5 2 5" xfId="11228" xr:uid="{00000000-0005-0000-0000-000069310000}"/>
    <cellStyle name="Normal 5 2 2 5 2 5 2" xfId="11229" xr:uid="{00000000-0005-0000-0000-00006A310000}"/>
    <cellStyle name="Normal 5 2 2 5 2 6" xfId="11230" xr:uid="{00000000-0005-0000-0000-00006B310000}"/>
    <cellStyle name="Normal 5 2 2 5 3" xfId="11231" xr:uid="{00000000-0005-0000-0000-00006C310000}"/>
    <cellStyle name="Normal 5 2 2 5 3 2" xfId="11232" xr:uid="{00000000-0005-0000-0000-00006D310000}"/>
    <cellStyle name="Normal 5 2 2 5 3 2 2" xfId="11233" xr:uid="{00000000-0005-0000-0000-00006E310000}"/>
    <cellStyle name="Normal 5 2 2 5 3 3" xfId="11234" xr:uid="{00000000-0005-0000-0000-00006F310000}"/>
    <cellStyle name="Normal 5 2 2 5 3 3 2" xfId="11235" xr:uid="{00000000-0005-0000-0000-000070310000}"/>
    <cellStyle name="Normal 5 2 2 5 3 4" xfId="11236" xr:uid="{00000000-0005-0000-0000-000071310000}"/>
    <cellStyle name="Normal 5 2 2 5 3 4 2" xfId="11237" xr:uid="{00000000-0005-0000-0000-000072310000}"/>
    <cellStyle name="Normal 5 2 2 5 3 5" xfId="11238" xr:uid="{00000000-0005-0000-0000-000073310000}"/>
    <cellStyle name="Normal 5 2 2 5 3 5 2" xfId="11239" xr:uid="{00000000-0005-0000-0000-000074310000}"/>
    <cellStyle name="Normal 5 2 2 5 3 6" xfId="11240" xr:uid="{00000000-0005-0000-0000-000075310000}"/>
    <cellStyle name="Normal 5 2 2 5 4" xfId="11241" xr:uid="{00000000-0005-0000-0000-000076310000}"/>
    <cellStyle name="Normal 5 2 2 5 4 2" xfId="11242" xr:uid="{00000000-0005-0000-0000-000077310000}"/>
    <cellStyle name="Normal 5 2 2 5 4 2 2" xfId="11243" xr:uid="{00000000-0005-0000-0000-000078310000}"/>
    <cellStyle name="Normal 5 2 2 5 4 3" xfId="11244" xr:uid="{00000000-0005-0000-0000-000079310000}"/>
    <cellStyle name="Normal 5 2 2 5 4 3 2" xfId="11245" xr:uid="{00000000-0005-0000-0000-00007A310000}"/>
    <cellStyle name="Normal 5 2 2 5 4 4" xfId="11246" xr:uid="{00000000-0005-0000-0000-00007B310000}"/>
    <cellStyle name="Normal 5 2 2 5 4 4 2" xfId="11247" xr:uid="{00000000-0005-0000-0000-00007C310000}"/>
    <cellStyle name="Normal 5 2 2 5 4 5" xfId="11248" xr:uid="{00000000-0005-0000-0000-00007D310000}"/>
    <cellStyle name="Normal 5 2 2 5 4 5 2" xfId="11249" xr:uid="{00000000-0005-0000-0000-00007E310000}"/>
    <cellStyle name="Normal 5 2 2 5 4 6" xfId="11250" xr:uid="{00000000-0005-0000-0000-00007F310000}"/>
    <cellStyle name="Normal 5 2 2 6" xfId="11251" xr:uid="{00000000-0005-0000-0000-000080310000}"/>
    <cellStyle name="Normal 5 2 2 6 2" xfId="11252" xr:uid="{00000000-0005-0000-0000-000081310000}"/>
    <cellStyle name="Normal 5 2 2 6 2 2" xfId="11253" xr:uid="{00000000-0005-0000-0000-000082310000}"/>
    <cellStyle name="Normal 5 2 2 6 3" xfId="11254" xr:uid="{00000000-0005-0000-0000-000083310000}"/>
    <cellStyle name="Normal 5 2 2 6 3 2" xfId="11255" xr:uid="{00000000-0005-0000-0000-000084310000}"/>
    <cellStyle name="Normal 5 2 2 6 4" xfId="11256" xr:uid="{00000000-0005-0000-0000-000085310000}"/>
    <cellStyle name="Normal 5 2 2 6 4 2" xfId="11257" xr:uid="{00000000-0005-0000-0000-000086310000}"/>
    <cellStyle name="Normal 5 2 2 6 5" xfId="11258" xr:uid="{00000000-0005-0000-0000-000087310000}"/>
    <cellStyle name="Normal 5 2 2 6 5 2" xfId="11259" xr:uid="{00000000-0005-0000-0000-000088310000}"/>
    <cellStyle name="Normal 5 2 2 6 6" xfId="11260" xr:uid="{00000000-0005-0000-0000-000089310000}"/>
    <cellStyle name="Normal 5 2 2 7" xfId="11261" xr:uid="{00000000-0005-0000-0000-00008A310000}"/>
    <cellStyle name="Normal 5 2 2 7 2" xfId="11262" xr:uid="{00000000-0005-0000-0000-00008B310000}"/>
    <cellStyle name="Normal 5 2 2 7 3" xfId="11263" xr:uid="{00000000-0005-0000-0000-00008C310000}"/>
    <cellStyle name="Normal 5 2 2 8" xfId="11264" xr:uid="{00000000-0005-0000-0000-00008D310000}"/>
    <cellStyle name="Normal 5 2 2 8 2" xfId="11265" xr:uid="{00000000-0005-0000-0000-00008E310000}"/>
    <cellStyle name="Normal 5 2 2 8 3" xfId="11266" xr:uid="{00000000-0005-0000-0000-00008F310000}"/>
    <cellStyle name="Normal 5 2 2 9" xfId="11267" xr:uid="{00000000-0005-0000-0000-000090310000}"/>
    <cellStyle name="Normal 5 2 2 9 2" xfId="11268" xr:uid="{00000000-0005-0000-0000-000091310000}"/>
    <cellStyle name="Normal 5 2 2 9 3" xfId="11269" xr:uid="{00000000-0005-0000-0000-000092310000}"/>
    <cellStyle name="Normal 5 2 20" xfId="11270" xr:uid="{00000000-0005-0000-0000-000093310000}"/>
    <cellStyle name="Normal 5 2 20 2" xfId="11271" xr:uid="{00000000-0005-0000-0000-000094310000}"/>
    <cellStyle name="Normal 5 2 20 3" xfId="11272" xr:uid="{00000000-0005-0000-0000-000095310000}"/>
    <cellStyle name="Normal 5 2 21" xfId="11273" xr:uid="{00000000-0005-0000-0000-000096310000}"/>
    <cellStyle name="Normal 5 2 21 2" xfId="11274" xr:uid="{00000000-0005-0000-0000-000097310000}"/>
    <cellStyle name="Normal 5 2 21 3" xfId="11275" xr:uid="{00000000-0005-0000-0000-000098310000}"/>
    <cellStyle name="Normal 5 2 22" xfId="11276" xr:uid="{00000000-0005-0000-0000-000099310000}"/>
    <cellStyle name="Normal 5 2 22 2" xfId="11277" xr:uid="{00000000-0005-0000-0000-00009A310000}"/>
    <cellStyle name="Normal 5 2 22 3" xfId="11278" xr:uid="{00000000-0005-0000-0000-00009B310000}"/>
    <cellStyle name="Normal 5 2 23" xfId="11279" xr:uid="{00000000-0005-0000-0000-00009C310000}"/>
    <cellStyle name="Normal 5 2 23 2" xfId="11280" xr:uid="{00000000-0005-0000-0000-00009D310000}"/>
    <cellStyle name="Normal 5 2 23 3" xfId="11281" xr:uid="{00000000-0005-0000-0000-00009E310000}"/>
    <cellStyle name="Normal 5 2 24" xfId="11282" xr:uid="{00000000-0005-0000-0000-00009F310000}"/>
    <cellStyle name="Normal 5 2 25" xfId="11283" xr:uid="{00000000-0005-0000-0000-0000A0310000}"/>
    <cellStyle name="Normal 5 2 25 2" xfId="11284" xr:uid="{00000000-0005-0000-0000-0000A1310000}"/>
    <cellStyle name="Normal 5 2 26" xfId="11285" xr:uid="{00000000-0005-0000-0000-0000A2310000}"/>
    <cellStyle name="Normal 5 2 27" xfId="11286" xr:uid="{00000000-0005-0000-0000-0000A3310000}"/>
    <cellStyle name="Normal 5 2 27 2" xfId="11287" xr:uid="{00000000-0005-0000-0000-0000A4310000}"/>
    <cellStyle name="Normal 5 2 28" xfId="11288" xr:uid="{00000000-0005-0000-0000-0000A5310000}"/>
    <cellStyle name="Normal 5 2 28 2" xfId="11289" xr:uid="{00000000-0005-0000-0000-0000A6310000}"/>
    <cellStyle name="Normal 5 2 29" xfId="11290" xr:uid="{00000000-0005-0000-0000-0000A7310000}"/>
    <cellStyle name="Normal 5 2 29 2" xfId="11291" xr:uid="{00000000-0005-0000-0000-0000A8310000}"/>
    <cellStyle name="Normal 5 2 3" xfId="348" xr:uid="{00000000-0005-0000-0000-0000A9310000}"/>
    <cellStyle name="Normal 5 2 3 10" xfId="11292" xr:uid="{00000000-0005-0000-0000-0000AA310000}"/>
    <cellStyle name="Normal 5 2 3 10 2" xfId="11293" xr:uid="{00000000-0005-0000-0000-0000AB310000}"/>
    <cellStyle name="Normal 5 2 3 11" xfId="11294" xr:uid="{00000000-0005-0000-0000-0000AC310000}"/>
    <cellStyle name="Normal 5 2 3 11 2" xfId="11295" xr:uid="{00000000-0005-0000-0000-0000AD310000}"/>
    <cellStyle name="Normal 5 2 3 12" xfId="11296" xr:uid="{00000000-0005-0000-0000-0000AE310000}"/>
    <cellStyle name="Normal 5 2 3 12 2" xfId="11297" xr:uid="{00000000-0005-0000-0000-0000AF310000}"/>
    <cellStyle name="Normal 5 2 3 13" xfId="11298" xr:uid="{00000000-0005-0000-0000-0000B0310000}"/>
    <cellStyle name="Normal 5 2 3 13 2" xfId="11299" xr:uid="{00000000-0005-0000-0000-0000B1310000}"/>
    <cellStyle name="Normal 5 2 3 2" xfId="349" xr:uid="{00000000-0005-0000-0000-0000B2310000}"/>
    <cellStyle name="Normal 5 2 3 2 10" xfId="11301" xr:uid="{00000000-0005-0000-0000-0000B3310000}"/>
    <cellStyle name="Normal 5 2 3 2 11" xfId="11302" xr:uid="{00000000-0005-0000-0000-0000B4310000}"/>
    <cellStyle name="Normal 5 2 3 2 12" xfId="11300" xr:uid="{00000000-0005-0000-0000-0000B5310000}"/>
    <cellStyle name="Normal 5 2 3 2 2" xfId="11303" xr:uid="{00000000-0005-0000-0000-0000B6310000}"/>
    <cellStyle name="Normal 5 2 3 2 3" xfId="11304" xr:uid="{00000000-0005-0000-0000-0000B7310000}"/>
    <cellStyle name="Normal 5 2 3 2 4" xfId="11305" xr:uid="{00000000-0005-0000-0000-0000B8310000}"/>
    <cellStyle name="Normal 5 2 3 2 5" xfId="11306" xr:uid="{00000000-0005-0000-0000-0000B9310000}"/>
    <cellStyle name="Normal 5 2 3 2 6" xfId="11307" xr:uid="{00000000-0005-0000-0000-0000BA310000}"/>
    <cellStyle name="Normal 5 2 3 2 7" xfId="11308" xr:uid="{00000000-0005-0000-0000-0000BB310000}"/>
    <cellStyle name="Normal 5 2 3 2 8" xfId="11309" xr:uid="{00000000-0005-0000-0000-0000BC310000}"/>
    <cellStyle name="Normal 5 2 3 2 9" xfId="11310" xr:uid="{00000000-0005-0000-0000-0000BD310000}"/>
    <cellStyle name="Normal 5 2 3 3" xfId="11311" xr:uid="{00000000-0005-0000-0000-0000BE310000}"/>
    <cellStyle name="Normal 5 2 3 3 2" xfId="11312" xr:uid="{00000000-0005-0000-0000-0000BF310000}"/>
    <cellStyle name="Normal 5 2 3 3 2 2" xfId="11313" xr:uid="{00000000-0005-0000-0000-0000C0310000}"/>
    <cellStyle name="Normal 5 2 3 3 3" xfId="11314" xr:uid="{00000000-0005-0000-0000-0000C1310000}"/>
    <cellStyle name="Normal 5 2 3 3 3 2" xfId="11315" xr:uid="{00000000-0005-0000-0000-0000C2310000}"/>
    <cellStyle name="Normal 5 2 3 3 4" xfId="11316" xr:uid="{00000000-0005-0000-0000-0000C3310000}"/>
    <cellStyle name="Normal 5 2 3 3 4 2" xfId="11317" xr:uid="{00000000-0005-0000-0000-0000C4310000}"/>
    <cellStyle name="Normal 5 2 3 3 5" xfId="11318" xr:uid="{00000000-0005-0000-0000-0000C5310000}"/>
    <cellStyle name="Normal 5 2 3 3 5 2" xfId="11319" xr:uid="{00000000-0005-0000-0000-0000C6310000}"/>
    <cellStyle name="Normal 5 2 3 3 6" xfId="11320" xr:uid="{00000000-0005-0000-0000-0000C7310000}"/>
    <cellStyle name="Normal 5 2 3 4" xfId="11321" xr:uid="{00000000-0005-0000-0000-0000C8310000}"/>
    <cellStyle name="Normal 5 2 3 4 2" xfId="11322" xr:uid="{00000000-0005-0000-0000-0000C9310000}"/>
    <cellStyle name="Normal 5 2 3 4 2 2" xfId="11323" xr:uid="{00000000-0005-0000-0000-0000CA310000}"/>
    <cellStyle name="Normal 5 2 3 4 3" xfId="11324" xr:uid="{00000000-0005-0000-0000-0000CB310000}"/>
    <cellStyle name="Normal 5 2 3 4 3 2" xfId="11325" xr:uid="{00000000-0005-0000-0000-0000CC310000}"/>
    <cellStyle name="Normal 5 2 3 4 4" xfId="11326" xr:uid="{00000000-0005-0000-0000-0000CD310000}"/>
    <cellStyle name="Normal 5 2 3 4 4 2" xfId="11327" xr:uid="{00000000-0005-0000-0000-0000CE310000}"/>
    <cellStyle name="Normal 5 2 3 4 5" xfId="11328" xr:uid="{00000000-0005-0000-0000-0000CF310000}"/>
    <cellStyle name="Normal 5 2 3 4 5 2" xfId="11329" xr:uid="{00000000-0005-0000-0000-0000D0310000}"/>
    <cellStyle name="Normal 5 2 3 4 6" xfId="11330" xr:uid="{00000000-0005-0000-0000-0000D1310000}"/>
    <cellStyle name="Normal 5 2 3 5" xfId="11331" xr:uid="{00000000-0005-0000-0000-0000D2310000}"/>
    <cellStyle name="Normal 5 2 3 5 2" xfId="11332" xr:uid="{00000000-0005-0000-0000-0000D3310000}"/>
    <cellStyle name="Normal 5 2 3 5 2 2" xfId="11333" xr:uid="{00000000-0005-0000-0000-0000D4310000}"/>
    <cellStyle name="Normal 5 2 3 5 3" xfId="11334" xr:uid="{00000000-0005-0000-0000-0000D5310000}"/>
    <cellStyle name="Normal 5 2 3 5 3 2" xfId="11335" xr:uid="{00000000-0005-0000-0000-0000D6310000}"/>
    <cellStyle name="Normal 5 2 3 5 4" xfId="11336" xr:uid="{00000000-0005-0000-0000-0000D7310000}"/>
    <cellStyle name="Normal 5 2 3 5 4 2" xfId="11337" xr:uid="{00000000-0005-0000-0000-0000D8310000}"/>
    <cellStyle name="Normal 5 2 3 5 5" xfId="11338" xr:uid="{00000000-0005-0000-0000-0000D9310000}"/>
    <cellStyle name="Normal 5 2 3 5 5 2" xfId="11339" xr:uid="{00000000-0005-0000-0000-0000DA310000}"/>
    <cellStyle name="Normal 5 2 3 5 6" xfId="11340" xr:uid="{00000000-0005-0000-0000-0000DB310000}"/>
    <cellStyle name="Normal 5 2 3 6" xfId="11341" xr:uid="{00000000-0005-0000-0000-0000DC310000}"/>
    <cellStyle name="Normal 5 2 3 6 2" xfId="11342" xr:uid="{00000000-0005-0000-0000-0000DD310000}"/>
    <cellStyle name="Normal 5 2 3 7" xfId="11343" xr:uid="{00000000-0005-0000-0000-0000DE310000}"/>
    <cellStyle name="Normal 5 2 3 7 2" xfId="11344" xr:uid="{00000000-0005-0000-0000-0000DF310000}"/>
    <cellStyle name="Normal 5 2 3 8" xfId="11345" xr:uid="{00000000-0005-0000-0000-0000E0310000}"/>
    <cellStyle name="Normal 5 2 3 8 2" xfId="11346" xr:uid="{00000000-0005-0000-0000-0000E1310000}"/>
    <cellStyle name="Normal 5 2 3 9" xfId="11347" xr:uid="{00000000-0005-0000-0000-0000E2310000}"/>
    <cellStyle name="Normal 5 2 3 9 2" xfId="11348" xr:uid="{00000000-0005-0000-0000-0000E3310000}"/>
    <cellStyle name="Normal 5 2 30" xfId="11349" xr:uid="{00000000-0005-0000-0000-0000E4310000}"/>
    <cellStyle name="Normal 5 2 30 2" xfId="11350" xr:uid="{00000000-0005-0000-0000-0000E5310000}"/>
    <cellStyle name="Normal 5 2 31" xfId="11351" xr:uid="{00000000-0005-0000-0000-0000E6310000}"/>
    <cellStyle name="Normal 5 2 31 2" xfId="11352" xr:uid="{00000000-0005-0000-0000-0000E7310000}"/>
    <cellStyle name="Normal 5 2 32" xfId="11353" xr:uid="{00000000-0005-0000-0000-0000E8310000}"/>
    <cellStyle name="Normal 5 2 32 2" xfId="11354" xr:uid="{00000000-0005-0000-0000-0000E9310000}"/>
    <cellStyle name="Normal 5 2 33" xfId="11355" xr:uid="{00000000-0005-0000-0000-0000EA310000}"/>
    <cellStyle name="Normal 5 2 33 2" xfId="11356" xr:uid="{00000000-0005-0000-0000-0000EB310000}"/>
    <cellStyle name="Normal 5 2 34" xfId="11357" xr:uid="{00000000-0005-0000-0000-0000EC310000}"/>
    <cellStyle name="Normal 5 2 34 2" xfId="11358" xr:uid="{00000000-0005-0000-0000-0000ED310000}"/>
    <cellStyle name="Normal 5 2 35" xfId="11359" xr:uid="{00000000-0005-0000-0000-0000EE310000}"/>
    <cellStyle name="Normal 5 2 35 2" xfId="11360" xr:uid="{00000000-0005-0000-0000-0000EF310000}"/>
    <cellStyle name="Normal 5 2 36" xfId="11361" xr:uid="{00000000-0005-0000-0000-0000F0310000}"/>
    <cellStyle name="Normal 5 2 36 2" xfId="11362" xr:uid="{00000000-0005-0000-0000-0000F1310000}"/>
    <cellStyle name="Normal 5 2 37" xfId="11363" xr:uid="{00000000-0005-0000-0000-0000F2310000}"/>
    <cellStyle name="Normal 5 2 37 2" xfId="11364" xr:uid="{00000000-0005-0000-0000-0000F3310000}"/>
    <cellStyle name="Normal 5 2 38" xfId="11365" xr:uid="{00000000-0005-0000-0000-0000F4310000}"/>
    <cellStyle name="Normal 5 2 38 2" xfId="11366" xr:uid="{00000000-0005-0000-0000-0000F5310000}"/>
    <cellStyle name="Normal 5 2 39" xfId="11367" xr:uid="{00000000-0005-0000-0000-0000F6310000}"/>
    <cellStyle name="Normal 5 2 39 2" xfId="11368" xr:uid="{00000000-0005-0000-0000-0000F7310000}"/>
    <cellStyle name="Normal 5 2 4" xfId="350" xr:uid="{00000000-0005-0000-0000-0000F8310000}"/>
    <cellStyle name="Normal 5 2 4 10" xfId="11369" xr:uid="{00000000-0005-0000-0000-0000F9310000}"/>
    <cellStyle name="Normal 5 2 4 11" xfId="11370" xr:uid="{00000000-0005-0000-0000-0000FA310000}"/>
    <cellStyle name="Normal 5 2 4 11 2" xfId="11371" xr:uid="{00000000-0005-0000-0000-0000FB310000}"/>
    <cellStyle name="Normal 5 2 4 12" xfId="11372" xr:uid="{00000000-0005-0000-0000-0000FC310000}"/>
    <cellStyle name="Normal 5 2 4 13" xfId="11373" xr:uid="{00000000-0005-0000-0000-0000FD310000}"/>
    <cellStyle name="Normal 5 2 4 14" xfId="11374" xr:uid="{00000000-0005-0000-0000-0000FE310000}"/>
    <cellStyle name="Normal 5 2 4 14 2" xfId="11375" xr:uid="{00000000-0005-0000-0000-0000FF310000}"/>
    <cellStyle name="Normal 5 2 4 15" xfId="11376" xr:uid="{00000000-0005-0000-0000-000000320000}"/>
    <cellStyle name="Normal 5 2 4 16" xfId="11377" xr:uid="{00000000-0005-0000-0000-000001320000}"/>
    <cellStyle name="Normal 5 2 4 17" xfId="11378" xr:uid="{00000000-0005-0000-0000-000002320000}"/>
    <cellStyle name="Normal 5 2 4 17 2" xfId="11379" xr:uid="{00000000-0005-0000-0000-000003320000}"/>
    <cellStyle name="Normal 5 2 4 18" xfId="11380" xr:uid="{00000000-0005-0000-0000-000004320000}"/>
    <cellStyle name="Normal 5 2 4 19" xfId="11381" xr:uid="{00000000-0005-0000-0000-000005320000}"/>
    <cellStyle name="Normal 5 2 4 2" xfId="11382" xr:uid="{00000000-0005-0000-0000-000006320000}"/>
    <cellStyle name="Normal 5 2 4 20" xfId="11383" xr:uid="{00000000-0005-0000-0000-000007320000}"/>
    <cellStyle name="Normal 5 2 4 21" xfId="11384" xr:uid="{00000000-0005-0000-0000-000008320000}"/>
    <cellStyle name="Normal 5 2 4 22" xfId="11385" xr:uid="{00000000-0005-0000-0000-000009320000}"/>
    <cellStyle name="Normal 5 2 4 22 2" xfId="11386" xr:uid="{00000000-0005-0000-0000-00000A320000}"/>
    <cellStyle name="Normal 5 2 4 23" xfId="11387" xr:uid="{00000000-0005-0000-0000-00000B320000}"/>
    <cellStyle name="Normal 5 2 4 23 2" xfId="11388" xr:uid="{00000000-0005-0000-0000-00000C320000}"/>
    <cellStyle name="Normal 5 2 4 24" xfId="11389" xr:uid="{00000000-0005-0000-0000-00000D320000}"/>
    <cellStyle name="Normal 5 2 4 24 2" xfId="11390" xr:uid="{00000000-0005-0000-0000-00000E320000}"/>
    <cellStyle name="Normal 5 2 4 25" xfId="11391" xr:uid="{00000000-0005-0000-0000-00000F320000}"/>
    <cellStyle name="Normal 5 2 4 25 2" xfId="11392" xr:uid="{00000000-0005-0000-0000-000010320000}"/>
    <cellStyle name="Normal 5 2 4 26" xfId="11393" xr:uid="{00000000-0005-0000-0000-000011320000}"/>
    <cellStyle name="Normal 5 2 4 26 2" xfId="11394" xr:uid="{00000000-0005-0000-0000-000012320000}"/>
    <cellStyle name="Normal 5 2 4 27" xfId="11395" xr:uid="{00000000-0005-0000-0000-000013320000}"/>
    <cellStyle name="Normal 5 2 4 27 2" xfId="11396" xr:uid="{00000000-0005-0000-0000-000014320000}"/>
    <cellStyle name="Normal 5 2 4 28" xfId="11397" xr:uid="{00000000-0005-0000-0000-000015320000}"/>
    <cellStyle name="Normal 5 2 4 28 2" xfId="11398" xr:uid="{00000000-0005-0000-0000-000016320000}"/>
    <cellStyle name="Normal 5 2 4 29" xfId="11399" xr:uid="{00000000-0005-0000-0000-000017320000}"/>
    <cellStyle name="Normal 5 2 4 29 2" xfId="11400" xr:uid="{00000000-0005-0000-0000-000018320000}"/>
    <cellStyle name="Normal 5 2 4 3" xfId="11401" xr:uid="{00000000-0005-0000-0000-000019320000}"/>
    <cellStyle name="Normal 5 2 4 30" xfId="11402" xr:uid="{00000000-0005-0000-0000-00001A320000}"/>
    <cellStyle name="Normal 5 2 4 30 2" xfId="11403" xr:uid="{00000000-0005-0000-0000-00001B320000}"/>
    <cellStyle name="Normal 5 2 4 31" xfId="11404" xr:uid="{00000000-0005-0000-0000-00001C320000}"/>
    <cellStyle name="Normal 5 2 4 31 2" xfId="11405" xr:uid="{00000000-0005-0000-0000-00001D320000}"/>
    <cellStyle name="Normal 5 2 4 32" xfId="11406" xr:uid="{00000000-0005-0000-0000-00001E320000}"/>
    <cellStyle name="Normal 5 2 4 32 2" xfId="11407" xr:uid="{00000000-0005-0000-0000-00001F320000}"/>
    <cellStyle name="Normal 5 2 4 33" xfId="11408" xr:uid="{00000000-0005-0000-0000-000020320000}"/>
    <cellStyle name="Normal 5 2 4 33 2" xfId="11409" xr:uid="{00000000-0005-0000-0000-000021320000}"/>
    <cellStyle name="Normal 5 2 4 34" xfId="11410" xr:uid="{00000000-0005-0000-0000-000022320000}"/>
    <cellStyle name="Normal 5 2 4 34 2" xfId="11411" xr:uid="{00000000-0005-0000-0000-000023320000}"/>
    <cellStyle name="Normal 5 2 4 35" xfId="11412" xr:uid="{00000000-0005-0000-0000-000024320000}"/>
    <cellStyle name="Normal 5 2 4 35 2" xfId="11413" xr:uid="{00000000-0005-0000-0000-000025320000}"/>
    <cellStyle name="Normal 5 2 4 36" xfId="11414" xr:uid="{00000000-0005-0000-0000-000026320000}"/>
    <cellStyle name="Normal 5 2 4 36 2" xfId="11415" xr:uid="{00000000-0005-0000-0000-000027320000}"/>
    <cellStyle name="Normal 5 2 4 37" xfId="11416" xr:uid="{00000000-0005-0000-0000-000028320000}"/>
    <cellStyle name="Normal 5 2 4 37 2" xfId="11417" xr:uid="{00000000-0005-0000-0000-000029320000}"/>
    <cellStyle name="Normal 5 2 4 38" xfId="11418" xr:uid="{00000000-0005-0000-0000-00002A320000}"/>
    <cellStyle name="Normal 5 2 4 38 2" xfId="11419" xr:uid="{00000000-0005-0000-0000-00002B320000}"/>
    <cellStyle name="Normal 5 2 4 39" xfId="11420" xr:uid="{00000000-0005-0000-0000-00002C320000}"/>
    <cellStyle name="Normal 5 2 4 4" xfId="11421" xr:uid="{00000000-0005-0000-0000-00002D320000}"/>
    <cellStyle name="Normal 5 2 4 4 2" xfId="11422" xr:uid="{00000000-0005-0000-0000-00002E320000}"/>
    <cellStyle name="Normal 5 2 4 40" xfId="11423" xr:uid="{00000000-0005-0000-0000-00002F320000}"/>
    <cellStyle name="Normal 5 2 4 41" xfId="11424" xr:uid="{00000000-0005-0000-0000-000030320000}"/>
    <cellStyle name="Normal 5 2 4 42" xfId="11425" xr:uid="{00000000-0005-0000-0000-000031320000}"/>
    <cellStyle name="Normal 5 2 4 42 2" xfId="11426" xr:uid="{00000000-0005-0000-0000-000032320000}"/>
    <cellStyle name="Normal 5 2 4 43" xfId="11427" xr:uid="{00000000-0005-0000-0000-000033320000}"/>
    <cellStyle name="Normal 5 2 4 43 2" xfId="11428" xr:uid="{00000000-0005-0000-0000-000034320000}"/>
    <cellStyle name="Normal 5 2 4 44" xfId="11429" xr:uid="{00000000-0005-0000-0000-000035320000}"/>
    <cellStyle name="Normal 5 2 4 5" xfId="11430" xr:uid="{00000000-0005-0000-0000-000036320000}"/>
    <cellStyle name="Normal 5 2 4 6" xfId="11431" xr:uid="{00000000-0005-0000-0000-000037320000}"/>
    <cellStyle name="Normal 5 2 4 7" xfId="11432" xr:uid="{00000000-0005-0000-0000-000038320000}"/>
    <cellStyle name="Normal 5 2 4 8" xfId="11433" xr:uid="{00000000-0005-0000-0000-000039320000}"/>
    <cellStyle name="Normal 5 2 4 8 2" xfId="11434" xr:uid="{00000000-0005-0000-0000-00003A320000}"/>
    <cellStyle name="Normal 5 2 4 9" xfId="11435" xr:uid="{00000000-0005-0000-0000-00003B320000}"/>
    <cellStyle name="Normal 5 2 40" xfId="11436" xr:uid="{00000000-0005-0000-0000-00003C320000}"/>
    <cellStyle name="Normal 5 2 40 2" xfId="11437" xr:uid="{00000000-0005-0000-0000-00003D320000}"/>
    <cellStyle name="Normal 5 2 41" xfId="11438" xr:uid="{00000000-0005-0000-0000-00003E320000}"/>
    <cellStyle name="Normal 5 2 41 2" xfId="11439" xr:uid="{00000000-0005-0000-0000-00003F320000}"/>
    <cellStyle name="Normal 5 2 42" xfId="11440" xr:uid="{00000000-0005-0000-0000-000040320000}"/>
    <cellStyle name="Normal 5 2 42 2" xfId="11441" xr:uid="{00000000-0005-0000-0000-000041320000}"/>
    <cellStyle name="Normal 5 2 43" xfId="11442" xr:uid="{00000000-0005-0000-0000-000042320000}"/>
    <cellStyle name="Normal 5 2 43 2" xfId="11443" xr:uid="{00000000-0005-0000-0000-000043320000}"/>
    <cellStyle name="Normal 5 2 44" xfId="11444" xr:uid="{00000000-0005-0000-0000-000044320000}"/>
    <cellStyle name="Normal 5 2 44 2" xfId="11445" xr:uid="{00000000-0005-0000-0000-000045320000}"/>
    <cellStyle name="Normal 5 2 45" xfId="11446" xr:uid="{00000000-0005-0000-0000-000046320000}"/>
    <cellStyle name="Normal 5 2 46" xfId="11447" xr:uid="{00000000-0005-0000-0000-000047320000}"/>
    <cellStyle name="Normal 5 2 47" xfId="11448" xr:uid="{00000000-0005-0000-0000-000048320000}"/>
    <cellStyle name="Normal 5 2 47 2" xfId="11449" xr:uid="{00000000-0005-0000-0000-000049320000}"/>
    <cellStyle name="Normal 5 2 48" xfId="11450" xr:uid="{00000000-0005-0000-0000-00004A320000}"/>
    <cellStyle name="Normal 5 2 48 2" xfId="11451" xr:uid="{00000000-0005-0000-0000-00004B320000}"/>
    <cellStyle name="Normal 5 2 49" xfId="11452" xr:uid="{00000000-0005-0000-0000-00004C320000}"/>
    <cellStyle name="Normal 5 2 49 2" xfId="11453" xr:uid="{00000000-0005-0000-0000-00004D320000}"/>
    <cellStyle name="Normal 5 2 5" xfId="11454" xr:uid="{00000000-0005-0000-0000-00004E320000}"/>
    <cellStyle name="Normal 5 2 5 10" xfId="11455" xr:uid="{00000000-0005-0000-0000-00004F320000}"/>
    <cellStyle name="Normal 5 2 5 10 2" xfId="11456" xr:uid="{00000000-0005-0000-0000-000050320000}"/>
    <cellStyle name="Normal 5 2 5 11" xfId="11457" xr:uid="{00000000-0005-0000-0000-000051320000}"/>
    <cellStyle name="Normal 5 2 5 11 2" xfId="11458" xr:uid="{00000000-0005-0000-0000-000052320000}"/>
    <cellStyle name="Normal 5 2 5 12" xfId="11459" xr:uid="{00000000-0005-0000-0000-000053320000}"/>
    <cellStyle name="Normal 5 2 5 12 2" xfId="11460" xr:uid="{00000000-0005-0000-0000-000054320000}"/>
    <cellStyle name="Normal 5 2 5 13" xfId="11461" xr:uid="{00000000-0005-0000-0000-000055320000}"/>
    <cellStyle name="Normal 5 2 5 13 2" xfId="11462" xr:uid="{00000000-0005-0000-0000-000056320000}"/>
    <cellStyle name="Normal 5 2 5 14" xfId="11463" xr:uid="{00000000-0005-0000-0000-000057320000}"/>
    <cellStyle name="Normal 5 2 5 14 2" xfId="11464" xr:uid="{00000000-0005-0000-0000-000058320000}"/>
    <cellStyle name="Normal 5 2 5 15" xfId="11465" xr:uid="{00000000-0005-0000-0000-000059320000}"/>
    <cellStyle name="Normal 5 2 5 15 2" xfId="11466" xr:uid="{00000000-0005-0000-0000-00005A320000}"/>
    <cellStyle name="Normal 5 2 5 16" xfId="11467" xr:uid="{00000000-0005-0000-0000-00005B320000}"/>
    <cellStyle name="Normal 5 2 5 16 2" xfId="11468" xr:uid="{00000000-0005-0000-0000-00005C320000}"/>
    <cellStyle name="Normal 5 2 5 17" xfId="11469" xr:uid="{00000000-0005-0000-0000-00005D320000}"/>
    <cellStyle name="Normal 5 2 5 17 2" xfId="11470" xr:uid="{00000000-0005-0000-0000-00005E320000}"/>
    <cellStyle name="Normal 5 2 5 18" xfId="11471" xr:uid="{00000000-0005-0000-0000-00005F320000}"/>
    <cellStyle name="Normal 5 2 5 18 2" xfId="11472" xr:uid="{00000000-0005-0000-0000-000060320000}"/>
    <cellStyle name="Normal 5 2 5 19" xfId="11473" xr:uid="{00000000-0005-0000-0000-000061320000}"/>
    <cellStyle name="Normal 5 2 5 19 2" xfId="11474" xr:uid="{00000000-0005-0000-0000-000062320000}"/>
    <cellStyle name="Normal 5 2 5 2" xfId="11475" xr:uid="{00000000-0005-0000-0000-000063320000}"/>
    <cellStyle name="Normal 5 2 5 2 10" xfId="11476" xr:uid="{00000000-0005-0000-0000-000064320000}"/>
    <cellStyle name="Normal 5 2 5 2 11" xfId="11477" xr:uid="{00000000-0005-0000-0000-000065320000}"/>
    <cellStyle name="Normal 5 2 5 2 2" xfId="11478" xr:uid="{00000000-0005-0000-0000-000066320000}"/>
    <cellStyle name="Normal 5 2 5 2 3" xfId="11479" xr:uid="{00000000-0005-0000-0000-000067320000}"/>
    <cellStyle name="Normal 5 2 5 2 4" xfId="11480" xr:uid="{00000000-0005-0000-0000-000068320000}"/>
    <cellStyle name="Normal 5 2 5 2 5" xfId="11481" xr:uid="{00000000-0005-0000-0000-000069320000}"/>
    <cellStyle name="Normal 5 2 5 2 6" xfId="11482" xr:uid="{00000000-0005-0000-0000-00006A320000}"/>
    <cellStyle name="Normal 5 2 5 2 7" xfId="11483" xr:uid="{00000000-0005-0000-0000-00006B320000}"/>
    <cellStyle name="Normal 5 2 5 2 8" xfId="11484" xr:uid="{00000000-0005-0000-0000-00006C320000}"/>
    <cellStyle name="Normal 5 2 5 2 9" xfId="11485" xr:uid="{00000000-0005-0000-0000-00006D320000}"/>
    <cellStyle name="Normal 5 2 5 20" xfId="11486" xr:uid="{00000000-0005-0000-0000-00006E320000}"/>
    <cellStyle name="Normal 5 2 5 20 2" xfId="11487" xr:uid="{00000000-0005-0000-0000-00006F320000}"/>
    <cellStyle name="Normal 5 2 5 21" xfId="11488" xr:uid="{00000000-0005-0000-0000-000070320000}"/>
    <cellStyle name="Normal 5 2 5 21 2" xfId="11489" xr:uid="{00000000-0005-0000-0000-000071320000}"/>
    <cellStyle name="Normal 5 2 5 22" xfId="11490" xr:uid="{00000000-0005-0000-0000-000072320000}"/>
    <cellStyle name="Normal 5 2 5 22 2" xfId="11491" xr:uid="{00000000-0005-0000-0000-000073320000}"/>
    <cellStyle name="Normal 5 2 5 23" xfId="11492" xr:uid="{00000000-0005-0000-0000-000074320000}"/>
    <cellStyle name="Normal 5 2 5 23 2" xfId="11493" xr:uid="{00000000-0005-0000-0000-000075320000}"/>
    <cellStyle name="Normal 5 2 5 24" xfId="11494" xr:uid="{00000000-0005-0000-0000-000076320000}"/>
    <cellStyle name="Normal 5 2 5 24 2" xfId="11495" xr:uid="{00000000-0005-0000-0000-000077320000}"/>
    <cellStyle name="Normal 5 2 5 25" xfId="11496" xr:uid="{00000000-0005-0000-0000-000078320000}"/>
    <cellStyle name="Normal 5 2 5 25 2" xfId="11497" xr:uid="{00000000-0005-0000-0000-000079320000}"/>
    <cellStyle name="Normal 5 2 5 26" xfId="11498" xr:uid="{00000000-0005-0000-0000-00007A320000}"/>
    <cellStyle name="Normal 5 2 5 26 2" xfId="11499" xr:uid="{00000000-0005-0000-0000-00007B320000}"/>
    <cellStyle name="Normal 5 2 5 27" xfId="11500" xr:uid="{00000000-0005-0000-0000-00007C320000}"/>
    <cellStyle name="Normal 5 2 5 27 2" xfId="11501" xr:uid="{00000000-0005-0000-0000-00007D320000}"/>
    <cellStyle name="Normal 5 2 5 28" xfId="11502" xr:uid="{00000000-0005-0000-0000-00007E320000}"/>
    <cellStyle name="Normal 5 2 5 28 2" xfId="11503" xr:uid="{00000000-0005-0000-0000-00007F320000}"/>
    <cellStyle name="Normal 5 2 5 29" xfId="11504" xr:uid="{00000000-0005-0000-0000-000080320000}"/>
    <cellStyle name="Normal 5 2 5 29 2" xfId="11505" xr:uid="{00000000-0005-0000-0000-000081320000}"/>
    <cellStyle name="Normal 5 2 5 3" xfId="11506" xr:uid="{00000000-0005-0000-0000-000082320000}"/>
    <cellStyle name="Normal 5 2 5 30" xfId="11507" xr:uid="{00000000-0005-0000-0000-000083320000}"/>
    <cellStyle name="Normal 5 2 5 30 2" xfId="11508" xr:uid="{00000000-0005-0000-0000-000084320000}"/>
    <cellStyle name="Normal 5 2 5 31" xfId="11509" xr:uid="{00000000-0005-0000-0000-000085320000}"/>
    <cellStyle name="Normal 5 2 5 31 2" xfId="11510" xr:uid="{00000000-0005-0000-0000-000086320000}"/>
    <cellStyle name="Normal 5 2 5 32" xfId="11511" xr:uid="{00000000-0005-0000-0000-000087320000}"/>
    <cellStyle name="Normal 5 2 5 32 2" xfId="11512" xr:uid="{00000000-0005-0000-0000-000088320000}"/>
    <cellStyle name="Normal 5 2 5 33" xfId="11513" xr:uid="{00000000-0005-0000-0000-000089320000}"/>
    <cellStyle name="Normal 5 2 5 33 2" xfId="11514" xr:uid="{00000000-0005-0000-0000-00008A320000}"/>
    <cellStyle name="Normal 5 2 5 34" xfId="11515" xr:uid="{00000000-0005-0000-0000-00008B320000}"/>
    <cellStyle name="Normal 5 2 5 34 2" xfId="11516" xr:uid="{00000000-0005-0000-0000-00008C320000}"/>
    <cellStyle name="Normal 5 2 5 35" xfId="11517" xr:uid="{00000000-0005-0000-0000-00008D320000}"/>
    <cellStyle name="Normal 5 2 5 35 2" xfId="11518" xr:uid="{00000000-0005-0000-0000-00008E320000}"/>
    <cellStyle name="Normal 5 2 5 36" xfId="11519" xr:uid="{00000000-0005-0000-0000-00008F320000}"/>
    <cellStyle name="Normal 5 2 5 36 2" xfId="11520" xr:uid="{00000000-0005-0000-0000-000090320000}"/>
    <cellStyle name="Normal 5 2 5 37" xfId="11521" xr:uid="{00000000-0005-0000-0000-000091320000}"/>
    <cellStyle name="Normal 5 2 5 4" xfId="11522" xr:uid="{00000000-0005-0000-0000-000092320000}"/>
    <cellStyle name="Normal 5 2 5 5" xfId="11523" xr:uid="{00000000-0005-0000-0000-000093320000}"/>
    <cellStyle name="Normal 5 2 5 5 2" xfId="11524" xr:uid="{00000000-0005-0000-0000-000094320000}"/>
    <cellStyle name="Normal 5 2 5 6" xfId="11525" xr:uid="{00000000-0005-0000-0000-000095320000}"/>
    <cellStyle name="Normal 5 2 5 6 2" xfId="11526" xr:uid="{00000000-0005-0000-0000-000096320000}"/>
    <cellStyle name="Normal 5 2 5 7" xfId="11527" xr:uid="{00000000-0005-0000-0000-000097320000}"/>
    <cellStyle name="Normal 5 2 5 7 2" xfId="11528" xr:uid="{00000000-0005-0000-0000-000098320000}"/>
    <cellStyle name="Normal 5 2 5 8" xfId="11529" xr:uid="{00000000-0005-0000-0000-000099320000}"/>
    <cellStyle name="Normal 5 2 5 8 2" xfId="11530" xr:uid="{00000000-0005-0000-0000-00009A320000}"/>
    <cellStyle name="Normal 5 2 5 9" xfId="11531" xr:uid="{00000000-0005-0000-0000-00009B320000}"/>
    <cellStyle name="Normal 5 2 5 9 2" xfId="11532" xr:uid="{00000000-0005-0000-0000-00009C320000}"/>
    <cellStyle name="Normal 5 2 50" xfId="11533" xr:uid="{00000000-0005-0000-0000-00009D320000}"/>
    <cellStyle name="Normal 5 2 50 2" xfId="11534" xr:uid="{00000000-0005-0000-0000-00009E320000}"/>
    <cellStyle name="Normal 5 2 51" xfId="11535" xr:uid="{00000000-0005-0000-0000-00009F320000}"/>
    <cellStyle name="Normal 5 2 51 2" xfId="11536" xr:uid="{00000000-0005-0000-0000-0000A0320000}"/>
    <cellStyle name="Normal 5 2 52" xfId="11537" xr:uid="{00000000-0005-0000-0000-0000A1320000}"/>
    <cellStyle name="Normal 5 2 53" xfId="25876" xr:uid="{00000000-0005-0000-0000-0000A2320000}"/>
    <cellStyle name="Normal 5 2 6" xfId="11538" xr:uid="{00000000-0005-0000-0000-0000A3320000}"/>
    <cellStyle name="Normal 5 2 6 2" xfId="11539" xr:uid="{00000000-0005-0000-0000-0000A4320000}"/>
    <cellStyle name="Normal 5 2 6 3" xfId="11540" xr:uid="{00000000-0005-0000-0000-0000A5320000}"/>
    <cellStyle name="Normal 5 2 7" xfId="11541" xr:uid="{00000000-0005-0000-0000-0000A6320000}"/>
    <cellStyle name="Normal 5 2 7 2" xfId="11542" xr:uid="{00000000-0005-0000-0000-0000A7320000}"/>
    <cellStyle name="Normal 5 2 7 2 2" xfId="11543" xr:uid="{00000000-0005-0000-0000-0000A8320000}"/>
    <cellStyle name="Normal 5 2 7 3" xfId="11544" xr:uid="{00000000-0005-0000-0000-0000A9320000}"/>
    <cellStyle name="Normal 5 2 7 3 2" xfId="11545" xr:uid="{00000000-0005-0000-0000-0000AA320000}"/>
    <cellStyle name="Normal 5 2 7 4" xfId="11546" xr:uid="{00000000-0005-0000-0000-0000AB320000}"/>
    <cellStyle name="Normal 5 2 7 4 2" xfId="11547" xr:uid="{00000000-0005-0000-0000-0000AC320000}"/>
    <cellStyle name="Normal 5 2 7 5" xfId="11548" xr:uid="{00000000-0005-0000-0000-0000AD320000}"/>
    <cellStyle name="Normal 5 2 7 5 2" xfId="11549" xr:uid="{00000000-0005-0000-0000-0000AE320000}"/>
    <cellStyle name="Normal 5 2 7 6" xfId="11550" xr:uid="{00000000-0005-0000-0000-0000AF320000}"/>
    <cellStyle name="Normal 5 2 8" xfId="11551" xr:uid="{00000000-0005-0000-0000-0000B0320000}"/>
    <cellStyle name="Normal 5 2 8 2" xfId="11552" xr:uid="{00000000-0005-0000-0000-0000B1320000}"/>
    <cellStyle name="Normal 5 2 8 2 2" xfId="11553" xr:uid="{00000000-0005-0000-0000-0000B2320000}"/>
    <cellStyle name="Normal 5 2 8 3" xfId="11554" xr:uid="{00000000-0005-0000-0000-0000B3320000}"/>
    <cellStyle name="Normal 5 2 8 3 2" xfId="11555" xr:uid="{00000000-0005-0000-0000-0000B4320000}"/>
    <cellStyle name="Normal 5 2 8 4" xfId="11556" xr:uid="{00000000-0005-0000-0000-0000B5320000}"/>
    <cellStyle name="Normal 5 2 8 4 2" xfId="11557" xr:uid="{00000000-0005-0000-0000-0000B6320000}"/>
    <cellStyle name="Normal 5 2 8 5" xfId="11558" xr:uid="{00000000-0005-0000-0000-0000B7320000}"/>
    <cellStyle name="Normal 5 2 8 5 2" xfId="11559" xr:uid="{00000000-0005-0000-0000-0000B8320000}"/>
    <cellStyle name="Normal 5 2 8 6" xfId="11560" xr:uid="{00000000-0005-0000-0000-0000B9320000}"/>
    <cellStyle name="Normal 5 2 9" xfId="11561" xr:uid="{00000000-0005-0000-0000-0000BA320000}"/>
    <cellStyle name="Normal 5 2 9 2" xfId="11562" xr:uid="{00000000-0005-0000-0000-0000BB320000}"/>
    <cellStyle name="Normal 5 2 9 3" xfId="11563" xr:uid="{00000000-0005-0000-0000-0000BC320000}"/>
    <cellStyle name="Normal 5 20" xfId="11564" xr:uid="{00000000-0005-0000-0000-0000BD320000}"/>
    <cellStyle name="Normal 5 20 2" xfId="11565" xr:uid="{00000000-0005-0000-0000-0000BE320000}"/>
    <cellStyle name="Normal 5 20 3" xfId="11566" xr:uid="{00000000-0005-0000-0000-0000BF320000}"/>
    <cellStyle name="Normal 5 21" xfId="11567" xr:uid="{00000000-0005-0000-0000-0000C0320000}"/>
    <cellStyle name="Normal 5 21 2" xfId="11568" xr:uid="{00000000-0005-0000-0000-0000C1320000}"/>
    <cellStyle name="Normal 5 21 3" xfId="11569" xr:uid="{00000000-0005-0000-0000-0000C2320000}"/>
    <cellStyle name="Normal 5 22" xfId="11570" xr:uid="{00000000-0005-0000-0000-0000C3320000}"/>
    <cellStyle name="Normal 5 22 2" xfId="11571" xr:uid="{00000000-0005-0000-0000-0000C4320000}"/>
    <cellStyle name="Normal 5 22 3" xfId="11572" xr:uid="{00000000-0005-0000-0000-0000C5320000}"/>
    <cellStyle name="Normal 5 23" xfId="11573" xr:uid="{00000000-0005-0000-0000-0000C6320000}"/>
    <cellStyle name="Normal 5 23 2" xfId="11574" xr:uid="{00000000-0005-0000-0000-0000C7320000}"/>
    <cellStyle name="Normal 5 23 3" xfId="11575" xr:uid="{00000000-0005-0000-0000-0000C8320000}"/>
    <cellStyle name="Normal 5 24" xfId="11576" xr:uid="{00000000-0005-0000-0000-0000C9320000}"/>
    <cellStyle name="Normal 5 24 2" xfId="11577" xr:uid="{00000000-0005-0000-0000-0000CA320000}"/>
    <cellStyle name="Normal 5 24 3" xfId="11578" xr:uid="{00000000-0005-0000-0000-0000CB320000}"/>
    <cellStyle name="Normal 5 25" xfId="11579" xr:uid="{00000000-0005-0000-0000-0000CC320000}"/>
    <cellStyle name="Normal 5 26" xfId="11580" xr:uid="{00000000-0005-0000-0000-0000CD320000}"/>
    <cellStyle name="Normal 5 27" xfId="11581" xr:uid="{00000000-0005-0000-0000-0000CE320000}"/>
    <cellStyle name="Normal 5 28" xfId="11582" xr:uid="{00000000-0005-0000-0000-0000CF320000}"/>
    <cellStyle name="Normal 5 29" xfId="11583" xr:uid="{00000000-0005-0000-0000-0000D0320000}"/>
    <cellStyle name="Normal 5 3" xfId="351" xr:uid="{00000000-0005-0000-0000-0000D1320000}"/>
    <cellStyle name="Normal 5 3 10" xfId="11585" xr:uid="{00000000-0005-0000-0000-0000D2320000}"/>
    <cellStyle name="Normal 5 3 10 2" xfId="11586" xr:uid="{00000000-0005-0000-0000-0000D3320000}"/>
    <cellStyle name="Normal 5 3 11" xfId="11587" xr:uid="{00000000-0005-0000-0000-0000D4320000}"/>
    <cellStyle name="Normal 5 3 11 2" xfId="11588" xr:uid="{00000000-0005-0000-0000-0000D5320000}"/>
    <cellStyle name="Normal 5 3 12" xfId="11589" xr:uid="{00000000-0005-0000-0000-0000D6320000}"/>
    <cellStyle name="Normal 5 3 12 2" xfId="11590" xr:uid="{00000000-0005-0000-0000-0000D7320000}"/>
    <cellStyle name="Normal 5 3 13" xfId="11591" xr:uid="{00000000-0005-0000-0000-0000D8320000}"/>
    <cellStyle name="Normal 5 3 13 2" xfId="11592" xr:uid="{00000000-0005-0000-0000-0000D9320000}"/>
    <cellStyle name="Normal 5 3 14" xfId="11593" xr:uid="{00000000-0005-0000-0000-0000DA320000}"/>
    <cellStyle name="Normal 5 3 14 2" xfId="11594" xr:uid="{00000000-0005-0000-0000-0000DB320000}"/>
    <cellStyle name="Normal 5 3 15" xfId="11595" xr:uid="{00000000-0005-0000-0000-0000DC320000}"/>
    <cellStyle name="Normal 5 3 15 2" xfId="11596" xr:uid="{00000000-0005-0000-0000-0000DD320000}"/>
    <cellStyle name="Normal 5 3 16" xfId="11597" xr:uid="{00000000-0005-0000-0000-0000DE320000}"/>
    <cellStyle name="Normal 5 3 16 2" xfId="11598" xr:uid="{00000000-0005-0000-0000-0000DF320000}"/>
    <cellStyle name="Normal 5 3 17" xfId="11599" xr:uid="{00000000-0005-0000-0000-0000E0320000}"/>
    <cellStyle name="Normal 5 3 17 2" xfId="11600" xr:uid="{00000000-0005-0000-0000-0000E1320000}"/>
    <cellStyle name="Normal 5 3 18" xfId="11601" xr:uid="{00000000-0005-0000-0000-0000E2320000}"/>
    <cellStyle name="Normal 5 3 18 2" xfId="11602" xr:uid="{00000000-0005-0000-0000-0000E3320000}"/>
    <cellStyle name="Normal 5 3 19" xfId="11603" xr:uid="{00000000-0005-0000-0000-0000E4320000}"/>
    <cellStyle name="Normal 5 3 19 2" xfId="11604" xr:uid="{00000000-0005-0000-0000-0000E5320000}"/>
    <cellStyle name="Normal 5 3 2" xfId="352" xr:uid="{00000000-0005-0000-0000-0000E6320000}"/>
    <cellStyle name="Normal 5 3 2 10" xfId="11606" xr:uid="{00000000-0005-0000-0000-0000E7320000}"/>
    <cellStyle name="Normal 5 3 2 10 2" xfId="11607" xr:uid="{00000000-0005-0000-0000-0000E8320000}"/>
    <cellStyle name="Normal 5 3 2 11" xfId="11608" xr:uid="{00000000-0005-0000-0000-0000E9320000}"/>
    <cellStyle name="Normal 5 3 2 11 2" xfId="11609" xr:uid="{00000000-0005-0000-0000-0000EA320000}"/>
    <cellStyle name="Normal 5 3 2 12" xfId="11610" xr:uid="{00000000-0005-0000-0000-0000EB320000}"/>
    <cellStyle name="Normal 5 3 2 12 2" xfId="11611" xr:uid="{00000000-0005-0000-0000-0000EC320000}"/>
    <cellStyle name="Normal 5 3 2 13" xfId="11612" xr:uid="{00000000-0005-0000-0000-0000ED320000}"/>
    <cellStyle name="Normal 5 3 2 13 2" xfId="11613" xr:uid="{00000000-0005-0000-0000-0000EE320000}"/>
    <cellStyle name="Normal 5 3 2 14" xfId="11614" xr:uid="{00000000-0005-0000-0000-0000EF320000}"/>
    <cellStyle name="Normal 5 3 2 14 2" xfId="11615" xr:uid="{00000000-0005-0000-0000-0000F0320000}"/>
    <cellStyle name="Normal 5 3 2 15" xfId="11616" xr:uid="{00000000-0005-0000-0000-0000F1320000}"/>
    <cellStyle name="Normal 5 3 2 15 2" xfId="11617" xr:uid="{00000000-0005-0000-0000-0000F2320000}"/>
    <cellStyle name="Normal 5 3 2 16" xfId="11618" xr:uid="{00000000-0005-0000-0000-0000F3320000}"/>
    <cellStyle name="Normal 5 3 2 16 2" xfId="11619" xr:uid="{00000000-0005-0000-0000-0000F4320000}"/>
    <cellStyle name="Normal 5 3 2 17" xfId="11620" xr:uid="{00000000-0005-0000-0000-0000F5320000}"/>
    <cellStyle name="Normal 5 3 2 17 2" xfId="11621" xr:uid="{00000000-0005-0000-0000-0000F6320000}"/>
    <cellStyle name="Normal 5 3 2 18" xfId="11622" xr:uid="{00000000-0005-0000-0000-0000F7320000}"/>
    <cellStyle name="Normal 5 3 2 18 2" xfId="11623" xr:uid="{00000000-0005-0000-0000-0000F8320000}"/>
    <cellStyle name="Normal 5 3 2 19" xfId="11624" xr:uid="{00000000-0005-0000-0000-0000F9320000}"/>
    <cellStyle name="Normal 5 3 2 19 2" xfId="11625" xr:uid="{00000000-0005-0000-0000-0000FA320000}"/>
    <cellStyle name="Normal 5 3 2 2" xfId="353" xr:uid="{00000000-0005-0000-0000-0000FB320000}"/>
    <cellStyle name="Normal 5 3 2 2 10" xfId="11626" xr:uid="{00000000-0005-0000-0000-0000FC320000}"/>
    <cellStyle name="Normal 5 3 2 2 10 2" xfId="11627" xr:uid="{00000000-0005-0000-0000-0000FD320000}"/>
    <cellStyle name="Normal 5 3 2 2 11" xfId="11628" xr:uid="{00000000-0005-0000-0000-0000FE320000}"/>
    <cellStyle name="Normal 5 3 2 2 11 2" xfId="11629" xr:uid="{00000000-0005-0000-0000-0000FF320000}"/>
    <cellStyle name="Normal 5 3 2 2 12" xfId="11630" xr:uid="{00000000-0005-0000-0000-000000330000}"/>
    <cellStyle name="Normal 5 3 2 2 12 2" xfId="11631" xr:uid="{00000000-0005-0000-0000-000001330000}"/>
    <cellStyle name="Normal 5 3 2 2 13" xfId="11632" xr:uid="{00000000-0005-0000-0000-000002330000}"/>
    <cellStyle name="Normal 5 3 2 2 13 2" xfId="11633" xr:uid="{00000000-0005-0000-0000-000003330000}"/>
    <cellStyle name="Normal 5 3 2 2 14" xfId="11634" xr:uid="{00000000-0005-0000-0000-000004330000}"/>
    <cellStyle name="Normal 5 3 2 2 14 2" xfId="11635" xr:uid="{00000000-0005-0000-0000-000005330000}"/>
    <cellStyle name="Normal 5 3 2 2 15" xfId="11636" xr:uid="{00000000-0005-0000-0000-000006330000}"/>
    <cellStyle name="Normal 5 3 2 2 15 2" xfId="11637" xr:uid="{00000000-0005-0000-0000-000007330000}"/>
    <cellStyle name="Normal 5 3 2 2 16" xfId="11638" xr:uid="{00000000-0005-0000-0000-000008330000}"/>
    <cellStyle name="Normal 5 3 2 2 16 2" xfId="11639" xr:uid="{00000000-0005-0000-0000-000009330000}"/>
    <cellStyle name="Normal 5 3 2 2 17" xfId="11640" xr:uid="{00000000-0005-0000-0000-00000A330000}"/>
    <cellStyle name="Normal 5 3 2 2 17 2" xfId="11641" xr:uid="{00000000-0005-0000-0000-00000B330000}"/>
    <cellStyle name="Normal 5 3 2 2 18" xfId="11642" xr:uid="{00000000-0005-0000-0000-00000C330000}"/>
    <cellStyle name="Normal 5 3 2 2 18 2" xfId="11643" xr:uid="{00000000-0005-0000-0000-00000D330000}"/>
    <cellStyle name="Normal 5 3 2 2 19" xfId="11644" xr:uid="{00000000-0005-0000-0000-00000E330000}"/>
    <cellStyle name="Normal 5 3 2 2 19 2" xfId="11645" xr:uid="{00000000-0005-0000-0000-00000F330000}"/>
    <cellStyle name="Normal 5 3 2 2 2" xfId="11646" xr:uid="{00000000-0005-0000-0000-000010330000}"/>
    <cellStyle name="Normal 5 3 2 2 2 2" xfId="11647" xr:uid="{00000000-0005-0000-0000-000011330000}"/>
    <cellStyle name="Normal 5 3 2 2 2 3" xfId="11648" xr:uid="{00000000-0005-0000-0000-000012330000}"/>
    <cellStyle name="Normal 5 3 2 2 20" xfId="11649" xr:uid="{00000000-0005-0000-0000-000013330000}"/>
    <cellStyle name="Normal 5 3 2 2 20 2" xfId="11650" xr:uid="{00000000-0005-0000-0000-000014330000}"/>
    <cellStyle name="Normal 5 3 2 2 21" xfId="11651" xr:uid="{00000000-0005-0000-0000-000015330000}"/>
    <cellStyle name="Normal 5 3 2 2 21 2" xfId="11652" xr:uid="{00000000-0005-0000-0000-000016330000}"/>
    <cellStyle name="Normal 5 3 2 2 22" xfId="11653" xr:uid="{00000000-0005-0000-0000-000017330000}"/>
    <cellStyle name="Normal 5 3 2 2 22 2" xfId="11654" xr:uid="{00000000-0005-0000-0000-000018330000}"/>
    <cellStyle name="Normal 5 3 2 2 23" xfId="11655" xr:uid="{00000000-0005-0000-0000-000019330000}"/>
    <cellStyle name="Normal 5 3 2 2 23 2" xfId="11656" xr:uid="{00000000-0005-0000-0000-00001A330000}"/>
    <cellStyle name="Normal 5 3 2 2 24" xfId="11657" xr:uid="{00000000-0005-0000-0000-00001B330000}"/>
    <cellStyle name="Normal 5 3 2 2 24 2" xfId="11658" xr:uid="{00000000-0005-0000-0000-00001C330000}"/>
    <cellStyle name="Normal 5 3 2 2 25" xfId="11659" xr:uid="{00000000-0005-0000-0000-00001D330000}"/>
    <cellStyle name="Normal 5 3 2 2 25 2" xfId="11660" xr:uid="{00000000-0005-0000-0000-00001E330000}"/>
    <cellStyle name="Normal 5 3 2 2 26" xfId="11661" xr:uid="{00000000-0005-0000-0000-00001F330000}"/>
    <cellStyle name="Normal 5 3 2 2 26 2" xfId="11662" xr:uid="{00000000-0005-0000-0000-000020330000}"/>
    <cellStyle name="Normal 5 3 2 2 27" xfId="11663" xr:uid="{00000000-0005-0000-0000-000021330000}"/>
    <cellStyle name="Normal 5 3 2 2 27 2" xfId="11664" xr:uid="{00000000-0005-0000-0000-000022330000}"/>
    <cellStyle name="Normal 5 3 2 2 28" xfId="11665" xr:uid="{00000000-0005-0000-0000-000023330000}"/>
    <cellStyle name="Normal 5 3 2 2 28 2" xfId="11666" xr:uid="{00000000-0005-0000-0000-000024330000}"/>
    <cellStyle name="Normal 5 3 2 2 29" xfId="11667" xr:uid="{00000000-0005-0000-0000-000025330000}"/>
    <cellStyle name="Normal 5 3 2 2 29 2" xfId="11668" xr:uid="{00000000-0005-0000-0000-000026330000}"/>
    <cellStyle name="Normal 5 3 2 2 3" xfId="11669" xr:uid="{00000000-0005-0000-0000-000027330000}"/>
    <cellStyle name="Normal 5 3 2 2 3 2" xfId="11670" xr:uid="{00000000-0005-0000-0000-000028330000}"/>
    <cellStyle name="Normal 5 3 2 2 30" xfId="11671" xr:uid="{00000000-0005-0000-0000-000029330000}"/>
    <cellStyle name="Normal 5 3 2 2 30 2" xfId="11672" xr:uid="{00000000-0005-0000-0000-00002A330000}"/>
    <cellStyle name="Normal 5 3 2 2 31" xfId="11673" xr:uid="{00000000-0005-0000-0000-00002B330000}"/>
    <cellStyle name="Normal 5 3 2 2 31 2" xfId="11674" xr:uid="{00000000-0005-0000-0000-00002C330000}"/>
    <cellStyle name="Normal 5 3 2 2 32" xfId="11675" xr:uid="{00000000-0005-0000-0000-00002D330000}"/>
    <cellStyle name="Normal 5 3 2 2 32 2" xfId="11676" xr:uid="{00000000-0005-0000-0000-00002E330000}"/>
    <cellStyle name="Normal 5 3 2 2 33" xfId="11677" xr:uid="{00000000-0005-0000-0000-00002F330000}"/>
    <cellStyle name="Normal 5 3 2 2 33 2" xfId="11678" xr:uid="{00000000-0005-0000-0000-000030330000}"/>
    <cellStyle name="Normal 5 3 2 2 34" xfId="11679" xr:uid="{00000000-0005-0000-0000-000031330000}"/>
    <cellStyle name="Normal 5 3 2 2 34 2" xfId="11680" xr:uid="{00000000-0005-0000-0000-000032330000}"/>
    <cellStyle name="Normal 5 3 2 2 35" xfId="11681" xr:uid="{00000000-0005-0000-0000-000033330000}"/>
    <cellStyle name="Normal 5 3 2 2 4" xfId="11682" xr:uid="{00000000-0005-0000-0000-000034330000}"/>
    <cellStyle name="Normal 5 3 2 2 4 2" xfId="11683" xr:uid="{00000000-0005-0000-0000-000035330000}"/>
    <cellStyle name="Normal 5 3 2 2 5" xfId="11684" xr:uid="{00000000-0005-0000-0000-000036330000}"/>
    <cellStyle name="Normal 5 3 2 2 5 2" xfId="11685" xr:uid="{00000000-0005-0000-0000-000037330000}"/>
    <cellStyle name="Normal 5 3 2 2 6" xfId="11686" xr:uid="{00000000-0005-0000-0000-000038330000}"/>
    <cellStyle name="Normal 5 3 2 2 6 2" xfId="11687" xr:uid="{00000000-0005-0000-0000-000039330000}"/>
    <cellStyle name="Normal 5 3 2 2 7" xfId="11688" xr:uid="{00000000-0005-0000-0000-00003A330000}"/>
    <cellStyle name="Normal 5 3 2 2 7 2" xfId="11689" xr:uid="{00000000-0005-0000-0000-00003B330000}"/>
    <cellStyle name="Normal 5 3 2 2 8" xfId="11690" xr:uid="{00000000-0005-0000-0000-00003C330000}"/>
    <cellStyle name="Normal 5 3 2 2 8 2" xfId="11691" xr:uid="{00000000-0005-0000-0000-00003D330000}"/>
    <cellStyle name="Normal 5 3 2 2 9" xfId="11692" xr:uid="{00000000-0005-0000-0000-00003E330000}"/>
    <cellStyle name="Normal 5 3 2 2 9 2" xfId="11693" xr:uid="{00000000-0005-0000-0000-00003F330000}"/>
    <cellStyle name="Normal 5 3 2 20" xfId="11694" xr:uid="{00000000-0005-0000-0000-000040330000}"/>
    <cellStyle name="Normal 5 3 2 20 2" xfId="11695" xr:uid="{00000000-0005-0000-0000-000041330000}"/>
    <cellStyle name="Normal 5 3 2 21" xfId="11696" xr:uid="{00000000-0005-0000-0000-000042330000}"/>
    <cellStyle name="Normal 5 3 2 21 2" xfId="11697" xr:uid="{00000000-0005-0000-0000-000043330000}"/>
    <cellStyle name="Normal 5 3 2 22" xfId="11698" xr:uid="{00000000-0005-0000-0000-000044330000}"/>
    <cellStyle name="Normal 5 3 2 22 2" xfId="11699" xr:uid="{00000000-0005-0000-0000-000045330000}"/>
    <cellStyle name="Normal 5 3 2 23" xfId="11700" xr:uid="{00000000-0005-0000-0000-000046330000}"/>
    <cellStyle name="Normal 5 3 2 23 2" xfId="11701" xr:uid="{00000000-0005-0000-0000-000047330000}"/>
    <cellStyle name="Normal 5 3 2 24" xfId="11702" xr:uid="{00000000-0005-0000-0000-000048330000}"/>
    <cellStyle name="Normal 5 3 2 24 2" xfId="11703" xr:uid="{00000000-0005-0000-0000-000049330000}"/>
    <cellStyle name="Normal 5 3 2 25" xfId="11704" xr:uid="{00000000-0005-0000-0000-00004A330000}"/>
    <cellStyle name="Normal 5 3 2 25 2" xfId="11705" xr:uid="{00000000-0005-0000-0000-00004B330000}"/>
    <cellStyle name="Normal 5 3 2 26" xfId="11706" xr:uid="{00000000-0005-0000-0000-00004C330000}"/>
    <cellStyle name="Normal 5 3 2 26 2" xfId="11707" xr:uid="{00000000-0005-0000-0000-00004D330000}"/>
    <cellStyle name="Normal 5 3 2 27" xfId="11708" xr:uid="{00000000-0005-0000-0000-00004E330000}"/>
    <cellStyle name="Normal 5 3 2 27 2" xfId="11709" xr:uid="{00000000-0005-0000-0000-00004F330000}"/>
    <cellStyle name="Normal 5 3 2 28" xfId="11710" xr:uid="{00000000-0005-0000-0000-000050330000}"/>
    <cellStyle name="Normal 5 3 2 28 2" xfId="11711" xr:uid="{00000000-0005-0000-0000-000051330000}"/>
    <cellStyle name="Normal 5 3 2 29" xfId="11712" xr:uid="{00000000-0005-0000-0000-000052330000}"/>
    <cellStyle name="Normal 5 3 2 29 2" xfId="11713" xr:uid="{00000000-0005-0000-0000-000053330000}"/>
    <cellStyle name="Normal 5 3 2 3" xfId="11714" xr:uid="{00000000-0005-0000-0000-000054330000}"/>
    <cellStyle name="Normal 5 3 2 3 10" xfId="11715" xr:uid="{00000000-0005-0000-0000-000055330000}"/>
    <cellStyle name="Normal 5 3 2 3 10 2" xfId="11716" xr:uid="{00000000-0005-0000-0000-000056330000}"/>
    <cellStyle name="Normal 5 3 2 3 11" xfId="11717" xr:uid="{00000000-0005-0000-0000-000057330000}"/>
    <cellStyle name="Normal 5 3 2 3 11 2" xfId="11718" xr:uid="{00000000-0005-0000-0000-000058330000}"/>
    <cellStyle name="Normal 5 3 2 3 12" xfId="11719" xr:uid="{00000000-0005-0000-0000-000059330000}"/>
    <cellStyle name="Normal 5 3 2 3 12 2" xfId="11720" xr:uid="{00000000-0005-0000-0000-00005A330000}"/>
    <cellStyle name="Normal 5 3 2 3 13" xfId="11721" xr:uid="{00000000-0005-0000-0000-00005B330000}"/>
    <cellStyle name="Normal 5 3 2 3 13 2" xfId="11722" xr:uid="{00000000-0005-0000-0000-00005C330000}"/>
    <cellStyle name="Normal 5 3 2 3 14" xfId="11723" xr:uid="{00000000-0005-0000-0000-00005D330000}"/>
    <cellStyle name="Normal 5 3 2 3 14 2" xfId="11724" xr:uid="{00000000-0005-0000-0000-00005E330000}"/>
    <cellStyle name="Normal 5 3 2 3 15" xfId="11725" xr:uid="{00000000-0005-0000-0000-00005F330000}"/>
    <cellStyle name="Normal 5 3 2 3 15 2" xfId="11726" xr:uid="{00000000-0005-0000-0000-000060330000}"/>
    <cellStyle name="Normal 5 3 2 3 16" xfId="11727" xr:uid="{00000000-0005-0000-0000-000061330000}"/>
    <cellStyle name="Normal 5 3 2 3 16 2" xfId="11728" xr:uid="{00000000-0005-0000-0000-000062330000}"/>
    <cellStyle name="Normal 5 3 2 3 17" xfId="11729" xr:uid="{00000000-0005-0000-0000-000063330000}"/>
    <cellStyle name="Normal 5 3 2 3 17 2" xfId="11730" xr:uid="{00000000-0005-0000-0000-000064330000}"/>
    <cellStyle name="Normal 5 3 2 3 18" xfId="11731" xr:uid="{00000000-0005-0000-0000-000065330000}"/>
    <cellStyle name="Normal 5 3 2 3 18 2" xfId="11732" xr:uid="{00000000-0005-0000-0000-000066330000}"/>
    <cellStyle name="Normal 5 3 2 3 19" xfId="11733" xr:uid="{00000000-0005-0000-0000-000067330000}"/>
    <cellStyle name="Normal 5 3 2 3 19 2" xfId="11734" xr:uid="{00000000-0005-0000-0000-000068330000}"/>
    <cellStyle name="Normal 5 3 2 3 2" xfId="11735" xr:uid="{00000000-0005-0000-0000-000069330000}"/>
    <cellStyle name="Normal 5 3 2 3 2 2" xfId="11736" xr:uid="{00000000-0005-0000-0000-00006A330000}"/>
    <cellStyle name="Normal 5 3 2 3 20" xfId="11737" xr:uid="{00000000-0005-0000-0000-00006B330000}"/>
    <cellStyle name="Normal 5 3 2 3 20 2" xfId="11738" xr:uid="{00000000-0005-0000-0000-00006C330000}"/>
    <cellStyle name="Normal 5 3 2 3 21" xfId="11739" xr:uid="{00000000-0005-0000-0000-00006D330000}"/>
    <cellStyle name="Normal 5 3 2 3 21 2" xfId="11740" xr:uid="{00000000-0005-0000-0000-00006E330000}"/>
    <cellStyle name="Normal 5 3 2 3 22" xfId="11741" xr:uid="{00000000-0005-0000-0000-00006F330000}"/>
    <cellStyle name="Normal 5 3 2 3 22 2" xfId="11742" xr:uid="{00000000-0005-0000-0000-000070330000}"/>
    <cellStyle name="Normal 5 3 2 3 23" xfId="11743" xr:uid="{00000000-0005-0000-0000-000071330000}"/>
    <cellStyle name="Normal 5 3 2 3 23 2" xfId="11744" xr:uid="{00000000-0005-0000-0000-000072330000}"/>
    <cellStyle name="Normal 5 3 2 3 24" xfId="11745" xr:uid="{00000000-0005-0000-0000-000073330000}"/>
    <cellStyle name="Normal 5 3 2 3 24 2" xfId="11746" xr:uid="{00000000-0005-0000-0000-000074330000}"/>
    <cellStyle name="Normal 5 3 2 3 25" xfId="11747" xr:uid="{00000000-0005-0000-0000-000075330000}"/>
    <cellStyle name="Normal 5 3 2 3 25 2" xfId="11748" xr:uid="{00000000-0005-0000-0000-000076330000}"/>
    <cellStyle name="Normal 5 3 2 3 26" xfId="11749" xr:uid="{00000000-0005-0000-0000-000077330000}"/>
    <cellStyle name="Normal 5 3 2 3 26 2" xfId="11750" xr:uid="{00000000-0005-0000-0000-000078330000}"/>
    <cellStyle name="Normal 5 3 2 3 27" xfId="11751" xr:uid="{00000000-0005-0000-0000-000079330000}"/>
    <cellStyle name="Normal 5 3 2 3 27 2" xfId="11752" xr:uid="{00000000-0005-0000-0000-00007A330000}"/>
    <cellStyle name="Normal 5 3 2 3 28" xfId="11753" xr:uid="{00000000-0005-0000-0000-00007B330000}"/>
    <cellStyle name="Normal 5 3 2 3 28 2" xfId="11754" xr:uid="{00000000-0005-0000-0000-00007C330000}"/>
    <cellStyle name="Normal 5 3 2 3 29" xfId="11755" xr:uid="{00000000-0005-0000-0000-00007D330000}"/>
    <cellStyle name="Normal 5 3 2 3 29 2" xfId="11756" xr:uid="{00000000-0005-0000-0000-00007E330000}"/>
    <cellStyle name="Normal 5 3 2 3 3" xfId="11757" xr:uid="{00000000-0005-0000-0000-00007F330000}"/>
    <cellStyle name="Normal 5 3 2 3 3 2" xfId="11758" xr:uid="{00000000-0005-0000-0000-000080330000}"/>
    <cellStyle name="Normal 5 3 2 3 30" xfId="11759" xr:uid="{00000000-0005-0000-0000-000081330000}"/>
    <cellStyle name="Normal 5 3 2 3 30 2" xfId="11760" xr:uid="{00000000-0005-0000-0000-000082330000}"/>
    <cellStyle name="Normal 5 3 2 3 31" xfId="11761" xr:uid="{00000000-0005-0000-0000-000083330000}"/>
    <cellStyle name="Normal 5 3 2 3 31 2" xfId="11762" xr:uid="{00000000-0005-0000-0000-000084330000}"/>
    <cellStyle name="Normal 5 3 2 3 32" xfId="11763" xr:uid="{00000000-0005-0000-0000-000085330000}"/>
    <cellStyle name="Normal 5 3 2 3 32 2" xfId="11764" xr:uid="{00000000-0005-0000-0000-000086330000}"/>
    <cellStyle name="Normal 5 3 2 3 33" xfId="11765" xr:uid="{00000000-0005-0000-0000-000087330000}"/>
    <cellStyle name="Normal 5 3 2 3 33 2" xfId="11766" xr:uid="{00000000-0005-0000-0000-000088330000}"/>
    <cellStyle name="Normal 5 3 2 3 34" xfId="11767" xr:uid="{00000000-0005-0000-0000-000089330000}"/>
    <cellStyle name="Normal 5 3 2 3 34 2" xfId="11768" xr:uid="{00000000-0005-0000-0000-00008A330000}"/>
    <cellStyle name="Normal 5 3 2 3 35" xfId="11769" xr:uid="{00000000-0005-0000-0000-00008B330000}"/>
    <cellStyle name="Normal 5 3 2 3 4" xfId="11770" xr:uid="{00000000-0005-0000-0000-00008C330000}"/>
    <cellStyle name="Normal 5 3 2 3 4 2" xfId="11771" xr:uid="{00000000-0005-0000-0000-00008D330000}"/>
    <cellStyle name="Normal 5 3 2 3 5" xfId="11772" xr:uid="{00000000-0005-0000-0000-00008E330000}"/>
    <cellStyle name="Normal 5 3 2 3 5 2" xfId="11773" xr:uid="{00000000-0005-0000-0000-00008F330000}"/>
    <cellStyle name="Normal 5 3 2 3 6" xfId="11774" xr:uid="{00000000-0005-0000-0000-000090330000}"/>
    <cellStyle name="Normal 5 3 2 3 6 2" xfId="11775" xr:uid="{00000000-0005-0000-0000-000091330000}"/>
    <cellStyle name="Normal 5 3 2 3 7" xfId="11776" xr:uid="{00000000-0005-0000-0000-000092330000}"/>
    <cellStyle name="Normal 5 3 2 3 7 2" xfId="11777" xr:uid="{00000000-0005-0000-0000-000093330000}"/>
    <cellStyle name="Normal 5 3 2 3 8" xfId="11778" xr:uid="{00000000-0005-0000-0000-000094330000}"/>
    <cellStyle name="Normal 5 3 2 3 8 2" xfId="11779" xr:uid="{00000000-0005-0000-0000-000095330000}"/>
    <cellStyle name="Normal 5 3 2 3 9" xfId="11780" xr:uid="{00000000-0005-0000-0000-000096330000}"/>
    <cellStyle name="Normal 5 3 2 3 9 2" xfId="11781" xr:uid="{00000000-0005-0000-0000-000097330000}"/>
    <cellStyle name="Normal 5 3 2 30" xfId="11782" xr:uid="{00000000-0005-0000-0000-000098330000}"/>
    <cellStyle name="Normal 5 3 2 30 2" xfId="11783" xr:uid="{00000000-0005-0000-0000-000099330000}"/>
    <cellStyle name="Normal 5 3 2 31" xfId="11784" xr:uid="{00000000-0005-0000-0000-00009A330000}"/>
    <cellStyle name="Normal 5 3 2 31 2" xfId="11785" xr:uid="{00000000-0005-0000-0000-00009B330000}"/>
    <cellStyle name="Normal 5 3 2 32" xfId="11786" xr:uid="{00000000-0005-0000-0000-00009C330000}"/>
    <cellStyle name="Normal 5 3 2 32 2" xfId="11787" xr:uid="{00000000-0005-0000-0000-00009D330000}"/>
    <cellStyle name="Normal 5 3 2 33" xfId="11788" xr:uid="{00000000-0005-0000-0000-00009E330000}"/>
    <cellStyle name="Normal 5 3 2 33 2" xfId="11789" xr:uid="{00000000-0005-0000-0000-00009F330000}"/>
    <cellStyle name="Normal 5 3 2 34" xfId="11790" xr:uid="{00000000-0005-0000-0000-0000A0330000}"/>
    <cellStyle name="Normal 5 3 2 34 2" xfId="11791" xr:uid="{00000000-0005-0000-0000-0000A1330000}"/>
    <cellStyle name="Normal 5 3 2 35" xfId="11792" xr:uid="{00000000-0005-0000-0000-0000A2330000}"/>
    <cellStyle name="Normal 5 3 2 35 2" xfId="11793" xr:uid="{00000000-0005-0000-0000-0000A3330000}"/>
    <cellStyle name="Normal 5 3 2 36" xfId="11794" xr:uid="{00000000-0005-0000-0000-0000A4330000}"/>
    <cellStyle name="Normal 5 3 2 36 2" xfId="11795" xr:uid="{00000000-0005-0000-0000-0000A5330000}"/>
    <cellStyle name="Normal 5 3 2 37" xfId="11796" xr:uid="{00000000-0005-0000-0000-0000A6330000}"/>
    <cellStyle name="Normal 5 3 2 37 2" xfId="11797" xr:uid="{00000000-0005-0000-0000-0000A7330000}"/>
    <cellStyle name="Normal 5 3 2 38" xfId="11798" xr:uid="{00000000-0005-0000-0000-0000A8330000}"/>
    <cellStyle name="Normal 5 3 2 38 2" xfId="11799" xr:uid="{00000000-0005-0000-0000-0000A9330000}"/>
    <cellStyle name="Normal 5 3 2 39" xfId="11800" xr:uid="{00000000-0005-0000-0000-0000AA330000}"/>
    <cellStyle name="Normal 5 3 2 39 2" xfId="11801" xr:uid="{00000000-0005-0000-0000-0000AB330000}"/>
    <cellStyle name="Normal 5 3 2 4" xfId="11802" xr:uid="{00000000-0005-0000-0000-0000AC330000}"/>
    <cellStyle name="Normal 5 3 2 4 2" xfId="11803" xr:uid="{00000000-0005-0000-0000-0000AD330000}"/>
    <cellStyle name="Normal 5 3 2 4 2 2" xfId="11804" xr:uid="{00000000-0005-0000-0000-0000AE330000}"/>
    <cellStyle name="Normal 5 3 2 4 3" xfId="11805" xr:uid="{00000000-0005-0000-0000-0000AF330000}"/>
    <cellStyle name="Normal 5 3 2 4 3 2" xfId="11806" xr:uid="{00000000-0005-0000-0000-0000B0330000}"/>
    <cellStyle name="Normal 5 3 2 4 4" xfId="11807" xr:uid="{00000000-0005-0000-0000-0000B1330000}"/>
    <cellStyle name="Normal 5 3 2 4 4 2" xfId="11808" xr:uid="{00000000-0005-0000-0000-0000B2330000}"/>
    <cellStyle name="Normal 5 3 2 4 5" xfId="11809" xr:uid="{00000000-0005-0000-0000-0000B3330000}"/>
    <cellStyle name="Normal 5 3 2 4 5 2" xfId="11810" xr:uid="{00000000-0005-0000-0000-0000B4330000}"/>
    <cellStyle name="Normal 5 3 2 4 6" xfId="11811" xr:uid="{00000000-0005-0000-0000-0000B5330000}"/>
    <cellStyle name="Normal 5 3 2 40" xfId="11812" xr:uid="{00000000-0005-0000-0000-0000B6330000}"/>
    <cellStyle name="Normal 5 3 2 40 2" xfId="11813" xr:uid="{00000000-0005-0000-0000-0000B7330000}"/>
    <cellStyle name="Normal 5 3 2 41" xfId="11814" xr:uid="{00000000-0005-0000-0000-0000B8330000}"/>
    <cellStyle name="Normal 5 3 2 41 2" xfId="11815" xr:uid="{00000000-0005-0000-0000-0000B9330000}"/>
    <cellStyle name="Normal 5 3 2 42" xfId="11816" xr:uid="{00000000-0005-0000-0000-0000BA330000}"/>
    <cellStyle name="Normal 5 3 2 42 2" xfId="11817" xr:uid="{00000000-0005-0000-0000-0000BB330000}"/>
    <cellStyle name="Normal 5 3 2 43" xfId="11818" xr:uid="{00000000-0005-0000-0000-0000BC330000}"/>
    <cellStyle name="Normal 5 3 2 43 2" xfId="11819" xr:uid="{00000000-0005-0000-0000-0000BD330000}"/>
    <cellStyle name="Normal 5 3 2 44" xfId="11820" xr:uid="{00000000-0005-0000-0000-0000BE330000}"/>
    <cellStyle name="Normal 5 3 2 44 2" xfId="11821" xr:uid="{00000000-0005-0000-0000-0000BF330000}"/>
    <cellStyle name="Normal 5 3 2 45" xfId="11822" xr:uid="{00000000-0005-0000-0000-0000C0330000}"/>
    <cellStyle name="Normal 5 3 2 45 2" xfId="11823" xr:uid="{00000000-0005-0000-0000-0000C1330000}"/>
    <cellStyle name="Normal 5 3 2 46" xfId="11824" xr:uid="{00000000-0005-0000-0000-0000C2330000}"/>
    <cellStyle name="Normal 5 3 2 46 2" xfId="11825" xr:uid="{00000000-0005-0000-0000-0000C3330000}"/>
    <cellStyle name="Normal 5 3 2 47" xfId="11826" xr:uid="{00000000-0005-0000-0000-0000C4330000}"/>
    <cellStyle name="Normal 5 3 2 48" xfId="11605" xr:uid="{00000000-0005-0000-0000-0000C5330000}"/>
    <cellStyle name="Normal 5 3 2 5" xfId="11827" xr:uid="{00000000-0005-0000-0000-0000C6330000}"/>
    <cellStyle name="Normal 5 3 2 5 2" xfId="11828" xr:uid="{00000000-0005-0000-0000-0000C7330000}"/>
    <cellStyle name="Normal 5 3 2 6" xfId="11829" xr:uid="{00000000-0005-0000-0000-0000C8330000}"/>
    <cellStyle name="Normal 5 3 2 6 2" xfId="11830" xr:uid="{00000000-0005-0000-0000-0000C9330000}"/>
    <cellStyle name="Normal 5 3 2 7" xfId="11831" xr:uid="{00000000-0005-0000-0000-0000CA330000}"/>
    <cellStyle name="Normal 5 3 2 7 2" xfId="11832" xr:uid="{00000000-0005-0000-0000-0000CB330000}"/>
    <cellStyle name="Normal 5 3 2 8" xfId="11833" xr:uid="{00000000-0005-0000-0000-0000CC330000}"/>
    <cellStyle name="Normal 5 3 2 8 2" xfId="11834" xr:uid="{00000000-0005-0000-0000-0000CD330000}"/>
    <cellStyle name="Normal 5 3 2 9" xfId="11835" xr:uid="{00000000-0005-0000-0000-0000CE330000}"/>
    <cellStyle name="Normal 5 3 2 9 2" xfId="11836" xr:uid="{00000000-0005-0000-0000-0000CF330000}"/>
    <cellStyle name="Normal 5 3 20" xfId="11837" xr:uid="{00000000-0005-0000-0000-0000D0330000}"/>
    <cellStyle name="Normal 5 3 20 2" xfId="11838" xr:uid="{00000000-0005-0000-0000-0000D1330000}"/>
    <cellStyle name="Normal 5 3 21" xfId="11839" xr:uid="{00000000-0005-0000-0000-0000D2330000}"/>
    <cellStyle name="Normal 5 3 21 2" xfId="11840" xr:uid="{00000000-0005-0000-0000-0000D3330000}"/>
    <cellStyle name="Normal 5 3 22" xfId="11841" xr:uid="{00000000-0005-0000-0000-0000D4330000}"/>
    <cellStyle name="Normal 5 3 22 2" xfId="11842" xr:uid="{00000000-0005-0000-0000-0000D5330000}"/>
    <cellStyle name="Normal 5 3 23" xfId="11843" xr:uid="{00000000-0005-0000-0000-0000D6330000}"/>
    <cellStyle name="Normal 5 3 23 2" xfId="11844" xr:uid="{00000000-0005-0000-0000-0000D7330000}"/>
    <cellStyle name="Normal 5 3 24" xfId="11845" xr:uid="{00000000-0005-0000-0000-0000D8330000}"/>
    <cellStyle name="Normal 5 3 24 2" xfId="11846" xr:uid="{00000000-0005-0000-0000-0000D9330000}"/>
    <cellStyle name="Normal 5 3 25" xfId="11847" xr:uid="{00000000-0005-0000-0000-0000DA330000}"/>
    <cellStyle name="Normal 5 3 25 2" xfId="11848" xr:uid="{00000000-0005-0000-0000-0000DB330000}"/>
    <cellStyle name="Normal 5 3 26" xfId="11849" xr:uid="{00000000-0005-0000-0000-0000DC330000}"/>
    <cellStyle name="Normal 5 3 26 2" xfId="11850" xr:uid="{00000000-0005-0000-0000-0000DD330000}"/>
    <cellStyle name="Normal 5 3 27" xfId="11851" xr:uid="{00000000-0005-0000-0000-0000DE330000}"/>
    <cellStyle name="Normal 5 3 27 2" xfId="11852" xr:uid="{00000000-0005-0000-0000-0000DF330000}"/>
    <cellStyle name="Normal 5 3 28" xfId="11853" xr:uid="{00000000-0005-0000-0000-0000E0330000}"/>
    <cellStyle name="Normal 5 3 28 2" xfId="11854" xr:uid="{00000000-0005-0000-0000-0000E1330000}"/>
    <cellStyle name="Normal 5 3 29" xfId="11855" xr:uid="{00000000-0005-0000-0000-0000E2330000}"/>
    <cellStyle name="Normal 5 3 29 2" xfId="11856" xr:uid="{00000000-0005-0000-0000-0000E3330000}"/>
    <cellStyle name="Normal 5 3 3" xfId="354" xr:uid="{00000000-0005-0000-0000-0000E4330000}"/>
    <cellStyle name="Normal 5 3 3 10" xfId="11857" xr:uid="{00000000-0005-0000-0000-0000E5330000}"/>
    <cellStyle name="Normal 5 3 3 10 2" xfId="11858" xr:uid="{00000000-0005-0000-0000-0000E6330000}"/>
    <cellStyle name="Normal 5 3 3 11" xfId="11859" xr:uid="{00000000-0005-0000-0000-0000E7330000}"/>
    <cellStyle name="Normal 5 3 3 11 2" xfId="11860" xr:uid="{00000000-0005-0000-0000-0000E8330000}"/>
    <cellStyle name="Normal 5 3 3 12" xfId="11861" xr:uid="{00000000-0005-0000-0000-0000E9330000}"/>
    <cellStyle name="Normal 5 3 3 12 2" xfId="11862" xr:uid="{00000000-0005-0000-0000-0000EA330000}"/>
    <cellStyle name="Normal 5 3 3 13" xfId="11863" xr:uid="{00000000-0005-0000-0000-0000EB330000}"/>
    <cellStyle name="Normal 5 3 3 13 2" xfId="11864" xr:uid="{00000000-0005-0000-0000-0000EC330000}"/>
    <cellStyle name="Normal 5 3 3 14" xfId="11865" xr:uid="{00000000-0005-0000-0000-0000ED330000}"/>
    <cellStyle name="Normal 5 3 3 14 2" xfId="11866" xr:uid="{00000000-0005-0000-0000-0000EE330000}"/>
    <cellStyle name="Normal 5 3 3 15" xfId="11867" xr:uid="{00000000-0005-0000-0000-0000EF330000}"/>
    <cellStyle name="Normal 5 3 3 15 2" xfId="11868" xr:uid="{00000000-0005-0000-0000-0000F0330000}"/>
    <cellStyle name="Normal 5 3 3 16" xfId="11869" xr:uid="{00000000-0005-0000-0000-0000F1330000}"/>
    <cellStyle name="Normal 5 3 3 16 2" xfId="11870" xr:uid="{00000000-0005-0000-0000-0000F2330000}"/>
    <cellStyle name="Normal 5 3 3 17" xfId="11871" xr:uid="{00000000-0005-0000-0000-0000F3330000}"/>
    <cellStyle name="Normal 5 3 3 17 2" xfId="11872" xr:uid="{00000000-0005-0000-0000-0000F4330000}"/>
    <cellStyle name="Normal 5 3 3 18" xfId="11873" xr:uid="{00000000-0005-0000-0000-0000F5330000}"/>
    <cellStyle name="Normal 5 3 3 18 2" xfId="11874" xr:uid="{00000000-0005-0000-0000-0000F6330000}"/>
    <cellStyle name="Normal 5 3 3 19" xfId="11875" xr:uid="{00000000-0005-0000-0000-0000F7330000}"/>
    <cellStyle name="Normal 5 3 3 19 2" xfId="11876" xr:uid="{00000000-0005-0000-0000-0000F8330000}"/>
    <cellStyle name="Normal 5 3 3 2" xfId="11877" xr:uid="{00000000-0005-0000-0000-0000F9330000}"/>
    <cellStyle name="Normal 5 3 3 2 10" xfId="11878" xr:uid="{00000000-0005-0000-0000-0000FA330000}"/>
    <cellStyle name="Normal 5 3 3 2 10 2" xfId="11879" xr:uid="{00000000-0005-0000-0000-0000FB330000}"/>
    <cellStyle name="Normal 5 3 3 2 11" xfId="11880" xr:uid="{00000000-0005-0000-0000-0000FC330000}"/>
    <cellStyle name="Normal 5 3 3 2 11 2" xfId="11881" xr:uid="{00000000-0005-0000-0000-0000FD330000}"/>
    <cellStyle name="Normal 5 3 3 2 12" xfId="11882" xr:uid="{00000000-0005-0000-0000-0000FE330000}"/>
    <cellStyle name="Normal 5 3 3 2 12 2" xfId="11883" xr:uid="{00000000-0005-0000-0000-0000FF330000}"/>
    <cellStyle name="Normal 5 3 3 2 13" xfId="11884" xr:uid="{00000000-0005-0000-0000-000000340000}"/>
    <cellStyle name="Normal 5 3 3 2 13 2" xfId="11885" xr:uid="{00000000-0005-0000-0000-000001340000}"/>
    <cellStyle name="Normal 5 3 3 2 14" xfId="11886" xr:uid="{00000000-0005-0000-0000-000002340000}"/>
    <cellStyle name="Normal 5 3 3 2 14 2" xfId="11887" xr:uid="{00000000-0005-0000-0000-000003340000}"/>
    <cellStyle name="Normal 5 3 3 2 15" xfId="11888" xr:uid="{00000000-0005-0000-0000-000004340000}"/>
    <cellStyle name="Normal 5 3 3 2 15 2" xfId="11889" xr:uid="{00000000-0005-0000-0000-000005340000}"/>
    <cellStyle name="Normal 5 3 3 2 16" xfId="11890" xr:uid="{00000000-0005-0000-0000-000006340000}"/>
    <cellStyle name="Normal 5 3 3 2 16 2" xfId="11891" xr:uid="{00000000-0005-0000-0000-000007340000}"/>
    <cellStyle name="Normal 5 3 3 2 17" xfId="11892" xr:uid="{00000000-0005-0000-0000-000008340000}"/>
    <cellStyle name="Normal 5 3 3 2 17 2" xfId="11893" xr:uid="{00000000-0005-0000-0000-000009340000}"/>
    <cellStyle name="Normal 5 3 3 2 18" xfId="11894" xr:uid="{00000000-0005-0000-0000-00000A340000}"/>
    <cellStyle name="Normal 5 3 3 2 18 2" xfId="11895" xr:uid="{00000000-0005-0000-0000-00000B340000}"/>
    <cellStyle name="Normal 5 3 3 2 19" xfId="11896" xr:uid="{00000000-0005-0000-0000-00000C340000}"/>
    <cellStyle name="Normal 5 3 3 2 19 2" xfId="11897" xr:uid="{00000000-0005-0000-0000-00000D340000}"/>
    <cellStyle name="Normal 5 3 3 2 2" xfId="11898" xr:uid="{00000000-0005-0000-0000-00000E340000}"/>
    <cellStyle name="Normal 5 3 3 2 2 2" xfId="11899" xr:uid="{00000000-0005-0000-0000-00000F340000}"/>
    <cellStyle name="Normal 5 3 3 2 20" xfId="11900" xr:uid="{00000000-0005-0000-0000-000010340000}"/>
    <cellStyle name="Normal 5 3 3 2 20 2" xfId="11901" xr:uid="{00000000-0005-0000-0000-000011340000}"/>
    <cellStyle name="Normal 5 3 3 2 21" xfId="11902" xr:uid="{00000000-0005-0000-0000-000012340000}"/>
    <cellStyle name="Normal 5 3 3 2 21 2" xfId="11903" xr:uid="{00000000-0005-0000-0000-000013340000}"/>
    <cellStyle name="Normal 5 3 3 2 22" xfId="11904" xr:uid="{00000000-0005-0000-0000-000014340000}"/>
    <cellStyle name="Normal 5 3 3 2 22 2" xfId="11905" xr:uid="{00000000-0005-0000-0000-000015340000}"/>
    <cellStyle name="Normal 5 3 3 2 23" xfId="11906" xr:uid="{00000000-0005-0000-0000-000016340000}"/>
    <cellStyle name="Normal 5 3 3 2 23 2" xfId="11907" xr:uid="{00000000-0005-0000-0000-000017340000}"/>
    <cellStyle name="Normal 5 3 3 2 24" xfId="11908" xr:uid="{00000000-0005-0000-0000-000018340000}"/>
    <cellStyle name="Normal 5 3 3 2 24 2" xfId="11909" xr:uid="{00000000-0005-0000-0000-000019340000}"/>
    <cellStyle name="Normal 5 3 3 2 25" xfId="11910" xr:uid="{00000000-0005-0000-0000-00001A340000}"/>
    <cellStyle name="Normal 5 3 3 2 25 2" xfId="11911" xr:uid="{00000000-0005-0000-0000-00001B340000}"/>
    <cellStyle name="Normal 5 3 3 2 26" xfId="11912" xr:uid="{00000000-0005-0000-0000-00001C340000}"/>
    <cellStyle name="Normal 5 3 3 2 26 2" xfId="11913" xr:uid="{00000000-0005-0000-0000-00001D340000}"/>
    <cellStyle name="Normal 5 3 3 2 27" xfId="11914" xr:uid="{00000000-0005-0000-0000-00001E340000}"/>
    <cellStyle name="Normal 5 3 3 2 27 2" xfId="11915" xr:uid="{00000000-0005-0000-0000-00001F340000}"/>
    <cellStyle name="Normal 5 3 3 2 28" xfId="11916" xr:uid="{00000000-0005-0000-0000-000020340000}"/>
    <cellStyle name="Normal 5 3 3 2 28 2" xfId="11917" xr:uid="{00000000-0005-0000-0000-000021340000}"/>
    <cellStyle name="Normal 5 3 3 2 29" xfId="11918" xr:uid="{00000000-0005-0000-0000-000022340000}"/>
    <cellStyle name="Normal 5 3 3 2 29 2" xfId="11919" xr:uid="{00000000-0005-0000-0000-000023340000}"/>
    <cellStyle name="Normal 5 3 3 2 3" xfId="11920" xr:uid="{00000000-0005-0000-0000-000024340000}"/>
    <cellStyle name="Normal 5 3 3 2 3 2" xfId="11921" xr:uid="{00000000-0005-0000-0000-000025340000}"/>
    <cellStyle name="Normal 5 3 3 2 30" xfId="11922" xr:uid="{00000000-0005-0000-0000-000026340000}"/>
    <cellStyle name="Normal 5 3 3 2 30 2" xfId="11923" xr:uid="{00000000-0005-0000-0000-000027340000}"/>
    <cellStyle name="Normal 5 3 3 2 31" xfId="11924" xr:uid="{00000000-0005-0000-0000-000028340000}"/>
    <cellStyle name="Normal 5 3 3 2 31 2" xfId="11925" xr:uid="{00000000-0005-0000-0000-000029340000}"/>
    <cellStyle name="Normal 5 3 3 2 32" xfId="11926" xr:uid="{00000000-0005-0000-0000-00002A340000}"/>
    <cellStyle name="Normal 5 3 3 2 32 2" xfId="11927" xr:uid="{00000000-0005-0000-0000-00002B340000}"/>
    <cellStyle name="Normal 5 3 3 2 33" xfId="11928" xr:uid="{00000000-0005-0000-0000-00002C340000}"/>
    <cellStyle name="Normal 5 3 3 2 33 2" xfId="11929" xr:uid="{00000000-0005-0000-0000-00002D340000}"/>
    <cellStyle name="Normal 5 3 3 2 34" xfId="11930" xr:uid="{00000000-0005-0000-0000-00002E340000}"/>
    <cellStyle name="Normal 5 3 3 2 34 2" xfId="11931" xr:uid="{00000000-0005-0000-0000-00002F340000}"/>
    <cellStyle name="Normal 5 3 3 2 35" xfId="11932" xr:uid="{00000000-0005-0000-0000-000030340000}"/>
    <cellStyle name="Normal 5 3 3 2 4" xfId="11933" xr:uid="{00000000-0005-0000-0000-000031340000}"/>
    <cellStyle name="Normal 5 3 3 2 4 2" xfId="11934" xr:uid="{00000000-0005-0000-0000-000032340000}"/>
    <cellStyle name="Normal 5 3 3 2 5" xfId="11935" xr:uid="{00000000-0005-0000-0000-000033340000}"/>
    <cellStyle name="Normal 5 3 3 2 5 2" xfId="11936" xr:uid="{00000000-0005-0000-0000-000034340000}"/>
    <cellStyle name="Normal 5 3 3 2 6" xfId="11937" xr:uid="{00000000-0005-0000-0000-000035340000}"/>
    <cellStyle name="Normal 5 3 3 2 6 2" xfId="11938" xr:uid="{00000000-0005-0000-0000-000036340000}"/>
    <cellStyle name="Normal 5 3 3 2 7" xfId="11939" xr:uid="{00000000-0005-0000-0000-000037340000}"/>
    <cellStyle name="Normal 5 3 3 2 7 2" xfId="11940" xr:uid="{00000000-0005-0000-0000-000038340000}"/>
    <cellStyle name="Normal 5 3 3 2 8" xfId="11941" xr:uid="{00000000-0005-0000-0000-000039340000}"/>
    <cellStyle name="Normal 5 3 3 2 8 2" xfId="11942" xr:uid="{00000000-0005-0000-0000-00003A340000}"/>
    <cellStyle name="Normal 5 3 3 2 9" xfId="11943" xr:uid="{00000000-0005-0000-0000-00003B340000}"/>
    <cellStyle name="Normal 5 3 3 2 9 2" xfId="11944" xr:uid="{00000000-0005-0000-0000-00003C340000}"/>
    <cellStyle name="Normal 5 3 3 20" xfId="11945" xr:uid="{00000000-0005-0000-0000-00003D340000}"/>
    <cellStyle name="Normal 5 3 3 20 2" xfId="11946" xr:uid="{00000000-0005-0000-0000-00003E340000}"/>
    <cellStyle name="Normal 5 3 3 21" xfId="11947" xr:uid="{00000000-0005-0000-0000-00003F340000}"/>
    <cellStyle name="Normal 5 3 3 21 2" xfId="11948" xr:uid="{00000000-0005-0000-0000-000040340000}"/>
    <cellStyle name="Normal 5 3 3 22" xfId="11949" xr:uid="{00000000-0005-0000-0000-000041340000}"/>
    <cellStyle name="Normal 5 3 3 22 2" xfId="11950" xr:uid="{00000000-0005-0000-0000-000042340000}"/>
    <cellStyle name="Normal 5 3 3 23" xfId="11951" xr:uid="{00000000-0005-0000-0000-000043340000}"/>
    <cellStyle name="Normal 5 3 3 23 2" xfId="11952" xr:uid="{00000000-0005-0000-0000-000044340000}"/>
    <cellStyle name="Normal 5 3 3 24" xfId="11953" xr:uid="{00000000-0005-0000-0000-000045340000}"/>
    <cellStyle name="Normal 5 3 3 24 2" xfId="11954" xr:uid="{00000000-0005-0000-0000-000046340000}"/>
    <cellStyle name="Normal 5 3 3 25" xfId="11955" xr:uid="{00000000-0005-0000-0000-000047340000}"/>
    <cellStyle name="Normal 5 3 3 25 2" xfId="11956" xr:uid="{00000000-0005-0000-0000-000048340000}"/>
    <cellStyle name="Normal 5 3 3 26" xfId="11957" xr:uid="{00000000-0005-0000-0000-000049340000}"/>
    <cellStyle name="Normal 5 3 3 26 2" xfId="11958" xr:uid="{00000000-0005-0000-0000-00004A340000}"/>
    <cellStyle name="Normal 5 3 3 27" xfId="11959" xr:uid="{00000000-0005-0000-0000-00004B340000}"/>
    <cellStyle name="Normal 5 3 3 27 2" xfId="11960" xr:uid="{00000000-0005-0000-0000-00004C340000}"/>
    <cellStyle name="Normal 5 3 3 28" xfId="11961" xr:uid="{00000000-0005-0000-0000-00004D340000}"/>
    <cellStyle name="Normal 5 3 3 28 2" xfId="11962" xr:uid="{00000000-0005-0000-0000-00004E340000}"/>
    <cellStyle name="Normal 5 3 3 29" xfId="11963" xr:uid="{00000000-0005-0000-0000-00004F340000}"/>
    <cellStyle name="Normal 5 3 3 29 2" xfId="11964" xr:uid="{00000000-0005-0000-0000-000050340000}"/>
    <cellStyle name="Normal 5 3 3 3" xfId="11965" xr:uid="{00000000-0005-0000-0000-000051340000}"/>
    <cellStyle name="Normal 5 3 3 3 10" xfId="11966" xr:uid="{00000000-0005-0000-0000-000052340000}"/>
    <cellStyle name="Normal 5 3 3 3 10 2" xfId="11967" xr:uid="{00000000-0005-0000-0000-000053340000}"/>
    <cellStyle name="Normal 5 3 3 3 11" xfId="11968" xr:uid="{00000000-0005-0000-0000-000054340000}"/>
    <cellStyle name="Normal 5 3 3 3 11 2" xfId="11969" xr:uid="{00000000-0005-0000-0000-000055340000}"/>
    <cellStyle name="Normal 5 3 3 3 12" xfId="11970" xr:uid="{00000000-0005-0000-0000-000056340000}"/>
    <cellStyle name="Normal 5 3 3 3 12 2" xfId="11971" xr:uid="{00000000-0005-0000-0000-000057340000}"/>
    <cellStyle name="Normal 5 3 3 3 13" xfId="11972" xr:uid="{00000000-0005-0000-0000-000058340000}"/>
    <cellStyle name="Normal 5 3 3 3 13 2" xfId="11973" xr:uid="{00000000-0005-0000-0000-000059340000}"/>
    <cellStyle name="Normal 5 3 3 3 14" xfId="11974" xr:uid="{00000000-0005-0000-0000-00005A340000}"/>
    <cellStyle name="Normal 5 3 3 3 14 2" xfId="11975" xr:uid="{00000000-0005-0000-0000-00005B340000}"/>
    <cellStyle name="Normal 5 3 3 3 15" xfId="11976" xr:uid="{00000000-0005-0000-0000-00005C340000}"/>
    <cellStyle name="Normal 5 3 3 3 15 2" xfId="11977" xr:uid="{00000000-0005-0000-0000-00005D340000}"/>
    <cellStyle name="Normal 5 3 3 3 16" xfId="11978" xr:uid="{00000000-0005-0000-0000-00005E340000}"/>
    <cellStyle name="Normal 5 3 3 3 16 2" xfId="11979" xr:uid="{00000000-0005-0000-0000-00005F340000}"/>
    <cellStyle name="Normal 5 3 3 3 17" xfId="11980" xr:uid="{00000000-0005-0000-0000-000060340000}"/>
    <cellStyle name="Normal 5 3 3 3 17 2" xfId="11981" xr:uid="{00000000-0005-0000-0000-000061340000}"/>
    <cellStyle name="Normal 5 3 3 3 18" xfId="11982" xr:uid="{00000000-0005-0000-0000-000062340000}"/>
    <cellStyle name="Normal 5 3 3 3 18 2" xfId="11983" xr:uid="{00000000-0005-0000-0000-000063340000}"/>
    <cellStyle name="Normal 5 3 3 3 19" xfId="11984" xr:uid="{00000000-0005-0000-0000-000064340000}"/>
    <cellStyle name="Normal 5 3 3 3 19 2" xfId="11985" xr:uid="{00000000-0005-0000-0000-000065340000}"/>
    <cellStyle name="Normal 5 3 3 3 2" xfId="11986" xr:uid="{00000000-0005-0000-0000-000066340000}"/>
    <cellStyle name="Normal 5 3 3 3 2 2" xfId="11987" xr:uid="{00000000-0005-0000-0000-000067340000}"/>
    <cellStyle name="Normal 5 3 3 3 20" xfId="11988" xr:uid="{00000000-0005-0000-0000-000068340000}"/>
    <cellStyle name="Normal 5 3 3 3 20 2" xfId="11989" xr:uid="{00000000-0005-0000-0000-000069340000}"/>
    <cellStyle name="Normal 5 3 3 3 21" xfId="11990" xr:uid="{00000000-0005-0000-0000-00006A340000}"/>
    <cellStyle name="Normal 5 3 3 3 21 2" xfId="11991" xr:uid="{00000000-0005-0000-0000-00006B340000}"/>
    <cellStyle name="Normal 5 3 3 3 22" xfId="11992" xr:uid="{00000000-0005-0000-0000-00006C340000}"/>
    <cellStyle name="Normal 5 3 3 3 22 2" xfId="11993" xr:uid="{00000000-0005-0000-0000-00006D340000}"/>
    <cellStyle name="Normal 5 3 3 3 23" xfId="11994" xr:uid="{00000000-0005-0000-0000-00006E340000}"/>
    <cellStyle name="Normal 5 3 3 3 23 2" xfId="11995" xr:uid="{00000000-0005-0000-0000-00006F340000}"/>
    <cellStyle name="Normal 5 3 3 3 24" xfId="11996" xr:uid="{00000000-0005-0000-0000-000070340000}"/>
    <cellStyle name="Normal 5 3 3 3 24 2" xfId="11997" xr:uid="{00000000-0005-0000-0000-000071340000}"/>
    <cellStyle name="Normal 5 3 3 3 25" xfId="11998" xr:uid="{00000000-0005-0000-0000-000072340000}"/>
    <cellStyle name="Normal 5 3 3 3 25 2" xfId="11999" xr:uid="{00000000-0005-0000-0000-000073340000}"/>
    <cellStyle name="Normal 5 3 3 3 26" xfId="12000" xr:uid="{00000000-0005-0000-0000-000074340000}"/>
    <cellStyle name="Normal 5 3 3 3 26 2" xfId="12001" xr:uid="{00000000-0005-0000-0000-000075340000}"/>
    <cellStyle name="Normal 5 3 3 3 27" xfId="12002" xr:uid="{00000000-0005-0000-0000-000076340000}"/>
    <cellStyle name="Normal 5 3 3 3 27 2" xfId="12003" xr:uid="{00000000-0005-0000-0000-000077340000}"/>
    <cellStyle name="Normal 5 3 3 3 28" xfId="12004" xr:uid="{00000000-0005-0000-0000-000078340000}"/>
    <cellStyle name="Normal 5 3 3 3 28 2" xfId="12005" xr:uid="{00000000-0005-0000-0000-000079340000}"/>
    <cellStyle name="Normal 5 3 3 3 29" xfId="12006" xr:uid="{00000000-0005-0000-0000-00007A340000}"/>
    <cellStyle name="Normal 5 3 3 3 29 2" xfId="12007" xr:uid="{00000000-0005-0000-0000-00007B340000}"/>
    <cellStyle name="Normal 5 3 3 3 3" xfId="12008" xr:uid="{00000000-0005-0000-0000-00007C340000}"/>
    <cellStyle name="Normal 5 3 3 3 3 2" xfId="12009" xr:uid="{00000000-0005-0000-0000-00007D340000}"/>
    <cellStyle name="Normal 5 3 3 3 30" xfId="12010" xr:uid="{00000000-0005-0000-0000-00007E340000}"/>
    <cellStyle name="Normal 5 3 3 3 30 2" xfId="12011" xr:uid="{00000000-0005-0000-0000-00007F340000}"/>
    <cellStyle name="Normal 5 3 3 3 31" xfId="12012" xr:uid="{00000000-0005-0000-0000-000080340000}"/>
    <cellStyle name="Normal 5 3 3 3 31 2" xfId="12013" xr:uid="{00000000-0005-0000-0000-000081340000}"/>
    <cellStyle name="Normal 5 3 3 3 32" xfId="12014" xr:uid="{00000000-0005-0000-0000-000082340000}"/>
    <cellStyle name="Normal 5 3 3 3 32 2" xfId="12015" xr:uid="{00000000-0005-0000-0000-000083340000}"/>
    <cellStyle name="Normal 5 3 3 3 33" xfId="12016" xr:uid="{00000000-0005-0000-0000-000084340000}"/>
    <cellStyle name="Normal 5 3 3 3 33 2" xfId="12017" xr:uid="{00000000-0005-0000-0000-000085340000}"/>
    <cellStyle name="Normal 5 3 3 3 34" xfId="12018" xr:uid="{00000000-0005-0000-0000-000086340000}"/>
    <cellStyle name="Normal 5 3 3 3 34 2" xfId="12019" xr:uid="{00000000-0005-0000-0000-000087340000}"/>
    <cellStyle name="Normal 5 3 3 3 35" xfId="12020" xr:uid="{00000000-0005-0000-0000-000088340000}"/>
    <cellStyle name="Normal 5 3 3 3 4" xfId="12021" xr:uid="{00000000-0005-0000-0000-000089340000}"/>
    <cellStyle name="Normal 5 3 3 3 4 2" xfId="12022" xr:uid="{00000000-0005-0000-0000-00008A340000}"/>
    <cellStyle name="Normal 5 3 3 3 5" xfId="12023" xr:uid="{00000000-0005-0000-0000-00008B340000}"/>
    <cellStyle name="Normal 5 3 3 3 5 2" xfId="12024" xr:uid="{00000000-0005-0000-0000-00008C340000}"/>
    <cellStyle name="Normal 5 3 3 3 6" xfId="12025" xr:uid="{00000000-0005-0000-0000-00008D340000}"/>
    <cellStyle name="Normal 5 3 3 3 6 2" xfId="12026" xr:uid="{00000000-0005-0000-0000-00008E340000}"/>
    <cellStyle name="Normal 5 3 3 3 7" xfId="12027" xr:uid="{00000000-0005-0000-0000-00008F340000}"/>
    <cellStyle name="Normal 5 3 3 3 7 2" xfId="12028" xr:uid="{00000000-0005-0000-0000-000090340000}"/>
    <cellStyle name="Normal 5 3 3 3 8" xfId="12029" xr:uid="{00000000-0005-0000-0000-000091340000}"/>
    <cellStyle name="Normal 5 3 3 3 8 2" xfId="12030" xr:uid="{00000000-0005-0000-0000-000092340000}"/>
    <cellStyle name="Normal 5 3 3 3 9" xfId="12031" xr:uid="{00000000-0005-0000-0000-000093340000}"/>
    <cellStyle name="Normal 5 3 3 3 9 2" xfId="12032" xr:uid="{00000000-0005-0000-0000-000094340000}"/>
    <cellStyle name="Normal 5 3 3 30" xfId="12033" xr:uid="{00000000-0005-0000-0000-000095340000}"/>
    <cellStyle name="Normal 5 3 3 30 2" xfId="12034" xr:uid="{00000000-0005-0000-0000-000096340000}"/>
    <cellStyle name="Normal 5 3 3 31" xfId="12035" xr:uid="{00000000-0005-0000-0000-000097340000}"/>
    <cellStyle name="Normal 5 3 3 31 2" xfId="12036" xr:uid="{00000000-0005-0000-0000-000098340000}"/>
    <cellStyle name="Normal 5 3 3 32" xfId="12037" xr:uid="{00000000-0005-0000-0000-000099340000}"/>
    <cellStyle name="Normal 5 3 3 32 2" xfId="12038" xr:uid="{00000000-0005-0000-0000-00009A340000}"/>
    <cellStyle name="Normal 5 3 3 33" xfId="12039" xr:uid="{00000000-0005-0000-0000-00009B340000}"/>
    <cellStyle name="Normal 5 3 3 33 2" xfId="12040" xr:uid="{00000000-0005-0000-0000-00009C340000}"/>
    <cellStyle name="Normal 5 3 3 34" xfId="12041" xr:uid="{00000000-0005-0000-0000-00009D340000}"/>
    <cellStyle name="Normal 5 3 3 34 2" xfId="12042" xr:uid="{00000000-0005-0000-0000-00009E340000}"/>
    <cellStyle name="Normal 5 3 3 35" xfId="12043" xr:uid="{00000000-0005-0000-0000-00009F340000}"/>
    <cellStyle name="Normal 5 3 3 35 2" xfId="12044" xr:uid="{00000000-0005-0000-0000-0000A0340000}"/>
    <cellStyle name="Normal 5 3 3 36" xfId="12045" xr:uid="{00000000-0005-0000-0000-0000A1340000}"/>
    <cellStyle name="Normal 5 3 3 36 2" xfId="12046" xr:uid="{00000000-0005-0000-0000-0000A2340000}"/>
    <cellStyle name="Normal 5 3 3 37" xfId="12047" xr:uid="{00000000-0005-0000-0000-0000A3340000}"/>
    <cellStyle name="Normal 5 3 3 37 2" xfId="12048" xr:uid="{00000000-0005-0000-0000-0000A4340000}"/>
    <cellStyle name="Normal 5 3 3 38" xfId="12049" xr:uid="{00000000-0005-0000-0000-0000A5340000}"/>
    <cellStyle name="Normal 5 3 3 38 2" xfId="12050" xr:uid="{00000000-0005-0000-0000-0000A6340000}"/>
    <cellStyle name="Normal 5 3 3 39" xfId="12051" xr:uid="{00000000-0005-0000-0000-0000A7340000}"/>
    <cellStyle name="Normal 5 3 3 39 2" xfId="12052" xr:uid="{00000000-0005-0000-0000-0000A8340000}"/>
    <cellStyle name="Normal 5 3 3 4" xfId="12053" xr:uid="{00000000-0005-0000-0000-0000A9340000}"/>
    <cellStyle name="Normal 5 3 3 4 2" xfId="12054" xr:uid="{00000000-0005-0000-0000-0000AA340000}"/>
    <cellStyle name="Normal 5 3 3 4 2 2" xfId="12055" xr:uid="{00000000-0005-0000-0000-0000AB340000}"/>
    <cellStyle name="Normal 5 3 3 4 3" xfId="12056" xr:uid="{00000000-0005-0000-0000-0000AC340000}"/>
    <cellStyle name="Normal 5 3 3 4 3 2" xfId="12057" xr:uid="{00000000-0005-0000-0000-0000AD340000}"/>
    <cellStyle name="Normal 5 3 3 4 4" xfId="12058" xr:uid="{00000000-0005-0000-0000-0000AE340000}"/>
    <cellStyle name="Normal 5 3 3 4 4 2" xfId="12059" xr:uid="{00000000-0005-0000-0000-0000AF340000}"/>
    <cellStyle name="Normal 5 3 3 4 5" xfId="12060" xr:uid="{00000000-0005-0000-0000-0000B0340000}"/>
    <cellStyle name="Normal 5 3 3 4 5 2" xfId="12061" xr:uid="{00000000-0005-0000-0000-0000B1340000}"/>
    <cellStyle name="Normal 5 3 3 4 6" xfId="12062" xr:uid="{00000000-0005-0000-0000-0000B2340000}"/>
    <cellStyle name="Normal 5 3 3 40" xfId="12063" xr:uid="{00000000-0005-0000-0000-0000B3340000}"/>
    <cellStyle name="Normal 5 3 3 40 2" xfId="12064" xr:uid="{00000000-0005-0000-0000-0000B4340000}"/>
    <cellStyle name="Normal 5 3 3 41" xfId="12065" xr:uid="{00000000-0005-0000-0000-0000B5340000}"/>
    <cellStyle name="Normal 5 3 3 41 2" xfId="12066" xr:uid="{00000000-0005-0000-0000-0000B6340000}"/>
    <cellStyle name="Normal 5 3 3 42" xfId="12067" xr:uid="{00000000-0005-0000-0000-0000B7340000}"/>
    <cellStyle name="Normal 5 3 3 42 2" xfId="12068" xr:uid="{00000000-0005-0000-0000-0000B8340000}"/>
    <cellStyle name="Normal 5 3 3 43" xfId="12069" xr:uid="{00000000-0005-0000-0000-0000B9340000}"/>
    <cellStyle name="Normal 5 3 3 43 2" xfId="12070" xr:uid="{00000000-0005-0000-0000-0000BA340000}"/>
    <cellStyle name="Normal 5 3 3 44" xfId="12071" xr:uid="{00000000-0005-0000-0000-0000BB340000}"/>
    <cellStyle name="Normal 5 3 3 44 2" xfId="12072" xr:uid="{00000000-0005-0000-0000-0000BC340000}"/>
    <cellStyle name="Normal 5 3 3 45" xfId="12073" xr:uid="{00000000-0005-0000-0000-0000BD340000}"/>
    <cellStyle name="Normal 5 3 3 45 2" xfId="12074" xr:uid="{00000000-0005-0000-0000-0000BE340000}"/>
    <cellStyle name="Normal 5 3 3 46" xfId="12075" xr:uid="{00000000-0005-0000-0000-0000BF340000}"/>
    <cellStyle name="Normal 5 3 3 46 2" xfId="12076" xr:uid="{00000000-0005-0000-0000-0000C0340000}"/>
    <cellStyle name="Normal 5 3 3 47" xfId="12077" xr:uid="{00000000-0005-0000-0000-0000C1340000}"/>
    <cellStyle name="Normal 5 3 3 5" xfId="12078" xr:uid="{00000000-0005-0000-0000-0000C2340000}"/>
    <cellStyle name="Normal 5 3 3 5 2" xfId="12079" xr:uid="{00000000-0005-0000-0000-0000C3340000}"/>
    <cellStyle name="Normal 5 3 3 6" xfId="12080" xr:uid="{00000000-0005-0000-0000-0000C4340000}"/>
    <cellStyle name="Normal 5 3 3 6 2" xfId="12081" xr:uid="{00000000-0005-0000-0000-0000C5340000}"/>
    <cellStyle name="Normal 5 3 3 7" xfId="12082" xr:uid="{00000000-0005-0000-0000-0000C6340000}"/>
    <cellStyle name="Normal 5 3 3 7 2" xfId="12083" xr:uid="{00000000-0005-0000-0000-0000C7340000}"/>
    <cellStyle name="Normal 5 3 3 8" xfId="12084" xr:uid="{00000000-0005-0000-0000-0000C8340000}"/>
    <cellStyle name="Normal 5 3 3 8 2" xfId="12085" xr:uid="{00000000-0005-0000-0000-0000C9340000}"/>
    <cellStyle name="Normal 5 3 3 9" xfId="12086" xr:uid="{00000000-0005-0000-0000-0000CA340000}"/>
    <cellStyle name="Normal 5 3 3 9 2" xfId="12087" xr:uid="{00000000-0005-0000-0000-0000CB340000}"/>
    <cellStyle name="Normal 5 3 30" xfId="12088" xr:uid="{00000000-0005-0000-0000-0000CC340000}"/>
    <cellStyle name="Normal 5 3 30 2" xfId="12089" xr:uid="{00000000-0005-0000-0000-0000CD340000}"/>
    <cellStyle name="Normal 5 3 31" xfId="12090" xr:uid="{00000000-0005-0000-0000-0000CE340000}"/>
    <cellStyle name="Normal 5 3 31 2" xfId="12091" xr:uid="{00000000-0005-0000-0000-0000CF340000}"/>
    <cellStyle name="Normal 5 3 32" xfId="12092" xr:uid="{00000000-0005-0000-0000-0000D0340000}"/>
    <cellStyle name="Normal 5 3 32 2" xfId="12093" xr:uid="{00000000-0005-0000-0000-0000D1340000}"/>
    <cellStyle name="Normal 5 3 33" xfId="12094" xr:uid="{00000000-0005-0000-0000-0000D2340000}"/>
    <cellStyle name="Normal 5 3 33 2" xfId="12095" xr:uid="{00000000-0005-0000-0000-0000D3340000}"/>
    <cellStyle name="Normal 5 3 34" xfId="12096" xr:uid="{00000000-0005-0000-0000-0000D4340000}"/>
    <cellStyle name="Normal 5 3 34 2" xfId="12097" xr:uid="{00000000-0005-0000-0000-0000D5340000}"/>
    <cellStyle name="Normal 5 3 35" xfId="12098" xr:uid="{00000000-0005-0000-0000-0000D6340000}"/>
    <cellStyle name="Normal 5 3 35 2" xfId="12099" xr:uid="{00000000-0005-0000-0000-0000D7340000}"/>
    <cellStyle name="Normal 5 3 36" xfId="12100" xr:uid="{00000000-0005-0000-0000-0000D8340000}"/>
    <cellStyle name="Normal 5 3 36 2" xfId="12101" xr:uid="{00000000-0005-0000-0000-0000D9340000}"/>
    <cellStyle name="Normal 5 3 37" xfId="12102" xr:uid="{00000000-0005-0000-0000-0000DA340000}"/>
    <cellStyle name="Normal 5 3 37 2" xfId="12103" xr:uid="{00000000-0005-0000-0000-0000DB340000}"/>
    <cellStyle name="Normal 5 3 38" xfId="12104" xr:uid="{00000000-0005-0000-0000-0000DC340000}"/>
    <cellStyle name="Normal 5 3 38 2" xfId="12105" xr:uid="{00000000-0005-0000-0000-0000DD340000}"/>
    <cellStyle name="Normal 5 3 39" xfId="12106" xr:uid="{00000000-0005-0000-0000-0000DE340000}"/>
    <cellStyle name="Normal 5 3 39 2" xfId="12107" xr:uid="{00000000-0005-0000-0000-0000DF340000}"/>
    <cellStyle name="Normal 5 3 4" xfId="12108" xr:uid="{00000000-0005-0000-0000-0000E0340000}"/>
    <cellStyle name="Normal 5 3 4 10" xfId="12109" xr:uid="{00000000-0005-0000-0000-0000E1340000}"/>
    <cellStyle name="Normal 5 3 4 10 2" xfId="12110" xr:uid="{00000000-0005-0000-0000-0000E2340000}"/>
    <cellStyle name="Normal 5 3 4 11" xfId="12111" xr:uid="{00000000-0005-0000-0000-0000E3340000}"/>
    <cellStyle name="Normal 5 3 4 11 2" xfId="12112" xr:uid="{00000000-0005-0000-0000-0000E4340000}"/>
    <cellStyle name="Normal 5 3 4 12" xfId="12113" xr:uid="{00000000-0005-0000-0000-0000E5340000}"/>
    <cellStyle name="Normal 5 3 4 12 2" xfId="12114" xr:uid="{00000000-0005-0000-0000-0000E6340000}"/>
    <cellStyle name="Normal 5 3 4 13" xfId="12115" xr:uid="{00000000-0005-0000-0000-0000E7340000}"/>
    <cellStyle name="Normal 5 3 4 13 2" xfId="12116" xr:uid="{00000000-0005-0000-0000-0000E8340000}"/>
    <cellStyle name="Normal 5 3 4 14" xfId="12117" xr:uid="{00000000-0005-0000-0000-0000E9340000}"/>
    <cellStyle name="Normal 5 3 4 14 2" xfId="12118" xr:uid="{00000000-0005-0000-0000-0000EA340000}"/>
    <cellStyle name="Normal 5 3 4 15" xfId="12119" xr:uid="{00000000-0005-0000-0000-0000EB340000}"/>
    <cellStyle name="Normal 5 3 4 15 2" xfId="12120" xr:uid="{00000000-0005-0000-0000-0000EC340000}"/>
    <cellStyle name="Normal 5 3 4 16" xfId="12121" xr:uid="{00000000-0005-0000-0000-0000ED340000}"/>
    <cellStyle name="Normal 5 3 4 16 2" xfId="12122" xr:uid="{00000000-0005-0000-0000-0000EE340000}"/>
    <cellStyle name="Normal 5 3 4 17" xfId="12123" xr:uid="{00000000-0005-0000-0000-0000EF340000}"/>
    <cellStyle name="Normal 5 3 4 17 2" xfId="12124" xr:uid="{00000000-0005-0000-0000-0000F0340000}"/>
    <cellStyle name="Normal 5 3 4 18" xfId="12125" xr:uid="{00000000-0005-0000-0000-0000F1340000}"/>
    <cellStyle name="Normal 5 3 4 18 2" xfId="12126" xr:uid="{00000000-0005-0000-0000-0000F2340000}"/>
    <cellStyle name="Normal 5 3 4 19" xfId="12127" xr:uid="{00000000-0005-0000-0000-0000F3340000}"/>
    <cellStyle name="Normal 5 3 4 19 2" xfId="12128" xr:uid="{00000000-0005-0000-0000-0000F4340000}"/>
    <cellStyle name="Normal 5 3 4 2" xfId="12129" xr:uid="{00000000-0005-0000-0000-0000F5340000}"/>
    <cellStyle name="Normal 5 3 4 2 2" xfId="12130" xr:uid="{00000000-0005-0000-0000-0000F6340000}"/>
    <cellStyle name="Normal 5 3 4 2 2 2" xfId="12131" xr:uid="{00000000-0005-0000-0000-0000F7340000}"/>
    <cellStyle name="Normal 5 3 4 2 3" xfId="12132" xr:uid="{00000000-0005-0000-0000-0000F8340000}"/>
    <cellStyle name="Normal 5 3 4 2 3 2" xfId="12133" xr:uid="{00000000-0005-0000-0000-0000F9340000}"/>
    <cellStyle name="Normal 5 3 4 2 4" xfId="12134" xr:uid="{00000000-0005-0000-0000-0000FA340000}"/>
    <cellStyle name="Normal 5 3 4 2 4 2" xfId="12135" xr:uid="{00000000-0005-0000-0000-0000FB340000}"/>
    <cellStyle name="Normal 5 3 4 2 5" xfId="12136" xr:uid="{00000000-0005-0000-0000-0000FC340000}"/>
    <cellStyle name="Normal 5 3 4 2 5 2" xfId="12137" xr:uid="{00000000-0005-0000-0000-0000FD340000}"/>
    <cellStyle name="Normal 5 3 4 2 6" xfId="12138" xr:uid="{00000000-0005-0000-0000-0000FE340000}"/>
    <cellStyle name="Normal 5 3 4 20" xfId="12139" xr:uid="{00000000-0005-0000-0000-0000FF340000}"/>
    <cellStyle name="Normal 5 3 4 20 2" xfId="12140" xr:uid="{00000000-0005-0000-0000-000000350000}"/>
    <cellStyle name="Normal 5 3 4 21" xfId="12141" xr:uid="{00000000-0005-0000-0000-000001350000}"/>
    <cellStyle name="Normal 5 3 4 21 2" xfId="12142" xr:uid="{00000000-0005-0000-0000-000002350000}"/>
    <cellStyle name="Normal 5 3 4 22" xfId="12143" xr:uid="{00000000-0005-0000-0000-000003350000}"/>
    <cellStyle name="Normal 5 3 4 22 2" xfId="12144" xr:uid="{00000000-0005-0000-0000-000004350000}"/>
    <cellStyle name="Normal 5 3 4 23" xfId="12145" xr:uid="{00000000-0005-0000-0000-000005350000}"/>
    <cellStyle name="Normal 5 3 4 23 2" xfId="12146" xr:uid="{00000000-0005-0000-0000-000006350000}"/>
    <cellStyle name="Normal 5 3 4 24" xfId="12147" xr:uid="{00000000-0005-0000-0000-000007350000}"/>
    <cellStyle name="Normal 5 3 4 24 2" xfId="12148" xr:uid="{00000000-0005-0000-0000-000008350000}"/>
    <cellStyle name="Normal 5 3 4 25" xfId="12149" xr:uid="{00000000-0005-0000-0000-000009350000}"/>
    <cellStyle name="Normal 5 3 4 25 2" xfId="12150" xr:uid="{00000000-0005-0000-0000-00000A350000}"/>
    <cellStyle name="Normal 5 3 4 26" xfId="12151" xr:uid="{00000000-0005-0000-0000-00000B350000}"/>
    <cellStyle name="Normal 5 3 4 26 2" xfId="12152" xr:uid="{00000000-0005-0000-0000-00000C350000}"/>
    <cellStyle name="Normal 5 3 4 27" xfId="12153" xr:uid="{00000000-0005-0000-0000-00000D350000}"/>
    <cellStyle name="Normal 5 3 4 27 2" xfId="12154" xr:uid="{00000000-0005-0000-0000-00000E350000}"/>
    <cellStyle name="Normal 5 3 4 28" xfId="12155" xr:uid="{00000000-0005-0000-0000-00000F350000}"/>
    <cellStyle name="Normal 5 3 4 28 2" xfId="12156" xr:uid="{00000000-0005-0000-0000-000010350000}"/>
    <cellStyle name="Normal 5 3 4 29" xfId="12157" xr:uid="{00000000-0005-0000-0000-000011350000}"/>
    <cellStyle name="Normal 5 3 4 29 2" xfId="12158" xr:uid="{00000000-0005-0000-0000-000012350000}"/>
    <cellStyle name="Normal 5 3 4 3" xfId="12159" xr:uid="{00000000-0005-0000-0000-000013350000}"/>
    <cellStyle name="Normal 5 3 4 3 2" xfId="12160" xr:uid="{00000000-0005-0000-0000-000014350000}"/>
    <cellStyle name="Normal 5 3 4 3 2 2" xfId="12161" xr:uid="{00000000-0005-0000-0000-000015350000}"/>
    <cellStyle name="Normal 5 3 4 3 3" xfId="12162" xr:uid="{00000000-0005-0000-0000-000016350000}"/>
    <cellStyle name="Normal 5 3 4 3 3 2" xfId="12163" xr:uid="{00000000-0005-0000-0000-000017350000}"/>
    <cellStyle name="Normal 5 3 4 3 4" xfId="12164" xr:uid="{00000000-0005-0000-0000-000018350000}"/>
    <cellStyle name="Normal 5 3 4 3 4 2" xfId="12165" xr:uid="{00000000-0005-0000-0000-000019350000}"/>
    <cellStyle name="Normal 5 3 4 3 5" xfId="12166" xr:uid="{00000000-0005-0000-0000-00001A350000}"/>
    <cellStyle name="Normal 5 3 4 3 5 2" xfId="12167" xr:uid="{00000000-0005-0000-0000-00001B350000}"/>
    <cellStyle name="Normal 5 3 4 3 6" xfId="12168" xr:uid="{00000000-0005-0000-0000-00001C350000}"/>
    <cellStyle name="Normal 5 3 4 30" xfId="12169" xr:uid="{00000000-0005-0000-0000-00001D350000}"/>
    <cellStyle name="Normal 5 3 4 30 2" xfId="12170" xr:uid="{00000000-0005-0000-0000-00001E350000}"/>
    <cellStyle name="Normal 5 3 4 31" xfId="12171" xr:uid="{00000000-0005-0000-0000-00001F350000}"/>
    <cellStyle name="Normal 5 3 4 31 2" xfId="12172" xr:uid="{00000000-0005-0000-0000-000020350000}"/>
    <cellStyle name="Normal 5 3 4 32" xfId="12173" xr:uid="{00000000-0005-0000-0000-000021350000}"/>
    <cellStyle name="Normal 5 3 4 32 2" xfId="12174" xr:uid="{00000000-0005-0000-0000-000022350000}"/>
    <cellStyle name="Normal 5 3 4 33" xfId="12175" xr:uid="{00000000-0005-0000-0000-000023350000}"/>
    <cellStyle name="Normal 5 3 4 33 2" xfId="12176" xr:uid="{00000000-0005-0000-0000-000024350000}"/>
    <cellStyle name="Normal 5 3 4 34" xfId="12177" xr:uid="{00000000-0005-0000-0000-000025350000}"/>
    <cellStyle name="Normal 5 3 4 34 2" xfId="12178" xr:uid="{00000000-0005-0000-0000-000026350000}"/>
    <cellStyle name="Normal 5 3 4 35" xfId="12179" xr:uid="{00000000-0005-0000-0000-000027350000}"/>
    <cellStyle name="Normal 5 3 4 35 2" xfId="12180" xr:uid="{00000000-0005-0000-0000-000028350000}"/>
    <cellStyle name="Normal 5 3 4 36" xfId="12181" xr:uid="{00000000-0005-0000-0000-000029350000}"/>
    <cellStyle name="Normal 5 3 4 36 2" xfId="12182" xr:uid="{00000000-0005-0000-0000-00002A350000}"/>
    <cellStyle name="Normal 5 3 4 37" xfId="12183" xr:uid="{00000000-0005-0000-0000-00002B350000}"/>
    <cellStyle name="Normal 5 3 4 37 2" xfId="12184" xr:uid="{00000000-0005-0000-0000-00002C350000}"/>
    <cellStyle name="Normal 5 3 4 38" xfId="12185" xr:uid="{00000000-0005-0000-0000-00002D350000}"/>
    <cellStyle name="Normal 5 3 4 38 2" xfId="12186" xr:uid="{00000000-0005-0000-0000-00002E350000}"/>
    <cellStyle name="Normal 5 3 4 39" xfId="12187" xr:uid="{00000000-0005-0000-0000-00002F350000}"/>
    <cellStyle name="Normal 5 3 4 39 2" xfId="12188" xr:uid="{00000000-0005-0000-0000-000030350000}"/>
    <cellStyle name="Normal 5 3 4 4" xfId="12189" xr:uid="{00000000-0005-0000-0000-000031350000}"/>
    <cellStyle name="Normal 5 3 4 4 2" xfId="12190" xr:uid="{00000000-0005-0000-0000-000032350000}"/>
    <cellStyle name="Normal 5 3 4 4 2 2" xfId="12191" xr:uid="{00000000-0005-0000-0000-000033350000}"/>
    <cellStyle name="Normal 5 3 4 4 3" xfId="12192" xr:uid="{00000000-0005-0000-0000-000034350000}"/>
    <cellStyle name="Normal 5 3 4 4 3 2" xfId="12193" xr:uid="{00000000-0005-0000-0000-000035350000}"/>
    <cellStyle name="Normal 5 3 4 4 4" xfId="12194" xr:uid="{00000000-0005-0000-0000-000036350000}"/>
    <cellStyle name="Normal 5 3 4 4 4 2" xfId="12195" xr:uid="{00000000-0005-0000-0000-000037350000}"/>
    <cellStyle name="Normal 5 3 4 4 5" xfId="12196" xr:uid="{00000000-0005-0000-0000-000038350000}"/>
    <cellStyle name="Normal 5 3 4 4 5 2" xfId="12197" xr:uid="{00000000-0005-0000-0000-000039350000}"/>
    <cellStyle name="Normal 5 3 4 4 6" xfId="12198" xr:uid="{00000000-0005-0000-0000-00003A350000}"/>
    <cellStyle name="Normal 5 3 4 40" xfId="12199" xr:uid="{00000000-0005-0000-0000-00003B350000}"/>
    <cellStyle name="Normal 5 3 4 40 2" xfId="12200" xr:uid="{00000000-0005-0000-0000-00003C350000}"/>
    <cellStyle name="Normal 5 3 4 41" xfId="12201" xr:uid="{00000000-0005-0000-0000-00003D350000}"/>
    <cellStyle name="Normal 5 3 4 41 2" xfId="12202" xr:uid="{00000000-0005-0000-0000-00003E350000}"/>
    <cellStyle name="Normal 5 3 4 42" xfId="12203" xr:uid="{00000000-0005-0000-0000-00003F350000}"/>
    <cellStyle name="Normal 5 3 4 42 2" xfId="12204" xr:uid="{00000000-0005-0000-0000-000040350000}"/>
    <cellStyle name="Normal 5 3 4 43" xfId="12205" xr:uid="{00000000-0005-0000-0000-000041350000}"/>
    <cellStyle name="Normal 5 3 4 43 2" xfId="12206" xr:uid="{00000000-0005-0000-0000-000042350000}"/>
    <cellStyle name="Normal 5 3 4 44" xfId="12207" xr:uid="{00000000-0005-0000-0000-000043350000}"/>
    <cellStyle name="Normal 5 3 4 44 2" xfId="12208" xr:uid="{00000000-0005-0000-0000-000044350000}"/>
    <cellStyle name="Normal 5 3 4 45" xfId="12209" xr:uid="{00000000-0005-0000-0000-000045350000}"/>
    <cellStyle name="Normal 5 3 4 45 2" xfId="12210" xr:uid="{00000000-0005-0000-0000-000046350000}"/>
    <cellStyle name="Normal 5 3 4 46" xfId="12211" xr:uid="{00000000-0005-0000-0000-000047350000}"/>
    <cellStyle name="Normal 5 3 4 5" xfId="12212" xr:uid="{00000000-0005-0000-0000-000048350000}"/>
    <cellStyle name="Normal 5 3 4 5 2" xfId="12213" xr:uid="{00000000-0005-0000-0000-000049350000}"/>
    <cellStyle name="Normal 5 3 4 6" xfId="12214" xr:uid="{00000000-0005-0000-0000-00004A350000}"/>
    <cellStyle name="Normal 5 3 4 6 2" xfId="12215" xr:uid="{00000000-0005-0000-0000-00004B350000}"/>
    <cellStyle name="Normal 5 3 4 7" xfId="12216" xr:uid="{00000000-0005-0000-0000-00004C350000}"/>
    <cellStyle name="Normal 5 3 4 7 2" xfId="12217" xr:uid="{00000000-0005-0000-0000-00004D350000}"/>
    <cellStyle name="Normal 5 3 4 8" xfId="12218" xr:uid="{00000000-0005-0000-0000-00004E350000}"/>
    <cellStyle name="Normal 5 3 4 8 2" xfId="12219" xr:uid="{00000000-0005-0000-0000-00004F350000}"/>
    <cellStyle name="Normal 5 3 4 9" xfId="12220" xr:uid="{00000000-0005-0000-0000-000050350000}"/>
    <cellStyle name="Normal 5 3 4 9 2" xfId="12221" xr:uid="{00000000-0005-0000-0000-000051350000}"/>
    <cellStyle name="Normal 5 3 40" xfId="12222" xr:uid="{00000000-0005-0000-0000-000052350000}"/>
    <cellStyle name="Normal 5 3 40 2" xfId="12223" xr:uid="{00000000-0005-0000-0000-000053350000}"/>
    <cellStyle name="Normal 5 3 41" xfId="12224" xr:uid="{00000000-0005-0000-0000-000054350000}"/>
    <cellStyle name="Normal 5 3 41 2" xfId="12225" xr:uid="{00000000-0005-0000-0000-000055350000}"/>
    <cellStyle name="Normal 5 3 42" xfId="12226" xr:uid="{00000000-0005-0000-0000-000056350000}"/>
    <cellStyle name="Normal 5 3 42 2" xfId="12227" xr:uid="{00000000-0005-0000-0000-000057350000}"/>
    <cellStyle name="Normal 5 3 43" xfId="12228" xr:uid="{00000000-0005-0000-0000-000058350000}"/>
    <cellStyle name="Normal 5 3 43 2" xfId="12229" xr:uid="{00000000-0005-0000-0000-000059350000}"/>
    <cellStyle name="Normal 5 3 44" xfId="12230" xr:uid="{00000000-0005-0000-0000-00005A350000}"/>
    <cellStyle name="Normal 5 3 44 2" xfId="12231" xr:uid="{00000000-0005-0000-0000-00005B350000}"/>
    <cellStyle name="Normal 5 3 45" xfId="12232" xr:uid="{00000000-0005-0000-0000-00005C350000}"/>
    <cellStyle name="Normal 5 3 45 2" xfId="12233" xr:uid="{00000000-0005-0000-0000-00005D350000}"/>
    <cellStyle name="Normal 5 3 46" xfId="12234" xr:uid="{00000000-0005-0000-0000-00005E350000}"/>
    <cellStyle name="Normal 5 3 46 2" xfId="12235" xr:uid="{00000000-0005-0000-0000-00005F350000}"/>
    <cellStyle name="Normal 5 3 47" xfId="12236" xr:uid="{00000000-0005-0000-0000-000060350000}"/>
    <cellStyle name="Normal 5 3 47 2" xfId="12237" xr:uid="{00000000-0005-0000-0000-000061350000}"/>
    <cellStyle name="Normal 5 3 48" xfId="12238" xr:uid="{00000000-0005-0000-0000-000062350000}"/>
    <cellStyle name="Normal 5 3 48 2" xfId="12239" xr:uid="{00000000-0005-0000-0000-000063350000}"/>
    <cellStyle name="Normal 5 3 49" xfId="12240" xr:uid="{00000000-0005-0000-0000-000064350000}"/>
    <cellStyle name="Normal 5 3 49 2" xfId="12241" xr:uid="{00000000-0005-0000-0000-000065350000}"/>
    <cellStyle name="Normal 5 3 5" xfId="12242" xr:uid="{00000000-0005-0000-0000-000066350000}"/>
    <cellStyle name="Normal 5 3 5 10" xfId="12243" xr:uid="{00000000-0005-0000-0000-000067350000}"/>
    <cellStyle name="Normal 5 3 5 10 2" xfId="12244" xr:uid="{00000000-0005-0000-0000-000068350000}"/>
    <cellStyle name="Normal 5 3 5 11" xfId="12245" xr:uid="{00000000-0005-0000-0000-000069350000}"/>
    <cellStyle name="Normal 5 3 5 11 2" xfId="12246" xr:uid="{00000000-0005-0000-0000-00006A350000}"/>
    <cellStyle name="Normal 5 3 5 12" xfId="12247" xr:uid="{00000000-0005-0000-0000-00006B350000}"/>
    <cellStyle name="Normal 5 3 5 12 2" xfId="12248" xr:uid="{00000000-0005-0000-0000-00006C350000}"/>
    <cellStyle name="Normal 5 3 5 13" xfId="12249" xr:uid="{00000000-0005-0000-0000-00006D350000}"/>
    <cellStyle name="Normal 5 3 5 13 2" xfId="12250" xr:uid="{00000000-0005-0000-0000-00006E350000}"/>
    <cellStyle name="Normal 5 3 5 14" xfId="12251" xr:uid="{00000000-0005-0000-0000-00006F350000}"/>
    <cellStyle name="Normal 5 3 5 14 2" xfId="12252" xr:uid="{00000000-0005-0000-0000-000070350000}"/>
    <cellStyle name="Normal 5 3 5 15" xfId="12253" xr:uid="{00000000-0005-0000-0000-000071350000}"/>
    <cellStyle name="Normal 5 3 5 15 2" xfId="12254" xr:uid="{00000000-0005-0000-0000-000072350000}"/>
    <cellStyle name="Normal 5 3 5 16" xfId="12255" xr:uid="{00000000-0005-0000-0000-000073350000}"/>
    <cellStyle name="Normal 5 3 5 16 2" xfId="12256" xr:uid="{00000000-0005-0000-0000-000074350000}"/>
    <cellStyle name="Normal 5 3 5 17" xfId="12257" xr:uid="{00000000-0005-0000-0000-000075350000}"/>
    <cellStyle name="Normal 5 3 5 17 2" xfId="12258" xr:uid="{00000000-0005-0000-0000-000076350000}"/>
    <cellStyle name="Normal 5 3 5 18" xfId="12259" xr:uid="{00000000-0005-0000-0000-000077350000}"/>
    <cellStyle name="Normal 5 3 5 18 2" xfId="12260" xr:uid="{00000000-0005-0000-0000-000078350000}"/>
    <cellStyle name="Normal 5 3 5 19" xfId="12261" xr:uid="{00000000-0005-0000-0000-000079350000}"/>
    <cellStyle name="Normal 5 3 5 19 2" xfId="12262" xr:uid="{00000000-0005-0000-0000-00007A350000}"/>
    <cellStyle name="Normal 5 3 5 2" xfId="12263" xr:uid="{00000000-0005-0000-0000-00007B350000}"/>
    <cellStyle name="Normal 5 3 5 2 2" xfId="12264" xr:uid="{00000000-0005-0000-0000-00007C350000}"/>
    <cellStyle name="Normal 5 3 5 20" xfId="12265" xr:uid="{00000000-0005-0000-0000-00007D350000}"/>
    <cellStyle name="Normal 5 3 5 20 2" xfId="12266" xr:uid="{00000000-0005-0000-0000-00007E350000}"/>
    <cellStyle name="Normal 5 3 5 21" xfId="12267" xr:uid="{00000000-0005-0000-0000-00007F350000}"/>
    <cellStyle name="Normal 5 3 5 21 2" xfId="12268" xr:uid="{00000000-0005-0000-0000-000080350000}"/>
    <cellStyle name="Normal 5 3 5 22" xfId="12269" xr:uid="{00000000-0005-0000-0000-000081350000}"/>
    <cellStyle name="Normal 5 3 5 22 2" xfId="12270" xr:uid="{00000000-0005-0000-0000-000082350000}"/>
    <cellStyle name="Normal 5 3 5 23" xfId="12271" xr:uid="{00000000-0005-0000-0000-000083350000}"/>
    <cellStyle name="Normal 5 3 5 23 2" xfId="12272" xr:uid="{00000000-0005-0000-0000-000084350000}"/>
    <cellStyle name="Normal 5 3 5 24" xfId="12273" xr:uid="{00000000-0005-0000-0000-000085350000}"/>
    <cellStyle name="Normal 5 3 5 24 2" xfId="12274" xr:uid="{00000000-0005-0000-0000-000086350000}"/>
    <cellStyle name="Normal 5 3 5 25" xfId="12275" xr:uid="{00000000-0005-0000-0000-000087350000}"/>
    <cellStyle name="Normal 5 3 5 25 2" xfId="12276" xr:uid="{00000000-0005-0000-0000-000088350000}"/>
    <cellStyle name="Normal 5 3 5 26" xfId="12277" xr:uid="{00000000-0005-0000-0000-000089350000}"/>
    <cellStyle name="Normal 5 3 5 26 2" xfId="12278" xr:uid="{00000000-0005-0000-0000-00008A350000}"/>
    <cellStyle name="Normal 5 3 5 27" xfId="12279" xr:uid="{00000000-0005-0000-0000-00008B350000}"/>
    <cellStyle name="Normal 5 3 5 27 2" xfId="12280" xr:uid="{00000000-0005-0000-0000-00008C350000}"/>
    <cellStyle name="Normal 5 3 5 28" xfId="12281" xr:uid="{00000000-0005-0000-0000-00008D350000}"/>
    <cellStyle name="Normal 5 3 5 28 2" xfId="12282" xr:uid="{00000000-0005-0000-0000-00008E350000}"/>
    <cellStyle name="Normal 5 3 5 29" xfId="12283" xr:uid="{00000000-0005-0000-0000-00008F350000}"/>
    <cellStyle name="Normal 5 3 5 29 2" xfId="12284" xr:uid="{00000000-0005-0000-0000-000090350000}"/>
    <cellStyle name="Normal 5 3 5 3" xfId="12285" xr:uid="{00000000-0005-0000-0000-000091350000}"/>
    <cellStyle name="Normal 5 3 5 3 2" xfId="12286" xr:uid="{00000000-0005-0000-0000-000092350000}"/>
    <cellStyle name="Normal 5 3 5 30" xfId="12287" xr:uid="{00000000-0005-0000-0000-000093350000}"/>
    <cellStyle name="Normal 5 3 5 30 2" xfId="12288" xr:uid="{00000000-0005-0000-0000-000094350000}"/>
    <cellStyle name="Normal 5 3 5 31" xfId="12289" xr:uid="{00000000-0005-0000-0000-000095350000}"/>
    <cellStyle name="Normal 5 3 5 31 2" xfId="12290" xr:uid="{00000000-0005-0000-0000-000096350000}"/>
    <cellStyle name="Normal 5 3 5 32" xfId="12291" xr:uid="{00000000-0005-0000-0000-000097350000}"/>
    <cellStyle name="Normal 5 3 5 32 2" xfId="12292" xr:uid="{00000000-0005-0000-0000-000098350000}"/>
    <cellStyle name="Normal 5 3 5 33" xfId="12293" xr:uid="{00000000-0005-0000-0000-000099350000}"/>
    <cellStyle name="Normal 5 3 5 33 2" xfId="12294" xr:uid="{00000000-0005-0000-0000-00009A350000}"/>
    <cellStyle name="Normal 5 3 5 34" xfId="12295" xr:uid="{00000000-0005-0000-0000-00009B350000}"/>
    <cellStyle name="Normal 5 3 5 34 2" xfId="12296" xr:uid="{00000000-0005-0000-0000-00009C350000}"/>
    <cellStyle name="Normal 5 3 5 35" xfId="12297" xr:uid="{00000000-0005-0000-0000-00009D350000}"/>
    <cellStyle name="Normal 5 3 5 4" xfId="12298" xr:uid="{00000000-0005-0000-0000-00009E350000}"/>
    <cellStyle name="Normal 5 3 5 4 2" xfId="12299" xr:uid="{00000000-0005-0000-0000-00009F350000}"/>
    <cellStyle name="Normal 5 3 5 5" xfId="12300" xr:uid="{00000000-0005-0000-0000-0000A0350000}"/>
    <cellStyle name="Normal 5 3 5 5 2" xfId="12301" xr:uid="{00000000-0005-0000-0000-0000A1350000}"/>
    <cellStyle name="Normal 5 3 5 6" xfId="12302" xr:uid="{00000000-0005-0000-0000-0000A2350000}"/>
    <cellStyle name="Normal 5 3 5 6 2" xfId="12303" xr:uid="{00000000-0005-0000-0000-0000A3350000}"/>
    <cellStyle name="Normal 5 3 5 7" xfId="12304" xr:uid="{00000000-0005-0000-0000-0000A4350000}"/>
    <cellStyle name="Normal 5 3 5 7 2" xfId="12305" xr:uid="{00000000-0005-0000-0000-0000A5350000}"/>
    <cellStyle name="Normal 5 3 5 8" xfId="12306" xr:uid="{00000000-0005-0000-0000-0000A6350000}"/>
    <cellStyle name="Normal 5 3 5 8 2" xfId="12307" xr:uid="{00000000-0005-0000-0000-0000A7350000}"/>
    <cellStyle name="Normal 5 3 5 9" xfId="12308" xr:uid="{00000000-0005-0000-0000-0000A8350000}"/>
    <cellStyle name="Normal 5 3 5 9 2" xfId="12309" xr:uid="{00000000-0005-0000-0000-0000A9350000}"/>
    <cellStyle name="Normal 5 3 50" xfId="12310" xr:uid="{00000000-0005-0000-0000-0000AA350000}"/>
    <cellStyle name="Normal 5 3 50 2" xfId="12311" xr:uid="{00000000-0005-0000-0000-0000AB350000}"/>
    <cellStyle name="Normal 5 3 51" xfId="12312" xr:uid="{00000000-0005-0000-0000-0000AC350000}"/>
    <cellStyle name="Normal 5 3 52" xfId="11584" xr:uid="{00000000-0005-0000-0000-0000AD350000}"/>
    <cellStyle name="Normal 5 3 6" xfId="12313" xr:uid="{00000000-0005-0000-0000-0000AE350000}"/>
    <cellStyle name="Normal 5 3 6 2" xfId="12314" xr:uid="{00000000-0005-0000-0000-0000AF350000}"/>
    <cellStyle name="Normal 5 3 6 2 2" xfId="12315" xr:uid="{00000000-0005-0000-0000-0000B0350000}"/>
    <cellStyle name="Normal 5 3 6 3" xfId="12316" xr:uid="{00000000-0005-0000-0000-0000B1350000}"/>
    <cellStyle name="Normal 5 3 6 3 2" xfId="12317" xr:uid="{00000000-0005-0000-0000-0000B2350000}"/>
    <cellStyle name="Normal 5 3 6 4" xfId="12318" xr:uid="{00000000-0005-0000-0000-0000B3350000}"/>
    <cellStyle name="Normal 5 3 6 4 2" xfId="12319" xr:uid="{00000000-0005-0000-0000-0000B4350000}"/>
    <cellStyle name="Normal 5 3 6 5" xfId="12320" xr:uid="{00000000-0005-0000-0000-0000B5350000}"/>
    <cellStyle name="Normal 5 3 6 5 2" xfId="12321" xr:uid="{00000000-0005-0000-0000-0000B6350000}"/>
    <cellStyle name="Normal 5 3 6 6" xfId="12322" xr:uid="{00000000-0005-0000-0000-0000B7350000}"/>
    <cellStyle name="Normal 5 3 7" xfId="12323" xr:uid="{00000000-0005-0000-0000-0000B8350000}"/>
    <cellStyle name="Normal 5 3 7 2" xfId="12324" xr:uid="{00000000-0005-0000-0000-0000B9350000}"/>
    <cellStyle name="Normal 5 3 7 2 2" xfId="12325" xr:uid="{00000000-0005-0000-0000-0000BA350000}"/>
    <cellStyle name="Normal 5 3 7 3" xfId="12326" xr:uid="{00000000-0005-0000-0000-0000BB350000}"/>
    <cellStyle name="Normal 5 3 7 3 2" xfId="12327" xr:uid="{00000000-0005-0000-0000-0000BC350000}"/>
    <cellStyle name="Normal 5 3 7 4" xfId="12328" xr:uid="{00000000-0005-0000-0000-0000BD350000}"/>
    <cellStyle name="Normal 5 3 7 4 2" xfId="12329" xr:uid="{00000000-0005-0000-0000-0000BE350000}"/>
    <cellStyle name="Normal 5 3 7 5" xfId="12330" xr:uid="{00000000-0005-0000-0000-0000BF350000}"/>
    <cellStyle name="Normal 5 3 7 5 2" xfId="12331" xr:uid="{00000000-0005-0000-0000-0000C0350000}"/>
    <cellStyle name="Normal 5 3 7 6" xfId="12332" xr:uid="{00000000-0005-0000-0000-0000C1350000}"/>
    <cellStyle name="Normal 5 3 8" xfId="12333" xr:uid="{00000000-0005-0000-0000-0000C2350000}"/>
    <cellStyle name="Normal 5 3 8 2" xfId="12334" xr:uid="{00000000-0005-0000-0000-0000C3350000}"/>
    <cellStyle name="Normal 5 3 9" xfId="12335" xr:uid="{00000000-0005-0000-0000-0000C4350000}"/>
    <cellStyle name="Normal 5 3 9 2" xfId="12336" xr:uid="{00000000-0005-0000-0000-0000C5350000}"/>
    <cellStyle name="Normal 5 30" xfId="12337" xr:uid="{00000000-0005-0000-0000-0000C6350000}"/>
    <cellStyle name="Normal 5 31" xfId="12338" xr:uid="{00000000-0005-0000-0000-0000C7350000}"/>
    <cellStyle name="Normal 5 32" xfId="12339" xr:uid="{00000000-0005-0000-0000-0000C8350000}"/>
    <cellStyle name="Normal 5 33" xfId="12340" xr:uid="{00000000-0005-0000-0000-0000C9350000}"/>
    <cellStyle name="Normal 5 34" xfId="12341" xr:uid="{00000000-0005-0000-0000-0000CA350000}"/>
    <cellStyle name="Normal 5 35" xfId="12342" xr:uid="{00000000-0005-0000-0000-0000CB350000}"/>
    <cellStyle name="Normal 5 36" xfId="12343" xr:uid="{00000000-0005-0000-0000-0000CC350000}"/>
    <cellStyle name="Normal 5 37" xfId="12344" xr:uid="{00000000-0005-0000-0000-0000CD350000}"/>
    <cellStyle name="Normal 5 4" xfId="355" xr:uid="{00000000-0005-0000-0000-0000CE350000}"/>
    <cellStyle name="Normal 5 4 10" xfId="12346" xr:uid="{00000000-0005-0000-0000-0000CF350000}"/>
    <cellStyle name="Normal 5 4 10 2" xfId="12347" xr:uid="{00000000-0005-0000-0000-0000D0350000}"/>
    <cellStyle name="Normal 5 4 11" xfId="12348" xr:uid="{00000000-0005-0000-0000-0000D1350000}"/>
    <cellStyle name="Normal 5 4 11 2" xfId="12349" xr:uid="{00000000-0005-0000-0000-0000D2350000}"/>
    <cellStyle name="Normal 5 4 12" xfId="12350" xr:uid="{00000000-0005-0000-0000-0000D3350000}"/>
    <cellStyle name="Normal 5 4 12 2" xfId="12351" xr:uid="{00000000-0005-0000-0000-0000D4350000}"/>
    <cellStyle name="Normal 5 4 13" xfId="12352" xr:uid="{00000000-0005-0000-0000-0000D5350000}"/>
    <cellStyle name="Normal 5 4 13 2" xfId="12353" xr:uid="{00000000-0005-0000-0000-0000D6350000}"/>
    <cellStyle name="Normal 5 4 14" xfId="12354" xr:uid="{00000000-0005-0000-0000-0000D7350000}"/>
    <cellStyle name="Normal 5 4 14 2" xfId="12355" xr:uid="{00000000-0005-0000-0000-0000D8350000}"/>
    <cellStyle name="Normal 5 4 15" xfId="12356" xr:uid="{00000000-0005-0000-0000-0000D9350000}"/>
    <cellStyle name="Normal 5 4 15 2" xfId="12357" xr:uid="{00000000-0005-0000-0000-0000DA350000}"/>
    <cellStyle name="Normal 5 4 16" xfId="12358" xr:uid="{00000000-0005-0000-0000-0000DB350000}"/>
    <cellStyle name="Normal 5 4 16 2" xfId="12359" xr:uid="{00000000-0005-0000-0000-0000DC350000}"/>
    <cellStyle name="Normal 5 4 17" xfId="12360" xr:uid="{00000000-0005-0000-0000-0000DD350000}"/>
    <cellStyle name="Normal 5 4 17 2" xfId="12361" xr:uid="{00000000-0005-0000-0000-0000DE350000}"/>
    <cellStyle name="Normal 5 4 18" xfId="12362" xr:uid="{00000000-0005-0000-0000-0000DF350000}"/>
    <cellStyle name="Normal 5 4 18 2" xfId="12363" xr:uid="{00000000-0005-0000-0000-0000E0350000}"/>
    <cellStyle name="Normal 5 4 19" xfId="12364" xr:uid="{00000000-0005-0000-0000-0000E1350000}"/>
    <cellStyle name="Normal 5 4 19 2" xfId="12365" xr:uid="{00000000-0005-0000-0000-0000E2350000}"/>
    <cellStyle name="Normal 5 4 2" xfId="356" xr:uid="{00000000-0005-0000-0000-0000E3350000}"/>
    <cellStyle name="Normal 5 4 2 10" xfId="12366" xr:uid="{00000000-0005-0000-0000-0000E4350000}"/>
    <cellStyle name="Normal 5 4 2 10 2" xfId="12367" xr:uid="{00000000-0005-0000-0000-0000E5350000}"/>
    <cellStyle name="Normal 5 4 2 11" xfId="12368" xr:uid="{00000000-0005-0000-0000-0000E6350000}"/>
    <cellStyle name="Normal 5 4 2 11 2" xfId="12369" xr:uid="{00000000-0005-0000-0000-0000E7350000}"/>
    <cellStyle name="Normal 5 4 2 12" xfId="12370" xr:uid="{00000000-0005-0000-0000-0000E8350000}"/>
    <cellStyle name="Normal 5 4 2 12 2" xfId="12371" xr:uid="{00000000-0005-0000-0000-0000E9350000}"/>
    <cellStyle name="Normal 5 4 2 13" xfId="12372" xr:uid="{00000000-0005-0000-0000-0000EA350000}"/>
    <cellStyle name="Normal 5 4 2 13 2" xfId="12373" xr:uid="{00000000-0005-0000-0000-0000EB350000}"/>
    <cellStyle name="Normal 5 4 2 14" xfId="12374" xr:uid="{00000000-0005-0000-0000-0000EC350000}"/>
    <cellStyle name="Normal 5 4 2 14 2" xfId="12375" xr:uid="{00000000-0005-0000-0000-0000ED350000}"/>
    <cellStyle name="Normal 5 4 2 15" xfId="12376" xr:uid="{00000000-0005-0000-0000-0000EE350000}"/>
    <cellStyle name="Normal 5 4 2 15 2" xfId="12377" xr:uid="{00000000-0005-0000-0000-0000EF350000}"/>
    <cellStyle name="Normal 5 4 2 16" xfId="12378" xr:uid="{00000000-0005-0000-0000-0000F0350000}"/>
    <cellStyle name="Normal 5 4 2 16 2" xfId="12379" xr:uid="{00000000-0005-0000-0000-0000F1350000}"/>
    <cellStyle name="Normal 5 4 2 17" xfId="12380" xr:uid="{00000000-0005-0000-0000-0000F2350000}"/>
    <cellStyle name="Normal 5 4 2 17 2" xfId="12381" xr:uid="{00000000-0005-0000-0000-0000F3350000}"/>
    <cellStyle name="Normal 5 4 2 18" xfId="12382" xr:uid="{00000000-0005-0000-0000-0000F4350000}"/>
    <cellStyle name="Normal 5 4 2 18 2" xfId="12383" xr:uid="{00000000-0005-0000-0000-0000F5350000}"/>
    <cellStyle name="Normal 5 4 2 19" xfId="12384" xr:uid="{00000000-0005-0000-0000-0000F6350000}"/>
    <cellStyle name="Normal 5 4 2 19 2" xfId="12385" xr:uid="{00000000-0005-0000-0000-0000F7350000}"/>
    <cellStyle name="Normal 5 4 2 2" xfId="357" xr:uid="{00000000-0005-0000-0000-0000F8350000}"/>
    <cellStyle name="Normal 5 4 2 2 10" xfId="12386" xr:uid="{00000000-0005-0000-0000-0000F9350000}"/>
    <cellStyle name="Normal 5 4 2 2 10 2" xfId="12387" xr:uid="{00000000-0005-0000-0000-0000FA350000}"/>
    <cellStyle name="Normal 5 4 2 2 11" xfId="12388" xr:uid="{00000000-0005-0000-0000-0000FB350000}"/>
    <cellStyle name="Normal 5 4 2 2 11 2" xfId="12389" xr:uid="{00000000-0005-0000-0000-0000FC350000}"/>
    <cellStyle name="Normal 5 4 2 2 12" xfId="12390" xr:uid="{00000000-0005-0000-0000-0000FD350000}"/>
    <cellStyle name="Normal 5 4 2 2 12 2" xfId="12391" xr:uid="{00000000-0005-0000-0000-0000FE350000}"/>
    <cellStyle name="Normal 5 4 2 2 13" xfId="12392" xr:uid="{00000000-0005-0000-0000-0000FF350000}"/>
    <cellStyle name="Normal 5 4 2 2 13 2" xfId="12393" xr:uid="{00000000-0005-0000-0000-000000360000}"/>
    <cellStyle name="Normal 5 4 2 2 14" xfId="12394" xr:uid="{00000000-0005-0000-0000-000001360000}"/>
    <cellStyle name="Normal 5 4 2 2 14 2" xfId="12395" xr:uid="{00000000-0005-0000-0000-000002360000}"/>
    <cellStyle name="Normal 5 4 2 2 15" xfId="12396" xr:uid="{00000000-0005-0000-0000-000003360000}"/>
    <cellStyle name="Normal 5 4 2 2 15 2" xfId="12397" xr:uid="{00000000-0005-0000-0000-000004360000}"/>
    <cellStyle name="Normal 5 4 2 2 16" xfId="12398" xr:uid="{00000000-0005-0000-0000-000005360000}"/>
    <cellStyle name="Normal 5 4 2 2 16 2" xfId="12399" xr:uid="{00000000-0005-0000-0000-000006360000}"/>
    <cellStyle name="Normal 5 4 2 2 17" xfId="12400" xr:uid="{00000000-0005-0000-0000-000007360000}"/>
    <cellStyle name="Normal 5 4 2 2 17 2" xfId="12401" xr:uid="{00000000-0005-0000-0000-000008360000}"/>
    <cellStyle name="Normal 5 4 2 2 18" xfId="12402" xr:uid="{00000000-0005-0000-0000-000009360000}"/>
    <cellStyle name="Normal 5 4 2 2 18 2" xfId="12403" xr:uid="{00000000-0005-0000-0000-00000A360000}"/>
    <cellStyle name="Normal 5 4 2 2 19" xfId="12404" xr:uid="{00000000-0005-0000-0000-00000B360000}"/>
    <cellStyle name="Normal 5 4 2 2 19 2" xfId="12405" xr:uid="{00000000-0005-0000-0000-00000C360000}"/>
    <cellStyle name="Normal 5 4 2 2 2" xfId="12406" xr:uid="{00000000-0005-0000-0000-00000D360000}"/>
    <cellStyle name="Normal 5 4 2 2 2 2" xfId="12407" xr:uid="{00000000-0005-0000-0000-00000E360000}"/>
    <cellStyle name="Normal 5 4 2 2 20" xfId="12408" xr:uid="{00000000-0005-0000-0000-00000F360000}"/>
    <cellStyle name="Normal 5 4 2 2 20 2" xfId="12409" xr:uid="{00000000-0005-0000-0000-000010360000}"/>
    <cellStyle name="Normal 5 4 2 2 21" xfId="12410" xr:uid="{00000000-0005-0000-0000-000011360000}"/>
    <cellStyle name="Normal 5 4 2 2 21 2" xfId="12411" xr:uid="{00000000-0005-0000-0000-000012360000}"/>
    <cellStyle name="Normal 5 4 2 2 22" xfId="12412" xr:uid="{00000000-0005-0000-0000-000013360000}"/>
    <cellStyle name="Normal 5 4 2 2 22 2" xfId="12413" xr:uid="{00000000-0005-0000-0000-000014360000}"/>
    <cellStyle name="Normal 5 4 2 2 23" xfId="12414" xr:uid="{00000000-0005-0000-0000-000015360000}"/>
    <cellStyle name="Normal 5 4 2 2 23 2" xfId="12415" xr:uid="{00000000-0005-0000-0000-000016360000}"/>
    <cellStyle name="Normal 5 4 2 2 24" xfId="12416" xr:uid="{00000000-0005-0000-0000-000017360000}"/>
    <cellStyle name="Normal 5 4 2 2 24 2" xfId="12417" xr:uid="{00000000-0005-0000-0000-000018360000}"/>
    <cellStyle name="Normal 5 4 2 2 25" xfId="12418" xr:uid="{00000000-0005-0000-0000-000019360000}"/>
    <cellStyle name="Normal 5 4 2 2 25 2" xfId="12419" xr:uid="{00000000-0005-0000-0000-00001A360000}"/>
    <cellStyle name="Normal 5 4 2 2 26" xfId="12420" xr:uid="{00000000-0005-0000-0000-00001B360000}"/>
    <cellStyle name="Normal 5 4 2 2 26 2" xfId="12421" xr:uid="{00000000-0005-0000-0000-00001C360000}"/>
    <cellStyle name="Normal 5 4 2 2 27" xfId="12422" xr:uid="{00000000-0005-0000-0000-00001D360000}"/>
    <cellStyle name="Normal 5 4 2 2 27 2" xfId="12423" xr:uid="{00000000-0005-0000-0000-00001E360000}"/>
    <cellStyle name="Normal 5 4 2 2 28" xfId="12424" xr:uid="{00000000-0005-0000-0000-00001F360000}"/>
    <cellStyle name="Normal 5 4 2 2 28 2" xfId="12425" xr:uid="{00000000-0005-0000-0000-000020360000}"/>
    <cellStyle name="Normal 5 4 2 2 29" xfId="12426" xr:uid="{00000000-0005-0000-0000-000021360000}"/>
    <cellStyle name="Normal 5 4 2 2 29 2" xfId="12427" xr:uid="{00000000-0005-0000-0000-000022360000}"/>
    <cellStyle name="Normal 5 4 2 2 3" xfId="12428" xr:uid="{00000000-0005-0000-0000-000023360000}"/>
    <cellStyle name="Normal 5 4 2 2 3 2" xfId="12429" xr:uid="{00000000-0005-0000-0000-000024360000}"/>
    <cellStyle name="Normal 5 4 2 2 30" xfId="12430" xr:uid="{00000000-0005-0000-0000-000025360000}"/>
    <cellStyle name="Normal 5 4 2 2 30 2" xfId="12431" xr:uid="{00000000-0005-0000-0000-000026360000}"/>
    <cellStyle name="Normal 5 4 2 2 31" xfId="12432" xr:uid="{00000000-0005-0000-0000-000027360000}"/>
    <cellStyle name="Normal 5 4 2 2 31 2" xfId="12433" xr:uid="{00000000-0005-0000-0000-000028360000}"/>
    <cellStyle name="Normal 5 4 2 2 32" xfId="12434" xr:uid="{00000000-0005-0000-0000-000029360000}"/>
    <cellStyle name="Normal 5 4 2 2 32 2" xfId="12435" xr:uid="{00000000-0005-0000-0000-00002A360000}"/>
    <cellStyle name="Normal 5 4 2 2 33" xfId="12436" xr:uid="{00000000-0005-0000-0000-00002B360000}"/>
    <cellStyle name="Normal 5 4 2 2 33 2" xfId="12437" xr:uid="{00000000-0005-0000-0000-00002C360000}"/>
    <cellStyle name="Normal 5 4 2 2 34" xfId="12438" xr:uid="{00000000-0005-0000-0000-00002D360000}"/>
    <cellStyle name="Normal 5 4 2 2 34 2" xfId="12439" xr:uid="{00000000-0005-0000-0000-00002E360000}"/>
    <cellStyle name="Normal 5 4 2 2 35" xfId="12440" xr:uid="{00000000-0005-0000-0000-00002F360000}"/>
    <cellStyle name="Normal 5 4 2 2 4" xfId="12441" xr:uid="{00000000-0005-0000-0000-000030360000}"/>
    <cellStyle name="Normal 5 4 2 2 4 2" xfId="12442" xr:uid="{00000000-0005-0000-0000-000031360000}"/>
    <cellStyle name="Normal 5 4 2 2 5" xfId="12443" xr:uid="{00000000-0005-0000-0000-000032360000}"/>
    <cellStyle name="Normal 5 4 2 2 5 2" xfId="12444" xr:uid="{00000000-0005-0000-0000-000033360000}"/>
    <cellStyle name="Normal 5 4 2 2 6" xfId="12445" xr:uid="{00000000-0005-0000-0000-000034360000}"/>
    <cellStyle name="Normal 5 4 2 2 6 2" xfId="12446" xr:uid="{00000000-0005-0000-0000-000035360000}"/>
    <cellStyle name="Normal 5 4 2 2 7" xfId="12447" xr:uid="{00000000-0005-0000-0000-000036360000}"/>
    <cellStyle name="Normal 5 4 2 2 7 2" xfId="12448" xr:uid="{00000000-0005-0000-0000-000037360000}"/>
    <cellStyle name="Normal 5 4 2 2 8" xfId="12449" xr:uid="{00000000-0005-0000-0000-000038360000}"/>
    <cellStyle name="Normal 5 4 2 2 8 2" xfId="12450" xr:uid="{00000000-0005-0000-0000-000039360000}"/>
    <cellStyle name="Normal 5 4 2 2 9" xfId="12451" xr:uid="{00000000-0005-0000-0000-00003A360000}"/>
    <cellStyle name="Normal 5 4 2 2 9 2" xfId="12452" xr:uid="{00000000-0005-0000-0000-00003B360000}"/>
    <cellStyle name="Normal 5 4 2 20" xfId="12453" xr:uid="{00000000-0005-0000-0000-00003C360000}"/>
    <cellStyle name="Normal 5 4 2 20 2" xfId="12454" xr:uid="{00000000-0005-0000-0000-00003D360000}"/>
    <cellStyle name="Normal 5 4 2 21" xfId="12455" xr:uid="{00000000-0005-0000-0000-00003E360000}"/>
    <cellStyle name="Normal 5 4 2 21 2" xfId="12456" xr:uid="{00000000-0005-0000-0000-00003F360000}"/>
    <cellStyle name="Normal 5 4 2 22" xfId="12457" xr:uid="{00000000-0005-0000-0000-000040360000}"/>
    <cellStyle name="Normal 5 4 2 22 2" xfId="12458" xr:uid="{00000000-0005-0000-0000-000041360000}"/>
    <cellStyle name="Normal 5 4 2 23" xfId="12459" xr:uid="{00000000-0005-0000-0000-000042360000}"/>
    <cellStyle name="Normal 5 4 2 23 2" xfId="12460" xr:uid="{00000000-0005-0000-0000-000043360000}"/>
    <cellStyle name="Normal 5 4 2 24" xfId="12461" xr:uid="{00000000-0005-0000-0000-000044360000}"/>
    <cellStyle name="Normal 5 4 2 24 2" xfId="12462" xr:uid="{00000000-0005-0000-0000-000045360000}"/>
    <cellStyle name="Normal 5 4 2 25" xfId="12463" xr:uid="{00000000-0005-0000-0000-000046360000}"/>
    <cellStyle name="Normal 5 4 2 25 2" xfId="12464" xr:uid="{00000000-0005-0000-0000-000047360000}"/>
    <cellStyle name="Normal 5 4 2 26" xfId="12465" xr:uid="{00000000-0005-0000-0000-000048360000}"/>
    <cellStyle name="Normal 5 4 2 26 2" xfId="12466" xr:uid="{00000000-0005-0000-0000-000049360000}"/>
    <cellStyle name="Normal 5 4 2 27" xfId="12467" xr:uid="{00000000-0005-0000-0000-00004A360000}"/>
    <cellStyle name="Normal 5 4 2 27 2" xfId="12468" xr:uid="{00000000-0005-0000-0000-00004B360000}"/>
    <cellStyle name="Normal 5 4 2 28" xfId="12469" xr:uid="{00000000-0005-0000-0000-00004C360000}"/>
    <cellStyle name="Normal 5 4 2 28 2" xfId="12470" xr:uid="{00000000-0005-0000-0000-00004D360000}"/>
    <cellStyle name="Normal 5 4 2 29" xfId="12471" xr:uid="{00000000-0005-0000-0000-00004E360000}"/>
    <cellStyle name="Normal 5 4 2 29 2" xfId="12472" xr:uid="{00000000-0005-0000-0000-00004F360000}"/>
    <cellStyle name="Normal 5 4 2 3" xfId="12473" xr:uid="{00000000-0005-0000-0000-000050360000}"/>
    <cellStyle name="Normal 5 4 2 3 10" xfId="12474" xr:uid="{00000000-0005-0000-0000-000051360000}"/>
    <cellStyle name="Normal 5 4 2 3 10 2" xfId="12475" xr:uid="{00000000-0005-0000-0000-000052360000}"/>
    <cellStyle name="Normal 5 4 2 3 11" xfId="12476" xr:uid="{00000000-0005-0000-0000-000053360000}"/>
    <cellStyle name="Normal 5 4 2 3 11 2" xfId="12477" xr:uid="{00000000-0005-0000-0000-000054360000}"/>
    <cellStyle name="Normal 5 4 2 3 12" xfId="12478" xr:uid="{00000000-0005-0000-0000-000055360000}"/>
    <cellStyle name="Normal 5 4 2 3 12 2" xfId="12479" xr:uid="{00000000-0005-0000-0000-000056360000}"/>
    <cellStyle name="Normal 5 4 2 3 13" xfId="12480" xr:uid="{00000000-0005-0000-0000-000057360000}"/>
    <cellStyle name="Normal 5 4 2 3 13 2" xfId="12481" xr:uid="{00000000-0005-0000-0000-000058360000}"/>
    <cellStyle name="Normal 5 4 2 3 14" xfId="12482" xr:uid="{00000000-0005-0000-0000-000059360000}"/>
    <cellStyle name="Normal 5 4 2 3 14 2" xfId="12483" xr:uid="{00000000-0005-0000-0000-00005A360000}"/>
    <cellStyle name="Normal 5 4 2 3 15" xfId="12484" xr:uid="{00000000-0005-0000-0000-00005B360000}"/>
    <cellStyle name="Normal 5 4 2 3 15 2" xfId="12485" xr:uid="{00000000-0005-0000-0000-00005C360000}"/>
    <cellStyle name="Normal 5 4 2 3 16" xfId="12486" xr:uid="{00000000-0005-0000-0000-00005D360000}"/>
    <cellStyle name="Normal 5 4 2 3 16 2" xfId="12487" xr:uid="{00000000-0005-0000-0000-00005E360000}"/>
    <cellStyle name="Normal 5 4 2 3 17" xfId="12488" xr:uid="{00000000-0005-0000-0000-00005F360000}"/>
    <cellStyle name="Normal 5 4 2 3 17 2" xfId="12489" xr:uid="{00000000-0005-0000-0000-000060360000}"/>
    <cellStyle name="Normal 5 4 2 3 18" xfId="12490" xr:uid="{00000000-0005-0000-0000-000061360000}"/>
    <cellStyle name="Normal 5 4 2 3 18 2" xfId="12491" xr:uid="{00000000-0005-0000-0000-000062360000}"/>
    <cellStyle name="Normal 5 4 2 3 19" xfId="12492" xr:uid="{00000000-0005-0000-0000-000063360000}"/>
    <cellStyle name="Normal 5 4 2 3 19 2" xfId="12493" xr:uid="{00000000-0005-0000-0000-000064360000}"/>
    <cellStyle name="Normal 5 4 2 3 2" xfId="12494" xr:uid="{00000000-0005-0000-0000-000065360000}"/>
    <cellStyle name="Normal 5 4 2 3 2 2" xfId="12495" xr:uid="{00000000-0005-0000-0000-000066360000}"/>
    <cellStyle name="Normal 5 4 2 3 20" xfId="12496" xr:uid="{00000000-0005-0000-0000-000067360000}"/>
    <cellStyle name="Normal 5 4 2 3 20 2" xfId="12497" xr:uid="{00000000-0005-0000-0000-000068360000}"/>
    <cellStyle name="Normal 5 4 2 3 21" xfId="12498" xr:uid="{00000000-0005-0000-0000-000069360000}"/>
    <cellStyle name="Normal 5 4 2 3 21 2" xfId="12499" xr:uid="{00000000-0005-0000-0000-00006A360000}"/>
    <cellStyle name="Normal 5 4 2 3 22" xfId="12500" xr:uid="{00000000-0005-0000-0000-00006B360000}"/>
    <cellStyle name="Normal 5 4 2 3 22 2" xfId="12501" xr:uid="{00000000-0005-0000-0000-00006C360000}"/>
    <cellStyle name="Normal 5 4 2 3 23" xfId="12502" xr:uid="{00000000-0005-0000-0000-00006D360000}"/>
    <cellStyle name="Normal 5 4 2 3 23 2" xfId="12503" xr:uid="{00000000-0005-0000-0000-00006E360000}"/>
    <cellStyle name="Normal 5 4 2 3 24" xfId="12504" xr:uid="{00000000-0005-0000-0000-00006F360000}"/>
    <cellStyle name="Normal 5 4 2 3 24 2" xfId="12505" xr:uid="{00000000-0005-0000-0000-000070360000}"/>
    <cellStyle name="Normal 5 4 2 3 25" xfId="12506" xr:uid="{00000000-0005-0000-0000-000071360000}"/>
    <cellStyle name="Normal 5 4 2 3 25 2" xfId="12507" xr:uid="{00000000-0005-0000-0000-000072360000}"/>
    <cellStyle name="Normal 5 4 2 3 26" xfId="12508" xr:uid="{00000000-0005-0000-0000-000073360000}"/>
    <cellStyle name="Normal 5 4 2 3 26 2" xfId="12509" xr:uid="{00000000-0005-0000-0000-000074360000}"/>
    <cellStyle name="Normal 5 4 2 3 27" xfId="12510" xr:uid="{00000000-0005-0000-0000-000075360000}"/>
    <cellStyle name="Normal 5 4 2 3 27 2" xfId="12511" xr:uid="{00000000-0005-0000-0000-000076360000}"/>
    <cellStyle name="Normal 5 4 2 3 28" xfId="12512" xr:uid="{00000000-0005-0000-0000-000077360000}"/>
    <cellStyle name="Normal 5 4 2 3 28 2" xfId="12513" xr:uid="{00000000-0005-0000-0000-000078360000}"/>
    <cellStyle name="Normal 5 4 2 3 29" xfId="12514" xr:uid="{00000000-0005-0000-0000-000079360000}"/>
    <cellStyle name="Normal 5 4 2 3 29 2" xfId="12515" xr:uid="{00000000-0005-0000-0000-00007A360000}"/>
    <cellStyle name="Normal 5 4 2 3 3" xfId="12516" xr:uid="{00000000-0005-0000-0000-00007B360000}"/>
    <cellStyle name="Normal 5 4 2 3 3 2" xfId="12517" xr:uid="{00000000-0005-0000-0000-00007C360000}"/>
    <cellStyle name="Normal 5 4 2 3 30" xfId="12518" xr:uid="{00000000-0005-0000-0000-00007D360000}"/>
    <cellStyle name="Normal 5 4 2 3 30 2" xfId="12519" xr:uid="{00000000-0005-0000-0000-00007E360000}"/>
    <cellStyle name="Normal 5 4 2 3 31" xfId="12520" xr:uid="{00000000-0005-0000-0000-00007F360000}"/>
    <cellStyle name="Normal 5 4 2 3 31 2" xfId="12521" xr:uid="{00000000-0005-0000-0000-000080360000}"/>
    <cellStyle name="Normal 5 4 2 3 32" xfId="12522" xr:uid="{00000000-0005-0000-0000-000081360000}"/>
    <cellStyle name="Normal 5 4 2 3 32 2" xfId="12523" xr:uid="{00000000-0005-0000-0000-000082360000}"/>
    <cellStyle name="Normal 5 4 2 3 33" xfId="12524" xr:uid="{00000000-0005-0000-0000-000083360000}"/>
    <cellStyle name="Normal 5 4 2 3 33 2" xfId="12525" xr:uid="{00000000-0005-0000-0000-000084360000}"/>
    <cellStyle name="Normal 5 4 2 3 34" xfId="12526" xr:uid="{00000000-0005-0000-0000-000085360000}"/>
    <cellStyle name="Normal 5 4 2 3 34 2" xfId="12527" xr:uid="{00000000-0005-0000-0000-000086360000}"/>
    <cellStyle name="Normal 5 4 2 3 35" xfId="12528" xr:uid="{00000000-0005-0000-0000-000087360000}"/>
    <cellStyle name="Normal 5 4 2 3 4" xfId="12529" xr:uid="{00000000-0005-0000-0000-000088360000}"/>
    <cellStyle name="Normal 5 4 2 3 4 2" xfId="12530" xr:uid="{00000000-0005-0000-0000-000089360000}"/>
    <cellStyle name="Normal 5 4 2 3 5" xfId="12531" xr:uid="{00000000-0005-0000-0000-00008A360000}"/>
    <cellStyle name="Normal 5 4 2 3 5 2" xfId="12532" xr:uid="{00000000-0005-0000-0000-00008B360000}"/>
    <cellStyle name="Normal 5 4 2 3 6" xfId="12533" xr:uid="{00000000-0005-0000-0000-00008C360000}"/>
    <cellStyle name="Normal 5 4 2 3 6 2" xfId="12534" xr:uid="{00000000-0005-0000-0000-00008D360000}"/>
    <cellStyle name="Normal 5 4 2 3 7" xfId="12535" xr:uid="{00000000-0005-0000-0000-00008E360000}"/>
    <cellStyle name="Normal 5 4 2 3 7 2" xfId="12536" xr:uid="{00000000-0005-0000-0000-00008F360000}"/>
    <cellStyle name="Normal 5 4 2 3 8" xfId="12537" xr:uid="{00000000-0005-0000-0000-000090360000}"/>
    <cellStyle name="Normal 5 4 2 3 8 2" xfId="12538" xr:uid="{00000000-0005-0000-0000-000091360000}"/>
    <cellStyle name="Normal 5 4 2 3 9" xfId="12539" xr:uid="{00000000-0005-0000-0000-000092360000}"/>
    <cellStyle name="Normal 5 4 2 3 9 2" xfId="12540" xr:uid="{00000000-0005-0000-0000-000093360000}"/>
    <cellStyle name="Normal 5 4 2 30" xfId="12541" xr:uid="{00000000-0005-0000-0000-000094360000}"/>
    <cellStyle name="Normal 5 4 2 30 2" xfId="12542" xr:uid="{00000000-0005-0000-0000-000095360000}"/>
    <cellStyle name="Normal 5 4 2 31" xfId="12543" xr:uid="{00000000-0005-0000-0000-000096360000}"/>
    <cellStyle name="Normal 5 4 2 31 2" xfId="12544" xr:uid="{00000000-0005-0000-0000-000097360000}"/>
    <cellStyle name="Normal 5 4 2 32" xfId="12545" xr:uid="{00000000-0005-0000-0000-000098360000}"/>
    <cellStyle name="Normal 5 4 2 32 2" xfId="12546" xr:uid="{00000000-0005-0000-0000-000099360000}"/>
    <cellStyle name="Normal 5 4 2 33" xfId="12547" xr:uid="{00000000-0005-0000-0000-00009A360000}"/>
    <cellStyle name="Normal 5 4 2 33 2" xfId="12548" xr:uid="{00000000-0005-0000-0000-00009B360000}"/>
    <cellStyle name="Normal 5 4 2 34" xfId="12549" xr:uid="{00000000-0005-0000-0000-00009C360000}"/>
    <cellStyle name="Normal 5 4 2 34 2" xfId="12550" xr:uid="{00000000-0005-0000-0000-00009D360000}"/>
    <cellStyle name="Normal 5 4 2 35" xfId="12551" xr:uid="{00000000-0005-0000-0000-00009E360000}"/>
    <cellStyle name="Normal 5 4 2 35 2" xfId="12552" xr:uid="{00000000-0005-0000-0000-00009F360000}"/>
    <cellStyle name="Normal 5 4 2 36" xfId="12553" xr:uid="{00000000-0005-0000-0000-0000A0360000}"/>
    <cellStyle name="Normal 5 4 2 36 2" xfId="12554" xr:uid="{00000000-0005-0000-0000-0000A1360000}"/>
    <cellStyle name="Normal 5 4 2 37" xfId="12555" xr:uid="{00000000-0005-0000-0000-0000A2360000}"/>
    <cellStyle name="Normal 5 4 2 37 2" xfId="12556" xr:uid="{00000000-0005-0000-0000-0000A3360000}"/>
    <cellStyle name="Normal 5 4 2 38" xfId="12557" xr:uid="{00000000-0005-0000-0000-0000A4360000}"/>
    <cellStyle name="Normal 5 4 2 38 2" xfId="12558" xr:uid="{00000000-0005-0000-0000-0000A5360000}"/>
    <cellStyle name="Normal 5 4 2 39" xfId="12559" xr:uid="{00000000-0005-0000-0000-0000A6360000}"/>
    <cellStyle name="Normal 5 4 2 39 2" xfId="12560" xr:uid="{00000000-0005-0000-0000-0000A7360000}"/>
    <cellStyle name="Normal 5 4 2 4" xfId="12561" xr:uid="{00000000-0005-0000-0000-0000A8360000}"/>
    <cellStyle name="Normal 5 4 2 4 2" xfId="12562" xr:uid="{00000000-0005-0000-0000-0000A9360000}"/>
    <cellStyle name="Normal 5 4 2 4 2 2" xfId="12563" xr:uid="{00000000-0005-0000-0000-0000AA360000}"/>
    <cellStyle name="Normal 5 4 2 4 3" xfId="12564" xr:uid="{00000000-0005-0000-0000-0000AB360000}"/>
    <cellStyle name="Normal 5 4 2 4 3 2" xfId="12565" xr:uid="{00000000-0005-0000-0000-0000AC360000}"/>
    <cellStyle name="Normal 5 4 2 4 4" xfId="12566" xr:uid="{00000000-0005-0000-0000-0000AD360000}"/>
    <cellStyle name="Normal 5 4 2 4 4 2" xfId="12567" xr:uid="{00000000-0005-0000-0000-0000AE360000}"/>
    <cellStyle name="Normal 5 4 2 4 5" xfId="12568" xr:uid="{00000000-0005-0000-0000-0000AF360000}"/>
    <cellStyle name="Normal 5 4 2 4 5 2" xfId="12569" xr:uid="{00000000-0005-0000-0000-0000B0360000}"/>
    <cellStyle name="Normal 5 4 2 4 6" xfId="12570" xr:uid="{00000000-0005-0000-0000-0000B1360000}"/>
    <cellStyle name="Normal 5 4 2 40" xfId="12571" xr:uid="{00000000-0005-0000-0000-0000B2360000}"/>
    <cellStyle name="Normal 5 4 2 40 2" xfId="12572" xr:uid="{00000000-0005-0000-0000-0000B3360000}"/>
    <cellStyle name="Normal 5 4 2 41" xfId="12573" xr:uid="{00000000-0005-0000-0000-0000B4360000}"/>
    <cellStyle name="Normal 5 4 2 41 2" xfId="12574" xr:uid="{00000000-0005-0000-0000-0000B5360000}"/>
    <cellStyle name="Normal 5 4 2 42" xfId="12575" xr:uid="{00000000-0005-0000-0000-0000B6360000}"/>
    <cellStyle name="Normal 5 4 2 42 2" xfId="12576" xr:uid="{00000000-0005-0000-0000-0000B7360000}"/>
    <cellStyle name="Normal 5 4 2 43" xfId="12577" xr:uid="{00000000-0005-0000-0000-0000B8360000}"/>
    <cellStyle name="Normal 5 4 2 43 2" xfId="12578" xr:uid="{00000000-0005-0000-0000-0000B9360000}"/>
    <cellStyle name="Normal 5 4 2 44" xfId="12579" xr:uid="{00000000-0005-0000-0000-0000BA360000}"/>
    <cellStyle name="Normal 5 4 2 44 2" xfId="12580" xr:uid="{00000000-0005-0000-0000-0000BB360000}"/>
    <cellStyle name="Normal 5 4 2 45" xfId="12581" xr:uid="{00000000-0005-0000-0000-0000BC360000}"/>
    <cellStyle name="Normal 5 4 2 45 2" xfId="12582" xr:uid="{00000000-0005-0000-0000-0000BD360000}"/>
    <cellStyle name="Normal 5 4 2 46" xfId="12583" xr:uid="{00000000-0005-0000-0000-0000BE360000}"/>
    <cellStyle name="Normal 5 4 2 46 2" xfId="12584" xr:uid="{00000000-0005-0000-0000-0000BF360000}"/>
    <cellStyle name="Normal 5 4 2 47" xfId="12585" xr:uid="{00000000-0005-0000-0000-0000C0360000}"/>
    <cellStyle name="Normal 5 4 2 5" xfId="12586" xr:uid="{00000000-0005-0000-0000-0000C1360000}"/>
    <cellStyle name="Normal 5 4 2 5 2" xfId="12587" xr:uid="{00000000-0005-0000-0000-0000C2360000}"/>
    <cellStyle name="Normal 5 4 2 6" xfId="12588" xr:uid="{00000000-0005-0000-0000-0000C3360000}"/>
    <cellStyle name="Normal 5 4 2 6 2" xfId="12589" xr:uid="{00000000-0005-0000-0000-0000C4360000}"/>
    <cellStyle name="Normal 5 4 2 7" xfId="12590" xr:uid="{00000000-0005-0000-0000-0000C5360000}"/>
    <cellStyle name="Normal 5 4 2 7 2" xfId="12591" xr:uid="{00000000-0005-0000-0000-0000C6360000}"/>
    <cellStyle name="Normal 5 4 2 8" xfId="12592" xr:uid="{00000000-0005-0000-0000-0000C7360000}"/>
    <cellStyle name="Normal 5 4 2 8 2" xfId="12593" xr:uid="{00000000-0005-0000-0000-0000C8360000}"/>
    <cellStyle name="Normal 5 4 2 9" xfId="12594" xr:uid="{00000000-0005-0000-0000-0000C9360000}"/>
    <cellStyle name="Normal 5 4 2 9 2" xfId="12595" xr:uid="{00000000-0005-0000-0000-0000CA360000}"/>
    <cellStyle name="Normal 5 4 20" xfId="12596" xr:uid="{00000000-0005-0000-0000-0000CB360000}"/>
    <cellStyle name="Normal 5 4 20 2" xfId="12597" xr:uid="{00000000-0005-0000-0000-0000CC360000}"/>
    <cellStyle name="Normal 5 4 21" xfId="12598" xr:uid="{00000000-0005-0000-0000-0000CD360000}"/>
    <cellStyle name="Normal 5 4 21 2" xfId="12599" xr:uid="{00000000-0005-0000-0000-0000CE360000}"/>
    <cellStyle name="Normal 5 4 22" xfId="12600" xr:uid="{00000000-0005-0000-0000-0000CF360000}"/>
    <cellStyle name="Normal 5 4 22 2" xfId="12601" xr:uid="{00000000-0005-0000-0000-0000D0360000}"/>
    <cellStyle name="Normal 5 4 23" xfId="12602" xr:uid="{00000000-0005-0000-0000-0000D1360000}"/>
    <cellStyle name="Normal 5 4 23 2" xfId="12603" xr:uid="{00000000-0005-0000-0000-0000D2360000}"/>
    <cellStyle name="Normal 5 4 24" xfId="12604" xr:uid="{00000000-0005-0000-0000-0000D3360000}"/>
    <cellStyle name="Normal 5 4 24 2" xfId="12605" xr:uid="{00000000-0005-0000-0000-0000D4360000}"/>
    <cellStyle name="Normal 5 4 25" xfId="12606" xr:uid="{00000000-0005-0000-0000-0000D5360000}"/>
    <cellStyle name="Normal 5 4 25 2" xfId="12607" xr:uid="{00000000-0005-0000-0000-0000D6360000}"/>
    <cellStyle name="Normal 5 4 26" xfId="12608" xr:uid="{00000000-0005-0000-0000-0000D7360000}"/>
    <cellStyle name="Normal 5 4 26 2" xfId="12609" xr:uid="{00000000-0005-0000-0000-0000D8360000}"/>
    <cellStyle name="Normal 5 4 27" xfId="12610" xr:uid="{00000000-0005-0000-0000-0000D9360000}"/>
    <cellStyle name="Normal 5 4 27 2" xfId="12611" xr:uid="{00000000-0005-0000-0000-0000DA360000}"/>
    <cellStyle name="Normal 5 4 28" xfId="12612" xr:uid="{00000000-0005-0000-0000-0000DB360000}"/>
    <cellStyle name="Normal 5 4 28 2" xfId="12613" xr:uid="{00000000-0005-0000-0000-0000DC360000}"/>
    <cellStyle name="Normal 5 4 29" xfId="12614" xr:uid="{00000000-0005-0000-0000-0000DD360000}"/>
    <cellStyle name="Normal 5 4 29 2" xfId="12615" xr:uid="{00000000-0005-0000-0000-0000DE360000}"/>
    <cellStyle name="Normal 5 4 3" xfId="358" xr:uid="{00000000-0005-0000-0000-0000DF360000}"/>
    <cellStyle name="Normal 5 4 3 10" xfId="12616" xr:uid="{00000000-0005-0000-0000-0000E0360000}"/>
    <cellStyle name="Normal 5 4 3 10 2" xfId="12617" xr:uid="{00000000-0005-0000-0000-0000E1360000}"/>
    <cellStyle name="Normal 5 4 3 11" xfId="12618" xr:uid="{00000000-0005-0000-0000-0000E2360000}"/>
    <cellStyle name="Normal 5 4 3 11 2" xfId="12619" xr:uid="{00000000-0005-0000-0000-0000E3360000}"/>
    <cellStyle name="Normal 5 4 3 12" xfId="12620" xr:uid="{00000000-0005-0000-0000-0000E4360000}"/>
    <cellStyle name="Normal 5 4 3 12 2" xfId="12621" xr:uid="{00000000-0005-0000-0000-0000E5360000}"/>
    <cellStyle name="Normal 5 4 3 13" xfId="12622" xr:uid="{00000000-0005-0000-0000-0000E6360000}"/>
    <cellStyle name="Normal 5 4 3 13 2" xfId="12623" xr:uid="{00000000-0005-0000-0000-0000E7360000}"/>
    <cellStyle name="Normal 5 4 3 14" xfId="12624" xr:uid="{00000000-0005-0000-0000-0000E8360000}"/>
    <cellStyle name="Normal 5 4 3 14 2" xfId="12625" xr:uid="{00000000-0005-0000-0000-0000E9360000}"/>
    <cellStyle name="Normal 5 4 3 15" xfId="12626" xr:uid="{00000000-0005-0000-0000-0000EA360000}"/>
    <cellStyle name="Normal 5 4 3 15 2" xfId="12627" xr:uid="{00000000-0005-0000-0000-0000EB360000}"/>
    <cellStyle name="Normal 5 4 3 16" xfId="12628" xr:uid="{00000000-0005-0000-0000-0000EC360000}"/>
    <cellStyle name="Normal 5 4 3 16 2" xfId="12629" xr:uid="{00000000-0005-0000-0000-0000ED360000}"/>
    <cellStyle name="Normal 5 4 3 17" xfId="12630" xr:uid="{00000000-0005-0000-0000-0000EE360000}"/>
    <cellStyle name="Normal 5 4 3 17 2" xfId="12631" xr:uid="{00000000-0005-0000-0000-0000EF360000}"/>
    <cellStyle name="Normal 5 4 3 18" xfId="12632" xr:uid="{00000000-0005-0000-0000-0000F0360000}"/>
    <cellStyle name="Normal 5 4 3 18 2" xfId="12633" xr:uid="{00000000-0005-0000-0000-0000F1360000}"/>
    <cellStyle name="Normal 5 4 3 19" xfId="12634" xr:uid="{00000000-0005-0000-0000-0000F2360000}"/>
    <cellStyle name="Normal 5 4 3 19 2" xfId="12635" xr:uid="{00000000-0005-0000-0000-0000F3360000}"/>
    <cellStyle name="Normal 5 4 3 2" xfId="12636" xr:uid="{00000000-0005-0000-0000-0000F4360000}"/>
    <cellStyle name="Normal 5 4 3 2 10" xfId="12637" xr:uid="{00000000-0005-0000-0000-0000F5360000}"/>
    <cellStyle name="Normal 5 4 3 2 10 2" xfId="12638" xr:uid="{00000000-0005-0000-0000-0000F6360000}"/>
    <cellStyle name="Normal 5 4 3 2 11" xfId="12639" xr:uid="{00000000-0005-0000-0000-0000F7360000}"/>
    <cellStyle name="Normal 5 4 3 2 11 2" xfId="12640" xr:uid="{00000000-0005-0000-0000-0000F8360000}"/>
    <cellStyle name="Normal 5 4 3 2 12" xfId="12641" xr:uid="{00000000-0005-0000-0000-0000F9360000}"/>
    <cellStyle name="Normal 5 4 3 2 12 2" xfId="12642" xr:uid="{00000000-0005-0000-0000-0000FA360000}"/>
    <cellStyle name="Normal 5 4 3 2 13" xfId="12643" xr:uid="{00000000-0005-0000-0000-0000FB360000}"/>
    <cellStyle name="Normal 5 4 3 2 13 2" xfId="12644" xr:uid="{00000000-0005-0000-0000-0000FC360000}"/>
    <cellStyle name="Normal 5 4 3 2 14" xfId="12645" xr:uid="{00000000-0005-0000-0000-0000FD360000}"/>
    <cellStyle name="Normal 5 4 3 2 14 2" xfId="12646" xr:uid="{00000000-0005-0000-0000-0000FE360000}"/>
    <cellStyle name="Normal 5 4 3 2 15" xfId="12647" xr:uid="{00000000-0005-0000-0000-0000FF360000}"/>
    <cellStyle name="Normal 5 4 3 2 15 2" xfId="12648" xr:uid="{00000000-0005-0000-0000-000000370000}"/>
    <cellStyle name="Normal 5 4 3 2 16" xfId="12649" xr:uid="{00000000-0005-0000-0000-000001370000}"/>
    <cellStyle name="Normal 5 4 3 2 16 2" xfId="12650" xr:uid="{00000000-0005-0000-0000-000002370000}"/>
    <cellStyle name="Normal 5 4 3 2 17" xfId="12651" xr:uid="{00000000-0005-0000-0000-000003370000}"/>
    <cellStyle name="Normal 5 4 3 2 17 2" xfId="12652" xr:uid="{00000000-0005-0000-0000-000004370000}"/>
    <cellStyle name="Normal 5 4 3 2 18" xfId="12653" xr:uid="{00000000-0005-0000-0000-000005370000}"/>
    <cellStyle name="Normal 5 4 3 2 18 2" xfId="12654" xr:uid="{00000000-0005-0000-0000-000006370000}"/>
    <cellStyle name="Normal 5 4 3 2 19" xfId="12655" xr:uid="{00000000-0005-0000-0000-000007370000}"/>
    <cellStyle name="Normal 5 4 3 2 19 2" xfId="12656" xr:uid="{00000000-0005-0000-0000-000008370000}"/>
    <cellStyle name="Normal 5 4 3 2 2" xfId="12657" xr:uid="{00000000-0005-0000-0000-000009370000}"/>
    <cellStyle name="Normal 5 4 3 2 2 2" xfId="12658" xr:uid="{00000000-0005-0000-0000-00000A370000}"/>
    <cellStyle name="Normal 5 4 3 2 20" xfId="12659" xr:uid="{00000000-0005-0000-0000-00000B370000}"/>
    <cellStyle name="Normal 5 4 3 2 20 2" xfId="12660" xr:uid="{00000000-0005-0000-0000-00000C370000}"/>
    <cellStyle name="Normal 5 4 3 2 21" xfId="12661" xr:uid="{00000000-0005-0000-0000-00000D370000}"/>
    <cellStyle name="Normal 5 4 3 2 21 2" xfId="12662" xr:uid="{00000000-0005-0000-0000-00000E370000}"/>
    <cellStyle name="Normal 5 4 3 2 22" xfId="12663" xr:uid="{00000000-0005-0000-0000-00000F370000}"/>
    <cellStyle name="Normal 5 4 3 2 22 2" xfId="12664" xr:uid="{00000000-0005-0000-0000-000010370000}"/>
    <cellStyle name="Normal 5 4 3 2 23" xfId="12665" xr:uid="{00000000-0005-0000-0000-000011370000}"/>
    <cellStyle name="Normal 5 4 3 2 23 2" xfId="12666" xr:uid="{00000000-0005-0000-0000-000012370000}"/>
    <cellStyle name="Normal 5 4 3 2 24" xfId="12667" xr:uid="{00000000-0005-0000-0000-000013370000}"/>
    <cellStyle name="Normal 5 4 3 2 24 2" xfId="12668" xr:uid="{00000000-0005-0000-0000-000014370000}"/>
    <cellStyle name="Normal 5 4 3 2 25" xfId="12669" xr:uid="{00000000-0005-0000-0000-000015370000}"/>
    <cellStyle name="Normal 5 4 3 2 25 2" xfId="12670" xr:uid="{00000000-0005-0000-0000-000016370000}"/>
    <cellStyle name="Normal 5 4 3 2 26" xfId="12671" xr:uid="{00000000-0005-0000-0000-000017370000}"/>
    <cellStyle name="Normal 5 4 3 2 26 2" xfId="12672" xr:uid="{00000000-0005-0000-0000-000018370000}"/>
    <cellStyle name="Normal 5 4 3 2 27" xfId="12673" xr:uid="{00000000-0005-0000-0000-000019370000}"/>
    <cellStyle name="Normal 5 4 3 2 27 2" xfId="12674" xr:uid="{00000000-0005-0000-0000-00001A370000}"/>
    <cellStyle name="Normal 5 4 3 2 28" xfId="12675" xr:uid="{00000000-0005-0000-0000-00001B370000}"/>
    <cellStyle name="Normal 5 4 3 2 28 2" xfId="12676" xr:uid="{00000000-0005-0000-0000-00001C370000}"/>
    <cellStyle name="Normal 5 4 3 2 29" xfId="12677" xr:uid="{00000000-0005-0000-0000-00001D370000}"/>
    <cellStyle name="Normal 5 4 3 2 29 2" xfId="12678" xr:uid="{00000000-0005-0000-0000-00001E370000}"/>
    <cellStyle name="Normal 5 4 3 2 3" xfId="12679" xr:uid="{00000000-0005-0000-0000-00001F370000}"/>
    <cellStyle name="Normal 5 4 3 2 3 2" xfId="12680" xr:uid="{00000000-0005-0000-0000-000020370000}"/>
    <cellStyle name="Normal 5 4 3 2 30" xfId="12681" xr:uid="{00000000-0005-0000-0000-000021370000}"/>
    <cellStyle name="Normal 5 4 3 2 30 2" xfId="12682" xr:uid="{00000000-0005-0000-0000-000022370000}"/>
    <cellStyle name="Normal 5 4 3 2 31" xfId="12683" xr:uid="{00000000-0005-0000-0000-000023370000}"/>
    <cellStyle name="Normal 5 4 3 2 31 2" xfId="12684" xr:uid="{00000000-0005-0000-0000-000024370000}"/>
    <cellStyle name="Normal 5 4 3 2 32" xfId="12685" xr:uid="{00000000-0005-0000-0000-000025370000}"/>
    <cellStyle name="Normal 5 4 3 2 32 2" xfId="12686" xr:uid="{00000000-0005-0000-0000-000026370000}"/>
    <cellStyle name="Normal 5 4 3 2 33" xfId="12687" xr:uid="{00000000-0005-0000-0000-000027370000}"/>
    <cellStyle name="Normal 5 4 3 2 33 2" xfId="12688" xr:uid="{00000000-0005-0000-0000-000028370000}"/>
    <cellStyle name="Normal 5 4 3 2 34" xfId="12689" xr:uid="{00000000-0005-0000-0000-000029370000}"/>
    <cellStyle name="Normal 5 4 3 2 34 2" xfId="12690" xr:uid="{00000000-0005-0000-0000-00002A370000}"/>
    <cellStyle name="Normal 5 4 3 2 35" xfId="12691" xr:uid="{00000000-0005-0000-0000-00002B370000}"/>
    <cellStyle name="Normal 5 4 3 2 4" xfId="12692" xr:uid="{00000000-0005-0000-0000-00002C370000}"/>
    <cellStyle name="Normal 5 4 3 2 4 2" xfId="12693" xr:uid="{00000000-0005-0000-0000-00002D370000}"/>
    <cellStyle name="Normal 5 4 3 2 5" xfId="12694" xr:uid="{00000000-0005-0000-0000-00002E370000}"/>
    <cellStyle name="Normal 5 4 3 2 5 2" xfId="12695" xr:uid="{00000000-0005-0000-0000-00002F370000}"/>
    <cellStyle name="Normal 5 4 3 2 6" xfId="12696" xr:uid="{00000000-0005-0000-0000-000030370000}"/>
    <cellStyle name="Normal 5 4 3 2 6 2" xfId="12697" xr:uid="{00000000-0005-0000-0000-000031370000}"/>
    <cellStyle name="Normal 5 4 3 2 7" xfId="12698" xr:uid="{00000000-0005-0000-0000-000032370000}"/>
    <cellStyle name="Normal 5 4 3 2 7 2" xfId="12699" xr:uid="{00000000-0005-0000-0000-000033370000}"/>
    <cellStyle name="Normal 5 4 3 2 8" xfId="12700" xr:uid="{00000000-0005-0000-0000-000034370000}"/>
    <cellStyle name="Normal 5 4 3 2 8 2" xfId="12701" xr:uid="{00000000-0005-0000-0000-000035370000}"/>
    <cellStyle name="Normal 5 4 3 2 9" xfId="12702" xr:uid="{00000000-0005-0000-0000-000036370000}"/>
    <cellStyle name="Normal 5 4 3 2 9 2" xfId="12703" xr:uid="{00000000-0005-0000-0000-000037370000}"/>
    <cellStyle name="Normal 5 4 3 20" xfId="12704" xr:uid="{00000000-0005-0000-0000-000038370000}"/>
    <cellStyle name="Normal 5 4 3 20 2" xfId="12705" xr:uid="{00000000-0005-0000-0000-000039370000}"/>
    <cellStyle name="Normal 5 4 3 21" xfId="12706" xr:uid="{00000000-0005-0000-0000-00003A370000}"/>
    <cellStyle name="Normal 5 4 3 21 2" xfId="12707" xr:uid="{00000000-0005-0000-0000-00003B370000}"/>
    <cellStyle name="Normal 5 4 3 22" xfId="12708" xr:uid="{00000000-0005-0000-0000-00003C370000}"/>
    <cellStyle name="Normal 5 4 3 22 2" xfId="12709" xr:uid="{00000000-0005-0000-0000-00003D370000}"/>
    <cellStyle name="Normal 5 4 3 23" xfId="12710" xr:uid="{00000000-0005-0000-0000-00003E370000}"/>
    <cellStyle name="Normal 5 4 3 23 2" xfId="12711" xr:uid="{00000000-0005-0000-0000-00003F370000}"/>
    <cellStyle name="Normal 5 4 3 24" xfId="12712" xr:uid="{00000000-0005-0000-0000-000040370000}"/>
    <cellStyle name="Normal 5 4 3 24 2" xfId="12713" xr:uid="{00000000-0005-0000-0000-000041370000}"/>
    <cellStyle name="Normal 5 4 3 25" xfId="12714" xr:uid="{00000000-0005-0000-0000-000042370000}"/>
    <cellStyle name="Normal 5 4 3 25 2" xfId="12715" xr:uid="{00000000-0005-0000-0000-000043370000}"/>
    <cellStyle name="Normal 5 4 3 26" xfId="12716" xr:uid="{00000000-0005-0000-0000-000044370000}"/>
    <cellStyle name="Normal 5 4 3 26 2" xfId="12717" xr:uid="{00000000-0005-0000-0000-000045370000}"/>
    <cellStyle name="Normal 5 4 3 27" xfId="12718" xr:uid="{00000000-0005-0000-0000-000046370000}"/>
    <cellStyle name="Normal 5 4 3 27 2" xfId="12719" xr:uid="{00000000-0005-0000-0000-000047370000}"/>
    <cellStyle name="Normal 5 4 3 28" xfId="12720" xr:uid="{00000000-0005-0000-0000-000048370000}"/>
    <cellStyle name="Normal 5 4 3 28 2" xfId="12721" xr:uid="{00000000-0005-0000-0000-000049370000}"/>
    <cellStyle name="Normal 5 4 3 29" xfId="12722" xr:uid="{00000000-0005-0000-0000-00004A370000}"/>
    <cellStyle name="Normal 5 4 3 29 2" xfId="12723" xr:uid="{00000000-0005-0000-0000-00004B370000}"/>
    <cellStyle name="Normal 5 4 3 3" xfId="12724" xr:uid="{00000000-0005-0000-0000-00004C370000}"/>
    <cellStyle name="Normal 5 4 3 3 10" xfId="12725" xr:uid="{00000000-0005-0000-0000-00004D370000}"/>
    <cellStyle name="Normal 5 4 3 3 10 2" xfId="12726" xr:uid="{00000000-0005-0000-0000-00004E370000}"/>
    <cellStyle name="Normal 5 4 3 3 11" xfId="12727" xr:uid="{00000000-0005-0000-0000-00004F370000}"/>
    <cellStyle name="Normal 5 4 3 3 11 2" xfId="12728" xr:uid="{00000000-0005-0000-0000-000050370000}"/>
    <cellStyle name="Normal 5 4 3 3 12" xfId="12729" xr:uid="{00000000-0005-0000-0000-000051370000}"/>
    <cellStyle name="Normal 5 4 3 3 12 2" xfId="12730" xr:uid="{00000000-0005-0000-0000-000052370000}"/>
    <cellStyle name="Normal 5 4 3 3 13" xfId="12731" xr:uid="{00000000-0005-0000-0000-000053370000}"/>
    <cellStyle name="Normal 5 4 3 3 13 2" xfId="12732" xr:uid="{00000000-0005-0000-0000-000054370000}"/>
    <cellStyle name="Normal 5 4 3 3 14" xfId="12733" xr:uid="{00000000-0005-0000-0000-000055370000}"/>
    <cellStyle name="Normal 5 4 3 3 14 2" xfId="12734" xr:uid="{00000000-0005-0000-0000-000056370000}"/>
    <cellStyle name="Normal 5 4 3 3 15" xfId="12735" xr:uid="{00000000-0005-0000-0000-000057370000}"/>
    <cellStyle name="Normal 5 4 3 3 15 2" xfId="12736" xr:uid="{00000000-0005-0000-0000-000058370000}"/>
    <cellStyle name="Normal 5 4 3 3 16" xfId="12737" xr:uid="{00000000-0005-0000-0000-000059370000}"/>
    <cellStyle name="Normal 5 4 3 3 16 2" xfId="12738" xr:uid="{00000000-0005-0000-0000-00005A370000}"/>
    <cellStyle name="Normal 5 4 3 3 17" xfId="12739" xr:uid="{00000000-0005-0000-0000-00005B370000}"/>
    <cellStyle name="Normal 5 4 3 3 17 2" xfId="12740" xr:uid="{00000000-0005-0000-0000-00005C370000}"/>
    <cellStyle name="Normal 5 4 3 3 18" xfId="12741" xr:uid="{00000000-0005-0000-0000-00005D370000}"/>
    <cellStyle name="Normal 5 4 3 3 18 2" xfId="12742" xr:uid="{00000000-0005-0000-0000-00005E370000}"/>
    <cellStyle name="Normal 5 4 3 3 19" xfId="12743" xr:uid="{00000000-0005-0000-0000-00005F370000}"/>
    <cellStyle name="Normal 5 4 3 3 19 2" xfId="12744" xr:uid="{00000000-0005-0000-0000-000060370000}"/>
    <cellStyle name="Normal 5 4 3 3 2" xfId="12745" xr:uid="{00000000-0005-0000-0000-000061370000}"/>
    <cellStyle name="Normal 5 4 3 3 2 2" xfId="12746" xr:uid="{00000000-0005-0000-0000-000062370000}"/>
    <cellStyle name="Normal 5 4 3 3 20" xfId="12747" xr:uid="{00000000-0005-0000-0000-000063370000}"/>
    <cellStyle name="Normal 5 4 3 3 20 2" xfId="12748" xr:uid="{00000000-0005-0000-0000-000064370000}"/>
    <cellStyle name="Normal 5 4 3 3 21" xfId="12749" xr:uid="{00000000-0005-0000-0000-000065370000}"/>
    <cellStyle name="Normal 5 4 3 3 21 2" xfId="12750" xr:uid="{00000000-0005-0000-0000-000066370000}"/>
    <cellStyle name="Normal 5 4 3 3 22" xfId="12751" xr:uid="{00000000-0005-0000-0000-000067370000}"/>
    <cellStyle name="Normal 5 4 3 3 22 2" xfId="12752" xr:uid="{00000000-0005-0000-0000-000068370000}"/>
    <cellStyle name="Normal 5 4 3 3 23" xfId="12753" xr:uid="{00000000-0005-0000-0000-000069370000}"/>
    <cellStyle name="Normal 5 4 3 3 23 2" xfId="12754" xr:uid="{00000000-0005-0000-0000-00006A370000}"/>
    <cellStyle name="Normal 5 4 3 3 24" xfId="12755" xr:uid="{00000000-0005-0000-0000-00006B370000}"/>
    <cellStyle name="Normal 5 4 3 3 24 2" xfId="12756" xr:uid="{00000000-0005-0000-0000-00006C370000}"/>
    <cellStyle name="Normal 5 4 3 3 25" xfId="12757" xr:uid="{00000000-0005-0000-0000-00006D370000}"/>
    <cellStyle name="Normal 5 4 3 3 25 2" xfId="12758" xr:uid="{00000000-0005-0000-0000-00006E370000}"/>
    <cellStyle name="Normal 5 4 3 3 26" xfId="12759" xr:uid="{00000000-0005-0000-0000-00006F370000}"/>
    <cellStyle name="Normal 5 4 3 3 26 2" xfId="12760" xr:uid="{00000000-0005-0000-0000-000070370000}"/>
    <cellStyle name="Normal 5 4 3 3 27" xfId="12761" xr:uid="{00000000-0005-0000-0000-000071370000}"/>
    <cellStyle name="Normal 5 4 3 3 27 2" xfId="12762" xr:uid="{00000000-0005-0000-0000-000072370000}"/>
    <cellStyle name="Normal 5 4 3 3 28" xfId="12763" xr:uid="{00000000-0005-0000-0000-000073370000}"/>
    <cellStyle name="Normal 5 4 3 3 28 2" xfId="12764" xr:uid="{00000000-0005-0000-0000-000074370000}"/>
    <cellStyle name="Normal 5 4 3 3 29" xfId="12765" xr:uid="{00000000-0005-0000-0000-000075370000}"/>
    <cellStyle name="Normal 5 4 3 3 29 2" xfId="12766" xr:uid="{00000000-0005-0000-0000-000076370000}"/>
    <cellStyle name="Normal 5 4 3 3 3" xfId="12767" xr:uid="{00000000-0005-0000-0000-000077370000}"/>
    <cellStyle name="Normal 5 4 3 3 3 2" xfId="12768" xr:uid="{00000000-0005-0000-0000-000078370000}"/>
    <cellStyle name="Normal 5 4 3 3 30" xfId="12769" xr:uid="{00000000-0005-0000-0000-000079370000}"/>
    <cellStyle name="Normal 5 4 3 3 30 2" xfId="12770" xr:uid="{00000000-0005-0000-0000-00007A370000}"/>
    <cellStyle name="Normal 5 4 3 3 31" xfId="12771" xr:uid="{00000000-0005-0000-0000-00007B370000}"/>
    <cellStyle name="Normal 5 4 3 3 31 2" xfId="12772" xr:uid="{00000000-0005-0000-0000-00007C370000}"/>
    <cellStyle name="Normal 5 4 3 3 32" xfId="12773" xr:uid="{00000000-0005-0000-0000-00007D370000}"/>
    <cellStyle name="Normal 5 4 3 3 32 2" xfId="12774" xr:uid="{00000000-0005-0000-0000-00007E370000}"/>
    <cellStyle name="Normal 5 4 3 3 33" xfId="12775" xr:uid="{00000000-0005-0000-0000-00007F370000}"/>
    <cellStyle name="Normal 5 4 3 3 33 2" xfId="12776" xr:uid="{00000000-0005-0000-0000-000080370000}"/>
    <cellStyle name="Normal 5 4 3 3 34" xfId="12777" xr:uid="{00000000-0005-0000-0000-000081370000}"/>
    <cellStyle name="Normal 5 4 3 3 34 2" xfId="12778" xr:uid="{00000000-0005-0000-0000-000082370000}"/>
    <cellStyle name="Normal 5 4 3 3 35" xfId="12779" xr:uid="{00000000-0005-0000-0000-000083370000}"/>
    <cellStyle name="Normal 5 4 3 3 4" xfId="12780" xr:uid="{00000000-0005-0000-0000-000084370000}"/>
    <cellStyle name="Normal 5 4 3 3 4 2" xfId="12781" xr:uid="{00000000-0005-0000-0000-000085370000}"/>
    <cellStyle name="Normal 5 4 3 3 5" xfId="12782" xr:uid="{00000000-0005-0000-0000-000086370000}"/>
    <cellStyle name="Normal 5 4 3 3 5 2" xfId="12783" xr:uid="{00000000-0005-0000-0000-000087370000}"/>
    <cellStyle name="Normal 5 4 3 3 6" xfId="12784" xr:uid="{00000000-0005-0000-0000-000088370000}"/>
    <cellStyle name="Normal 5 4 3 3 6 2" xfId="12785" xr:uid="{00000000-0005-0000-0000-000089370000}"/>
    <cellStyle name="Normal 5 4 3 3 7" xfId="12786" xr:uid="{00000000-0005-0000-0000-00008A370000}"/>
    <cellStyle name="Normal 5 4 3 3 7 2" xfId="12787" xr:uid="{00000000-0005-0000-0000-00008B370000}"/>
    <cellStyle name="Normal 5 4 3 3 8" xfId="12788" xr:uid="{00000000-0005-0000-0000-00008C370000}"/>
    <cellStyle name="Normal 5 4 3 3 8 2" xfId="12789" xr:uid="{00000000-0005-0000-0000-00008D370000}"/>
    <cellStyle name="Normal 5 4 3 3 9" xfId="12790" xr:uid="{00000000-0005-0000-0000-00008E370000}"/>
    <cellStyle name="Normal 5 4 3 3 9 2" xfId="12791" xr:uid="{00000000-0005-0000-0000-00008F370000}"/>
    <cellStyle name="Normal 5 4 3 30" xfId="12792" xr:uid="{00000000-0005-0000-0000-000090370000}"/>
    <cellStyle name="Normal 5 4 3 30 2" xfId="12793" xr:uid="{00000000-0005-0000-0000-000091370000}"/>
    <cellStyle name="Normal 5 4 3 31" xfId="12794" xr:uid="{00000000-0005-0000-0000-000092370000}"/>
    <cellStyle name="Normal 5 4 3 31 2" xfId="12795" xr:uid="{00000000-0005-0000-0000-000093370000}"/>
    <cellStyle name="Normal 5 4 3 32" xfId="12796" xr:uid="{00000000-0005-0000-0000-000094370000}"/>
    <cellStyle name="Normal 5 4 3 32 2" xfId="12797" xr:uid="{00000000-0005-0000-0000-000095370000}"/>
    <cellStyle name="Normal 5 4 3 33" xfId="12798" xr:uid="{00000000-0005-0000-0000-000096370000}"/>
    <cellStyle name="Normal 5 4 3 33 2" xfId="12799" xr:uid="{00000000-0005-0000-0000-000097370000}"/>
    <cellStyle name="Normal 5 4 3 34" xfId="12800" xr:uid="{00000000-0005-0000-0000-000098370000}"/>
    <cellStyle name="Normal 5 4 3 34 2" xfId="12801" xr:uid="{00000000-0005-0000-0000-000099370000}"/>
    <cellStyle name="Normal 5 4 3 35" xfId="12802" xr:uid="{00000000-0005-0000-0000-00009A370000}"/>
    <cellStyle name="Normal 5 4 3 35 2" xfId="12803" xr:uid="{00000000-0005-0000-0000-00009B370000}"/>
    <cellStyle name="Normal 5 4 3 36" xfId="12804" xr:uid="{00000000-0005-0000-0000-00009C370000}"/>
    <cellStyle name="Normal 5 4 3 36 2" xfId="12805" xr:uid="{00000000-0005-0000-0000-00009D370000}"/>
    <cellStyle name="Normal 5 4 3 37" xfId="12806" xr:uid="{00000000-0005-0000-0000-00009E370000}"/>
    <cellStyle name="Normal 5 4 3 37 2" xfId="12807" xr:uid="{00000000-0005-0000-0000-00009F370000}"/>
    <cellStyle name="Normal 5 4 3 38" xfId="12808" xr:uid="{00000000-0005-0000-0000-0000A0370000}"/>
    <cellStyle name="Normal 5 4 3 38 2" xfId="12809" xr:uid="{00000000-0005-0000-0000-0000A1370000}"/>
    <cellStyle name="Normal 5 4 3 39" xfId="12810" xr:uid="{00000000-0005-0000-0000-0000A2370000}"/>
    <cellStyle name="Normal 5 4 3 39 2" xfId="12811" xr:uid="{00000000-0005-0000-0000-0000A3370000}"/>
    <cellStyle name="Normal 5 4 3 4" xfId="12812" xr:uid="{00000000-0005-0000-0000-0000A4370000}"/>
    <cellStyle name="Normal 5 4 3 4 2" xfId="12813" xr:uid="{00000000-0005-0000-0000-0000A5370000}"/>
    <cellStyle name="Normal 5 4 3 4 2 2" xfId="12814" xr:uid="{00000000-0005-0000-0000-0000A6370000}"/>
    <cellStyle name="Normal 5 4 3 4 3" xfId="12815" xr:uid="{00000000-0005-0000-0000-0000A7370000}"/>
    <cellStyle name="Normal 5 4 3 4 3 2" xfId="12816" xr:uid="{00000000-0005-0000-0000-0000A8370000}"/>
    <cellStyle name="Normal 5 4 3 4 4" xfId="12817" xr:uid="{00000000-0005-0000-0000-0000A9370000}"/>
    <cellStyle name="Normal 5 4 3 4 4 2" xfId="12818" xr:uid="{00000000-0005-0000-0000-0000AA370000}"/>
    <cellStyle name="Normal 5 4 3 4 5" xfId="12819" xr:uid="{00000000-0005-0000-0000-0000AB370000}"/>
    <cellStyle name="Normal 5 4 3 4 5 2" xfId="12820" xr:uid="{00000000-0005-0000-0000-0000AC370000}"/>
    <cellStyle name="Normal 5 4 3 4 6" xfId="12821" xr:uid="{00000000-0005-0000-0000-0000AD370000}"/>
    <cellStyle name="Normal 5 4 3 40" xfId="12822" xr:uid="{00000000-0005-0000-0000-0000AE370000}"/>
    <cellStyle name="Normal 5 4 3 40 2" xfId="12823" xr:uid="{00000000-0005-0000-0000-0000AF370000}"/>
    <cellStyle name="Normal 5 4 3 41" xfId="12824" xr:uid="{00000000-0005-0000-0000-0000B0370000}"/>
    <cellStyle name="Normal 5 4 3 41 2" xfId="12825" xr:uid="{00000000-0005-0000-0000-0000B1370000}"/>
    <cellStyle name="Normal 5 4 3 42" xfId="12826" xr:uid="{00000000-0005-0000-0000-0000B2370000}"/>
    <cellStyle name="Normal 5 4 3 42 2" xfId="12827" xr:uid="{00000000-0005-0000-0000-0000B3370000}"/>
    <cellStyle name="Normal 5 4 3 43" xfId="12828" xr:uid="{00000000-0005-0000-0000-0000B4370000}"/>
    <cellStyle name="Normal 5 4 3 43 2" xfId="12829" xr:uid="{00000000-0005-0000-0000-0000B5370000}"/>
    <cellStyle name="Normal 5 4 3 44" xfId="12830" xr:uid="{00000000-0005-0000-0000-0000B6370000}"/>
    <cellStyle name="Normal 5 4 3 44 2" xfId="12831" xr:uid="{00000000-0005-0000-0000-0000B7370000}"/>
    <cellStyle name="Normal 5 4 3 45" xfId="12832" xr:uid="{00000000-0005-0000-0000-0000B8370000}"/>
    <cellStyle name="Normal 5 4 3 45 2" xfId="12833" xr:uid="{00000000-0005-0000-0000-0000B9370000}"/>
    <cellStyle name="Normal 5 4 3 46" xfId="12834" xr:uid="{00000000-0005-0000-0000-0000BA370000}"/>
    <cellStyle name="Normal 5 4 3 46 2" xfId="12835" xr:uid="{00000000-0005-0000-0000-0000BB370000}"/>
    <cellStyle name="Normal 5 4 3 47" xfId="12836" xr:uid="{00000000-0005-0000-0000-0000BC370000}"/>
    <cellStyle name="Normal 5 4 3 5" xfId="12837" xr:uid="{00000000-0005-0000-0000-0000BD370000}"/>
    <cellStyle name="Normal 5 4 3 5 2" xfId="12838" xr:uid="{00000000-0005-0000-0000-0000BE370000}"/>
    <cellStyle name="Normal 5 4 3 6" xfId="12839" xr:uid="{00000000-0005-0000-0000-0000BF370000}"/>
    <cellStyle name="Normal 5 4 3 6 2" xfId="12840" xr:uid="{00000000-0005-0000-0000-0000C0370000}"/>
    <cellStyle name="Normal 5 4 3 7" xfId="12841" xr:uid="{00000000-0005-0000-0000-0000C1370000}"/>
    <cellStyle name="Normal 5 4 3 7 2" xfId="12842" xr:uid="{00000000-0005-0000-0000-0000C2370000}"/>
    <cellStyle name="Normal 5 4 3 8" xfId="12843" xr:uid="{00000000-0005-0000-0000-0000C3370000}"/>
    <cellStyle name="Normal 5 4 3 8 2" xfId="12844" xr:uid="{00000000-0005-0000-0000-0000C4370000}"/>
    <cellStyle name="Normal 5 4 3 9" xfId="12845" xr:uid="{00000000-0005-0000-0000-0000C5370000}"/>
    <cellStyle name="Normal 5 4 3 9 2" xfId="12846" xr:uid="{00000000-0005-0000-0000-0000C6370000}"/>
    <cellStyle name="Normal 5 4 30" xfId="12847" xr:uid="{00000000-0005-0000-0000-0000C7370000}"/>
    <cellStyle name="Normal 5 4 30 2" xfId="12848" xr:uid="{00000000-0005-0000-0000-0000C8370000}"/>
    <cellStyle name="Normal 5 4 31" xfId="12849" xr:uid="{00000000-0005-0000-0000-0000C9370000}"/>
    <cellStyle name="Normal 5 4 31 2" xfId="12850" xr:uid="{00000000-0005-0000-0000-0000CA370000}"/>
    <cellStyle name="Normal 5 4 32" xfId="12851" xr:uid="{00000000-0005-0000-0000-0000CB370000}"/>
    <cellStyle name="Normal 5 4 32 2" xfId="12852" xr:uid="{00000000-0005-0000-0000-0000CC370000}"/>
    <cellStyle name="Normal 5 4 33" xfId="12853" xr:uid="{00000000-0005-0000-0000-0000CD370000}"/>
    <cellStyle name="Normal 5 4 33 2" xfId="12854" xr:uid="{00000000-0005-0000-0000-0000CE370000}"/>
    <cellStyle name="Normal 5 4 34" xfId="12855" xr:uid="{00000000-0005-0000-0000-0000CF370000}"/>
    <cellStyle name="Normal 5 4 34 2" xfId="12856" xr:uid="{00000000-0005-0000-0000-0000D0370000}"/>
    <cellStyle name="Normal 5 4 35" xfId="12857" xr:uid="{00000000-0005-0000-0000-0000D1370000}"/>
    <cellStyle name="Normal 5 4 35 2" xfId="12858" xr:uid="{00000000-0005-0000-0000-0000D2370000}"/>
    <cellStyle name="Normal 5 4 36" xfId="12859" xr:uid="{00000000-0005-0000-0000-0000D3370000}"/>
    <cellStyle name="Normal 5 4 36 2" xfId="12860" xr:uid="{00000000-0005-0000-0000-0000D4370000}"/>
    <cellStyle name="Normal 5 4 37" xfId="12861" xr:uid="{00000000-0005-0000-0000-0000D5370000}"/>
    <cellStyle name="Normal 5 4 37 2" xfId="12862" xr:uid="{00000000-0005-0000-0000-0000D6370000}"/>
    <cellStyle name="Normal 5 4 38" xfId="12863" xr:uid="{00000000-0005-0000-0000-0000D7370000}"/>
    <cellStyle name="Normal 5 4 38 2" xfId="12864" xr:uid="{00000000-0005-0000-0000-0000D8370000}"/>
    <cellStyle name="Normal 5 4 39" xfId="12865" xr:uid="{00000000-0005-0000-0000-0000D9370000}"/>
    <cellStyle name="Normal 5 4 39 2" xfId="12866" xr:uid="{00000000-0005-0000-0000-0000DA370000}"/>
    <cellStyle name="Normal 5 4 4" xfId="12867" xr:uid="{00000000-0005-0000-0000-0000DB370000}"/>
    <cellStyle name="Normal 5 4 4 10" xfId="12868" xr:uid="{00000000-0005-0000-0000-0000DC370000}"/>
    <cellStyle name="Normal 5 4 4 10 2" xfId="12869" xr:uid="{00000000-0005-0000-0000-0000DD370000}"/>
    <cellStyle name="Normal 5 4 4 11" xfId="12870" xr:uid="{00000000-0005-0000-0000-0000DE370000}"/>
    <cellStyle name="Normal 5 4 4 11 2" xfId="12871" xr:uid="{00000000-0005-0000-0000-0000DF370000}"/>
    <cellStyle name="Normal 5 4 4 12" xfId="12872" xr:uid="{00000000-0005-0000-0000-0000E0370000}"/>
    <cellStyle name="Normal 5 4 4 12 2" xfId="12873" xr:uid="{00000000-0005-0000-0000-0000E1370000}"/>
    <cellStyle name="Normal 5 4 4 13" xfId="12874" xr:uid="{00000000-0005-0000-0000-0000E2370000}"/>
    <cellStyle name="Normal 5 4 4 13 2" xfId="12875" xr:uid="{00000000-0005-0000-0000-0000E3370000}"/>
    <cellStyle name="Normal 5 4 4 14" xfId="12876" xr:uid="{00000000-0005-0000-0000-0000E4370000}"/>
    <cellStyle name="Normal 5 4 4 14 2" xfId="12877" xr:uid="{00000000-0005-0000-0000-0000E5370000}"/>
    <cellStyle name="Normal 5 4 4 15" xfId="12878" xr:uid="{00000000-0005-0000-0000-0000E6370000}"/>
    <cellStyle name="Normal 5 4 4 15 2" xfId="12879" xr:uid="{00000000-0005-0000-0000-0000E7370000}"/>
    <cellStyle name="Normal 5 4 4 16" xfId="12880" xr:uid="{00000000-0005-0000-0000-0000E8370000}"/>
    <cellStyle name="Normal 5 4 4 16 2" xfId="12881" xr:uid="{00000000-0005-0000-0000-0000E9370000}"/>
    <cellStyle name="Normal 5 4 4 17" xfId="12882" xr:uid="{00000000-0005-0000-0000-0000EA370000}"/>
    <cellStyle name="Normal 5 4 4 17 2" xfId="12883" xr:uid="{00000000-0005-0000-0000-0000EB370000}"/>
    <cellStyle name="Normal 5 4 4 18" xfId="12884" xr:uid="{00000000-0005-0000-0000-0000EC370000}"/>
    <cellStyle name="Normal 5 4 4 18 2" xfId="12885" xr:uid="{00000000-0005-0000-0000-0000ED370000}"/>
    <cellStyle name="Normal 5 4 4 19" xfId="12886" xr:uid="{00000000-0005-0000-0000-0000EE370000}"/>
    <cellStyle name="Normal 5 4 4 19 2" xfId="12887" xr:uid="{00000000-0005-0000-0000-0000EF370000}"/>
    <cellStyle name="Normal 5 4 4 2" xfId="12888" xr:uid="{00000000-0005-0000-0000-0000F0370000}"/>
    <cellStyle name="Normal 5 4 4 2 2" xfId="12889" xr:uid="{00000000-0005-0000-0000-0000F1370000}"/>
    <cellStyle name="Normal 5 4 4 2 2 2" xfId="12890" xr:uid="{00000000-0005-0000-0000-0000F2370000}"/>
    <cellStyle name="Normal 5 4 4 2 3" xfId="12891" xr:uid="{00000000-0005-0000-0000-0000F3370000}"/>
    <cellStyle name="Normal 5 4 4 2 3 2" xfId="12892" xr:uid="{00000000-0005-0000-0000-0000F4370000}"/>
    <cellStyle name="Normal 5 4 4 2 4" xfId="12893" xr:uid="{00000000-0005-0000-0000-0000F5370000}"/>
    <cellStyle name="Normal 5 4 4 2 4 2" xfId="12894" xr:uid="{00000000-0005-0000-0000-0000F6370000}"/>
    <cellStyle name="Normal 5 4 4 2 5" xfId="12895" xr:uid="{00000000-0005-0000-0000-0000F7370000}"/>
    <cellStyle name="Normal 5 4 4 2 5 2" xfId="12896" xr:uid="{00000000-0005-0000-0000-0000F8370000}"/>
    <cellStyle name="Normal 5 4 4 2 6" xfId="12897" xr:uid="{00000000-0005-0000-0000-0000F9370000}"/>
    <cellStyle name="Normal 5 4 4 20" xfId="12898" xr:uid="{00000000-0005-0000-0000-0000FA370000}"/>
    <cellStyle name="Normal 5 4 4 20 2" xfId="12899" xr:uid="{00000000-0005-0000-0000-0000FB370000}"/>
    <cellStyle name="Normal 5 4 4 21" xfId="12900" xr:uid="{00000000-0005-0000-0000-0000FC370000}"/>
    <cellStyle name="Normal 5 4 4 21 2" xfId="12901" xr:uid="{00000000-0005-0000-0000-0000FD370000}"/>
    <cellStyle name="Normal 5 4 4 22" xfId="12902" xr:uid="{00000000-0005-0000-0000-0000FE370000}"/>
    <cellStyle name="Normal 5 4 4 22 2" xfId="12903" xr:uid="{00000000-0005-0000-0000-0000FF370000}"/>
    <cellStyle name="Normal 5 4 4 23" xfId="12904" xr:uid="{00000000-0005-0000-0000-000000380000}"/>
    <cellStyle name="Normal 5 4 4 23 2" xfId="12905" xr:uid="{00000000-0005-0000-0000-000001380000}"/>
    <cellStyle name="Normal 5 4 4 24" xfId="12906" xr:uid="{00000000-0005-0000-0000-000002380000}"/>
    <cellStyle name="Normal 5 4 4 24 2" xfId="12907" xr:uid="{00000000-0005-0000-0000-000003380000}"/>
    <cellStyle name="Normal 5 4 4 25" xfId="12908" xr:uid="{00000000-0005-0000-0000-000004380000}"/>
    <cellStyle name="Normal 5 4 4 25 2" xfId="12909" xr:uid="{00000000-0005-0000-0000-000005380000}"/>
    <cellStyle name="Normal 5 4 4 26" xfId="12910" xr:uid="{00000000-0005-0000-0000-000006380000}"/>
    <cellStyle name="Normal 5 4 4 26 2" xfId="12911" xr:uid="{00000000-0005-0000-0000-000007380000}"/>
    <cellStyle name="Normal 5 4 4 27" xfId="12912" xr:uid="{00000000-0005-0000-0000-000008380000}"/>
    <cellStyle name="Normal 5 4 4 27 2" xfId="12913" xr:uid="{00000000-0005-0000-0000-000009380000}"/>
    <cellStyle name="Normal 5 4 4 28" xfId="12914" xr:uid="{00000000-0005-0000-0000-00000A380000}"/>
    <cellStyle name="Normal 5 4 4 28 2" xfId="12915" xr:uid="{00000000-0005-0000-0000-00000B380000}"/>
    <cellStyle name="Normal 5 4 4 29" xfId="12916" xr:uid="{00000000-0005-0000-0000-00000C380000}"/>
    <cellStyle name="Normal 5 4 4 29 2" xfId="12917" xr:uid="{00000000-0005-0000-0000-00000D380000}"/>
    <cellStyle name="Normal 5 4 4 3" xfId="12918" xr:uid="{00000000-0005-0000-0000-00000E380000}"/>
    <cellStyle name="Normal 5 4 4 3 2" xfId="12919" xr:uid="{00000000-0005-0000-0000-00000F380000}"/>
    <cellStyle name="Normal 5 4 4 3 2 2" xfId="12920" xr:uid="{00000000-0005-0000-0000-000010380000}"/>
    <cellStyle name="Normal 5 4 4 3 3" xfId="12921" xr:uid="{00000000-0005-0000-0000-000011380000}"/>
    <cellStyle name="Normal 5 4 4 3 3 2" xfId="12922" xr:uid="{00000000-0005-0000-0000-000012380000}"/>
    <cellStyle name="Normal 5 4 4 3 4" xfId="12923" xr:uid="{00000000-0005-0000-0000-000013380000}"/>
    <cellStyle name="Normal 5 4 4 3 4 2" xfId="12924" xr:uid="{00000000-0005-0000-0000-000014380000}"/>
    <cellStyle name="Normal 5 4 4 3 5" xfId="12925" xr:uid="{00000000-0005-0000-0000-000015380000}"/>
    <cellStyle name="Normal 5 4 4 3 5 2" xfId="12926" xr:uid="{00000000-0005-0000-0000-000016380000}"/>
    <cellStyle name="Normal 5 4 4 3 6" xfId="12927" xr:uid="{00000000-0005-0000-0000-000017380000}"/>
    <cellStyle name="Normal 5 4 4 30" xfId="12928" xr:uid="{00000000-0005-0000-0000-000018380000}"/>
    <cellStyle name="Normal 5 4 4 30 2" xfId="12929" xr:uid="{00000000-0005-0000-0000-000019380000}"/>
    <cellStyle name="Normal 5 4 4 31" xfId="12930" xr:uid="{00000000-0005-0000-0000-00001A380000}"/>
    <cellStyle name="Normal 5 4 4 31 2" xfId="12931" xr:uid="{00000000-0005-0000-0000-00001B380000}"/>
    <cellStyle name="Normal 5 4 4 32" xfId="12932" xr:uid="{00000000-0005-0000-0000-00001C380000}"/>
    <cellStyle name="Normal 5 4 4 32 2" xfId="12933" xr:uid="{00000000-0005-0000-0000-00001D380000}"/>
    <cellStyle name="Normal 5 4 4 33" xfId="12934" xr:uid="{00000000-0005-0000-0000-00001E380000}"/>
    <cellStyle name="Normal 5 4 4 33 2" xfId="12935" xr:uid="{00000000-0005-0000-0000-00001F380000}"/>
    <cellStyle name="Normal 5 4 4 34" xfId="12936" xr:uid="{00000000-0005-0000-0000-000020380000}"/>
    <cellStyle name="Normal 5 4 4 34 2" xfId="12937" xr:uid="{00000000-0005-0000-0000-000021380000}"/>
    <cellStyle name="Normal 5 4 4 35" xfId="12938" xr:uid="{00000000-0005-0000-0000-000022380000}"/>
    <cellStyle name="Normal 5 4 4 35 2" xfId="12939" xr:uid="{00000000-0005-0000-0000-000023380000}"/>
    <cellStyle name="Normal 5 4 4 36" xfId="12940" xr:uid="{00000000-0005-0000-0000-000024380000}"/>
    <cellStyle name="Normal 5 4 4 36 2" xfId="12941" xr:uid="{00000000-0005-0000-0000-000025380000}"/>
    <cellStyle name="Normal 5 4 4 37" xfId="12942" xr:uid="{00000000-0005-0000-0000-000026380000}"/>
    <cellStyle name="Normal 5 4 4 37 2" xfId="12943" xr:uid="{00000000-0005-0000-0000-000027380000}"/>
    <cellStyle name="Normal 5 4 4 38" xfId="12944" xr:uid="{00000000-0005-0000-0000-000028380000}"/>
    <cellStyle name="Normal 5 4 4 38 2" xfId="12945" xr:uid="{00000000-0005-0000-0000-000029380000}"/>
    <cellStyle name="Normal 5 4 4 39" xfId="12946" xr:uid="{00000000-0005-0000-0000-00002A380000}"/>
    <cellStyle name="Normal 5 4 4 39 2" xfId="12947" xr:uid="{00000000-0005-0000-0000-00002B380000}"/>
    <cellStyle name="Normal 5 4 4 4" xfId="12948" xr:uid="{00000000-0005-0000-0000-00002C380000}"/>
    <cellStyle name="Normal 5 4 4 4 2" xfId="12949" xr:uid="{00000000-0005-0000-0000-00002D380000}"/>
    <cellStyle name="Normal 5 4 4 4 2 2" xfId="12950" xr:uid="{00000000-0005-0000-0000-00002E380000}"/>
    <cellStyle name="Normal 5 4 4 4 3" xfId="12951" xr:uid="{00000000-0005-0000-0000-00002F380000}"/>
    <cellStyle name="Normal 5 4 4 4 3 2" xfId="12952" xr:uid="{00000000-0005-0000-0000-000030380000}"/>
    <cellStyle name="Normal 5 4 4 4 4" xfId="12953" xr:uid="{00000000-0005-0000-0000-000031380000}"/>
    <cellStyle name="Normal 5 4 4 4 4 2" xfId="12954" xr:uid="{00000000-0005-0000-0000-000032380000}"/>
    <cellStyle name="Normal 5 4 4 4 5" xfId="12955" xr:uid="{00000000-0005-0000-0000-000033380000}"/>
    <cellStyle name="Normal 5 4 4 4 5 2" xfId="12956" xr:uid="{00000000-0005-0000-0000-000034380000}"/>
    <cellStyle name="Normal 5 4 4 4 6" xfId="12957" xr:uid="{00000000-0005-0000-0000-000035380000}"/>
    <cellStyle name="Normal 5 4 4 40" xfId="12958" xr:uid="{00000000-0005-0000-0000-000036380000}"/>
    <cellStyle name="Normal 5 4 4 40 2" xfId="12959" xr:uid="{00000000-0005-0000-0000-000037380000}"/>
    <cellStyle name="Normal 5 4 4 41" xfId="12960" xr:uid="{00000000-0005-0000-0000-000038380000}"/>
    <cellStyle name="Normal 5 4 4 41 2" xfId="12961" xr:uid="{00000000-0005-0000-0000-000039380000}"/>
    <cellStyle name="Normal 5 4 4 42" xfId="12962" xr:uid="{00000000-0005-0000-0000-00003A380000}"/>
    <cellStyle name="Normal 5 4 4 42 2" xfId="12963" xr:uid="{00000000-0005-0000-0000-00003B380000}"/>
    <cellStyle name="Normal 5 4 4 43" xfId="12964" xr:uid="{00000000-0005-0000-0000-00003C380000}"/>
    <cellStyle name="Normal 5 4 4 43 2" xfId="12965" xr:uid="{00000000-0005-0000-0000-00003D380000}"/>
    <cellStyle name="Normal 5 4 4 44" xfId="12966" xr:uid="{00000000-0005-0000-0000-00003E380000}"/>
    <cellStyle name="Normal 5 4 4 44 2" xfId="12967" xr:uid="{00000000-0005-0000-0000-00003F380000}"/>
    <cellStyle name="Normal 5 4 4 45" xfId="12968" xr:uid="{00000000-0005-0000-0000-000040380000}"/>
    <cellStyle name="Normal 5 4 4 45 2" xfId="12969" xr:uid="{00000000-0005-0000-0000-000041380000}"/>
    <cellStyle name="Normal 5 4 4 46" xfId="12970" xr:uid="{00000000-0005-0000-0000-000042380000}"/>
    <cellStyle name="Normal 5 4 4 5" xfId="12971" xr:uid="{00000000-0005-0000-0000-000043380000}"/>
    <cellStyle name="Normal 5 4 4 5 2" xfId="12972" xr:uid="{00000000-0005-0000-0000-000044380000}"/>
    <cellStyle name="Normal 5 4 4 6" xfId="12973" xr:uid="{00000000-0005-0000-0000-000045380000}"/>
    <cellStyle name="Normal 5 4 4 6 2" xfId="12974" xr:uid="{00000000-0005-0000-0000-000046380000}"/>
    <cellStyle name="Normal 5 4 4 7" xfId="12975" xr:uid="{00000000-0005-0000-0000-000047380000}"/>
    <cellStyle name="Normal 5 4 4 7 2" xfId="12976" xr:uid="{00000000-0005-0000-0000-000048380000}"/>
    <cellStyle name="Normal 5 4 4 8" xfId="12977" xr:uid="{00000000-0005-0000-0000-000049380000}"/>
    <cellStyle name="Normal 5 4 4 8 2" xfId="12978" xr:uid="{00000000-0005-0000-0000-00004A380000}"/>
    <cellStyle name="Normal 5 4 4 9" xfId="12979" xr:uid="{00000000-0005-0000-0000-00004B380000}"/>
    <cellStyle name="Normal 5 4 4 9 2" xfId="12980" xr:uid="{00000000-0005-0000-0000-00004C380000}"/>
    <cellStyle name="Normal 5 4 40" xfId="12981" xr:uid="{00000000-0005-0000-0000-00004D380000}"/>
    <cellStyle name="Normal 5 4 40 2" xfId="12982" xr:uid="{00000000-0005-0000-0000-00004E380000}"/>
    <cellStyle name="Normal 5 4 41" xfId="12983" xr:uid="{00000000-0005-0000-0000-00004F380000}"/>
    <cellStyle name="Normal 5 4 41 2" xfId="12984" xr:uid="{00000000-0005-0000-0000-000050380000}"/>
    <cellStyle name="Normal 5 4 42" xfId="12985" xr:uid="{00000000-0005-0000-0000-000051380000}"/>
    <cellStyle name="Normal 5 4 42 2" xfId="12986" xr:uid="{00000000-0005-0000-0000-000052380000}"/>
    <cellStyle name="Normal 5 4 43" xfId="12987" xr:uid="{00000000-0005-0000-0000-000053380000}"/>
    <cellStyle name="Normal 5 4 43 2" xfId="12988" xr:uid="{00000000-0005-0000-0000-000054380000}"/>
    <cellStyle name="Normal 5 4 44" xfId="12989" xr:uid="{00000000-0005-0000-0000-000055380000}"/>
    <cellStyle name="Normal 5 4 44 2" xfId="12990" xr:uid="{00000000-0005-0000-0000-000056380000}"/>
    <cellStyle name="Normal 5 4 45" xfId="12991" xr:uid="{00000000-0005-0000-0000-000057380000}"/>
    <cellStyle name="Normal 5 4 45 2" xfId="12992" xr:uid="{00000000-0005-0000-0000-000058380000}"/>
    <cellStyle name="Normal 5 4 46" xfId="12993" xr:uid="{00000000-0005-0000-0000-000059380000}"/>
    <cellStyle name="Normal 5 4 46 2" xfId="12994" xr:uid="{00000000-0005-0000-0000-00005A380000}"/>
    <cellStyle name="Normal 5 4 47" xfId="12995" xr:uid="{00000000-0005-0000-0000-00005B380000}"/>
    <cellStyle name="Normal 5 4 47 2" xfId="12996" xr:uid="{00000000-0005-0000-0000-00005C380000}"/>
    <cellStyle name="Normal 5 4 48" xfId="12997" xr:uid="{00000000-0005-0000-0000-00005D380000}"/>
    <cellStyle name="Normal 5 4 48 2" xfId="12998" xr:uid="{00000000-0005-0000-0000-00005E380000}"/>
    <cellStyle name="Normal 5 4 49" xfId="12999" xr:uid="{00000000-0005-0000-0000-00005F380000}"/>
    <cellStyle name="Normal 5 4 49 2" xfId="13000" xr:uid="{00000000-0005-0000-0000-000060380000}"/>
    <cellStyle name="Normal 5 4 5" xfId="13001" xr:uid="{00000000-0005-0000-0000-000061380000}"/>
    <cellStyle name="Normal 5 4 5 10" xfId="13002" xr:uid="{00000000-0005-0000-0000-000062380000}"/>
    <cellStyle name="Normal 5 4 5 10 2" xfId="13003" xr:uid="{00000000-0005-0000-0000-000063380000}"/>
    <cellStyle name="Normal 5 4 5 11" xfId="13004" xr:uid="{00000000-0005-0000-0000-000064380000}"/>
    <cellStyle name="Normal 5 4 5 11 2" xfId="13005" xr:uid="{00000000-0005-0000-0000-000065380000}"/>
    <cellStyle name="Normal 5 4 5 12" xfId="13006" xr:uid="{00000000-0005-0000-0000-000066380000}"/>
    <cellStyle name="Normal 5 4 5 12 2" xfId="13007" xr:uid="{00000000-0005-0000-0000-000067380000}"/>
    <cellStyle name="Normal 5 4 5 13" xfId="13008" xr:uid="{00000000-0005-0000-0000-000068380000}"/>
    <cellStyle name="Normal 5 4 5 13 2" xfId="13009" xr:uid="{00000000-0005-0000-0000-000069380000}"/>
    <cellStyle name="Normal 5 4 5 14" xfId="13010" xr:uid="{00000000-0005-0000-0000-00006A380000}"/>
    <cellStyle name="Normal 5 4 5 14 2" xfId="13011" xr:uid="{00000000-0005-0000-0000-00006B380000}"/>
    <cellStyle name="Normal 5 4 5 15" xfId="13012" xr:uid="{00000000-0005-0000-0000-00006C380000}"/>
    <cellStyle name="Normal 5 4 5 15 2" xfId="13013" xr:uid="{00000000-0005-0000-0000-00006D380000}"/>
    <cellStyle name="Normal 5 4 5 16" xfId="13014" xr:uid="{00000000-0005-0000-0000-00006E380000}"/>
    <cellStyle name="Normal 5 4 5 16 2" xfId="13015" xr:uid="{00000000-0005-0000-0000-00006F380000}"/>
    <cellStyle name="Normal 5 4 5 17" xfId="13016" xr:uid="{00000000-0005-0000-0000-000070380000}"/>
    <cellStyle name="Normal 5 4 5 17 2" xfId="13017" xr:uid="{00000000-0005-0000-0000-000071380000}"/>
    <cellStyle name="Normal 5 4 5 18" xfId="13018" xr:uid="{00000000-0005-0000-0000-000072380000}"/>
    <cellStyle name="Normal 5 4 5 18 2" xfId="13019" xr:uid="{00000000-0005-0000-0000-000073380000}"/>
    <cellStyle name="Normal 5 4 5 19" xfId="13020" xr:uid="{00000000-0005-0000-0000-000074380000}"/>
    <cellStyle name="Normal 5 4 5 19 2" xfId="13021" xr:uid="{00000000-0005-0000-0000-000075380000}"/>
    <cellStyle name="Normal 5 4 5 2" xfId="13022" xr:uid="{00000000-0005-0000-0000-000076380000}"/>
    <cellStyle name="Normal 5 4 5 2 2" xfId="13023" xr:uid="{00000000-0005-0000-0000-000077380000}"/>
    <cellStyle name="Normal 5 4 5 20" xfId="13024" xr:uid="{00000000-0005-0000-0000-000078380000}"/>
    <cellStyle name="Normal 5 4 5 20 2" xfId="13025" xr:uid="{00000000-0005-0000-0000-000079380000}"/>
    <cellStyle name="Normal 5 4 5 21" xfId="13026" xr:uid="{00000000-0005-0000-0000-00007A380000}"/>
    <cellStyle name="Normal 5 4 5 21 2" xfId="13027" xr:uid="{00000000-0005-0000-0000-00007B380000}"/>
    <cellStyle name="Normal 5 4 5 22" xfId="13028" xr:uid="{00000000-0005-0000-0000-00007C380000}"/>
    <cellStyle name="Normal 5 4 5 22 2" xfId="13029" xr:uid="{00000000-0005-0000-0000-00007D380000}"/>
    <cellStyle name="Normal 5 4 5 23" xfId="13030" xr:uid="{00000000-0005-0000-0000-00007E380000}"/>
    <cellStyle name="Normal 5 4 5 23 2" xfId="13031" xr:uid="{00000000-0005-0000-0000-00007F380000}"/>
    <cellStyle name="Normal 5 4 5 24" xfId="13032" xr:uid="{00000000-0005-0000-0000-000080380000}"/>
    <cellStyle name="Normal 5 4 5 24 2" xfId="13033" xr:uid="{00000000-0005-0000-0000-000081380000}"/>
    <cellStyle name="Normal 5 4 5 25" xfId="13034" xr:uid="{00000000-0005-0000-0000-000082380000}"/>
    <cellStyle name="Normal 5 4 5 25 2" xfId="13035" xr:uid="{00000000-0005-0000-0000-000083380000}"/>
    <cellStyle name="Normal 5 4 5 26" xfId="13036" xr:uid="{00000000-0005-0000-0000-000084380000}"/>
    <cellStyle name="Normal 5 4 5 26 2" xfId="13037" xr:uid="{00000000-0005-0000-0000-000085380000}"/>
    <cellStyle name="Normal 5 4 5 27" xfId="13038" xr:uid="{00000000-0005-0000-0000-000086380000}"/>
    <cellStyle name="Normal 5 4 5 27 2" xfId="13039" xr:uid="{00000000-0005-0000-0000-000087380000}"/>
    <cellStyle name="Normal 5 4 5 28" xfId="13040" xr:uid="{00000000-0005-0000-0000-000088380000}"/>
    <cellStyle name="Normal 5 4 5 28 2" xfId="13041" xr:uid="{00000000-0005-0000-0000-000089380000}"/>
    <cellStyle name="Normal 5 4 5 29" xfId="13042" xr:uid="{00000000-0005-0000-0000-00008A380000}"/>
    <cellStyle name="Normal 5 4 5 29 2" xfId="13043" xr:uid="{00000000-0005-0000-0000-00008B380000}"/>
    <cellStyle name="Normal 5 4 5 3" xfId="13044" xr:uid="{00000000-0005-0000-0000-00008C380000}"/>
    <cellStyle name="Normal 5 4 5 3 2" xfId="13045" xr:uid="{00000000-0005-0000-0000-00008D380000}"/>
    <cellStyle name="Normal 5 4 5 30" xfId="13046" xr:uid="{00000000-0005-0000-0000-00008E380000}"/>
    <cellStyle name="Normal 5 4 5 30 2" xfId="13047" xr:uid="{00000000-0005-0000-0000-00008F380000}"/>
    <cellStyle name="Normal 5 4 5 31" xfId="13048" xr:uid="{00000000-0005-0000-0000-000090380000}"/>
    <cellStyle name="Normal 5 4 5 31 2" xfId="13049" xr:uid="{00000000-0005-0000-0000-000091380000}"/>
    <cellStyle name="Normal 5 4 5 32" xfId="13050" xr:uid="{00000000-0005-0000-0000-000092380000}"/>
    <cellStyle name="Normal 5 4 5 32 2" xfId="13051" xr:uid="{00000000-0005-0000-0000-000093380000}"/>
    <cellStyle name="Normal 5 4 5 33" xfId="13052" xr:uid="{00000000-0005-0000-0000-000094380000}"/>
    <cellStyle name="Normal 5 4 5 33 2" xfId="13053" xr:uid="{00000000-0005-0000-0000-000095380000}"/>
    <cellStyle name="Normal 5 4 5 34" xfId="13054" xr:uid="{00000000-0005-0000-0000-000096380000}"/>
    <cellStyle name="Normal 5 4 5 34 2" xfId="13055" xr:uid="{00000000-0005-0000-0000-000097380000}"/>
    <cellStyle name="Normal 5 4 5 35" xfId="13056" xr:uid="{00000000-0005-0000-0000-000098380000}"/>
    <cellStyle name="Normal 5 4 5 4" xfId="13057" xr:uid="{00000000-0005-0000-0000-000099380000}"/>
    <cellStyle name="Normal 5 4 5 4 2" xfId="13058" xr:uid="{00000000-0005-0000-0000-00009A380000}"/>
    <cellStyle name="Normal 5 4 5 5" xfId="13059" xr:uid="{00000000-0005-0000-0000-00009B380000}"/>
    <cellStyle name="Normal 5 4 5 5 2" xfId="13060" xr:uid="{00000000-0005-0000-0000-00009C380000}"/>
    <cellStyle name="Normal 5 4 5 6" xfId="13061" xr:uid="{00000000-0005-0000-0000-00009D380000}"/>
    <cellStyle name="Normal 5 4 5 6 2" xfId="13062" xr:uid="{00000000-0005-0000-0000-00009E380000}"/>
    <cellStyle name="Normal 5 4 5 7" xfId="13063" xr:uid="{00000000-0005-0000-0000-00009F380000}"/>
    <cellStyle name="Normal 5 4 5 7 2" xfId="13064" xr:uid="{00000000-0005-0000-0000-0000A0380000}"/>
    <cellStyle name="Normal 5 4 5 8" xfId="13065" xr:uid="{00000000-0005-0000-0000-0000A1380000}"/>
    <cellStyle name="Normal 5 4 5 8 2" xfId="13066" xr:uid="{00000000-0005-0000-0000-0000A2380000}"/>
    <cellStyle name="Normal 5 4 5 9" xfId="13067" xr:uid="{00000000-0005-0000-0000-0000A3380000}"/>
    <cellStyle name="Normal 5 4 5 9 2" xfId="13068" xr:uid="{00000000-0005-0000-0000-0000A4380000}"/>
    <cellStyle name="Normal 5 4 50" xfId="13069" xr:uid="{00000000-0005-0000-0000-0000A5380000}"/>
    <cellStyle name="Normal 5 4 50 2" xfId="13070" xr:uid="{00000000-0005-0000-0000-0000A6380000}"/>
    <cellStyle name="Normal 5 4 51" xfId="13071" xr:uid="{00000000-0005-0000-0000-0000A7380000}"/>
    <cellStyle name="Normal 5 4 52" xfId="12345" xr:uid="{00000000-0005-0000-0000-0000A8380000}"/>
    <cellStyle name="Normal 5 4 6" xfId="13072" xr:uid="{00000000-0005-0000-0000-0000A9380000}"/>
    <cellStyle name="Normal 5 4 6 2" xfId="13073" xr:uid="{00000000-0005-0000-0000-0000AA380000}"/>
    <cellStyle name="Normal 5 4 6 2 2" xfId="13074" xr:uid="{00000000-0005-0000-0000-0000AB380000}"/>
    <cellStyle name="Normal 5 4 6 3" xfId="13075" xr:uid="{00000000-0005-0000-0000-0000AC380000}"/>
    <cellStyle name="Normal 5 4 6 3 2" xfId="13076" xr:uid="{00000000-0005-0000-0000-0000AD380000}"/>
    <cellStyle name="Normal 5 4 6 4" xfId="13077" xr:uid="{00000000-0005-0000-0000-0000AE380000}"/>
    <cellStyle name="Normal 5 4 6 4 2" xfId="13078" xr:uid="{00000000-0005-0000-0000-0000AF380000}"/>
    <cellStyle name="Normal 5 4 6 5" xfId="13079" xr:uid="{00000000-0005-0000-0000-0000B0380000}"/>
    <cellStyle name="Normal 5 4 6 5 2" xfId="13080" xr:uid="{00000000-0005-0000-0000-0000B1380000}"/>
    <cellStyle name="Normal 5 4 6 6" xfId="13081" xr:uid="{00000000-0005-0000-0000-0000B2380000}"/>
    <cellStyle name="Normal 5 4 7" xfId="13082" xr:uid="{00000000-0005-0000-0000-0000B3380000}"/>
    <cellStyle name="Normal 5 4 7 2" xfId="13083" xr:uid="{00000000-0005-0000-0000-0000B4380000}"/>
    <cellStyle name="Normal 5 4 7 2 2" xfId="13084" xr:uid="{00000000-0005-0000-0000-0000B5380000}"/>
    <cellStyle name="Normal 5 4 7 3" xfId="13085" xr:uid="{00000000-0005-0000-0000-0000B6380000}"/>
    <cellStyle name="Normal 5 4 7 3 2" xfId="13086" xr:uid="{00000000-0005-0000-0000-0000B7380000}"/>
    <cellStyle name="Normal 5 4 7 4" xfId="13087" xr:uid="{00000000-0005-0000-0000-0000B8380000}"/>
    <cellStyle name="Normal 5 4 7 4 2" xfId="13088" xr:uid="{00000000-0005-0000-0000-0000B9380000}"/>
    <cellStyle name="Normal 5 4 7 5" xfId="13089" xr:uid="{00000000-0005-0000-0000-0000BA380000}"/>
    <cellStyle name="Normal 5 4 7 5 2" xfId="13090" xr:uid="{00000000-0005-0000-0000-0000BB380000}"/>
    <cellStyle name="Normal 5 4 7 6" xfId="13091" xr:uid="{00000000-0005-0000-0000-0000BC380000}"/>
    <cellStyle name="Normal 5 4 8" xfId="13092" xr:uid="{00000000-0005-0000-0000-0000BD380000}"/>
    <cellStyle name="Normal 5 4 8 2" xfId="13093" xr:uid="{00000000-0005-0000-0000-0000BE380000}"/>
    <cellStyle name="Normal 5 4 9" xfId="13094" xr:uid="{00000000-0005-0000-0000-0000BF380000}"/>
    <cellStyle name="Normal 5 4 9 2" xfId="13095" xr:uid="{00000000-0005-0000-0000-0000C0380000}"/>
    <cellStyle name="Normal 5 5" xfId="359" xr:uid="{00000000-0005-0000-0000-0000C1380000}"/>
    <cellStyle name="Normal 5 5 10" xfId="13097" xr:uid="{00000000-0005-0000-0000-0000C2380000}"/>
    <cellStyle name="Normal 5 5 10 2" xfId="13098" xr:uid="{00000000-0005-0000-0000-0000C3380000}"/>
    <cellStyle name="Normal 5 5 11" xfId="13099" xr:uid="{00000000-0005-0000-0000-0000C4380000}"/>
    <cellStyle name="Normal 5 5 12" xfId="13100" xr:uid="{00000000-0005-0000-0000-0000C5380000}"/>
    <cellStyle name="Normal 5 5 12 2" xfId="13101" xr:uid="{00000000-0005-0000-0000-0000C6380000}"/>
    <cellStyle name="Normal 5 5 13" xfId="13102" xr:uid="{00000000-0005-0000-0000-0000C7380000}"/>
    <cellStyle name="Normal 5 5 13 2" xfId="13103" xr:uid="{00000000-0005-0000-0000-0000C8380000}"/>
    <cellStyle name="Normal 5 5 14" xfId="13104" xr:uid="{00000000-0005-0000-0000-0000C9380000}"/>
    <cellStyle name="Normal 5 5 15" xfId="13105" xr:uid="{00000000-0005-0000-0000-0000CA380000}"/>
    <cellStyle name="Normal 5 5 15 2" xfId="13106" xr:uid="{00000000-0005-0000-0000-0000CB380000}"/>
    <cellStyle name="Normal 5 5 16" xfId="13107" xr:uid="{00000000-0005-0000-0000-0000CC380000}"/>
    <cellStyle name="Normal 5 5 16 2" xfId="13108" xr:uid="{00000000-0005-0000-0000-0000CD380000}"/>
    <cellStyle name="Normal 5 5 17" xfId="13109" xr:uid="{00000000-0005-0000-0000-0000CE380000}"/>
    <cellStyle name="Normal 5 5 18" xfId="13110" xr:uid="{00000000-0005-0000-0000-0000CF380000}"/>
    <cellStyle name="Normal 5 5 18 2" xfId="13111" xr:uid="{00000000-0005-0000-0000-0000D0380000}"/>
    <cellStyle name="Normal 5 5 19" xfId="13112" xr:uid="{00000000-0005-0000-0000-0000D1380000}"/>
    <cellStyle name="Normal 5 5 19 2" xfId="13113" xr:uid="{00000000-0005-0000-0000-0000D2380000}"/>
    <cellStyle name="Normal 5 5 2" xfId="13114" xr:uid="{00000000-0005-0000-0000-0000D3380000}"/>
    <cellStyle name="Normal 5 5 2 10" xfId="13115" xr:uid="{00000000-0005-0000-0000-0000D4380000}"/>
    <cellStyle name="Normal 5 5 2 10 2" xfId="13116" xr:uid="{00000000-0005-0000-0000-0000D5380000}"/>
    <cellStyle name="Normal 5 5 2 11" xfId="13117" xr:uid="{00000000-0005-0000-0000-0000D6380000}"/>
    <cellStyle name="Normal 5 5 2 11 2" xfId="13118" xr:uid="{00000000-0005-0000-0000-0000D7380000}"/>
    <cellStyle name="Normal 5 5 2 12" xfId="13119" xr:uid="{00000000-0005-0000-0000-0000D8380000}"/>
    <cellStyle name="Normal 5 5 2 12 2" xfId="13120" xr:uid="{00000000-0005-0000-0000-0000D9380000}"/>
    <cellStyle name="Normal 5 5 2 13" xfId="13121" xr:uid="{00000000-0005-0000-0000-0000DA380000}"/>
    <cellStyle name="Normal 5 5 2 13 2" xfId="13122" xr:uid="{00000000-0005-0000-0000-0000DB380000}"/>
    <cellStyle name="Normal 5 5 2 14" xfId="13123" xr:uid="{00000000-0005-0000-0000-0000DC380000}"/>
    <cellStyle name="Normal 5 5 2 14 2" xfId="13124" xr:uid="{00000000-0005-0000-0000-0000DD380000}"/>
    <cellStyle name="Normal 5 5 2 15" xfId="13125" xr:uid="{00000000-0005-0000-0000-0000DE380000}"/>
    <cellStyle name="Normal 5 5 2 15 2" xfId="13126" xr:uid="{00000000-0005-0000-0000-0000DF380000}"/>
    <cellStyle name="Normal 5 5 2 16" xfId="13127" xr:uid="{00000000-0005-0000-0000-0000E0380000}"/>
    <cellStyle name="Normal 5 5 2 16 2" xfId="13128" xr:uid="{00000000-0005-0000-0000-0000E1380000}"/>
    <cellStyle name="Normal 5 5 2 17" xfId="13129" xr:uid="{00000000-0005-0000-0000-0000E2380000}"/>
    <cellStyle name="Normal 5 5 2 17 2" xfId="13130" xr:uid="{00000000-0005-0000-0000-0000E3380000}"/>
    <cellStyle name="Normal 5 5 2 18" xfId="13131" xr:uid="{00000000-0005-0000-0000-0000E4380000}"/>
    <cellStyle name="Normal 5 5 2 18 2" xfId="13132" xr:uid="{00000000-0005-0000-0000-0000E5380000}"/>
    <cellStyle name="Normal 5 5 2 19" xfId="13133" xr:uid="{00000000-0005-0000-0000-0000E6380000}"/>
    <cellStyle name="Normal 5 5 2 19 2" xfId="13134" xr:uid="{00000000-0005-0000-0000-0000E7380000}"/>
    <cellStyle name="Normal 5 5 2 2" xfId="13135" xr:uid="{00000000-0005-0000-0000-0000E8380000}"/>
    <cellStyle name="Normal 5 5 2 2 2" xfId="13136" xr:uid="{00000000-0005-0000-0000-0000E9380000}"/>
    <cellStyle name="Normal 5 5 2 2 2 2" xfId="13137" xr:uid="{00000000-0005-0000-0000-0000EA380000}"/>
    <cellStyle name="Normal 5 5 2 2 3" xfId="13138" xr:uid="{00000000-0005-0000-0000-0000EB380000}"/>
    <cellStyle name="Normal 5 5 2 2 3 2" xfId="13139" xr:uid="{00000000-0005-0000-0000-0000EC380000}"/>
    <cellStyle name="Normal 5 5 2 2 4" xfId="13140" xr:uid="{00000000-0005-0000-0000-0000ED380000}"/>
    <cellStyle name="Normal 5 5 2 2 4 2" xfId="13141" xr:uid="{00000000-0005-0000-0000-0000EE380000}"/>
    <cellStyle name="Normal 5 5 2 2 5" xfId="13142" xr:uid="{00000000-0005-0000-0000-0000EF380000}"/>
    <cellStyle name="Normal 5 5 2 2 5 2" xfId="13143" xr:uid="{00000000-0005-0000-0000-0000F0380000}"/>
    <cellStyle name="Normal 5 5 2 2 6" xfId="13144" xr:uid="{00000000-0005-0000-0000-0000F1380000}"/>
    <cellStyle name="Normal 5 5 2 20" xfId="13145" xr:uid="{00000000-0005-0000-0000-0000F2380000}"/>
    <cellStyle name="Normal 5 5 2 20 2" xfId="13146" xr:uid="{00000000-0005-0000-0000-0000F3380000}"/>
    <cellStyle name="Normal 5 5 2 21" xfId="13147" xr:uid="{00000000-0005-0000-0000-0000F4380000}"/>
    <cellStyle name="Normal 5 5 2 21 2" xfId="13148" xr:uid="{00000000-0005-0000-0000-0000F5380000}"/>
    <cellStyle name="Normal 5 5 2 22" xfId="13149" xr:uid="{00000000-0005-0000-0000-0000F6380000}"/>
    <cellStyle name="Normal 5 5 2 22 2" xfId="13150" xr:uid="{00000000-0005-0000-0000-0000F7380000}"/>
    <cellStyle name="Normal 5 5 2 23" xfId="13151" xr:uid="{00000000-0005-0000-0000-0000F8380000}"/>
    <cellStyle name="Normal 5 5 2 23 2" xfId="13152" xr:uid="{00000000-0005-0000-0000-0000F9380000}"/>
    <cellStyle name="Normal 5 5 2 24" xfId="13153" xr:uid="{00000000-0005-0000-0000-0000FA380000}"/>
    <cellStyle name="Normal 5 5 2 24 2" xfId="13154" xr:uid="{00000000-0005-0000-0000-0000FB380000}"/>
    <cellStyle name="Normal 5 5 2 25" xfId="13155" xr:uid="{00000000-0005-0000-0000-0000FC380000}"/>
    <cellStyle name="Normal 5 5 2 25 2" xfId="13156" xr:uid="{00000000-0005-0000-0000-0000FD380000}"/>
    <cellStyle name="Normal 5 5 2 26" xfId="13157" xr:uid="{00000000-0005-0000-0000-0000FE380000}"/>
    <cellStyle name="Normal 5 5 2 26 2" xfId="13158" xr:uid="{00000000-0005-0000-0000-0000FF380000}"/>
    <cellStyle name="Normal 5 5 2 27" xfId="13159" xr:uid="{00000000-0005-0000-0000-000000390000}"/>
    <cellStyle name="Normal 5 5 2 27 2" xfId="13160" xr:uid="{00000000-0005-0000-0000-000001390000}"/>
    <cellStyle name="Normal 5 5 2 28" xfId="13161" xr:uid="{00000000-0005-0000-0000-000002390000}"/>
    <cellStyle name="Normal 5 5 2 28 2" xfId="13162" xr:uid="{00000000-0005-0000-0000-000003390000}"/>
    <cellStyle name="Normal 5 5 2 29" xfId="13163" xr:uid="{00000000-0005-0000-0000-000004390000}"/>
    <cellStyle name="Normal 5 5 2 29 2" xfId="13164" xr:uid="{00000000-0005-0000-0000-000005390000}"/>
    <cellStyle name="Normal 5 5 2 3" xfId="13165" xr:uid="{00000000-0005-0000-0000-000006390000}"/>
    <cellStyle name="Normal 5 5 2 3 2" xfId="13166" xr:uid="{00000000-0005-0000-0000-000007390000}"/>
    <cellStyle name="Normal 5 5 2 3 2 2" xfId="13167" xr:uid="{00000000-0005-0000-0000-000008390000}"/>
    <cellStyle name="Normal 5 5 2 3 3" xfId="13168" xr:uid="{00000000-0005-0000-0000-000009390000}"/>
    <cellStyle name="Normal 5 5 2 3 3 2" xfId="13169" xr:uid="{00000000-0005-0000-0000-00000A390000}"/>
    <cellStyle name="Normal 5 5 2 3 4" xfId="13170" xr:uid="{00000000-0005-0000-0000-00000B390000}"/>
    <cellStyle name="Normal 5 5 2 3 4 2" xfId="13171" xr:uid="{00000000-0005-0000-0000-00000C390000}"/>
    <cellStyle name="Normal 5 5 2 3 5" xfId="13172" xr:uid="{00000000-0005-0000-0000-00000D390000}"/>
    <cellStyle name="Normal 5 5 2 3 5 2" xfId="13173" xr:uid="{00000000-0005-0000-0000-00000E390000}"/>
    <cellStyle name="Normal 5 5 2 3 6" xfId="13174" xr:uid="{00000000-0005-0000-0000-00000F390000}"/>
    <cellStyle name="Normal 5 5 2 30" xfId="13175" xr:uid="{00000000-0005-0000-0000-000010390000}"/>
    <cellStyle name="Normal 5 5 2 30 2" xfId="13176" xr:uid="{00000000-0005-0000-0000-000011390000}"/>
    <cellStyle name="Normal 5 5 2 31" xfId="13177" xr:uid="{00000000-0005-0000-0000-000012390000}"/>
    <cellStyle name="Normal 5 5 2 31 2" xfId="13178" xr:uid="{00000000-0005-0000-0000-000013390000}"/>
    <cellStyle name="Normal 5 5 2 32" xfId="13179" xr:uid="{00000000-0005-0000-0000-000014390000}"/>
    <cellStyle name="Normal 5 5 2 32 2" xfId="13180" xr:uid="{00000000-0005-0000-0000-000015390000}"/>
    <cellStyle name="Normal 5 5 2 33" xfId="13181" xr:uid="{00000000-0005-0000-0000-000016390000}"/>
    <cellStyle name="Normal 5 5 2 33 2" xfId="13182" xr:uid="{00000000-0005-0000-0000-000017390000}"/>
    <cellStyle name="Normal 5 5 2 34" xfId="13183" xr:uid="{00000000-0005-0000-0000-000018390000}"/>
    <cellStyle name="Normal 5 5 2 34 2" xfId="13184" xr:uid="{00000000-0005-0000-0000-000019390000}"/>
    <cellStyle name="Normal 5 5 2 35" xfId="13185" xr:uid="{00000000-0005-0000-0000-00001A390000}"/>
    <cellStyle name="Normal 5 5 2 35 2" xfId="13186" xr:uid="{00000000-0005-0000-0000-00001B390000}"/>
    <cellStyle name="Normal 5 5 2 36" xfId="13187" xr:uid="{00000000-0005-0000-0000-00001C390000}"/>
    <cellStyle name="Normal 5 5 2 36 2" xfId="13188" xr:uid="{00000000-0005-0000-0000-00001D390000}"/>
    <cellStyle name="Normal 5 5 2 37" xfId="13189" xr:uid="{00000000-0005-0000-0000-00001E390000}"/>
    <cellStyle name="Normal 5 5 2 4" xfId="13190" xr:uid="{00000000-0005-0000-0000-00001F390000}"/>
    <cellStyle name="Normal 5 5 2 4 2" xfId="13191" xr:uid="{00000000-0005-0000-0000-000020390000}"/>
    <cellStyle name="Normal 5 5 2 4 2 2" xfId="13192" xr:uid="{00000000-0005-0000-0000-000021390000}"/>
    <cellStyle name="Normal 5 5 2 4 3" xfId="13193" xr:uid="{00000000-0005-0000-0000-000022390000}"/>
    <cellStyle name="Normal 5 5 2 4 3 2" xfId="13194" xr:uid="{00000000-0005-0000-0000-000023390000}"/>
    <cellStyle name="Normal 5 5 2 4 4" xfId="13195" xr:uid="{00000000-0005-0000-0000-000024390000}"/>
    <cellStyle name="Normal 5 5 2 4 4 2" xfId="13196" xr:uid="{00000000-0005-0000-0000-000025390000}"/>
    <cellStyle name="Normal 5 5 2 4 5" xfId="13197" xr:uid="{00000000-0005-0000-0000-000026390000}"/>
    <cellStyle name="Normal 5 5 2 4 5 2" xfId="13198" xr:uid="{00000000-0005-0000-0000-000027390000}"/>
    <cellStyle name="Normal 5 5 2 4 6" xfId="13199" xr:uid="{00000000-0005-0000-0000-000028390000}"/>
    <cellStyle name="Normal 5 5 2 5" xfId="13200" xr:uid="{00000000-0005-0000-0000-000029390000}"/>
    <cellStyle name="Normal 5 5 2 5 2" xfId="13201" xr:uid="{00000000-0005-0000-0000-00002A390000}"/>
    <cellStyle name="Normal 5 5 2 6" xfId="13202" xr:uid="{00000000-0005-0000-0000-00002B390000}"/>
    <cellStyle name="Normal 5 5 2 6 2" xfId="13203" xr:uid="{00000000-0005-0000-0000-00002C390000}"/>
    <cellStyle name="Normal 5 5 2 7" xfId="13204" xr:uid="{00000000-0005-0000-0000-00002D390000}"/>
    <cellStyle name="Normal 5 5 2 7 2" xfId="13205" xr:uid="{00000000-0005-0000-0000-00002E390000}"/>
    <cellStyle name="Normal 5 5 2 8" xfId="13206" xr:uid="{00000000-0005-0000-0000-00002F390000}"/>
    <cellStyle name="Normal 5 5 2 8 2" xfId="13207" xr:uid="{00000000-0005-0000-0000-000030390000}"/>
    <cellStyle name="Normal 5 5 2 9" xfId="13208" xr:uid="{00000000-0005-0000-0000-000031390000}"/>
    <cellStyle name="Normal 5 5 2 9 2" xfId="13209" xr:uid="{00000000-0005-0000-0000-000032390000}"/>
    <cellStyle name="Normal 5 5 20" xfId="13210" xr:uid="{00000000-0005-0000-0000-000033390000}"/>
    <cellStyle name="Normal 5 5 21" xfId="13211" xr:uid="{00000000-0005-0000-0000-000034390000}"/>
    <cellStyle name="Normal 5 5 21 2" xfId="13212" xr:uid="{00000000-0005-0000-0000-000035390000}"/>
    <cellStyle name="Normal 5 5 22" xfId="13213" xr:uid="{00000000-0005-0000-0000-000036390000}"/>
    <cellStyle name="Normal 5 5 23" xfId="13214" xr:uid="{00000000-0005-0000-0000-000037390000}"/>
    <cellStyle name="Normal 5 5 23 2" xfId="13215" xr:uid="{00000000-0005-0000-0000-000038390000}"/>
    <cellStyle name="Normal 5 5 24" xfId="13216" xr:uid="{00000000-0005-0000-0000-000039390000}"/>
    <cellStyle name="Normal 5 5 24 2" xfId="13217" xr:uid="{00000000-0005-0000-0000-00003A390000}"/>
    <cellStyle name="Normal 5 5 25" xfId="13218" xr:uid="{00000000-0005-0000-0000-00003B390000}"/>
    <cellStyle name="Normal 5 5 25 2" xfId="13219" xr:uid="{00000000-0005-0000-0000-00003C390000}"/>
    <cellStyle name="Normal 5 5 26" xfId="13220" xr:uid="{00000000-0005-0000-0000-00003D390000}"/>
    <cellStyle name="Normal 5 5 26 2" xfId="13221" xr:uid="{00000000-0005-0000-0000-00003E390000}"/>
    <cellStyle name="Normal 5 5 27" xfId="13222" xr:uid="{00000000-0005-0000-0000-00003F390000}"/>
    <cellStyle name="Normal 5 5 27 2" xfId="13223" xr:uid="{00000000-0005-0000-0000-000040390000}"/>
    <cellStyle name="Normal 5 5 28" xfId="13224" xr:uid="{00000000-0005-0000-0000-000041390000}"/>
    <cellStyle name="Normal 5 5 28 2" xfId="13225" xr:uid="{00000000-0005-0000-0000-000042390000}"/>
    <cellStyle name="Normal 5 5 29" xfId="13226" xr:uid="{00000000-0005-0000-0000-000043390000}"/>
    <cellStyle name="Normal 5 5 29 2" xfId="13227" xr:uid="{00000000-0005-0000-0000-000044390000}"/>
    <cellStyle name="Normal 5 5 3" xfId="13228" xr:uid="{00000000-0005-0000-0000-000045390000}"/>
    <cellStyle name="Normal 5 5 3 10" xfId="13229" xr:uid="{00000000-0005-0000-0000-000046390000}"/>
    <cellStyle name="Normal 5 5 3 10 2" xfId="13230" xr:uid="{00000000-0005-0000-0000-000047390000}"/>
    <cellStyle name="Normal 5 5 3 11" xfId="13231" xr:uid="{00000000-0005-0000-0000-000048390000}"/>
    <cellStyle name="Normal 5 5 3 11 2" xfId="13232" xr:uid="{00000000-0005-0000-0000-000049390000}"/>
    <cellStyle name="Normal 5 5 3 12" xfId="13233" xr:uid="{00000000-0005-0000-0000-00004A390000}"/>
    <cellStyle name="Normal 5 5 3 12 2" xfId="13234" xr:uid="{00000000-0005-0000-0000-00004B390000}"/>
    <cellStyle name="Normal 5 5 3 13" xfId="13235" xr:uid="{00000000-0005-0000-0000-00004C390000}"/>
    <cellStyle name="Normal 5 5 3 13 2" xfId="13236" xr:uid="{00000000-0005-0000-0000-00004D390000}"/>
    <cellStyle name="Normal 5 5 3 14" xfId="13237" xr:uid="{00000000-0005-0000-0000-00004E390000}"/>
    <cellStyle name="Normal 5 5 3 14 2" xfId="13238" xr:uid="{00000000-0005-0000-0000-00004F390000}"/>
    <cellStyle name="Normal 5 5 3 15" xfId="13239" xr:uid="{00000000-0005-0000-0000-000050390000}"/>
    <cellStyle name="Normal 5 5 3 15 2" xfId="13240" xr:uid="{00000000-0005-0000-0000-000051390000}"/>
    <cellStyle name="Normal 5 5 3 16" xfId="13241" xr:uid="{00000000-0005-0000-0000-000052390000}"/>
    <cellStyle name="Normal 5 5 3 16 2" xfId="13242" xr:uid="{00000000-0005-0000-0000-000053390000}"/>
    <cellStyle name="Normal 5 5 3 17" xfId="13243" xr:uid="{00000000-0005-0000-0000-000054390000}"/>
    <cellStyle name="Normal 5 5 3 17 2" xfId="13244" xr:uid="{00000000-0005-0000-0000-000055390000}"/>
    <cellStyle name="Normal 5 5 3 18" xfId="13245" xr:uid="{00000000-0005-0000-0000-000056390000}"/>
    <cellStyle name="Normal 5 5 3 18 2" xfId="13246" xr:uid="{00000000-0005-0000-0000-000057390000}"/>
    <cellStyle name="Normal 5 5 3 19" xfId="13247" xr:uid="{00000000-0005-0000-0000-000058390000}"/>
    <cellStyle name="Normal 5 5 3 19 2" xfId="13248" xr:uid="{00000000-0005-0000-0000-000059390000}"/>
    <cellStyle name="Normal 5 5 3 2" xfId="13249" xr:uid="{00000000-0005-0000-0000-00005A390000}"/>
    <cellStyle name="Normal 5 5 3 2 2" xfId="13250" xr:uid="{00000000-0005-0000-0000-00005B390000}"/>
    <cellStyle name="Normal 5 5 3 20" xfId="13251" xr:uid="{00000000-0005-0000-0000-00005C390000}"/>
    <cellStyle name="Normal 5 5 3 20 2" xfId="13252" xr:uid="{00000000-0005-0000-0000-00005D390000}"/>
    <cellStyle name="Normal 5 5 3 21" xfId="13253" xr:uid="{00000000-0005-0000-0000-00005E390000}"/>
    <cellStyle name="Normal 5 5 3 21 2" xfId="13254" xr:uid="{00000000-0005-0000-0000-00005F390000}"/>
    <cellStyle name="Normal 5 5 3 22" xfId="13255" xr:uid="{00000000-0005-0000-0000-000060390000}"/>
    <cellStyle name="Normal 5 5 3 22 2" xfId="13256" xr:uid="{00000000-0005-0000-0000-000061390000}"/>
    <cellStyle name="Normal 5 5 3 23" xfId="13257" xr:uid="{00000000-0005-0000-0000-000062390000}"/>
    <cellStyle name="Normal 5 5 3 23 2" xfId="13258" xr:uid="{00000000-0005-0000-0000-000063390000}"/>
    <cellStyle name="Normal 5 5 3 24" xfId="13259" xr:uid="{00000000-0005-0000-0000-000064390000}"/>
    <cellStyle name="Normal 5 5 3 24 2" xfId="13260" xr:uid="{00000000-0005-0000-0000-000065390000}"/>
    <cellStyle name="Normal 5 5 3 25" xfId="13261" xr:uid="{00000000-0005-0000-0000-000066390000}"/>
    <cellStyle name="Normal 5 5 3 25 2" xfId="13262" xr:uid="{00000000-0005-0000-0000-000067390000}"/>
    <cellStyle name="Normal 5 5 3 26" xfId="13263" xr:uid="{00000000-0005-0000-0000-000068390000}"/>
    <cellStyle name="Normal 5 5 3 3" xfId="13264" xr:uid="{00000000-0005-0000-0000-000069390000}"/>
    <cellStyle name="Normal 5 5 3 3 2" xfId="13265" xr:uid="{00000000-0005-0000-0000-00006A390000}"/>
    <cellStyle name="Normal 5 5 3 4" xfId="13266" xr:uid="{00000000-0005-0000-0000-00006B390000}"/>
    <cellStyle name="Normal 5 5 3 4 2" xfId="13267" xr:uid="{00000000-0005-0000-0000-00006C390000}"/>
    <cellStyle name="Normal 5 5 3 5" xfId="13268" xr:uid="{00000000-0005-0000-0000-00006D390000}"/>
    <cellStyle name="Normal 5 5 3 5 2" xfId="13269" xr:uid="{00000000-0005-0000-0000-00006E390000}"/>
    <cellStyle name="Normal 5 5 3 6" xfId="13270" xr:uid="{00000000-0005-0000-0000-00006F390000}"/>
    <cellStyle name="Normal 5 5 3 6 2" xfId="13271" xr:uid="{00000000-0005-0000-0000-000070390000}"/>
    <cellStyle name="Normal 5 5 3 7" xfId="13272" xr:uid="{00000000-0005-0000-0000-000071390000}"/>
    <cellStyle name="Normal 5 5 3 7 2" xfId="13273" xr:uid="{00000000-0005-0000-0000-000072390000}"/>
    <cellStyle name="Normal 5 5 3 8" xfId="13274" xr:uid="{00000000-0005-0000-0000-000073390000}"/>
    <cellStyle name="Normal 5 5 3 8 2" xfId="13275" xr:uid="{00000000-0005-0000-0000-000074390000}"/>
    <cellStyle name="Normal 5 5 3 9" xfId="13276" xr:uid="{00000000-0005-0000-0000-000075390000}"/>
    <cellStyle name="Normal 5 5 3 9 2" xfId="13277" xr:uid="{00000000-0005-0000-0000-000076390000}"/>
    <cellStyle name="Normal 5 5 30" xfId="13278" xr:uid="{00000000-0005-0000-0000-000077390000}"/>
    <cellStyle name="Normal 5 5 30 2" xfId="13279" xr:uid="{00000000-0005-0000-0000-000078390000}"/>
    <cellStyle name="Normal 5 5 31" xfId="13280" xr:uid="{00000000-0005-0000-0000-000079390000}"/>
    <cellStyle name="Normal 5 5 31 2" xfId="13281" xr:uid="{00000000-0005-0000-0000-00007A390000}"/>
    <cellStyle name="Normal 5 5 32" xfId="13282" xr:uid="{00000000-0005-0000-0000-00007B390000}"/>
    <cellStyle name="Normal 5 5 32 2" xfId="13283" xr:uid="{00000000-0005-0000-0000-00007C390000}"/>
    <cellStyle name="Normal 5 5 33" xfId="13284" xr:uid="{00000000-0005-0000-0000-00007D390000}"/>
    <cellStyle name="Normal 5 5 33 2" xfId="13285" xr:uid="{00000000-0005-0000-0000-00007E390000}"/>
    <cellStyle name="Normal 5 5 34" xfId="13286" xr:uid="{00000000-0005-0000-0000-00007F390000}"/>
    <cellStyle name="Normal 5 5 34 2" xfId="13287" xr:uid="{00000000-0005-0000-0000-000080390000}"/>
    <cellStyle name="Normal 5 5 35" xfId="13288" xr:uid="{00000000-0005-0000-0000-000081390000}"/>
    <cellStyle name="Normal 5 5 35 2" xfId="13289" xr:uid="{00000000-0005-0000-0000-000082390000}"/>
    <cellStyle name="Normal 5 5 36" xfId="13290" xr:uid="{00000000-0005-0000-0000-000083390000}"/>
    <cellStyle name="Normal 5 5 36 2" xfId="13291" xr:uid="{00000000-0005-0000-0000-000084390000}"/>
    <cellStyle name="Normal 5 5 37" xfId="13292" xr:uid="{00000000-0005-0000-0000-000085390000}"/>
    <cellStyle name="Normal 5 5 37 2" xfId="13293" xr:uid="{00000000-0005-0000-0000-000086390000}"/>
    <cellStyle name="Normal 5 5 38" xfId="13294" xr:uid="{00000000-0005-0000-0000-000087390000}"/>
    <cellStyle name="Normal 5 5 38 2" xfId="13295" xr:uid="{00000000-0005-0000-0000-000088390000}"/>
    <cellStyle name="Normal 5 5 39" xfId="13296" xr:uid="{00000000-0005-0000-0000-000089390000}"/>
    <cellStyle name="Normal 5 5 39 2" xfId="13297" xr:uid="{00000000-0005-0000-0000-00008A390000}"/>
    <cellStyle name="Normal 5 5 4" xfId="13298" xr:uid="{00000000-0005-0000-0000-00008B390000}"/>
    <cellStyle name="Normal 5 5 40" xfId="13299" xr:uid="{00000000-0005-0000-0000-00008C390000}"/>
    <cellStyle name="Normal 5 5 40 2" xfId="13300" xr:uid="{00000000-0005-0000-0000-00008D390000}"/>
    <cellStyle name="Normal 5 5 41" xfId="13301" xr:uid="{00000000-0005-0000-0000-00008E390000}"/>
    <cellStyle name="Normal 5 5 42" xfId="13302" xr:uid="{00000000-0005-0000-0000-00008F390000}"/>
    <cellStyle name="Normal 5 5 42 2" xfId="13303" xr:uid="{00000000-0005-0000-0000-000090390000}"/>
    <cellStyle name="Normal 5 5 43" xfId="13304" xr:uid="{00000000-0005-0000-0000-000091390000}"/>
    <cellStyle name="Normal 5 5 43 2" xfId="13305" xr:uid="{00000000-0005-0000-0000-000092390000}"/>
    <cellStyle name="Normal 5 5 44" xfId="13306" xr:uid="{00000000-0005-0000-0000-000093390000}"/>
    <cellStyle name="Normal 5 5 44 2" xfId="13307" xr:uid="{00000000-0005-0000-0000-000094390000}"/>
    <cellStyle name="Normal 5 5 45" xfId="13308" xr:uid="{00000000-0005-0000-0000-000095390000}"/>
    <cellStyle name="Normal 5 5 45 2" xfId="13309" xr:uid="{00000000-0005-0000-0000-000096390000}"/>
    <cellStyle name="Normal 5 5 46" xfId="13310" xr:uid="{00000000-0005-0000-0000-000097390000}"/>
    <cellStyle name="Normal 5 5 46 2" xfId="13311" xr:uid="{00000000-0005-0000-0000-000098390000}"/>
    <cellStyle name="Normal 5 5 47" xfId="13312" xr:uid="{00000000-0005-0000-0000-000099390000}"/>
    <cellStyle name="Normal 5 5 48" xfId="13096" xr:uid="{00000000-0005-0000-0000-00009A390000}"/>
    <cellStyle name="Normal 5 5 49" xfId="27109" xr:uid="{00000000-0005-0000-0000-00009B390000}"/>
    <cellStyle name="Normal 5 5 5" xfId="13313" xr:uid="{00000000-0005-0000-0000-00009C390000}"/>
    <cellStyle name="Normal 5 5 5 2" xfId="13314" xr:uid="{00000000-0005-0000-0000-00009D390000}"/>
    <cellStyle name="Normal 5 5 6" xfId="13315" xr:uid="{00000000-0005-0000-0000-00009E390000}"/>
    <cellStyle name="Normal 5 5 6 2" xfId="13316" xr:uid="{00000000-0005-0000-0000-00009F390000}"/>
    <cellStyle name="Normal 5 5 7" xfId="13317" xr:uid="{00000000-0005-0000-0000-0000A0390000}"/>
    <cellStyle name="Normal 5 5 8" xfId="13318" xr:uid="{00000000-0005-0000-0000-0000A1390000}"/>
    <cellStyle name="Normal 5 5 9" xfId="13319" xr:uid="{00000000-0005-0000-0000-0000A2390000}"/>
    <cellStyle name="Normal 5 5 9 2" xfId="13320" xr:uid="{00000000-0005-0000-0000-0000A3390000}"/>
    <cellStyle name="Normal 5 6" xfId="360" xr:uid="{00000000-0005-0000-0000-0000A4390000}"/>
    <cellStyle name="Normal 5 6 10" xfId="13322" xr:uid="{00000000-0005-0000-0000-0000A5390000}"/>
    <cellStyle name="Normal 5 6 10 2" xfId="13323" xr:uid="{00000000-0005-0000-0000-0000A6390000}"/>
    <cellStyle name="Normal 5 6 11" xfId="13324" xr:uid="{00000000-0005-0000-0000-0000A7390000}"/>
    <cellStyle name="Normal 5 6 11 2" xfId="13325" xr:uid="{00000000-0005-0000-0000-0000A8390000}"/>
    <cellStyle name="Normal 5 6 12" xfId="13326" xr:uid="{00000000-0005-0000-0000-0000A9390000}"/>
    <cellStyle name="Normal 5 6 12 2" xfId="13327" xr:uid="{00000000-0005-0000-0000-0000AA390000}"/>
    <cellStyle name="Normal 5 6 13" xfId="13328" xr:uid="{00000000-0005-0000-0000-0000AB390000}"/>
    <cellStyle name="Normal 5 6 13 2" xfId="13329" xr:uid="{00000000-0005-0000-0000-0000AC390000}"/>
    <cellStyle name="Normal 5 6 14" xfId="13330" xr:uid="{00000000-0005-0000-0000-0000AD390000}"/>
    <cellStyle name="Normal 5 6 14 2" xfId="13331" xr:uid="{00000000-0005-0000-0000-0000AE390000}"/>
    <cellStyle name="Normal 5 6 15" xfId="13332" xr:uid="{00000000-0005-0000-0000-0000AF390000}"/>
    <cellStyle name="Normal 5 6 15 2" xfId="13333" xr:uid="{00000000-0005-0000-0000-0000B0390000}"/>
    <cellStyle name="Normal 5 6 16" xfId="13334" xr:uid="{00000000-0005-0000-0000-0000B1390000}"/>
    <cellStyle name="Normal 5 6 16 2" xfId="13335" xr:uid="{00000000-0005-0000-0000-0000B2390000}"/>
    <cellStyle name="Normal 5 6 17" xfId="13336" xr:uid="{00000000-0005-0000-0000-0000B3390000}"/>
    <cellStyle name="Normal 5 6 17 2" xfId="13337" xr:uid="{00000000-0005-0000-0000-0000B4390000}"/>
    <cellStyle name="Normal 5 6 18" xfId="13338" xr:uid="{00000000-0005-0000-0000-0000B5390000}"/>
    <cellStyle name="Normal 5 6 18 2" xfId="13339" xr:uid="{00000000-0005-0000-0000-0000B6390000}"/>
    <cellStyle name="Normal 5 6 19" xfId="13340" xr:uid="{00000000-0005-0000-0000-0000B7390000}"/>
    <cellStyle name="Normal 5 6 19 2" xfId="13341" xr:uid="{00000000-0005-0000-0000-0000B8390000}"/>
    <cellStyle name="Normal 5 6 2" xfId="13342" xr:uid="{00000000-0005-0000-0000-0000B9390000}"/>
    <cellStyle name="Normal 5 6 2 10" xfId="13343" xr:uid="{00000000-0005-0000-0000-0000BA390000}"/>
    <cellStyle name="Normal 5 6 2 10 2" xfId="13344" xr:uid="{00000000-0005-0000-0000-0000BB390000}"/>
    <cellStyle name="Normal 5 6 2 11" xfId="13345" xr:uid="{00000000-0005-0000-0000-0000BC390000}"/>
    <cellStyle name="Normal 5 6 2 11 2" xfId="13346" xr:uid="{00000000-0005-0000-0000-0000BD390000}"/>
    <cellStyle name="Normal 5 6 2 12" xfId="13347" xr:uid="{00000000-0005-0000-0000-0000BE390000}"/>
    <cellStyle name="Normal 5 6 2 12 2" xfId="13348" xr:uid="{00000000-0005-0000-0000-0000BF390000}"/>
    <cellStyle name="Normal 5 6 2 13" xfId="13349" xr:uid="{00000000-0005-0000-0000-0000C0390000}"/>
    <cellStyle name="Normal 5 6 2 13 2" xfId="13350" xr:uid="{00000000-0005-0000-0000-0000C1390000}"/>
    <cellStyle name="Normal 5 6 2 14" xfId="13351" xr:uid="{00000000-0005-0000-0000-0000C2390000}"/>
    <cellStyle name="Normal 5 6 2 14 2" xfId="13352" xr:uid="{00000000-0005-0000-0000-0000C3390000}"/>
    <cellStyle name="Normal 5 6 2 15" xfId="13353" xr:uid="{00000000-0005-0000-0000-0000C4390000}"/>
    <cellStyle name="Normal 5 6 2 15 2" xfId="13354" xr:uid="{00000000-0005-0000-0000-0000C5390000}"/>
    <cellStyle name="Normal 5 6 2 16" xfId="13355" xr:uid="{00000000-0005-0000-0000-0000C6390000}"/>
    <cellStyle name="Normal 5 6 2 16 2" xfId="13356" xr:uid="{00000000-0005-0000-0000-0000C7390000}"/>
    <cellStyle name="Normal 5 6 2 17" xfId="13357" xr:uid="{00000000-0005-0000-0000-0000C8390000}"/>
    <cellStyle name="Normal 5 6 2 17 2" xfId="13358" xr:uid="{00000000-0005-0000-0000-0000C9390000}"/>
    <cellStyle name="Normal 5 6 2 18" xfId="13359" xr:uid="{00000000-0005-0000-0000-0000CA390000}"/>
    <cellStyle name="Normal 5 6 2 18 2" xfId="13360" xr:uid="{00000000-0005-0000-0000-0000CB390000}"/>
    <cellStyle name="Normal 5 6 2 19" xfId="13361" xr:uid="{00000000-0005-0000-0000-0000CC390000}"/>
    <cellStyle name="Normal 5 6 2 19 2" xfId="13362" xr:uid="{00000000-0005-0000-0000-0000CD390000}"/>
    <cellStyle name="Normal 5 6 2 2" xfId="13363" xr:uid="{00000000-0005-0000-0000-0000CE390000}"/>
    <cellStyle name="Normal 5 6 2 2 10" xfId="13364" xr:uid="{00000000-0005-0000-0000-0000CF390000}"/>
    <cellStyle name="Normal 5 6 2 2 10 2" xfId="13365" xr:uid="{00000000-0005-0000-0000-0000D0390000}"/>
    <cellStyle name="Normal 5 6 2 2 11" xfId="13366" xr:uid="{00000000-0005-0000-0000-0000D1390000}"/>
    <cellStyle name="Normal 5 6 2 2 11 2" xfId="13367" xr:uid="{00000000-0005-0000-0000-0000D2390000}"/>
    <cellStyle name="Normal 5 6 2 2 12" xfId="13368" xr:uid="{00000000-0005-0000-0000-0000D3390000}"/>
    <cellStyle name="Normal 5 6 2 2 12 2" xfId="13369" xr:uid="{00000000-0005-0000-0000-0000D4390000}"/>
    <cellStyle name="Normal 5 6 2 2 13" xfId="13370" xr:uid="{00000000-0005-0000-0000-0000D5390000}"/>
    <cellStyle name="Normal 5 6 2 2 13 2" xfId="13371" xr:uid="{00000000-0005-0000-0000-0000D6390000}"/>
    <cellStyle name="Normal 5 6 2 2 14" xfId="13372" xr:uid="{00000000-0005-0000-0000-0000D7390000}"/>
    <cellStyle name="Normal 5 6 2 2 14 2" xfId="13373" xr:uid="{00000000-0005-0000-0000-0000D8390000}"/>
    <cellStyle name="Normal 5 6 2 2 15" xfId="13374" xr:uid="{00000000-0005-0000-0000-0000D9390000}"/>
    <cellStyle name="Normal 5 6 2 2 15 2" xfId="13375" xr:uid="{00000000-0005-0000-0000-0000DA390000}"/>
    <cellStyle name="Normal 5 6 2 2 16" xfId="13376" xr:uid="{00000000-0005-0000-0000-0000DB390000}"/>
    <cellStyle name="Normal 5 6 2 2 16 2" xfId="13377" xr:uid="{00000000-0005-0000-0000-0000DC390000}"/>
    <cellStyle name="Normal 5 6 2 2 17" xfId="13378" xr:uid="{00000000-0005-0000-0000-0000DD390000}"/>
    <cellStyle name="Normal 5 6 2 2 2" xfId="13379" xr:uid="{00000000-0005-0000-0000-0000DE390000}"/>
    <cellStyle name="Normal 5 6 2 2 2 2" xfId="13380" xr:uid="{00000000-0005-0000-0000-0000DF390000}"/>
    <cellStyle name="Normal 5 6 2 2 3" xfId="13381" xr:uid="{00000000-0005-0000-0000-0000E0390000}"/>
    <cellStyle name="Normal 5 6 2 2 3 2" xfId="13382" xr:uid="{00000000-0005-0000-0000-0000E1390000}"/>
    <cellStyle name="Normal 5 6 2 2 4" xfId="13383" xr:uid="{00000000-0005-0000-0000-0000E2390000}"/>
    <cellStyle name="Normal 5 6 2 2 4 2" xfId="13384" xr:uid="{00000000-0005-0000-0000-0000E3390000}"/>
    <cellStyle name="Normal 5 6 2 2 5" xfId="13385" xr:uid="{00000000-0005-0000-0000-0000E4390000}"/>
    <cellStyle name="Normal 5 6 2 2 5 2" xfId="13386" xr:uid="{00000000-0005-0000-0000-0000E5390000}"/>
    <cellStyle name="Normal 5 6 2 2 6" xfId="13387" xr:uid="{00000000-0005-0000-0000-0000E6390000}"/>
    <cellStyle name="Normal 5 6 2 2 6 2" xfId="13388" xr:uid="{00000000-0005-0000-0000-0000E7390000}"/>
    <cellStyle name="Normal 5 6 2 2 7" xfId="13389" xr:uid="{00000000-0005-0000-0000-0000E8390000}"/>
    <cellStyle name="Normal 5 6 2 2 7 2" xfId="13390" xr:uid="{00000000-0005-0000-0000-0000E9390000}"/>
    <cellStyle name="Normal 5 6 2 2 8" xfId="13391" xr:uid="{00000000-0005-0000-0000-0000EA390000}"/>
    <cellStyle name="Normal 5 6 2 2 8 2" xfId="13392" xr:uid="{00000000-0005-0000-0000-0000EB390000}"/>
    <cellStyle name="Normal 5 6 2 2 9" xfId="13393" xr:uid="{00000000-0005-0000-0000-0000EC390000}"/>
    <cellStyle name="Normal 5 6 2 2 9 2" xfId="13394" xr:uid="{00000000-0005-0000-0000-0000ED390000}"/>
    <cellStyle name="Normal 5 6 2 20" xfId="13395" xr:uid="{00000000-0005-0000-0000-0000EE390000}"/>
    <cellStyle name="Normal 5 6 2 20 2" xfId="13396" xr:uid="{00000000-0005-0000-0000-0000EF390000}"/>
    <cellStyle name="Normal 5 6 2 21" xfId="13397" xr:uid="{00000000-0005-0000-0000-0000F0390000}"/>
    <cellStyle name="Normal 5 6 2 21 2" xfId="13398" xr:uid="{00000000-0005-0000-0000-0000F1390000}"/>
    <cellStyle name="Normal 5 6 2 22" xfId="13399" xr:uid="{00000000-0005-0000-0000-0000F2390000}"/>
    <cellStyle name="Normal 5 6 2 22 2" xfId="13400" xr:uid="{00000000-0005-0000-0000-0000F3390000}"/>
    <cellStyle name="Normal 5 6 2 23" xfId="13401" xr:uid="{00000000-0005-0000-0000-0000F4390000}"/>
    <cellStyle name="Normal 5 6 2 23 2" xfId="13402" xr:uid="{00000000-0005-0000-0000-0000F5390000}"/>
    <cellStyle name="Normal 5 6 2 24" xfId="13403" xr:uid="{00000000-0005-0000-0000-0000F6390000}"/>
    <cellStyle name="Normal 5 6 2 24 2" xfId="13404" xr:uid="{00000000-0005-0000-0000-0000F7390000}"/>
    <cellStyle name="Normal 5 6 2 25" xfId="13405" xr:uid="{00000000-0005-0000-0000-0000F8390000}"/>
    <cellStyle name="Normal 5 6 2 25 2" xfId="13406" xr:uid="{00000000-0005-0000-0000-0000F9390000}"/>
    <cellStyle name="Normal 5 6 2 26" xfId="13407" xr:uid="{00000000-0005-0000-0000-0000FA390000}"/>
    <cellStyle name="Normal 5 6 2 26 2" xfId="13408" xr:uid="{00000000-0005-0000-0000-0000FB390000}"/>
    <cellStyle name="Normal 5 6 2 27" xfId="13409" xr:uid="{00000000-0005-0000-0000-0000FC390000}"/>
    <cellStyle name="Normal 5 6 2 27 2" xfId="13410" xr:uid="{00000000-0005-0000-0000-0000FD390000}"/>
    <cellStyle name="Normal 5 6 2 28" xfId="13411" xr:uid="{00000000-0005-0000-0000-0000FE390000}"/>
    <cellStyle name="Normal 5 6 2 28 2" xfId="13412" xr:uid="{00000000-0005-0000-0000-0000FF390000}"/>
    <cellStyle name="Normal 5 6 2 29" xfId="13413" xr:uid="{00000000-0005-0000-0000-0000003A0000}"/>
    <cellStyle name="Normal 5 6 2 29 2" xfId="13414" xr:uid="{00000000-0005-0000-0000-0000013A0000}"/>
    <cellStyle name="Normal 5 6 2 3" xfId="13415" xr:uid="{00000000-0005-0000-0000-0000023A0000}"/>
    <cellStyle name="Normal 5 6 2 3 2" xfId="13416" xr:uid="{00000000-0005-0000-0000-0000033A0000}"/>
    <cellStyle name="Normal 5 6 2 30" xfId="13417" xr:uid="{00000000-0005-0000-0000-0000043A0000}"/>
    <cellStyle name="Normal 5 6 2 30 2" xfId="13418" xr:uid="{00000000-0005-0000-0000-0000053A0000}"/>
    <cellStyle name="Normal 5 6 2 31" xfId="13419" xr:uid="{00000000-0005-0000-0000-0000063A0000}"/>
    <cellStyle name="Normal 5 6 2 31 2" xfId="13420" xr:uid="{00000000-0005-0000-0000-0000073A0000}"/>
    <cellStyle name="Normal 5 6 2 32" xfId="13421" xr:uid="{00000000-0005-0000-0000-0000083A0000}"/>
    <cellStyle name="Normal 5 6 2 32 2" xfId="13422" xr:uid="{00000000-0005-0000-0000-0000093A0000}"/>
    <cellStyle name="Normal 5 6 2 33" xfId="13423" xr:uid="{00000000-0005-0000-0000-00000A3A0000}"/>
    <cellStyle name="Normal 5 6 2 33 2" xfId="13424" xr:uid="{00000000-0005-0000-0000-00000B3A0000}"/>
    <cellStyle name="Normal 5 6 2 34" xfId="13425" xr:uid="{00000000-0005-0000-0000-00000C3A0000}"/>
    <cellStyle name="Normal 5 6 2 34 2" xfId="13426" xr:uid="{00000000-0005-0000-0000-00000D3A0000}"/>
    <cellStyle name="Normal 5 6 2 35" xfId="13427" xr:uid="{00000000-0005-0000-0000-00000E3A0000}"/>
    <cellStyle name="Normal 5 6 2 35 2" xfId="13428" xr:uid="{00000000-0005-0000-0000-00000F3A0000}"/>
    <cellStyle name="Normal 5 6 2 36" xfId="13429" xr:uid="{00000000-0005-0000-0000-0000103A0000}"/>
    <cellStyle name="Normal 5 6 2 4" xfId="13430" xr:uid="{00000000-0005-0000-0000-0000113A0000}"/>
    <cellStyle name="Normal 5 6 2 4 2" xfId="13431" xr:uid="{00000000-0005-0000-0000-0000123A0000}"/>
    <cellStyle name="Normal 5 6 2 5" xfId="13432" xr:uid="{00000000-0005-0000-0000-0000133A0000}"/>
    <cellStyle name="Normal 5 6 2 5 2" xfId="13433" xr:uid="{00000000-0005-0000-0000-0000143A0000}"/>
    <cellStyle name="Normal 5 6 2 6" xfId="13434" xr:uid="{00000000-0005-0000-0000-0000153A0000}"/>
    <cellStyle name="Normal 5 6 2 6 2" xfId="13435" xr:uid="{00000000-0005-0000-0000-0000163A0000}"/>
    <cellStyle name="Normal 5 6 2 7" xfId="13436" xr:uid="{00000000-0005-0000-0000-0000173A0000}"/>
    <cellStyle name="Normal 5 6 2 7 2" xfId="13437" xr:uid="{00000000-0005-0000-0000-0000183A0000}"/>
    <cellStyle name="Normal 5 6 2 8" xfId="13438" xr:uid="{00000000-0005-0000-0000-0000193A0000}"/>
    <cellStyle name="Normal 5 6 2 8 2" xfId="13439" xr:uid="{00000000-0005-0000-0000-00001A3A0000}"/>
    <cellStyle name="Normal 5 6 2 9" xfId="13440" xr:uid="{00000000-0005-0000-0000-00001B3A0000}"/>
    <cellStyle name="Normal 5 6 2 9 2" xfId="13441" xr:uid="{00000000-0005-0000-0000-00001C3A0000}"/>
    <cellStyle name="Normal 5 6 20" xfId="13442" xr:uid="{00000000-0005-0000-0000-00001D3A0000}"/>
    <cellStyle name="Normal 5 6 20 2" xfId="13443" xr:uid="{00000000-0005-0000-0000-00001E3A0000}"/>
    <cellStyle name="Normal 5 6 21" xfId="13444" xr:uid="{00000000-0005-0000-0000-00001F3A0000}"/>
    <cellStyle name="Normal 5 6 21 2" xfId="13445" xr:uid="{00000000-0005-0000-0000-0000203A0000}"/>
    <cellStyle name="Normal 5 6 22" xfId="13446" xr:uid="{00000000-0005-0000-0000-0000213A0000}"/>
    <cellStyle name="Normal 5 6 22 2" xfId="13447" xr:uid="{00000000-0005-0000-0000-0000223A0000}"/>
    <cellStyle name="Normal 5 6 23" xfId="13448" xr:uid="{00000000-0005-0000-0000-0000233A0000}"/>
    <cellStyle name="Normal 5 6 23 2" xfId="13449" xr:uid="{00000000-0005-0000-0000-0000243A0000}"/>
    <cellStyle name="Normal 5 6 24" xfId="13450" xr:uid="{00000000-0005-0000-0000-0000253A0000}"/>
    <cellStyle name="Normal 5 6 24 2" xfId="13451" xr:uid="{00000000-0005-0000-0000-0000263A0000}"/>
    <cellStyle name="Normal 5 6 25" xfId="13452" xr:uid="{00000000-0005-0000-0000-0000273A0000}"/>
    <cellStyle name="Normal 5 6 25 2" xfId="13453" xr:uid="{00000000-0005-0000-0000-0000283A0000}"/>
    <cellStyle name="Normal 5 6 26" xfId="13454" xr:uid="{00000000-0005-0000-0000-0000293A0000}"/>
    <cellStyle name="Normal 5 6 26 2" xfId="13455" xr:uid="{00000000-0005-0000-0000-00002A3A0000}"/>
    <cellStyle name="Normal 5 6 27" xfId="13456" xr:uid="{00000000-0005-0000-0000-00002B3A0000}"/>
    <cellStyle name="Normal 5 6 27 2" xfId="13457" xr:uid="{00000000-0005-0000-0000-00002C3A0000}"/>
    <cellStyle name="Normal 5 6 28" xfId="13458" xr:uid="{00000000-0005-0000-0000-00002D3A0000}"/>
    <cellStyle name="Normal 5 6 28 2" xfId="13459" xr:uid="{00000000-0005-0000-0000-00002E3A0000}"/>
    <cellStyle name="Normal 5 6 29" xfId="13460" xr:uid="{00000000-0005-0000-0000-00002F3A0000}"/>
    <cellStyle name="Normal 5 6 29 2" xfId="13461" xr:uid="{00000000-0005-0000-0000-0000303A0000}"/>
    <cellStyle name="Normal 5 6 3" xfId="13462" xr:uid="{00000000-0005-0000-0000-0000313A0000}"/>
    <cellStyle name="Normal 5 6 3 10" xfId="13463" xr:uid="{00000000-0005-0000-0000-0000323A0000}"/>
    <cellStyle name="Normal 5 6 3 10 2" xfId="13464" xr:uid="{00000000-0005-0000-0000-0000333A0000}"/>
    <cellStyle name="Normal 5 6 3 11" xfId="13465" xr:uid="{00000000-0005-0000-0000-0000343A0000}"/>
    <cellStyle name="Normal 5 6 3 11 2" xfId="13466" xr:uid="{00000000-0005-0000-0000-0000353A0000}"/>
    <cellStyle name="Normal 5 6 3 12" xfId="13467" xr:uid="{00000000-0005-0000-0000-0000363A0000}"/>
    <cellStyle name="Normal 5 6 3 12 2" xfId="13468" xr:uid="{00000000-0005-0000-0000-0000373A0000}"/>
    <cellStyle name="Normal 5 6 3 13" xfId="13469" xr:uid="{00000000-0005-0000-0000-0000383A0000}"/>
    <cellStyle name="Normal 5 6 3 13 2" xfId="13470" xr:uid="{00000000-0005-0000-0000-0000393A0000}"/>
    <cellStyle name="Normal 5 6 3 14" xfId="13471" xr:uid="{00000000-0005-0000-0000-00003A3A0000}"/>
    <cellStyle name="Normal 5 6 3 14 2" xfId="13472" xr:uid="{00000000-0005-0000-0000-00003B3A0000}"/>
    <cellStyle name="Normal 5 6 3 15" xfId="13473" xr:uid="{00000000-0005-0000-0000-00003C3A0000}"/>
    <cellStyle name="Normal 5 6 3 15 2" xfId="13474" xr:uid="{00000000-0005-0000-0000-00003D3A0000}"/>
    <cellStyle name="Normal 5 6 3 16" xfId="13475" xr:uid="{00000000-0005-0000-0000-00003E3A0000}"/>
    <cellStyle name="Normal 5 6 3 16 2" xfId="13476" xr:uid="{00000000-0005-0000-0000-00003F3A0000}"/>
    <cellStyle name="Normal 5 6 3 17" xfId="13477" xr:uid="{00000000-0005-0000-0000-0000403A0000}"/>
    <cellStyle name="Normal 5 6 3 17 2" xfId="13478" xr:uid="{00000000-0005-0000-0000-0000413A0000}"/>
    <cellStyle name="Normal 5 6 3 18" xfId="13479" xr:uid="{00000000-0005-0000-0000-0000423A0000}"/>
    <cellStyle name="Normal 5 6 3 18 2" xfId="13480" xr:uid="{00000000-0005-0000-0000-0000433A0000}"/>
    <cellStyle name="Normal 5 6 3 19" xfId="13481" xr:uid="{00000000-0005-0000-0000-0000443A0000}"/>
    <cellStyle name="Normal 5 6 3 19 2" xfId="13482" xr:uid="{00000000-0005-0000-0000-0000453A0000}"/>
    <cellStyle name="Normal 5 6 3 2" xfId="13483" xr:uid="{00000000-0005-0000-0000-0000463A0000}"/>
    <cellStyle name="Normal 5 6 3 2 10" xfId="13484" xr:uid="{00000000-0005-0000-0000-0000473A0000}"/>
    <cellStyle name="Normal 5 6 3 2 10 2" xfId="13485" xr:uid="{00000000-0005-0000-0000-0000483A0000}"/>
    <cellStyle name="Normal 5 6 3 2 11" xfId="13486" xr:uid="{00000000-0005-0000-0000-0000493A0000}"/>
    <cellStyle name="Normal 5 6 3 2 11 2" xfId="13487" xr:uid="{00000000-0005-0000-0000-00004A3A0000}"/>
    <cellStyle name="Normal 5 6 3 2 12" xfId="13488" xr:uid="{00000000-0005-0000-0000-00004B3A0000}"/>
    <cellStyle name="Normal 5 6 3 2 12 2" xfId="13489" xr:uid="{00000000-0005-0000-0000-00004C3A0000}"/>
    <cellStyle name="Normal 5 6 3 2 13" xfId="13490" xr:uid="{00000000-0005-0000-0000-00004D3A0000}"/>
    <cellStyle name="Normal 5 6 3 2 13 2" xfId="13491" xr:uid="{00000000-0005-0000-0000-00004E3A0000}"/>
    <cellStyle name="Normal 5 6 3 2 14" xfId="13492" xr:uid="{00000000-0005-0000-0000-00004F3A0000}"/>
    <cellStyle name="Normal 5 6 3 2 14 2" xfId="13493" xr:uid="{00000000-0005-0000-0000-0000503A0000}"/>
    <cellStyle name="Normal 5 6 3 2 15" xfId="13494" xr:uid="{00000000-0005-0000-0000-0000513A0000}"/>
    <cellStyle name="Normal 5 6 3 2 15 2" xfId="13495" xr:uid="{00000000-0005-0000-0000-0000523A0000}"/>
    <cellStyle name="Normal 5 6 3 2 16" xfId="13496" xr:uid="{00000000-0005-0000-0000-0000533A0000}"/>
    <cellStyle name="Normal 5 6 3 2 16 2" xfId="13497" xr:uid="{00000000-0005-0000-0000-0000543A0000}"/>
    <cellStyle name="Normal 5 6 3 2 17" xfId="13498" xr:uid="{00000000-0005-0000-0000-0000553A0000}"/>
    <cellStyle name="Normal 5 6 3 2 2" xfId="13499" xr:uid="{00000000-0005-0000-0000-0000563A0000}"/>
    <cellStyle name="Normal 5 6 3 2 2 2" xfId="13500" xr:uid="{00000000-0005-0000-0000-0000573A0000}"/>
    <cellStyle name="Normal 5 6 3 2 3" xfId="13501" xr:uid="{00000000-0005-0000-0000-0000583A0000}"/>
    <cellStyle name="Normal 5 6 3 2 3 2" xfId="13502" xr:uid="{00000000-0005-0000-0000-0000593A0000}"/>
    <cellStyle name="Normal 5 6 3 2 4" xfId="13503" xr:uid="{00000000-0005-0000-0000-00005A3A0000}"/>
    <cellStyle name="Normal 5 6 3 2 4 2" xfId="13504" xr:uid="{00000000-0005-0000-0000-00005B3A0000}"/>
    <cellStyle name="Normal 5 6 3 2 5" xfId="13505" xr:uid="{00000000-0005-0000-0000-00005C3A0000}"/>
    <cellStyle name="Normal 5 6 3 2 5 2" xfId="13506" xr:uid="{00000000-0005-0000-0000-00005D3A0000}"/>
    <cellStyle name="Normal 5 6 3 2 6" xfId="13507" xr:uid="{00000000-0005-0000-0000-00005E3A0000}"/>
    <cellStyle name="Normal 5 6 3 2 6 2" xfId="13508" xr:uid="{00000000-0005-0000-0000-00005F3A0000}"/>
    <cellStyle name="Normal 5 6 3 2 7" xfId="13509" xr:uid="{00000000-0005-0000-0000-0000603A0000}"/>
    <cellStyle name="Normal 5 6 3 2 7 2" xfId="13510" xr:uid="{00000000-0005-0000-0000-0000613A0000}"/>
    <cellStyle name="Normal 5 6 3 2 8" xfId="13511" xr:uid="{00000000-0005-0000-0000-0000623A0000}"/>
    <cellStyle name="Normal 5 6 3 2 8 2" xfId="13512" xr:uid="{00000000-0005-0000-0000-0000633A0000}"/>
    <cellStyle name="Normal 5 6 3 2 9" xfId="13513" xr:uid="{00000000-0005-0000-0000-0000643A0000}"/>
    <cellStyle name="Normal 5 6 3 2 9 2" xfId="13514" xr:uid="{00000000-0005-0000-0000-0000653A0000}"/>
    <cellStyle name="Normal 5 6 3 20" xfId="13515" xr:uid="{00000000-0005-0000-0000-0000663A0000}"/>
    <cellStyle name="Normal 5 6 3 20 2" xfId="13516" xr:uid="{00000000-0005-0000-0000-0000673A0000}"/>
    <cellStyle name="Normal 5 6 3 21" xfId="13517" xr:uid="{00000000-0005-0000-0000-0000683A0000}"/>
    <cellStyle name="Normal 5 6 3 21 2" xfId="13518" xr:uid="{00000000-0005-0000-0000-0000693A0000}"/>
    <cellStyle name="Normal 5 6 3 22" xfId="13519" xr:uid="{00000000-0005-0000-0000-00006A3A0000}"/>
    <cellStyle name="Normal 5 6 3 22 2" xfId="13520" xr:uid="{00000000-0005-0000-0000-00006B3A0000}"/>
    <cellStyle name="Normal 5 6 3 23" xfId="13521" xr:uid="{00000000-0005-0000-0000-00006C3A0000}"/>
    <cellStyle name="Normal 5 6 3 23 2" xfId="13522" xr:uid="{00000000-0005-0000-0000-00006D3A0000}"/>
    <cellStyle name="Normal 5 6 3 24" xfId="13523" xr:uid="{00000000-0005-0000-0000-00006E3A0000}"/>
    <cellStyle name="Normal 5 6 3 24 2" xfId="13524" xr:uid="{00000000-0005-0000-0000-00006F3A0000}"/>
    <cellStyle name="Normal 5 6 3 25" xfId="13525" xr:uid="{00000000-0005-0000-0000-0000703A0000}"/>
    <cellStyle name="Normal 5 6 3 25 2" xfId="13526" xr:uid="{00000000-0005-0000-0000-0000713A0000}"/>
    <cellStyle name="Normal 5 6 3 26" xfId="13527" xr:uid="{00000000-0005-0000-0000-0000723A0000}"/>
    <cellStyle name="Normal 5 6 3 26 2" xfId="13528" xr:uid="{00000000-0005-0000-0000-0000733A0000}"/>
    <cellStyle name="Normal 5 6 3 27" xfId="13529" xr:uid="{00000000-0005-0000-0000-0000743A0000}"/>
    <cellStyle name="Normal 5 6 3 27 2" xfId="13530" xr:uid="{00000000-0005-0000-0000-0000753A0000}"/>
    <cellStyle name="Normal 5 6 3 28" xfId="13531" xr:uid="{00000000-0005-0000-0000-0000763A0000}"/>
    <cellStyle name="Normal 5 6 3 28 2" xfId="13532" xr:uid="{00000000-0005-0000-0000-0000773A0000}"/>
    <cellStyle name="Normal 5 6 3 29" xfId="13533" xr:uid="{00000000-0005-0000-0000-0000783A0000}"/>
    <cellStyle name="Normal 5 6 3 29 2" xfId="13534" xr:uid="{00000000-0005-0000-0000-0000793A0000}"/>
    <cellStyle name="Normal 5 6 3 3" xfId="13535" xr:uid="{00000000-0005-0000-0000-00007A3A0000}"/>
    <cellStyle name="Normal 5 6 3 3 2" xfId="13536" xr:uid="{00000000-0005-0000-0000-00007B3A0000}"/>
    <cellStyle name="Normal 5 6 3 30" xfId="13537" xr:uid="{00000000-0005-0000-0000-00007C3A0000}"/>
    <cellStyle name="Normal 5 6 3 30 2" xfId="13538" xr:uid="{00000000-0005-0000-0000-00007D3A0000}"/>
    <cellStyle name="Normal 5 6 3 31" xfId="13539" xr:uid="{00000000-0005-0000-0000-00007E3A0000}"/>
    <cellStyle name="Normal 5 6 3 31 2" xfId="13540" xr:uid="{00000000-0005-0000-0000-00007F3A0000}"/>
    <cellStyle name="Normal 5 6 3 32" xfId="13541" xr:uid="{00000000-0005-0000-0000-0000803A0000}"/>
    <cellStyle name="Normal 5 6 3 32 2" xfId="13542" xr:uid="{00000000-0005-0000-0000-0000813A0000}"/>
    <cellStyle name="Normal 5 6 3 33" xfId="13543" xr:uid="{00000000-0005-0000-0000-0000823A0000}"/>
    <cellStyle name="Normal 5 6 3 33 2" xfId="13544" xr:uid="{00000000-0005-0000-0000-0000833A0000}"/>
    <cellStyle name="Normal 5 6 3 34" xfId="13545" xr:uid="{00000000-0005-0000-0000-0000843A0000}"/>
    <cellStyle name="Normal 5 6 3 34 2" xfId="13546" xr:uid="{00000000-0005-0000-0000-0000853A0000}"/>
    <cellStyle name="Normal 5 6 3 35" xfId="13547" xr:uid="{00000000-0005-0000-0000-0000863A0000}"/>
    <cellStyle name="Normal 5 6 3 35 2" xfId="13548" xr:uid="{00000000-0005-0000-0000-0000873A0000}"/>
    <cellStyle name="Normal 5 6 3 36" xfId="13549" xr:uid="{00000000-0005-0000-0000-0000883A0000}"/>
    <cellStyle name="Normal 5 6 3 4" xfId="13550" xr:uid="{00000000-0005-0000-0000-0000893A0000}"/>
    <cellStyle name="Normal 5 6 3 4 2" xfId="13551" xr:uid="{00000000-0005-0000-0000-00008A3A0000}"/>
    <cellStyle name="Normal 5 6 3 5" xfId="13552" xr:uid="{00000000-0005-0000-0000-00008B3A0000}"/>
    <cellStyle name="Normal 5 6 3 5 2" xfId="13553" xr:uid="{00000000-0005-0000-0000-00008C3A0000}"/>
    <cellStyle name="Normal 5 6 3 6" xfId="13554" xr:uid="{00000000-0005-0000-0000-00008D3A0000}"/>
    <cellStyle name="Normal 5 6 3 6 2" xfId="13555" xr:uid="{00000000-0005-0000-0000-00008E3A0000}"/>
    <cellStyle name="Normal 5 6 3 7" xfId="13556" xr:uid="{00000000-0005-0000-0000-00008F3A0000}"/>
    <cellStyle name="Normal 5 6 3 7 2" xfId="13557" xr:uid="{00000000-0005-0000-0000-0000903A0000}"/>
    <cellStyle name="Normal 5 6 3 8" xfId="13558" xr:uid="{00000000-0005-0000-0000-0000913A0000}"/>
    <cellStyle name="Normal 5 6 3 8 2" xfId="13559" xr:uid="{00000000-0005-0000-0000-0000923A0000}"/>
    <cellStyle name="Normal 5 6 3 9" xfId="13560" xr:uid="{00000000-0005-0000-0000-0000933A0000}"/>
    <cellStyle name="Normal 5 6 3 9 2" xfId="13561" xr:uid="{00000000-0005-0000-0000-0000943A0000}"/>
    <cellStyle name="Normal 5 6 30" xfId="13562" xr:uid="{00000000-0005-0000-0000-0000953A0000}"/>
    <cellStyle name="Normal 5 6 30 2" xfId="13563" xr:uid="{00000000-0005-0000-0000-0000963A0000}"/>
    <cellStyle name="Normal 5 6 31" xfId="13564" xr:uid="{00000000-0005-0000-0000-0000973A0000}"/>
    <cellStyle name="Normal 5 6 31 2" xfId="13565" xr:uid="{00000000-0005-0000-0000-0000983A0000}"/>
    <cellStyle name="Normal 5 6 32" xfId="13566" xr:uid="{00000000-0005-0000-0000-0000993A0000}"/>
    <cellStyle name="Normal 5 6 32 2" xfId="13567" xr:uid="{00000000-0005-0000-0000-00009A3A0000}"/>
    <cellStyle name="Normal 5 6 33" xfId="13321" xr:uid="{00000000-0005-0000-0000-00009B3A0000}"/>
    <cellStyle name="Normal 5 6 4" xfId="13568" xr:uid="{00000000-0005-0000-0000-00009C3A0000}"/>
    <cellStyle name="Normal 5 6 4 10" xfId="13569" xr:uid="{00000000-0005-0000-0000-00009D3A0000}"/>
    <cellStyle name="Normal 5 6 4 10 2" xfId="13570" xr:uid="{00000000-0005-0000-0000-00009E3A0000}"/>
    <cellStyle name="Normal 5 6 4 11" xfId="13571" xr:uid="{00000000-0005-0000-0000-00009F3A0000}"/>
    <cellStyle name="Normal 5 6 4 11 2" xfId="13572" xr:uid="{00000000-0005-0000-0000-0000A03A0000}"/>
    <cellStyle name="Normal 5 6 4 12" xfId="13573" xr:uid="{00000000-0005-0000-0000-0000A13A0000}"/>
    <cellStyle name="Normal 5 6 4 12 2" xfId="13574" xr:uid="{00000000-0005-0000-0000-0000A23A0000}"/>
    <cellStyle name="Normal 5 6 4 13" xfId="13575" xr:uid="{00000000-0005-0000-0000-0000A33A0000}"/>
    <cellStyle name="Normal 5 6 4 13 2" xfId="13576" xr:uid="{00000000-0005-0000-0000-0000A43A0000}"/>
    <cellStyle name="Normal 5 6 4 14" xfId="13577" xr:uid="{00000000-0005-0000-0000-0000A53A0000}"/>
    <cellStyle name="Normal 5 6 4 14 2" xfId="13578" xr:uid="{00000000-0005-0000-0000-0000A63A0000}"/>
    <cellStyle name="Normal 5 6 4 15" xfId="13579" xr:uid="{00000000-0005-0000-0000-0000A73A0000}"/>
    <cellStyle name="Normal 5 6 4 15 2" xfId="13580" xr:uid="{00000000-0005-0000-0000-0000A83A0000}"/>
    <cellStyle name="Normal 5 6 4 16" xfId="13581" xr:uid="{00000000-0005-0000-0000-0000A93A0000}"/>
    <cellStyle name="Normal 5 6 4 16 2" xfId="13582" xr:uid="{00000000-0005-0000-0000-0000AA3A0000}"/>
    <cellStyle name="Normal 5 6 4 17" xfId="13583" xr:uid="{00000000-0005-0000-0000-0000AB3A0000}"/>
    <cellStyle name="Normal 5 6 4 17 2" xfId="13584" xr:uid="{00000000-0005-0000-0000-0000AC3A0000}"/>
    <cellStyle name="Normal 5 6 4 18" xfId="13585" xr:uid="{00000000-0005-0000-0000-0000AD3A0000}"/>
    <cellStyle name="Normal 5 6 4 18 2" xfId="13586" xr:uid="{00000000-0005-0000-0000-0000AE3A0000}"/>
    <cellStyle name="Normal 5 6 4 19" xfId="13587" xr:uid="{00000000-0005-0000-0000-0000AF3A0000}"/>
    <cellStyle name="Normal 5 6 4 19 2" xfId="13588" xr:uid="{00000000-0005-0000-0000-0000B03A0000}"/>
    <cellStyle name="Normal 5 6 4 2" xfId="13589" xr:uid="{00000000-0005-0000-0000-0000B13A0000}"/>
    <cellStyle name="Normal 5 6 4 2 2" xfId="13590" xr:uid="{00000000-0005-0000-0000-0000B23A0000}"/>
    <cellStyle name="Normal 5 6 4 20" xfId="13591" xr:uid="{00000000-0005-0000-0000-0000B33A0000}"/>
    <cellStyle name="Normal 5 6 4 20 2" xfId="13592" xr:uid="{00000000-0005-0000-0000-0000B43A0000}"/>
    <cellStyle name="Normal 5 6 4 21" xfId="13593" xr:uid="{00000000-0005-0000-0000-0000B53A0000}"/>
    <cellStyle name="Normal 5 6 4 21 2" xfId="13594" xr:uid="{00000000-0005-0000-0000-0000B63A0000}"/>
    <cellStyle name="Normal 5 6 4 22" xfId="13595" xr:uid="{00000000-0005-0000-0000-0000B73A0000}"/>
    <cellStyle name="Normal 5 6 4 22 2" xfId="13596" xr:uid="{00000000-0005-0000-0000-0000B83A0000}"/>
    <cellStyle name="Normal 5 6 4 23" xfId="13597" xr:uid="{00000000-0005-0000-0000-0000B93A0000}"/>
    <cellStyle name="Normal 5 6 4 23 2" xfId="13598" xr:uid="{00000000-0005-0000-0000-0000BA3A0000}"/>
    <cellStyle name="Normal 5 6 4 24" xfId="13599" xr:uid="{00000000-0005-0000-0000-0000BB3A0000}"/>
    <cellStyle name="Normal 5 6 4 24 2" xfId="13600" xr:uid="{00000000-0005-0000-0000-0000BC3A0000}"/>
    <cellStyle name="Normal 5 6 4 25" xfId="13601" xr:uid="{00000000-0005-0000-0000-0000BD3A0000}"/>
    <cellStyle name="Normal 5 6 4 25 2" xfId="13602" xr:uid="{00000000-0005-0000-0000-0000BE3A0000}"/>
    <cellStyle name="Normal 5 6 4 26" xfId="13603" xr:uid="{00000000-0005-0000-0000-0000BF3A0000}"/>
    <cellStyle name="Normal 5 6 4 3" xfId="13604" xr:uid="{00000000-0005-0000-0000-0000C03A0000}"/>
    <cellStyle name="Normal 5 6 4 3 2" xfId="13605" xr:uid="{00000000-0005-0000-0000-0000C13A0000}"/>
    <cellStyle name="Normal 5 6 4 4" xfId="13606" xr:uid="{00000000-0005-0000-0000-0000C23A0000}"/>
    <cellStyle name="Normal 5 6 4 4 2" xfId="13607" xr:uid="{00000000-0005-0000-0000-0000C33A0000}"/>
    <cellStyle name="Normal 5 6 4 5" xfId="13608" xr:uid="{00000000-0005-0000-0000-0000C43A0000}"/>
    <cellStyle name="Normal 5 6 4 5 2" xfId="13609" xr:uid="{00000000-0005-0000-0000-0000C53A0000}"/>
    <cellStyle name="Normal 5 6 4 6" xfId="13610" xr:uid="{00000000-0005-0000-0000-0000C63A0000}"/>
    <cellStyle name="Normal 5 6 4 6 2" xfId="13611" xr:uid="{00000000-0005-0000-0000-0000C73A0000}"/>
    <cellStyle name="Normal 5 6 4 7" xfId="13612" xr:uid="{00000000-0005-0000-0000-0000C83A0000}"/>
    <cellStyle name="Normal 5 6 4 7 2" xfId="13613" xr:uid="{00000000-0005-0000-0000-0000C93A0000}"/>
    <cellStyle name="Normal 5 6 4 8" xfId="13614" xr:uid="{00000000-0005-0000-0000-0000CA3A0000}"/>
    <cellStyle name="Normal 5 6 4 8 2" xfId="13615" xr:uid="{00000000-0005-0000-0000-0000CB3A0000}"/>
    <cellStyle name="Normal 5 6 4 9" xfId="13616" xr:uid="{00000000-0005-0000-0000-0000CC3A0000}"/>
    <cellStyle name="Normal 5 6 4 9 2" xfId="13617" xr:uid="{00000000-0005-0000-0000-0000CD3A0000}"/>
    <cellStyle name="Normal 5 6 5" xfId="13618" xr:uid="{00000000-0005-0000-0000-0000CE3A0000}"/>
    <cellStyle name="Normal 5 6 5 2" xfId="13619" xr:uid="{00000000-0005-0000-0000-0000CF3A0000}"/>
    <cellStyle name="Normal 5 6 6" xfId="13620" xr:uid="{00000000-0005-0000-0000-0000D03A0000}"/>
    <cellStyle name="Normal 5 6 6 2" xfId="13621" xr:uid="{00000000-0005-0000-0000-0000D13A0000}"/>
    <cellStyle name="Normal 5 6 7" xfId="13622" xr:uid="{00000000-0005-0000-0000-0000D23A0000}"/>
    <cellStyle name="Normal 5 6 7 2" xfId="13623" xr:uid="{00000000-0005-0000-0000-0000D33A0000}"/>
    <cellStyle name="Normal 5 6 8" xfId="13624" xr:uid="{00000000-0005-0000-0000-0000D43A0000}"/>
    <cellStyle name="Normal 5 6 8 2" xfId="13625" xr:uid="{00000000-0005-0000-0000-0000D53A0000}"/>
    <cellStyle name="Normal 5 6 9" xfId="13626" xr:uid="{00000000-0005-0000-0000-0000D63A0000}"/>
    <cellStyle name="Normal 5 6 9 2" xfId="13627" xr:uid="{00000000-0005-0000-0000-0000D73A0000}"/>
    <cellStyle name="Normal 5 7" xfId="361" xr:uid="{00000000-0005-0000-0000-0000D83A0000}"/>
    <cellStyle name="Normal 5 7 10" xfId="13629" xr:uid="{00000000-0005-0000-0000-0000D93A0000}"/>
    <cellStyle name="Normal 5 7 10 2" xfId="13630" xr:uid="{00000000-0005-0000-0000-0000DA3A0000}"/>
    <cellStyle name="Normal 5 7 11" xfId="13631" xr:uid="{00000000-0005-0000-0000-0000DB3A0000}"/>
    <cellStyle name="Normal 5 7 11 2" xfId="13632" xr:uid="{00000000-0005-0000-0000-0000DC3A0000}"/>
    <cellStyle name="Normal 5 7 12" xfId="13633" xr:uid="{00000000-0005-0000-0000-0000DD3A0000}"/>
    <cellStyle name="Normal 5 7 12 2" xfId="13634" xr:uid="{00000000-0005-0000-0000-0000DE3A0000}"/>
    <cellStyle name="Normal 5 7 13" xfId="13635" xr:uid="{00000000-0005-0000-0000-0000DF3A0000}"/>
    <cellStyle name="Normal 5 7 13 2" xfId="13636" xr:uid="{00000000-0005-0000-0000-0000E03A0000}"/>
    <cellStyle name="Normal 5 7 14" xfId="13637" xr:uid="{00000000-0005-0000-0000-0000E13A0000}"/>
    <cellStyle name="Normal 5 7 14 2" xfId="13638" xr:uid="{00000000-0005-0000-0000-0000E23A0000}"/>
    <cellStyle name="Normal 5 7 15" xfId="13639" xr:uid="{00000000-0005-0000-0000-0000E33A0000}"/>
    <cellStyle name="Normal 5 7 15 2" xfId="13640" xr:uid="{00000000-0005-0000-0000-0000E43A0000}"/>
    <cellStyle name="Normal 5 7 16" xfId="13641" xr:uid="{00000000-0005-0000-0000-0000E53A0000}"/>
    <cellStyle name="Normal 5 7 16 2" xfId="13642" xr:uid="{00000000-0005-0000-0000-0000E63A0000}"/>
    <cellStyle name="Normal 5 7 17" xfId="13643" xr:uid="{00000000-0005-0000-0000-0000E73A0000}"/>
    <cellStyle name="Normal 5 7 17 2" xfId="13644" xr:uid="{00000000-0005-0000-0000-0000E83A0000}"/>
    <cellStyle name="Normal 5 7 18" xfId="13645" xr:uid="{00000000-0005-0000-0000-0000E93A0000}"/>
    <cellStyle name="Normal 5 7 18 2" xfId="13646" xr:uid="{00000000-0005-0000-0000-0000EA3A0000}"/>
    <cellStyle name="Normal 5 7 19" xfId="13647" xr:uid="{00000000-0005-0000-0000-0000EB3A0000}"/>
    <cellStyle name="Normal 5 7 19 2" xfId="13648" xr:uid="{00000000-0005-0000-0000-0000EC3A0000}"/>
    <cellStyle name="Normal 5 7 2" xfId="13649" xr:uid="{00000000-0005-0000-0000-0000ED3A0000}"/>
    <cellStyle name="Normal 5 7 2 2" xfId="13650" xr:uid="{00000000-0005-0000-0000-0000EE3A0000}"/>
    <cellStyle name="Normal 5 7 2 2 2" xfId="13651" xr:uid="{00000000-0005-0000-0000-0000EF3A0000}"/>
    <cellStyle name="Normal 5 7 2 3" xfId="13652" xr:uid="{00000000-0005-0000-0000-0000F03A0000}"/>
    <cellStyle name="Normal 5 7 2 3 2" xfId="13653" xr:uid="{00000000-0005-0000-0000-0000F13A0000}"/>
    <cellStyle name="Normal 5 7 2 4" xfId="13654" xr:uid="{00000000-0005-0000-0000-0000F23A0000}"/>
    <cellStyle name="Normal 5 7 2 4 2" xfId="13655" xr:uid="{00000000-0005-0000-0000-0000F33A0000}"/>
    <cellStyle name="Normal 5 7 2 5" xfId="13656" xr:uid="{00000000-0005-0000-0000-0000F43A0000}"/>
    <cellStyle name="Normal 5 7 2 5 2" xfId="13657" xr:uid="{00000000-0005-0000-0000-0000F53A0000}"/>
    <cellStyle name="Normal 5 7 2 6" xfId="13658" xr:uid="{00000000-0005-0000-0000-0000F63A0000}"/>
    <cellStyle name="Normal 5 7 20" xfId="13659" xr:uid="{00000000-0005-0000-0000-0000F73A0000}"/>
    <cellStyle name="Normal 5 7 20 2" xfId="13660" xr:uid="{00000000-0005-0000-0000-0000F83A0000}"/>
    <cellStyle name="Normal 5 7 21" xfId="13661" xr:uid="{00000000-0005-0000-0000-0000F93A0000}"/>
    <cellStyle name="Normal 5 7 21 2" xfId="13662" xr:uid="{00000000-0005-0000-0000-0000FA3A0000}"/>
    <cellStyle name="Normal 5 7 22" xfId="13663" xr:uid="{00000000-0005-0000-0000-0000FB3A0000}"/>
    <cellStyle name="Normal 5 7 22 2" xfId="13664" xr:uid="{00000000-0005-0000-0000-0000FC3A0000}"/>
    <cellStyle name="Normal 5 7 23" xfId="13665" xr:uid="{00000000-0005-0000-0000-0000FD3A0000}"/>
    <cellStyle name="Normal 5 7 23 2" xfId="13666" xr:uid="{00000000-0005-0000-0000-0000FE3A0000}"/>
    <cellStyle name="Normal 5 7 24" xfId="13667" xr:uid="{00000000-0005-0000-0000-0000FF3A0000}"/>
    <cellStyle name="Normal 5 7 24 2" xfId="13668" xr:uid="{00000000-0005-0000-0000-0000003B0000}"/>
    <cellStyle name="Normal 5 7 25" xfId="13669" xr:uid="{00000000-0005-0000-0000-0000013B0000}"/>
    <cellStyle name="Normal 5 7 25 2" xfId="13670" xr:uid="{00000000-0005-0000-0000-0000023B0000}"/>
    <cellStyle name="Normal 5 7 26" xfId="13671" xr:uid="{00000000-0005-0000-0000-0000033B0000}"/>
    <cellStyle name="Normal 5 7 26 2" xfId="13672" xr:uid="{00000000-0005-0000-0000-0000043B0000}"/>
    <cellStyle name="Normal 5 7 27" xfId="13673" xr:uid="{00000000-0005-0000-0000-0000053B0000}"/>
    <cellStyle name="Normal 5 7 27 2" xfId="13674" xr:uid="{00000000-0005-0000-0000-0000063B0000}"/>
    <cellStyle name="Normal 5 7 28" xfId="13675" xr:uid="{00000000-0005-0000-0000-0000073B0000}"/>
    <cellStyle name="Normal 5 7 28 2" xfId="13676" xr:uid="{00000000-0005-0000-0000-0000083B0000}"/>
    <cellStyle name="Normal 5 7 29" xfId="13677" xr:uid="{00000000-0005-0000-0000-0000093B0000}"/>
    <cellStyle name="Normal 5 7 29 2" xfId="13678" xr:uid="{00000000-0005-0000-0000-00000A3B0000}"/>
    <cellStyle name="Normal 5 7 3" xfId="13679" xr:uid="{00000000-0005-0000-0000-00000B3B0000}"/>
    <cellStyle name="Normal 5 7 3 2" xfId="13680" xr:uid="{00000000-0005-0000-0000-00000C3B0000}"/>
    <cellStyle name="Normal 5 7 3 2 2" xfId="13681" xr:uid="{00000000-0005-0000-0000-00000D3B0000}"/>
    <cellStyle name="Normal 5 7 3 3" xfId="13682" xr:uid="{00000000-0005-0000-0000-00000E3B0000}"/>
    <cellStyle name="Normal 5 7 3 3 2" xfId="13683" xr:uid="{00000000-0005-0000-0000-00000F3B0000}"/>
    <cellStyle name="Normal 5 7 3 4" xfId="13684" xr:uid="{00000000-0005-0000-0000-0000103B0000}"/>
    <cellStyle name="Normal 5 7 3 4 2" xfId="13685" xr:uid="{00000000-0005-0000-0000-0000113B0000}"/>
    <cellStyle name="Normal 5 7 3 5" xfId="13686" xr:uid="{00000000-0005-0000-0000-0000123B0000}"/>
    <cellStyle name="Normal 5 7 3 5 2" xfId="13687" xr:uid="{00000000-0005-0000-0000-0000133B0000}"/>
    <cellStyle name="Normal 5 7 3 6" xfId="13688" xr:uid="{00000000-0005-0000-0000-0000143B0000}"/>
    <cellStyle name="Normal 5 7 30" xfId="13689" xr:uid="{00000000-0005-0000-0000-0000153B0000}"/>
    <cellStyle name="Normal 5 7 30 2" xfId="13690" xr:uid="{00000000-0005-0000-0000-0000163B0000}"/>
    <cellStyle name="Normal 5 7 31" xfId="13628" xr:uid="{00000000-0005-0000-0000-0000173B0000}"/>
    <cellStyle name="Normal 5 7 4" xfId="13691" xr:uid="{00000000-0005-0000-0000-0000183B0000}"/>
    <cellStyle name="Normal 5 7 4 2" xfId="13692" xr:uid="{00000000-0005-0000-0000-0000193B0000}"/>
    <cellStyle name="Normal 5 7 4 2 2" xfId="13693" xr:uid="{00000000-0005-0000-0000-00001A3B0000}"/>
    <cellStyle name="Normal 5 7 4 3" xfId="13694" xr:uid="{00000000-0005-0000-0000-00001B3B0000}"/>
    <cellStyle name="Normal 5 7 4 3 2" xfId="13695" xr:uid="{00000000-0005-0000-0000-00001C3B0000}"/>
    <cellStyle name="Normal 5 7 4 4" xfId="13696" xr:uid="{00000000-0005-0000-0000-00001D3B0000}"/>
    <cellStyle name="Normal 5 7 4 4 2" xfId="13697" xr:uid="{00000000-0005-0000-0000-00001E3B0000}"/>
    <cellStyle name="Normal 5 7 4 5" xfId="13698" xr:uid="{00000000-0005-0000-0000-00001F3B0000}"/>
    <cellStyle name="Normal 5 7 4 5 2" xfId="13699" xr:uid="{00000000-0005-0000-0000-0000203B0000}"/>
    <cellStyle name="Normal 5 7 4 6" xfId="13700" xr:uid="{00000000-0005-0000-0000-0000213B0000}"/>
    <cellStyle name="Normal 5 7 5" xfId="13701" xr:uid="{00000000-0005-0000-0000-0000223B0000}"/>
    <cellStyle name="Normal 5 7 5 2" xfId="13702" xr:uid="{00000000-0005-0000-0000-0000233B0000}"/>
    <cellStyle name="Normal 5 7 6" xfId="13703" xr:uid="{00000000-0005-0000-0000-0000243B0000}"/>
    <cellStyle name="Normal 5 7 6 2" xfId="13704" xr:uid="{00000000-0005-0000-0000-0000253B0000}"/>
    <cellStyle name="Normal 5 7 7" xfId="13705" xr:uid="{00000000-0005-0000-0000-0000263B0000}"/>
    <cellStyle name="Normal 5 7 7 2" xfId="13706" xr:uid="{00000000-0005-0000-0000-0000273B0000}"/>
    <cellStyle name="Normal 5 7 8" xfId="13707" xr:uid="{00000000-0005-0000-0000-0000283B0000}"/>
    <cellStyle name="Normal 5 7 8 2" xfId="13708" xr:uid="{00000000-0005-0000-0000-0000293B0000}"/>
    <cellStyle name="Normal 5 7 9" xfId="13709" xr:uid="{00000000-0005-0000-0000-00002A3B0000}"/>
    <cellStyle name="Normal 5 7 9 2" xfId="13710" xr:uid="{00000000-0005-0000-0000-00002B3B0000}"/>
    <cellStyle name="Normal 5 8" xfId="362" xr:uid="{00000000-0005-0000-0000-00002C3B0000}"/>
    <cellStyle name="Normal 5 8 10" xfId="13712" xr:uid="{00000000-0005-0000-0000-00002D3B0000}"/>
    <cellStyle name="Normal 5 8 11" xfId="13713" xr:uid="{00000000-0005-0000-0000-00002E3B0000}"/>
    <cellStyle name="Normal 5 8 12" xfId="13714" xr:uid="{00000000-0005-0000-0000-00002F3B0000}"/>
    <cellStyle name="Normal 5 8 13" xfId="13711" xr:uid="{00000000-0005-0000-0000-0000303B0000}"/>
    <cellStyle name="Normal 5 8 2" xfId="13715" xr:uid="{00000000-0005-0000-0000-0000313B0000}"/>
    <cellStyle name="Normal 5 8 2 10" xfId="13716" xr:uid="{00000000-0005-0000-0000-0000323B0000}"/>
    <cellStyle name="Normal 5 8 2 10 2" xfId="13717" xr:uid="{00000000-0005-0000-0000-0000333B0000}"/>
    <cellStyle name="Normal 5 8 2 2" xfId="13718" xr:uid="{00000000-0005-0000-0000-0000343B0000}"/>
    <cellStyle name="Normal 5 8 2 2 2" xfId="13719" xr:uid="{00000000-0005-0000-0000-0000353B0000}"/>
    <cellStyle name="Normal 5 8 2 3" xfId="13720" xr:uid="{00000000-0005-0000-0000-0000363B0000}"/>
    <cellStyle name="Normal 5 8 2 3 2" xfId="13721" xr:uid="{00000000-0005-0000-0000-0000373B0000}"/>
    <cellStyle name="Normal 5 8 2 4" xfId="13722" xr:uid="{00000000-0005-0000-0000-0000383B0000}"/>
    <cellStyle name="Normal 5 8 2 4 2" xfId="13723" xr:uid="{00000000-0005-0000-0000-0000393B0000}"/>
    <cellStyle name="Normal 5 8 2 5" xfId="13724" xr:uid="{00000000-0005-0000-0000-00003A3B0000}"/>
    <cellStyle name="Normal 5 8 2 5 2" xfId="13725" xr:uid="{00000000-0005-0000-0000-00003B3B0000}"/>
    <cellStyle name="Normal 5 8 2 6" xfId="13726" xr:uid="{00000000-0005-0000-0000-00003C3B0000}"/>
    <cellStyle name="Normal 5 8 2 6 2" xfId="13727" xr:uid="{00000000-0005-0000-0000-00003D3B0000}"/>
    <cellStyle name="Normal 5 8 2 7" xfId="13728" xr:uid="{00000000-0005-0000-0000-00003E3B0000}"/>
    <cellStyle name="Normal 5 8 2 7 2" xfId="13729" xr:uid="{00000000-0005-0000-0000-00003F3B0000}"/>
    <cellStyle name="Normal 5 8 2 8" xfId="13730" xr:uid="{00000000-0005-0000-0000-0000403B0000}"/>
    <cellStyle name="Normal 5 8 2 8 2" xfId="13731" xr:uid="{00000000-0005-0000-0000-0000413B0000}"/>
    <cellStyle name="Normal 5 8 2 9" xfId="13732" xr:uid="{00000000-0005-0000-0000-0000423B0000}"/>
    <cellStyle name="Normal 5 8 2 9 2" xfId="13733" xr:uid="{00000000-0005-0000-0000-0000433B0000}"/>
    <cellStyle name="Normal 5 8 3" xfId="13734" xr:uid="{00000000-0005-0000-0000-0000443B0000}"/>
    <cellStyle name="Normal 5 8 3 2" xfId="13735" xr:uid="{00000000-0005-0000-0000-0000453B0000}"/>
    <cellStyle name="Normal 5 8 3 2 2" xfId="13736" xr:uid="{00000000-0005-0000-0000-0000463B0000}"/>
    <cellStyle name="Normal 5 8 3 3" xfId="13737" xr:uid="{00000000-0005-0000-0000-0000473B0000}"/>
    <cellStyle name="Normal 5 8 3 3 2" xfId="13738" xr:uid="{00000000-0005-0000-0000-0000483B0000}"/>
    <cellStyle name="Normal 5 8 3 4" xfId="13739" xr:uid="{00000000-0005-0000-0000-0000493B0000}"/>
    <cellStyle name="Normal 5 8 3 4 2" xfId="13740" xr:uid="{00000000-0005-0000-0000-00004A3B0000}"/>
    <cellStyle name="Normal 5 8 3 5" xfId="13741" xr:uid="{00000000-0005-0000-0000-00004B3B0000}"/>
    <cellStyle name="Normal 5 8 3 5 2" xfId="13742" xr:uid="{00000000-0005-0000-0000-00004C3B0000}"/>
    <cellStyle name="Normal 5 8 3 6" xfId="13743" xr:uid="{00000000-0005-0000-0000-00004D3B0000}"/>
    <cellStyle name="Normal 5 8 4" xfId="13744" xr:uid="{00000000-0005-0000-0000-00004E3B0000}"/>
    <cellStyle name="Normal 5 8 4 2" xfId="13745" xr:uid="{00000000-0005-0000-0000-00004F3B0000}"/>
    <cellStyle name="Normal 5 8 4 2 2" xfId="13746" xr:uid="{00000000-0005-0000-0000-0000503B0000}"/>
    <cellStyle name="Normal 5 8 4 3" xfId="13747" xr:uid="{00000000-0005-0000-0000-0000513B0000}"/>
    <cellStyle name="Normal 5 8 4 3 2" xfId="13748" xr:uid="{00000000-0005-0000-0000-0000523B0000}"/>
    <cellStyle name="Normal 5 8 4 4" xfId="13749" xr:uid="{00000000-0005-0000-0000-0000533B0000}"/>
    <cellStyle name="Normal 5 8 4 4 2" xfId="13750" xr:uid="{00000000-0005-0000-0000-0000543B0000}"/>
    <cellStyle name="Normal 5 8 4 5" xfId="13751" xr:uid="{00000000-0005-0000-0000-0000553B0000}"/>
    <cellStyle name="Normal 5 8 4 5 2" xfId="13752" xr:uid="{00000000-0005-0000-0000-0000563B0000}"/>
    <cellStyle name="Normal 5 8 4 6" xfId="13753" xr:uid="{00000000-0005-0000-0000-0000573B0000}"/>
    <cellStyle name="Normal 5 8 5" xfId="13754" xr:uid="{00000000-0005-0000-0000-0000583B0000}"/>
    <cellStyle name="Normal 5 8 6" xfId="13755" xr:uid="{00000000-0005-0000-0000-0000593B0000}"/>
    <cellStyle name="Normal 5 8 7" xfId="13756" xr:uid="{00000000-0005-0000-0000-00005A3B0000}"/>
    <cellStyle name="Normal 5 8 8" xfId="13757" xr:uid="{00000000-0005-0000-0000-00005B3B0000}"/>
    <cellStyle name="Normal 5 8 9" xfId="13758" xr:uid="{00000000-0005-0000-0000-00005C3B0000}"/>
    <cellStyle name="Normal 5 9" xfId="363" xr:uid="{00000000-0005-0000-0000-00005D3B0000}"/>
    <cellStyle name="Normal 5 9 10" xfId="13760" xr:uid="{00000000-0005-0000-0000-00005E3B0000}"/>
    <cellStyle name="Normal 5 9 10 2" xfId="13761" xr:uid="{00000000-0005-0000-0000-00005F3B0000}"/>
    <cellStyle name="Normal 5 9 11" xfId="13759" xr:uid="{00000000-0005-0000-0000-0000603B0000}"/>
    <cellStyle name="Normal 5 9 2" xfId="13762" xr:uid="{00000000-0005-0000-0000-0000613B0000}"/>
    <cellStyle name="Normal 5 9 2 2" xfId="13763" xr:uid="{00000000-0005-0000-0000-0000623B0000}"/>
    <cellStyle name="Normal 5 9 3" xfId="13764" xr:uid="{00000000-0005-0000-0000-0000633B0000}"/>
    <cellStyle name="Normal 5 9 3 2" xfId="13765" xr:uid="{00000000-0005-0000-0000-0000643B0000}"/>
    <cellStyle name="Normal 5 9 4" xfId="13766" xr:uid="{00000000-0005-0000-0000-0000653B0000}"/>
    <cellStyle name="Normal 5 9 4 2" xfId="13767" xr:uid="{00000000-0005-0000-0000-0000663B0000}"/>
    <cellStyle name="Normal 5 9 5" xfId="13768" xr:uid="{00000000-0005-0000-0000-0000673B0000}"/>
    <cellStyle name="Normal 5 9 5 2" xfId="13769" xr:uid="{00000000-0005-0000-0000-0000683B0000}"/>
    <cellStyle name="Normal 5 9 6" xfId="13770" xr:uid="{00000000-0005-0000-0000-0000693B0000}"/>
    <cellStyle name="Normal 5 9 6 2" xfId="13771" xr:uid="{00000000-0005-0000-0000-00006A3B0000}"/>
    <cellStyle name="Normal 5 9 7" xfId="13772" xr:uid="{00000000-0005-0000-0000-00006B3B0000}"/>
    <cellStyle name="Normal 5 9 7 2" xfId="13773" xr:uid="{00000000-0005-0000-0000-00006C3B0000}"/>
    <cellStyle name="Normal 5 9 8" xfId="13774" xr:uid="{00000000-0005-0000-0000-00006D3B0000}"/>
    <cellStyle name="Normal 5 9 8 2" xfId="13775" xr:uid="{00000000-0005-0000-0000-00006E3B0000}"/>
    <cellStyle name="Normal 5 9 9" xfId="13776" xr:uid="{00000000-0005-0000-0000-00006F3B0000}"/>
    <cellStyle name="Normal 5 9 9 2" xfId="13777" xr:uid="{00000000-0005-0000-0000-0000703B0000}"/>
    <cellStyle name="Normal 5_Dívida - Eletrobrás - contrato genérico v2" xfId="13778" xr:uid="{00000000-0005-0000-0000-0000713B0000}"/>
    <cellStyle name="Normal 50" xfId="364" xr:uid="{00000000-0005-0000-0000-0000723B0000}"/>
    <cellStyle name="Normal 50 2" xfId="365" xr:uid="{00000000-0005-0000-0000-0000733B0000}"/>
    <cellStyle name="Normal 50 3" xfId="13779" xr:uid="{00000000-0005-0000-0000-0000743B0000}"/>
    <cellStyle name="Normal 51" xfId="366" xr:uid="{00000000-0005-0000-0000-0000753B0000}"/>
    <cellStyle name="Normal 51 2" xfId="367" xr:uid="{00000000-0005-0000-0000-0000763B0000}"/>
    <cellStyle name="Normal 51 3" xfId="13780" xr:uid="{00000000-0005-0000-0000-0000773B0000}"/>
    <cellStyle name="Normal 52" xfId="368" xr:uid="{00000000-0005-0000-0000-0000783B0000}"/>
    <cellStyle name="Normal 52 2" xfId="369" xr:uid="{00000000-0005-0000-0000-0000793B0000}"/>
    <cellStyle name="Normal 52 3" xfId="27520" xr:uid="{00000000-0005-0000-0000-00007A3B0000}"/>
    <cellStyle name="Normal 53" xfId="370" xr:uid="{00000000-0005-0000-0000-00007B3B0000}"/>
    <cellStyle name="Normal 53 2" xfId="371" xr:uid="{00000000-0005-0000-0000-00007C3B0000}"/>
    <cellStyle name="Normal 53 3" xfId="27521" xr:uid="{00000000-0005-0000-0000-00007D3B0000}"/>
    <cellStyle name="Normal 54" xfId="372" xr:uid="{00000000-0005-0000-0000-00007E3B0000}"/>
    <cellStyle name="Normal 54 2" xfId="373" xr:uid="{00000000-0005-0000-0000-00007F3B0000}"/>
    <cellStyle name="Normal 54 3" xfId="27522" xr:uid="{00000000-0005-0000-0000-0000803B0000}"/>
    <cellStyle name="Normal 55" xfId="374" xr:uid="{00000000-0005-0000-0000-0000813B0000}"/>
    <cellStyle name="Normal 55 2" xfId="375" xr:uid="{00000000-0005-0000-0000-0000823B0000}"/>
    <cellStyle name="Normal 55 3" xfId="27523" xr:uid="{00000000-0005-0000-0000-0000833B0000}"/>
    <cellStyle name="Normal 56" xfId="376" xr:uid="{00000000-0005-0000-0000-0000843B0000}"/>
    <cellStyle name="Normal 56 2" xfId="377" xr:uid="{00000000-0005-0000-0000-0000853B0000}"/>
    <cellStyle name="Normal 56 3" xfId="27524" xr:uid="{00000000-0005-0000-0000-0000863B0000}"/>
    <cellStyle name="Normal 57" xfId="378" xr:uid="{00000000-0005-0000-0000-0000873B0000}"/>
    <cellStyle name="Normal 57 2" xfId="379" xr:uid="{00000000-0005-0000-0000-0000883B0000}"/>
    <cellStyle name="Normal 57 3" xfId="27525" xr:uid="{00000000-0005-0000-0000-0000893B0000}"/>
    <cellStyle name="Normal 58" xfId="380" xr:uid="{00000000-0005-0000-0000-00008A3B0000}"/>
    <cellStyle name="Normal 58 2" xfId="381" xr:uid="{00000000-0005-0000-0000-00008B3B0000}"/>
    <cellStyle name="Normal 58 3" xfId="27529" xr:uid="{00000000-0005-0000-0000-00008C3B0000}"/>
    <cellStyle name="Normal 59" xfId="382" xr:uid="{00000000-0005-0000-0000-00008D3B0000}"/>
    <cellStyle name="Normal 59 2" xfId="383" xr:uid="{00000000-0005-0000-0000-00008E3B0000}"/>
    <cellStyle name="Normal 6" xfId="384" xr:uid="{00000000-0005-0000-0000-00008F3B0000}"/>
    <cellStyle name="Normal 6 10" xfId="13781" xr:uid="{00000000-0005-0000-0000-0000903B0000}"/>
    <cellStyle name="Normal 6 10 2" xfId="13782" xr:uid="{00000000-0005-0000-0000-0000913B0000}"/>
    <cellStyle name="Normal 6 11" xfId="13783" xr:uid="{00000000-0005-0000-0000-0000923B0000}"/>
    <cellStyle name="Normal 6 11 2" xfId="13784" xr:uid="{00000000-0005-0000-0000-0000933B0000}"/>
    <cellStyle name="Normal 6 12" xfId="13785" xr:uid="{00000000-0005-0000-0000-0000943B0000}"/>
    <cellStyle name="Normal 6 12 2" xfId="13786" xr:uid="{00000000-0005-0000-0000-0000953B0000}"/>
    <cellStyle name="Normal 6 13" xfId="13787" xr:uid="{00000000-0005-0000-0000-0000963B0000}"/>
    <cellStyle name="Normal 6 13 2" xfId="13788" xr:uid="{00000000-0005-0000-0000-0000973B0000}"/>
    <cellStyle name="Normal 6 14" xfId="13789" xr:uid="{00000000-0005-0000-0000-0000983B0000}"/>
    <cellStyle name="Normal 6 14 2" xfId="13790" xr:uid="{00000000-0005-0000-0000-0000993B0000}"/>
    <cellStyle name="Normal 6 15" xfId="13791" xr:uid="{00000000-0005-0000-0000-00009A3B0000}"/>
    <cellStyle name="Normal 6 15 2" xfId="13792" xr:uid="{00000000-0005-0000-0000-00009B3B0000}"/>
    <cellStyle name="Normal 6 16" xfId="13793" xr:uid="{00000000-0005-0000-0000-00009C3B0000}"/>
    <cellStyle name="Normal 6 16 2" xfId="13794" xr:uid="{00000000-0005-0000-0000-00009D3B0000}"/>
    <cellStyle name="Normal 6 17" xfId="13795" xr:uid="{00000000-0005-0000-0000-00009E3B0000}"/>
    <cellStyle name="Normal 6 17 2" xfId="13796" xr:uid="{00000000-0005-0000-0000-00009F3B0000}"/>
    <cellStyle name="Normal 6 18" xfId="13797" xr:uid="{00000000-0005-0000-0000-0000A03B0000}"/>
    <cellStyle name="Normal 6 18 2" xfId="13798" xr:uid="{00000000-0005-0000-0000-0000A13B0000}"/>
    <cellStyle name="Normal 6 19" xfId="13799" xr:uid="{00000000-0005-0000-0000-0000A23B0000}"/>
    <cellStyle name="Normal 6 19 2" xfId="13800" xr:uid="{00000000-0005-0000-0000-0000A33B0000}"/>
    <cellStyle name="Normal 6 2" xfId="385" xr:uid="{00000000-0005-0000-0000-0000A43B0000}"/>
    <cellStyle name="Normal 6 2 10" xfId="13802" xr:uid="{00000000-0005-0000-0000-0000A53B0000}"/>
    <cellStyle name="Normal 6 2 10 2" xfId="13803" xr:uid="{00000000-0005-0000-0000-0000A63B0000}"/>
    <cellStyle name="Normal 6 2 10 3" xfId="13804" xr:uid="{00000000-0005-0000-0000-0000A73B0000}"/>
    <cellStyle name="Normal 6 2 11" xfId="13805" xr:uid="{00000000-0005-0000-0000-0000A83B0000}"/>
    <cellStyle name="Normal 6 2 11 2" xfId="13806" xr:uid="{00000000-0005-0000-0000-0000A93B0000}"/>
    <cellStyle name="Normal 6 2 11 3" xfId="13807" xr:uid="{00000000-0005-0000-0000-0000AA3B0000}"/>
    <cellStyle name="Normal 6 2 12" xfId="13808" xr:uid="{00000000-0005-0000-0000-0000AB3B0000}"/>
    <cellStyle name="Normal 6 2 12 2" xfId="13809" xr:uid="{00000000-0005-0000-0000-0000AC3B0000}"/>
    <cellStyle name="Normal 6 2 12 3" xfId="13810" xr:uid="{00000000-0005-0000-0000-0000AD3B0000}"/>
    <cellStyle name="Normal 6 2 13" xfId="13811" xr:uid="{00000000-0005-0000-0000-0000AE3B0000}"/>
    <cellStyle name="Normal 6 2 13 2" xfId="13812" xr:uid="{00000000-0005-0000-0000-0000AF3B0000}"/>
    <cellStyle name="Normal 6 2 13 3" xfId="13813" xr:uid="{00000000-0005-0000-0000-0000B03B0000}"/>
    <cellStyle name="Normal 6 2 14" xfId="13814" xr:uid="{00000000-0005-0000-0000-0000B13B0000}"/>
    <cellStyle name="Normal 6 2 14 2" xfId="13815" xr:uid="{00000000-0005-0000-0000-0000B23B0000}"/>
    <cellStyle name="Normal 6 2 14 3" xfId="13816" xr:uid="{00000000-0005-0000-0000-0000B33B0000}"/>
    <cellStyle name="Normal 6 2 15" xfId="13817" xr:uid="{00000000-0005-0000-0000-0000B43B0000}"/>
    <cellStyle name="Normal 6 2 15 2" xfId="13818" xr:uid="{00000000-0005-0000-0000-0000B53B0000}"/>
    <cellStyle name="Normal 6 2 15 3" xfId="13819" xr:uid="{00000000-0005-0000-0000-0000B63B0000}"/>
    <cellStyle name="Normal 6 2 16" xfId="13820" xr:uid="{00000000-0005-0000-0000-0000B73B0000}"/>
    <cellStyle name="Normal 6 2 16 2" xfId="13821" xr:uid="{00000000-0005-0000-0000-0000B83B0000}"/>
    <cellStyle name="Normal 6 2 16 3" xfId="13822" xr:uid="{00000000-0005-0000-0000-0000B93B0000}"/>
    <cellStyle name="Normal 6 2 17" xfId="13823" xr:uid="{00000000-0005-0000-0000-0000BA3B0000}"/>
    <cellStyle name="Normal 6 2 17 2" xfId="13824" xr:uid="{00000000-0005-0000-0000-0000BB3B0000}"/>
    <cellStyle name="Normal 6 2 17 3" xfId="13825" xr:uid="{00000000-0005-0000-0000-0000BC3B0000}"/>
    <cellStyle name="Normal 6 2 18" xfId="13826" xr:uid="{00000000-0005-0000-0000-0000BD3B0000}"/>
    <cellStyle name="Normal 6 2 18 2" xfId="13827" xr:uid="{00000000-0005-0000-0000-0000BE3B0000}"/>
    <cellStyle name="Normal 6 2 18 3" xfId="13828" xr:uid="{00000000-0005-0000-0000-0000BF3B0000}"/>
    <cellStyle name="Normal 6 2 19" xfId="13829" xr:uid="{00000000-0005-0000-0000-0000C03B0000}"/>
    <cellStyle name="Normal 6 2 19 2" xfId="13830" xr:uid="{00000000-0005-0000-0000-0000C13B0000}"/>
    <cellStyle name="Normal 6 2 19 3" xfId="13831" xr:uid="{00000000-0005-0000-0000-0000C23B0000}"/>
    <cellStyle name="Normal 6 2 2" xfId="386" xr:uid="{00000000-0005-0000-0000-0000C33B0000}"/>
    <cellStyle name="Normal 6 2 2 10" xfId="13833" xr:uid="{00000000-0005-0000-0000-0000C43B0000}"/>
    <cellStyle name="Normal 6 2 2 10 2" xfId="13834" xr:uid="{00000000-0005-0000-0000-0000C53B0000}"/>
    <cellStyle name="Normal 6 2 2 11" xfId="13835" xr:uid="{00000000-0005-0000-0000-0000C63B0000}"/>
    <cellStyle name="Normal 6 2 2 11 2" xfId="13836" xr:uid="{00000000-0005-0000-0000-0000C73B0000}"/>
    <cellStyle name="Normal 6 2 2 12" xfId="13837" xr:uid="{00000000-0005-0000-0000-0000C83B0000}"/>
    <cellStyle name="Normal 6 2 2 12 2" xfId="13838" xr:uid="{00000000-0005-0000-0000-0000C93B0000}"/>
    <cellStyle name="Normal 6 2 2 13" xfId="13839" xr:uid="{00000000-0005-0000-0000-0000CA3B0000}"/>
    <cellStyle name="Normal 6 2 2 13 2" xfId="13840" xr:uid="{00000000-0005-0000-0000-0000CB3B0000}"/>
    <cellStyle name="Normal 6 2 2 14" xfId="13841" xr:uid="{00000000-0005-0000-0000-0000CC3B0000}"/>
    <cellStyle name="Normal 6 2 2 14 2" xfId="13842" xr:uid="{00000000-0005-0000-0000-0000CD3B0000}"/>
    <cellStyle name="Normal 6 2 2 15" xfId="13843" xr:uid="{00000000-0005-0000-0000-0000CE3B0000}"/>
    <cellStyle name="Normal 6 2 2 15 2" xfId="13844" xr:uid="{00000000-0005-0000-0000-0000CF3B0000}"/>
    <cellStyle name="Normal 6 2 2 16" xfId="13845" xr:uid="{00000000-0005-0000-0000-0000D03B0000}"/>
    <cellStyle name="Normal 6 2 2 16 2" xfId="13846" xr:uid="{00000000-0005-0000-0000-0000D13B0000}"/>
    <cellStyle name="Normal 6 2 2 17" xfId="13847" xr:uid="{00000000-0005-0000-0000-0000D23B0000}"/>
    <cellStyle name="Normal 6 2 2 17 2" xfId="13848" xr:uid="{00000000-0005-0000-0000-0000D33B0000}"/>
    <cellStyle name="Normal 6 2 2 18" xfId="13849" xr:uid="{00000000-0005-0000-0000-0000D43B0000}"/>
    <cellStyle name="Normal 6 2 2 18 2" xfId="13850" xr:uid="{00000000-0005-0000-0000-0000D53B0000}"/>
    <cellStyle name="Normal 6 2 2 19" xfId="13851" xr:uid="{00000000-0005-0000-0000-0000D63B0000}"/>
    <cellStyle name="Normal 6 2 2 19 2" xfId="13852" xr:uid="{00000000-0005-0000-0000-0000D73B0000}"/>
    <cellStyle name="Normal 6 2 2 2" xfId="387" xr:uid="{00000000-0005-0000-0000-0000D83B0000}"/>
    <cellStyle name="Normal 6 2 2 2 2" xfId="13854" xr:uid="{00000000-0005-0000-0000-0000D93B0000}"/>
    <cellStyle name="Normal 6 2 2 2 3" xfId="13855" xr:uid="{00000000-0005-0000-0000-0000DA3B0000}"/>
    <cellStyle name="Normal 6 2 2 2 4" xfId="13853" xr:uid="{00000000-0005-0000-0000-0000DB3B0000}"/>
    <cellStyle name="Normal 6 2 2 20" xfId="13856" xr:uid="{00000000-0005-0000-0000-0000DC3B0000}"/>
    <cellStyle name="Normal 6 2 2 20 2" xfId="13857" xr:uid="{00000000-0005-0000-0000-0000DD3B0000}"/>
    <cellStyle name="Normal 6 2 2 21" xfId="13858" xr:uid="{00000000-0005-0000-0000-0000DE3B0000}"/>
    <cellStyle name="Normal 6 2 2 21 2" xfId="13859" xr:uid="{00000000-0005-0000-0000-0000DF3B0000}"/>
    <cellStyle name="Normal 6 2 2 22" xfId="13860" xr:uid="{00000000-0005-0000-0000-0000E03B0000}"/>
    <cellStyle name="Normal 6 2 2 22 2" xfId="13861" xr:uid="{00000000-0005-0000-0000-0000E13B0000}"/>
    <cellStyle name="Normal 6 2 2 23" xfId="13862" xr:uid="{00000000-0005-0000-0000-0000E23B0000}"/>
    <cellStyle name="Normal 6 2 2 23 2" xfId="13863" xr:uid="{00000000-0005-0000-0000-0000E33B0000}"/>
    <cellStyle name="Normal 6 2 2 24" xfId="13864" xr:uid="{00000000-0005-0000-0000-0000E43B0000}"/>
    <cellStyle name="Normal 6 2 2 24 2" xfId="13865" xr:uid="{00000000-0005-0000-0000-0000E53B0000}"/>
    <cellStyle name="Normal 6 2 2 25" xfId="13866" xr:uid="{00000000-0005-0000-0000-0000E63B0000}"/>
    <cellStyle name="Normal 6 2 2 25 2" xfId="13867" xr:uid="{00000000-0005-0000-0000-0000E73B0000}"/>
    <cellStyle name="Normal 6 2 2 26" xfId="13868" xr:uid="{00000000-0005-0000-0000-0000E83B0000}"/>
    <cellStyle name="Normal 6 2 2 26 2" xfId="13869" xr:uid="{00000000-0005-0000-0000-0000E93B0000}"/>
    <cellStyle name="Normal 6 2 2 27" xfId="13870" xr:uid="{00000000-0005-0000-0000-0000EA3B0000}"/>
    <cellStyle name="Normal 6 2 2 27 2" xfId="13871" xr:uid="{00000000-0005-0000-0000-0000EB3B0000}"/>
    <cellStyle name="Normal 6 2 2 28" xfId="13872" xr:uid="{00000000-0005-0000-0000-0000EC3B0000}"/>
    <cellStyle name="Normal 6 2 2 28 2" xfId="13873" xr:uid="{00000000-0005-0000-0000-0000ED3B0000}"/>
    <cellStyle name="Normal 6 2 2 29" xfId="13874" xr:uid="{00000000-0005-0000-0000-0000EE3B0000}"/>
    <cellStyle name="Normal 6 2 2 29 2" xfId="13875" xr:uid="{00000000-0005-0000-0000-0000EF3B0000}"/>
    <cellStyle name="Normal 6 2 2 3" xfId="13876" xr:uid="{00000000-0005-0000-0000-0000F03B0000}"/>
    <cellStyle name="Normal 6 2 2 3 2" xfId="13877" xr:uid="{00000000-0005-0000-0000-0000F13B0000}"/>
    <cellStyle name="Normal 6 2 2 3 3" xfId="13878" xr:uid="{00000000-0005-0000-0000-0000F23B0000}"/>
    <cellStyle name="Normal 6 2 2 30" xfId="13879" xr:uid="{00000000-0005-0000-0000-0000F33B0000}"/>
    <cellStyle name="Normal 6 2 2 30 2" xfId="13880" xr:uid="{00000000-0005-0000-0000-0000F43B0000}"/>
    <cellStyle name="Normal 6 2 2 31" xfId="13881" xr:uid="{00000000-0005-0000-0000-0000F53B0000}"/>
    <cellStyle name="Normal 6 2 2 31 2" xfId="13882" xr:uid="{00000000-0005-0000-0000-0000F63B0000}"/>
    <cellStyle name="Normal 6 2 2 32" xfId="13883" xr:uid="{00000000-0005-0000-0000-0000F73B0000}"/>
    <cellStyle name="Normal 6 2 2 32 2" xfId="13884" xr:uid="{00000000-0005-0000-0000-0000F83B0000}"/>
    <cellStyle name="Normal 6 2 2 33" xfId="13885" xr:uid="{00000000-0005-0000-0000-0000F93B0000}"/>
    <cellStyle name="Normal 6 2 2 33 2" xfId="13886" xr:uid="{00000000-0005-0000-0000-0000FA3B0000}"/>
    <cellStyle name="Normal 6 2 2 34" xfId="13887" xr:uid="{00000000-0005-0000-0000-0000FB3B0000}"/>
    <cellStyle name="Normal 6 2 2 34 2" xfId="13888" xr:uid="{00000000-0005-0000-0000-0000FC3B0000}"/>
    <cellStyle name="Normal 6 2 2 35" xfId="13889" xr:uid="{00000000-0005-0000-0000-0000FD3B0000}"/>
    <cellStyle name="Normal 6 2 2 36" xfId="13890" xr:uid="{00000000-0005-0000-0000-0000FE3B0000}"/>
    <cellStyle name="Normal 6 2 2 37" xfId="13891" xr:uid="{00000000-0005-0000-0000-0000FF3B0000}"/>
    <cellStyle name="Normal 6 2 2 38" xfId="13832" xr:uid="{00000000-0005-0000-0000-0000003C0000}"/>
    <cellStyle name="Normal 6 2 2 4" xfId="13892" xr:uid="{00000000-0005-0000-0000-0000013C0000}"/>
    <cellStyle name="Normal 6 2 2 4 2" xfId="13893" xr:uid="{00000000-0005-0000-0000-0000023C0000}"/>
    <cellStyle name="Normal 6 2 2 5" xfId="13894" xr:uid="{00000000-0005-0000-0000-0000033C0000}"/>
    <cellStyle name="Normal 6 2 2 5 2" xfId="13895" xr:uid="{00000000-0005-0000-0000-0000043C0000}"/>
    <cellStyle name="Normal 6 2 2 6" xfId="13896" xr:uid="{00000000-0005-0000-0000-0000053C0000}"/>
    <cellStyle name="Normal 6 2 2 6 2" xfId="13897" xr:uid="{00000000-0005-0000-0000-0000063C0000}"/>
    <cellStyle name="Normal 6 2 2 7" xfId="13898" xr:uid="{00000000-0005-0000-0000-0000073C0000}"/>
    <cellStyle name="Normal 6 2 2 7 2" xfId="13899" xr:uid="{00000000-0005-0000-0000-0000083C0000}"/>
    <cellStyle name="Normal 6 2 2 8" xfId="13900" xr:uid="{00000000-0005-0000-0000-0000093C0000}"/>
    <cellStyle name="Normal 6 2 2 8 2" xfId="13901" xr:uid="{00000000-0005-0000-0000-00000A3C0000}"/>
    <cellStyle name="Normal 6 2 2 9" xfId="13902" xr:uid="{00000000-0005-0000-0000-00000B3C0000}"/>
    <cellStyle name="Normal 6 2 2 9 2" xfId="13903" xr:uid="{00000000-0005-0000-0000-00000C3C0000}"/>
    <cellStyle name="Normal 6 2 20" xfId="13904" xr:uid="{00000000-0005-0000-0000-00000D3C0000}"/>
    <cellStyle name="Normal 6 2 20 2" xfId="13905" xr:uid="{00000000-0005-0000-0000-00000E3C0000}"/>
    <cellStyle name="Normal 6 2 20 3" xfId="13906" xr:uid="{00000000-0005-0000-0000-00000F3C0000}"/>
    <cellStyle name="Normal 6 2 21" xfId="13907" xr:uid="{00000000-0005-0000-0000-0000103C0000}"/>
    <cellStyle name="Normal 6 2 21 2" xfId="13908" xr:uid="{00000000-0005-0000-0000-0000113C0000}"/>
    <cellStyle name="Normal 6 2 21 3" xfId="13909" xr:uid="{00000000-0005-0000-0000-0000123C0000}"/>
    <cellStyle name="Normal 6 2 22" xfId="13910" xr:uid="{00000000-0005-0000-0000-0000133C0000}"/>
    <cellStyle name="Normal 6 2 22 2" xfId="13911" xr:uid="{00000000-0005-0000-0000-0000143C0000}"/>
    <cellStyle name="Normal 6 2 22 3" xfId="13912" xr:uid="{00000000-0005-0000-0000-0000153C0000}"/>
    <cellStyle name="Normal 6 2 23" xfId="13913" xr:uid="{00000000-0005-0000-0000-0000163C0000}"/>
    <cellStyle name="Normal 6 2 23 2" xfId="13914" xr:uid="{00000000-0005-0000-0000-0000173C0000}"/>
    <cellStyle name="Normal 6 2 23 3" xfId="13915" xr:uid="{00000000-0005-0000-0000-0000183C0000}"/>
    <cellStyle name="Normal 6 2 24" xfId="13916" xr:uid="{00000000-0005-0000-0000-0000193C0000}"/>
    <cellStyle name="Normal 6 2 24 2" xfId="13917" xr:uid="{00000000-0005-0000-0000-00001A3C0000}"/>
    <cellStyle name="Normal 6 2 25" xfId="13918" xr:uid="{00000000-0005-0000-0000-00001B3C0000}"/>
    <cellStyle name="Normal 6 2 25 2" xfId="13919" xr:uid="{00000000-0005-0000-0000-00001C3C0000}"/>
    <cellStyle name="Normal 6 2 26" xfId="13920" xr:uid="{00000000-0005-0000-0000-00001D3C0000}"/>
    <cellStyle name="Normal 6 2 26 2" xfId="13921" xr:uid="{00000000-0005-0000-0000-00001E3C0000}"/>
    <cellStyle name="Normal 6 2 27" xfId="13922" xr:uid="{00000000-0005-0000-0000-00001F3C0000}"/>
    <cellStyle name="Normal 6 2 27 2" xfId="13923" xr:uid="{00000000-0005-0000-0000-0000203C0000}"/>
    <cellStyle name="Normal 6 2 28" xfId="13924" xr:uid="{00000000-0005-0000-0000-0000213C0000}"/>
    <cellStyle name="Normal 6 2 28 2" xfId="13925" xr:uid="{00000000-0005-0000-0000-0000223C0000}"/>
    <cellStyle name="Normal 6 2 29" xfId="13926" xr:uid="{00000000-0005-0000-0000-0000233C0000}"/>
    <cellStyle name="Normal 6 2 29 2" xfId="13927" xr:uid="{00000000-0005-0000-0000-0000243C0000}"/>
    <cellStyle name="Normal 6 2 3" xfId="388" xr:uid="{00000000-0005-0000-0000-0000253C0000}"/>
    <cellStyle name="Normal 6 2 3 10" xfId="13929" xr:uid="{00000000-0005-0000-0000-0000263C0000}"/>
    <cellStyle name="Normal 6 2 3 10 2" xfId="13930" xr:uid="{00000000-0005-0000-0000-0000273C0000}"/>
    <cellStyle name="Normal 6 2 3 11" xfId="13931" xr:uid="{00000000-0005-0000-0000-0000283C0000}"/>
    <cellStyle name="Normal 6 2 3 11 2" xfId="13932" xr:uid="{00000000-0005-0000-0000-0000293C0000}"/>
    <cellStyle name="Normal 6 2 3 12" xfId="13933" xr:uid="{00000000-0005-0000-0000-00002A3C0000}"/>
    <cellStyle name="Normal 6 2 3 12 2" xfId="13934" xr:uid="{00000000-0005-0000-0000-00002B3C0000}"/>
    <cellStyle name="Normal 6 2 3 13" xfId="13935" xr:uid="{00000000-0005-0000-0000-00002C3C0000}"/>
    <cellStyle name="Normal 6 2 3 13 2" xfId="13936" xr:uid="{00000000-0005-0000-0000-00002D3C0000}"/>
    <cellStyle name="Normal 6 2 3 14" xfId="13937" xr:uid="{00000000-0005-0000-0000-00002E3C0000}"/>
    <cellStyle name="Normal 6 2 3 14 2" xfId="13938" xr:uid="{00000000-0005-0000-0000-00002F3C0000}"/>
    <cellStyle name="Normal 6 2 3 15" xfId="13939" xr:uid="{00000000-0005-0000-0000-0000303C0000}"/>
    <cellStyle name="Normal 6 2 3 15 2" xfId="13940" xr:uid="{00000000-0005-0000-0000-0000313C0000}"/>
    <cellStyle name="Normal 6 2 3 16" xfId="13941" xr:uid="{00000000-0005-0000-0000-0000323C0000}"/>
    <cellStyle name="Normal 6 2 3 16 2" xfId="13942" xr:uid="{00000000-0005-0000-0000-0000333C0000}"/>
    <cellStyle name="Normal 6 2 3 17" xfId="13943" xr:uid="{00000000-0005-0000-0000-0000343C0000}"/>
    <cellStyle name="Normal 6 2 3 17 2" xfId="13944" xr:uid="{00000000-0005-0000-0000-0000353C0000}"/>
    <cellStyle name="Normal 6 2 3 18" xfId="13945" xr:uid="{00000000-0005-0000-0000-0000363C0000}"/>
    <cellStyle name="Normal 6 2 3 18 2" xfId="13946" xr:uid="{00000000-0005-0000-0000-0000373C0000}"/>
    <cellStyle name="Normal 6 2 3 19" xfId="13947" xr:uid="{00000000-0005-0000-0000-0000383C0000}"/>
    <cellStyle name="Normal 6 2 3 19 2" xfId="13948" xr:uid="{00000000-0005-0000-0000-0000393C0000}"/>
    <cellStyle name="Normal 6 2 3 2" xfId="13949" xr:uid="{00000000-0005-0000-0000-00003A3C0000}"/>
    <cellStyle name="Normal 6 2 3 2 2" xfId="13950" xr:uid="{00000000-0005-0000-0000-00003B3C0000}"/>
    <cellStyle name="Normal 6 2 3 2 2 2" xfId="13951" xr:uid="{00000000-0005-0000-0000-00003C3C0000}"/>
    <cellStyle name="Normal 6 2 3 2 2 2 2" xfId="13952" xr:uid="{00000000-0005-0000-0000-00003D3C0000}"/>
    <cellStyle name="Normal 6 2 3 2 2 2 3" xfId="13953" xr:uid="{00000000-0005-0000-0000-00003E3C0000}"/>
    <cellStyle name="Normal 6 2 3 2 2 3" xfId="13954" xr:uid="{00000000-0005-0000-0000-00003F3C0000}"/>
    <cellStyle name="Normal 6 2 3 2 3" xfId="13955" xr:uid="{00000000-0005-0000-0000-0000403C0000}"/>
    <cellStyle name="Normal 6 2 3 2 4" xfId="13956" xr:uid="{00000000-0005-0000-0000-0000413C0000}"/>
    <cellStyle name="Normal 6 2 3 2 5" xfId="13957" xr:uid="{00000000-0005-0000-0000-0000423C0000}"/>
    <cellStyle name="Normal 6 2 3 2 6" xfId="13958" xr:uid="{00000000-0005-0000-0000-0000433C0000}"/>
    <cellStyle name="Normal 6 2 3 2 7" xfId="13959" xr:uid="{00000000-0005-0000-0000-0000443C0000}"/>
    <cellStyle name="Normal 6 2 3 2 8" xfId="13960" xr:uid="{00000000-0005-0000-0000-0000453C0000}"/>
    <cellStyle name="Normal 6 2 3 20" xfId="13961" xr:uid="{00000000-0005-0000-0000-0000463C0000}"/>
    <cellStyle name="Normal 6 2 3 20 2" xfId="13962" xr:uid="{00000000-0005-0000-0000-0000473C0000}"/>
    <cellStyle name="Normal 6 2 3 21" xfId="13963" xr:uid="{00000000-0005-0000-0000-0000483C0000}"/>
    <cellStyle name="Normal 6 2 3 21 2" xfId="13964" xr:uid="{00000000-0005-0000-0000-0000493C0000}"/>
    <cellStyle name="Normal 6 2 3 22" xfId="13965" xr:uid="{00000000-0005-0000-0000-00004A3C0000}"/>
    <cellStyle name="Normal 6 2 3 22 2" xfId="13966" xr:uid="{00000000-0005-0000-0000-00004B3C0000}"/>
    <cellStyle name="Normal 6 2 3 23" xfId="13967" xr:uid="{00000000-0005-0000-0000-00004C3C0000}"/>
    <cellStyle name="Normal 6 2 3 23 2" xfId="13968" xr:uid="{00000000-0005-0000-0000-00004D3C0000}"/>
    <cellStyle name="Normal 6 2 3 24" xfId="13969" xr:uid="{00000000-0005-0000-0000-00004E3C0000}"/>
    <cellStyle name="Normal 6 2 3 24 2" xfId="13970" xr:uid="{00000000-0005-0000-0000-00004F3C0000}"/>
    <cellStyle name="Normal 6 2 3 25" xfId="13971" xr:uid="{00000000-0005-0000-0000-0000503C0000}"/>
    <cellStyle name="Normal 6 2 3 25 2" xfId="13972" xr:uid="{00000000-0005-0000-0000-0000513C0000}"/>
    <cellStyle name="Normal 6 2 3 26" xfId="13973" xr:uid="{00000000-0005-0000-0000-0000523C0000}"/>
    <cellStyle name="Normal 6 2 3 26 2" xfId="13974" xr:uid="{00000000-0005-0000-0000-0000533C0000}"/>
    <cellStyle name="Normal 6 2 3 27" xfId="13975" xr:uid="{00000000-0005-0000-0000-0000543C0000}"/>
    <cellStyle name="Normal 6 2 3 27 2" xfId="13976" xr:uid="{00000000-0005-0000-0000-0000553C0000}"/>
    <cellStyle name="Normal 6 2 3 28" xfId="13977" xr:uid="{00000000-0005-0000-0000-0000563C0000}"/>
    <cellStyle name="Normal 6 2 3 28 2" xfId="13978" xr:uid="{00000000-0005-0000-0000-0000573C0000}"/>
    <cellStyle name="Normal 6 2 3 29" xfId="13979" xr:uid="{00000000-0005-0000-0000-0000583C0000}"/>
    <cellStyle name="Normal 6 2 3 29 2" xfId="13980" xr:uid="{00000000-0005-0000-0000-0000593C0000}"/>
    <cellStyle name="Normal 6 2 3 3" xfId="13981" xr:uid="{00000000-0005-0000-0000-00005A3C0000}"/>
    <cellStyle name="Normal 6 2 3 3 2" xfId="13982" xr:uid="{00000000-0005-0000-0000-00005B3C0000}"/>
    <cellStyle name="Normal 6 2 3 30" xfId="13983" xr:uid="{00000000-0005-0000-0000-00005C3C0000}"/>
    <cellStyle name="Normal 6 2 3 30 2" xfId="13984" xr:uid="{00000000-0005-0000-0000-00005D3C0000}"/>
    <cellStyle name="Normal 6 2 3 31" xfId="13985" xr:uid="{00000000-0005-0000-0000-00005E3C0000}"/>
    <cellStyle name="Normal 6 2 3 31 2" xfId="13986" xr:uid="{00000000-0005-0000-0000-00005F3C0000}"/>
    <cellStyle name="Normal 6 2 3 32" xfId="13987" xr:uid="{00000000-0005-0000-0000-0000603C0000}"/>
    <cellStyle name="Normal 6 2 3 32 2" xfId="13988" xr:uid="{00000000-0005-0000-0000-0000613C0000}"/>
    <cellStyle name="Normal 6 2 3 33" xfId="13989" xr:uid="{00000000-0005-0000-0000-0000623C0000}"/>
    <cellStyle name="Normal 6 2 3 33 2" xfId="13990" xr:uid="{00000000-0005-0000-0000-0000633C0000}"/>
    <cellStyle name="Normal 6 2 3 34" xfId="13991" xr:uid="{00000000-0005-0000-0000-0000643C0000}"/>
    <cellStyle name="Normal 6 2 3 34 2" xfId="13992" xr:uid="{00000000-0005-0000-0000-0000653C0000}"/>
    <cellStyle name="Normal 6 2 3 35" xfId="13993" xr:uid="{00000000-0005-0000-0000-0000663C0000}"/>
    <cellStyle name="Normal 6 2 3 36" xfId="13928" xr:uid="{00000000-0005-0000-0000-0000673C0000}"/>
    <cellStyle name="Normal 6 2 3 4" xfId="13994" xr:uid="{00000000-0005-0000-0000-0000683C0000}"/>
    <cellStyle name="Normal 6 2 3 4 2" xfId="13995" xr:uid="{00000000-0005-0000-0000-0000693C0000}"/>
    <cellStyle name="Normal 6 2 3 5" xfId="13996" xr:uid="{00000000-0005-0000-0000-00006A3C0000}"/>
    <cellStyle name="Normal 6 2 3 5 2" xfId="13997" xr:uid="{00000000-0005-0000-0000-00006B3C0000}"/>
    <cellStyle name="Normal 6 2 3 6" xfId="13998" xr:uid="{00000000-0005-0000-0000-00006C3C0000}"/>
    <cellStyle name="Normal 6 2 3 6 2" xfId="13999" xr:uid="{00000000-0005-0000-0000-00006D3C0000}"/>
    <cellStyle name="Normal 6 2 3 7" xfId="14000" xr:uid="{00000000-0005-0000-0000-00006E3C0000}"/>
    <cellStyle name="Normal 6 2 3 7 2" xfId="14001" xr:uid="{00000000-0005-0000-0000-00006F3C0000}"/>
    <cellStyle name="Normal 6 2 3 8" xfId="14002" xr:uid="{00000000-0005-0000-0000-0000703C0000}"/>
    <cellStyle name="Normal 6 2 3 8 2" xfId="14003" xr:uid="{00000000-0005-0000-0000-0000713C0000}"/>
    <cellStyle name="Normal 6 2 3 9" xfId="14004" xr:uid="{00000000-0005-0000-0000-0000723C0000}"/>
    <cellStyle name="Normal 6 2 3 9 2" xfId="14005" xr:uid="{00000000-0005-0000-0000-0000733C0000}"/>
    <cellStyle name="Normal 6 2 30" xfId="14006" xr:uid="{00000000-0005-0000-0000-0000743C0000}"/>
    <cellStyle name="Normal 6 2 30 2" xfId="14007" xr:uid="{00000000-0005-0000-0000-0000753C0000}"/>
    <cellStyle name="Normal 6 2 31" xfId="14008" xr:uid="{00000000-0005-0000-0000-0000763C0000}"/>
    <cellStyle name="Normal 6 2 31 2" xfId="14009" xr:uid="{00000000-0005-0000-0000-0000773C0000}"/>
    <cellStyle name="Normal 6 2 32" xfId="14010" xr:uid="{00000000-0005-0000-0000-0000783C0000}"/>
    <cellStyle name="Normal 6 2 32 2" xfId="14011" xr:uid="{00000000-0005-0000-0000-0000793C0000}"/>
    <cellStyle name="Normal 6 2 33" xfId="14012" xr:uid="{00000000-0005-0000-0000-00007A3C0000}"/>
    <cellStyle name="Normal 6 2 33 2" xfId="14013" xr:uid="{00000000-0005-0000-0000-00007B3C0000}"/>
    <cellStyle name="Normal 6 2 34" xfId="14014" xr:uid="{00000000-0005-0000-0000-00007C3C0000}"/>
    <cellStyle name="Normal 6 2 34 2" xfId="14015" xr:uid="{00000000-0005-0000-0000-00007D3C0000}"/>
    <cellStyle name="Normal 6 2 35" xfId="14016" xr:uid="{00000000-0005-0000-0000-00007E3C0000}"/>
    <cellStyle name="Normal 6 2 35 2" xfId="14017" xr:uid="{00000000-0005-0000-0000-00007F3C0000}"/>
    <cellStyle name="Normal 6 2 36" xfId="14018" xr:uid="{00000000-0005-0000-0000-0000803C0000}"/>
    <cellStyle name="Normal 6 2 36 2" xfId="14019" xr:uid="{00000000-0005-0000-0000-0000813C0000}"/>
    <cellStyle name="Normal 6 2 37" xfId="14020" xr:uid="{00000000-0005-0000-0000-0000823C0000}"/>
    <cellStyle name="Normal 6 2 37 2" xfId="14021" xr:uid="{00000000-0005-0000-0000-0000833C0000}"/>
    <cellStyle name="Normal 6 2 38" xfId="14022" xr:uid="{00000000-0005-0000-0000-0000843C0000}"/>
    <cellStyle name="Normal 6 2 38 2" xfId="14023" xr:uid="{00000000-0005-0000-0000-0000853C0000}"/>
    <cellStyle name="Normal 6 2 39" xfId="14024" xr:uid="{00000000-0005-0000-0000-0000863C0000}"/>
    <cellStyle name="Normal 6 2 39 2" xfId="14025" xr:uid="{00000000-0005-0000-0000-0000873C0000}"/>
    <cellStyle name="Normal 6 2 4" xfId="14026" xr:uid="{00000000-0005-0000-0000-0000883C0000}"/>
    <cellStyle name="Normal 6 2 4 2" xfId="14027" xr:uid="{00000000-0005-0000-0000-0000893C0000}"/>
    <cellStyle name="Normal 6 2 4 2 2" xfId="14028" xr:uid="{00000000-0005-0000-0000-00008A3C0000}"/>
    <cellStyle name="Normal 6 2 4 3" xfId="14029" xr:uid="{00000000-0005-0000-0000-00008B3C0000}"/>
    <cellStyle name="Normal 6 2 4 3 2" xfId="14030" xr:uid="{00000000-0005-0000-0000-00008C3C0000}"/>
    <cellStyle name="Normal 6 2 4 4" xfId="14031" xr:uid="{00000000-0005-0000-0000-00008D3C0000}"/>
    <cellStyle name="Normal 6 2 4 4 2" xfId="14032" xr:uid="{00000000-0005-0000-0000-00008E3C0000}"/>
    <cellStyle name="Normal 6 2 4 5" xfId="14033" xr:uid="{00000000-0005-0000-0000-00008F3C0000}"/>
    <cellStyle name="Normal 6 2 4 5 2" xfId="14034" xr:uid="{00000000-0005-0000-0000-0000903C0000}"/>
    <cellStyle name="Normal 6 2 4 6" xfId="14035" xr:uid="{00000000-0005-0000-0000-0000913C0000}"/>
    <cellStyle name="Normal 6 2 40" xfId="14036" xr:uid="{00000000-0005-0000-0000-0000923C0000}"/>
    <cellStyle name="Normal 6 2 40 2" xfId="14037" xr:uid="{00000000-0005-0000-0000-0000933C0000}"/>
    <cellStyle name="Normal 6 2 41" xfId="14038" xr:uid="{00000000-0005-0000-0000-0000943C0000}"/>
    <cellStyle name="Normal 6 2 41 2" xfId="14039" xr:uid="{00000000-0005-0000-0000-0000953C0000}"/>
    <cellStyle name="Normal 6 2 42" xfId="14040" xr:uid="{00000000-0005-0000-0000-0000963C0000}"/>
    <cellStyle name="Normal 6 2 42 2" xfId="14041" xr:uid="{00000000-0005-0000-0000-0000973C0000}"/>
    <cellStyle name="Normal 6 2 43" xfId="14042" xr:uid="{00000000-0005-0000-0000-0000983C0000}"/>
    <cellStyle name="Normal 6 2 43 2" xfId="14043" xr:uid="{00000000-0005-0000-0000-0000993C0000}"/>
    <cellStyle name="Normal 6 2 44" xfId="14044" xr:uid="{00000000-0005-0000-0000-00009A3C0000}"/>
    <cellStyle name="Normal 6 2 44 2" xfId="14045" xr:uid="{00000000-0005-0000-0000-00009B3C0000}"/>
    <cellStyle name="Normal 6 2 45" xfId="14046" xr:uid="{00000000-0005-0000-0000-00009C3C0000}"/>
    <cellStyle name="Normal 6 2 45 2" xfId="14047" xr:uid="{00000000-0005-0000-0000-00009D3C0000}"/>
    <cellStyle name="Normal 6 2 46" xfId="14048" xr:uid="{00000000-0005-0000-0000-00009E3C0000}"/>
    <cellStyle name="Normal 6 2 46 2" xfId="14049" xr:uid="{00000000-0005-0000-0000-00009F3C0000}"/>
    <cellStyle name="Normal 6 2 47" xfId="14050" xr:uid="{00000000-0005-0000-0000-0000A03C0000}"/>
    <cellStyle name="Normal 6 2 48" xfId="13801" xr:uid="{00000000-0005-0000-0000-0000A13C0000}"/>
    <cellStyle name="Normal 6 2 5" xfId="14051" xr:uid="{00000000-0005-0000-0000-0000A23C0000}"/>
    <cellStyle name="Normal 6 2 5 2" xfId="14052" xr:uid="{00000000-0005-0000-0000-0000A33C0000}"/>
    <cellStyle name="Normal 6 2 5 2 2" xfId="14053" xr:uid="{00000000-0005-0000-0000-0000A43C0000}"/>
    <cellStyle name="Normal 6 2 5 2 3" xfId="14054" xr:uid="{00000000-0005-0000-0000-0000A53C0000}"/>
    <cellStyle name="Normal 6 2 5 3" xfId="14055" xr:uid="{00000000-0005-0000-0000-0000A63C0000}"/>
    <cellStyle name="Normal 6 2 6" xfId="14056" xr:uid="{00000000-0005-0000-0000-0000A73C0000}"/>
    <cellStyle name="Normal 6 2 6 2" xfId="14057" xr:uid="{00000000-0005-0000-0000-0000A83C0000}"/>
    <cellStyle name="Normal 6 2 6 3" xfId="14058" xr:uid="{00000000-0005-0000-0000-0000A93C0000}"/>
    <cellStyle name="Normal 6 2 7" xfId="14059" xr:uid="{00000000-0005-0000-0000-0000AA3C0000}"/>
    <cellStyle name="Normal 6 2 7 2" xfId="14060" xr:uid="{00000000-0005-0000-0000-0000AB3C0000}"/>
    <cellStyle name="Normal 6 2 7 3" xfId="14061" xr:uid="{00000000-0005-0000-0000-0000AC3C0000}"/>
    <cellStyle name="Normal 6 2 8" xfId="14062" xr:uid="{00000000-0005-0000-0000-0000AD3C0000}"/>
    <cellStyle name="Normal 6 2 8 2" xfId="14063" xr:uid="{00000000-0005-0000-0000-0000AE3C0000}"/>
    <cellStyle name="Normal 6 2 8 3" xfId="14064" xr:uid="{00000000-0005-0000-0000-0000AF3C0000}"/>
    <cellStyle name="Normal 6 2 9" xfId="14065" xr:uid="{00000000-0005-0000-0000-0000B03C0000}"/>
    <cellStyle name="Normal 6 2 9 2" xfId="14066" xr:uid="{00000000-0005-0000-0000-0000B13C0000}"/>
    <cellStyle name="Normal 6 2 9 3" xfId="14067" xr:uid="{00000000-0005-0000-0000-0000B23C0000}"/>
    <cellStyle name="Normal 6 20" xfId="14068" xr:uid="{00000000-0005-0000-0000-0000B33C0000}"/>
    <cellStyle name="Normal 6 20 2" xfId="14069" xr:uid="{00000000-0005-0000-0000-0000B43C0000}"/>
    <cellStyle name="Normal 6 21" xfId="14070" xr:uid="{00000000-0005-0000-0000-0000B53C0000}"/>
    <cellStyle name="Normal 6 21 2" xfId="14071" xr:uid="{00000000-0005-0000-0000-0000B63C0000}"/>
    <cellStyle name="Normal 6 22" xfId="14072" xr:uid="{00000000-0005-0000-0000-0000B73C0000}"/>
    <cellStyle name="Normal 6 22 2" xfId="14073" xr:uid="{00000000-0005-0000-0000-0000B83C0000}"/>
    <cellStyle name="Normal 6 23" xfId="14074" xr:uid="{00000000-0005-0000-0000-0000B93C0000}"/>
    <cellStyle name="Normal 6 23 2" xfId="14075" xr:uid="{00000000-0005-0000-0000-0000BA3C0000}"/>
    <cellStyle name="Normal 6 24" xfId="14076" xr:uid="{00000000-0005-0000-0000-0000BB3C0000}"/>
    <cellStyle name="Normal 6 24 2" xfId="14077" xr:uid="{00000000-0005-0000-0000-0000BC3C0000}"/>
    <cellStyle name="Normal 6 25" xfId="14078" xr:uid="{00000000-0005-0000-0000-0000BD3C0000}"/>
    <cellStyle name="Normal 6 25 2" xfId="14079" xr:uid="{00000000-0005-0000-0000-0000BE3C0000}"/>
    <cellStyle name="Normal 6 26" xfId="14080" xr:uid="{00000000-0005-0000-0000-0000BF3C0000}"/>
    <cellStyle name="Normal 6 26 2" xfId="14081" xr:uid="{00000000-0005-0000-0000-0000C03C0000}"/>
    <cellStyle name="Normal 6 27" xfId="14082" xr:uid="{00000000-0005-0000-0000-0000C13C0000}"/>
    <cellStyle name="Normal 6 27 2" xfId="14083" xr:uid="{00000000-0005-0000-0000-0000C23C0000}"/>
    <cellStyle name="Normal 6 28" xfId="14084" xr:uid="{00000000-0005-0000-0000-0000C33C0000}"/>
    <cellStyle name="Normal 6 28 2" xfId="14085" xr:uid="{00000000-0005-0000-0000-0000C43C0000}"/>
    <cellStyle name="Normal 6 29" xfId="14086" xr:uid="{00000000-0005-0000-0000-0000C53C0000}"/>
    <cellStyle name="Normal 6 29 2" xfId="14087" xr:uid="{00000000-0005-0000-0000-0000C63C0000}"/>
    <cellStyle name="Normal 6 3" xfId="389" xr:uid="{00000000-0005-0000-0000-0000C73C0000}"/>
    <cellStyle name="Normal 6 3 10" xfId="14089" xr:uid="{00000000-0005-0000-0000-0000C83C0000}"/>
    <cellStyle name="Normal 6 3 10 2" xfId="14090" xr:uid="{00000000-0005-0000-0000-0000C93C0000}"/>
    <cellStyle name="Normal 6 3 11" xfId="14091" xr:uid="{00000000-0005-0000-0000-0000CA3C0000}"/>
    <cellStyle name="Normal 6 3 11 2" xfId="14092" xr:uid="{00000000-0005-0000-0000-0000CB3C0000}"/>
    <cellStyle name="Normal 6 3 12" xfId="14093" xr:uid="{00000000-0005-0000-0000-0000CC3C0000}"/>
    <cellStyle name="Normal 6 3 12 2" xfId="14094" xr:uid="{00000000-0005-0000-0000-0000CD3C0000}"/>
    <cellStyle name="Normal 6 3 13" xfId="14095" xr:uid="{00000000-0005-0000-0000-0000CE3C0000}"/>
    <cellStyle name="Normal 6 3 13 2" xfId="14096" xr:uid="{00000000-0005-0000-0000-0000CF3C0000}"/>
    <cellStyle name="Normal 6 3 14" xfId="14097" xr:uid="{00000000-0005-0000-0000-0000D03C0000}"/>
    <cellStyle name="Normal 6 3 14 2" xfId="14098" xr:uid="{00000000-0005-0000-0000-0000D13C0000}"/>
    <cellStyle name="Normal 6 3 15" xfId="14099" xr:uid="{00000000-0005-0000-0000-0000D23C0000}"/>
    <cellStyle name="Normal 6 3 15 2" xfId="14100" xr:uid="{00000000-0005-0000-0000-0000D33C0000}"/>
    <cellStyle name="Normal 6 3 16" xfId="14101" xr:uid="{00000000-0005-0000-0000-0000D43C0000}"/>
    <cellStyle name="Normal 6 3 16 2" xfId="14102" xr:uid="{00000000-0005-0000-0000-0000D53C0000}"/>
    <cellStyle name="Normal 6 3 17" xfId="14103" xr:uid="{00000000-0005-0000-0000-0000D63C0000}"/>
    <cellStyle name="Normal 6 3 17 2" xfId="14104" xr:uid="{00000000-0005-0000-0000-0000D73C0000}"/>
    <cellStyle name="Normal 6 3 18" xfId="14105" xr:uid="{00000000-0005-0000-0000-0000D83C0000}"/>
    <cellStyle name="Normal 6 3 18 2" xfId="14106" xr:uid="{00000000-0005-0000-0000-0000D93C0000}"/>
    <cellStyle name="Normal 6 3 19" xfId="14107" xr:uid="{00000000-0005-0000-0000-0000DA3C0000}"/>
    <cellStyle name="Normal 6 3 19 2" xfId="14108" xr:uid="{00000000-0005-0000-0000-0000DB3C0000}"/>
    <cellStyle name="Normal 6 3 2" xfId="390" xr:uid="{00000000-0005-0000-0000-0000DC3C0000}"/>
    <cellStyle name="Normal 6 3 2 10" xfId="14109" xr:uid="{00000000-0005-0000-0000-0000DD3C0000}"/>
    <cellStyle name="Normal 6 3 2 10 2" xfId="14110" xr:uid="{00000000-0005-0000-0000-0000DE3C0000}"/>
    <cellStyle name="Normal 6 3 2 11" xfId="14111" xr:uid="{00000000-0005-0000-0000-0000DF3C0000}"/>
    <cellStyle name="Normal 6 3 2 11 2" xfId="14112" xr:uid="{00000000-0005-0000-0000-0000E03C0000}"/>
    <cellStyle name="Normal 6 3 2 12" xfId="14113" xr:uid="{00000000-0005-0000-0000-0000E13C0000}"/>
    <cellStyle name="Normal 6 3 2 12 2" xfId="14114" xr:uid="{00000000-0005-0000-0000-0000E23C0000}"/>
    <cellStyle name="Normal 6 3 2 13" xfId="14115" xr:uid="{00000000-0005-0000-0000-0000E33C0000}"/>
    <cellStyle name="Normal 6 3 2 13 2" xfId="14116" xr:uid="{00000000-0005-0000-0000-0000E43C0000}"/>
    <cellStyle name="Normal 6 3 2 14" xfId="14117" xr:uid="{00000000-0005-0000-0000-0000E53C0000}"/>
    <cellStyle name="Normal 6 3 2 14 2" xfId="14118" xr:uid="{00000000-0005-0000-0000-0000E63C0000}"/>
    <cellStyle name="Normal 6 3 2 15" xfId="14119" xr:uid="{00000000-0005-0000-0000-0000E73C0000}"/>
    <cellStyle name="Normal 6 3 2 15 2" xfId="14120" xr:uid="{00000000-0005-0000-0000-0000E83C0000}"/>
    <cellStyle name="Normal 6 3 2 16" xfId="14121" xr:uid="{00000000-0005-0000-0000-0000E93C0000}"/>
    <cellStyle name="Normal 6 3 2 16 2" xfId="14122" xr:uid="{00000000-0005-0000-0000-0000EA3C0000}"/>
    <cellStyle name="Normal 6 3 2 17" xfId="14123" xr:uid="{00000000-0005-0000-0000-0000EB3C0000}"/>
    <cellStyle name="Normal 6 3 2 17 2" xfId="14124" xr:uid="{00000000-0005-0000-0000-0000EC3C0000}"/>
    <cellStyle name="Normal 6 3 2 18" xfId="14125" xr:uid="{00000000-0005-0000-0000-0000ED3C0000}"/>
    <cellStyle name="Normal 6 3 2 18 2" xfId="14126" xr:uid="{00000000-0005-0000-0000-0000EE3C0000}"/>
    <cellStyle name="Normal 6 3 2 19" xfId="14127" xr:uid="{00000000-0005-0000-0000-0000EF3C0000}"/>
    <cellStyle name="Normal 6 3 2 19 2" xfId="14128" xr:uid="{00000000-0005-0000-0000-0000F03C0000}"/>
    <cellStyle name="Normal 6 3 2 2" xfId="391" xr:uid="{00000000-0005-0000-0000-0000F13C0000}"/>
    <cellStyle name="Normal 6 3 2 2 2" xfId="14129" xr:uid="{00000000-0005-0000-0000-0000F23C0000}"/>
    <cellStyle name="Normal 6 3 2 20" xfId="14130" xr:uid="{00000000-0005-0000-0000-0000F33C0000}"/>
    <cellStyle name="Normal 6 3 2 20 2" xfId="14131" xr:uid="{00000000-0005-0000-0000-0000F43C0000}"/>
    <cellStyle name="Normal 6 3 2 21" xfId="14132" xr:uid="{00000000-0005-0000-0000-0000F53C0000}"/>
    <cellStyle name="Normal 6 3 2 21 2" xfId="14133" xr:uid="{00000000-0005-0000-0000-0000F63C0000}"/>
    <cellStyle name="Normal 6 3 2 22" xfId="14134" xr:uid="{00000000-0005-0000-0000-0000F73C0000}"/>
    <cellStyle name="Normal 6 3 2 22 2" xfId="14135" xr:uid="{00000000-0005-0000-0000-0000F83C0000}"/>
    <cellStyle name="Normal 6 3 2 23" xfId="14136" xr:uid="{00000000-0005-0000-0000-0000F93C0000}"/>
    <cellStyle name="Normal 6 3 2 23 2" xfId="14137" xr:uid="{00000000-0005-0000-0000-0000FA3C0000}"/>
    <cellStyle name="Normal 6 3 2 24" xfId="14138" xr:uid="{00000000-0005-0000-0000-0000FB3C0000}"/>
    <cellStyle name="Normal 6 3 2 24 2" xfId="14139" xr:uid="{00000000-0005-0000-0000-0000FC3C0000}"/>
    <cellStyle name="Normal 6 3 2 25" xfId="14140" xr:uid="{00000000-0005-0000-0000-0000FD3C0000}"/>
    <cellStyle name="Normal 6 3 2 25 2" xfId="14141" xr:uid="{00000000-0005-0000-0000-0000FE3C0000}"/>
    <cellStyle name="Normal 6 3 2 26" xfId="14142" xr:uid="{00000000-0005-0000-0000-0000FF3C0000}"/>
    <cellStyle name="Normal 6 3 2 26 2" xfId="14143" xr:uid="{00000000-0005-0000-0000-0000003D0000}"/>
    <cellStyle name="Normal 6 3 2 27" xfId="14144" xr:uid="{00000000-0005-0000-0000-0000013D0000}"/>
    <cellStyle name="Normal 6 3 2 27 2" xfId="14145" xr:uid="{00000000-0005-0000-0000-0000023D0000}"/>
    <cellStyle name="Normal 6 3 2 28" xfId="14146" xr:uid="{00000000-0005-0000-0000-0000033D0000}"/>
    <cellStyle name="Normal 6 3 2 28 2" xfId="14147" xr:uid="{00000000-0005-0000-0000-0000043D0000}"/>
    <cellStyle name="Normal 6 3 2 29" xfId="14148" xr:uid="{00000000-0005-0000-0000-0000053D0000}"/>
    <cellStyle name="Normal 6 3 2 29 2" xfId="14149" xr:uid="{00000000-0005-0000-0000-0000063D0000}"/>
    <cellStyle name="Normal 6 3 2 3" xfId="14150" xr:uid="{00000000-0005-0000-0000-0000073D0000}"/>
    <cellStyle name="Normal 6 3 2 3 2" xfId="14151" xr:uid="{00000000-0005-0000-0000-0000083D0000}"/>
    <cellStyle name="Normal 6 3 2 30" xfId="14152" xr:uid="{00000000-0005-0000-0000-0000093D0000}"/>
    <cellStyle name="Normal 6 3 2 30 2" xfId="14153" xr:uid="{00000000-0005-0000-0000-00000A3D0000}"/>
    <cellStyle name="Normal 6 3 2 31" xfId="14154" xr:uid="{00000000-0005-0000-0000-00000B3D0000}"/>
    <cellStyle name="Normal 6 3 2 31 2" xfId="14155" xr:uid="{00000000-0005-0000-0000-00000C3D0000}"/>
    <cellStyle name="Normal 6 3 2 32" xfId="14156" xr:uid="{00000000-0005-0000-0000-00000D3D0000}"/>
    <cellStyle name="Normal 6 3 2 32 2" xfId="14157" xr:uid="{00000000-0005-0000-0000-00000E3D0000}"/>
    <cellStyle name="Normal 6 3 2 33" xfId="14158" xr:uid="{00000000-0005-0000-0000-00000F3D0000}"/>
    <cellStyle name="Normal 6 3 2 33 2" xfId="14159" xr:uid="{00000000-0005-0000-0000-0000103D0000}"/>
    <cellStyle name="Normal 6 3 2 34" xfId="14160" xr:uid="{00000000-0005-0000-0000-0000113D0000}"/>
    <cellStyle name="Normal 6 3 2 34 2" xfId="14161" xr:uid="{00000000-0005-0000-0000-0000123D0000}"/>
    <cellStyle name="Normal 6 3 2 35" xfId="14162" xr:uid="{00000000-0005-0000-0000-0000133D0000}"/>
    <cellStyle name="Normal 6 3 2 4" xfId="14163" xr:uid="{00000000-0005-0000-0000-0000143D0000}"/>
    <cellStyle name="Normal 6 3 2 4 2" xfId="14164" xr:uid="{00000000-0005-0000-0000-0000153D0000}"/>
    <cellStyle name="Normal 6 3 2 5" xfId="14165" xr:uid="{00000000-0005-0000-0000-0000163D0000}"/>
    <cellStyle name="Normal 6 3 2 5 2" xfId="14166" xr:uid="{00000000-0005-0000-0000-0000173D0000}"/>
    <cellStyle name="Normal 6 3 2 6" xfId="14167" xr:uid="{00000000-0005-0000-0000-0000183D0000}"/>
    <cellStyle name="Normal 6 3 2 6 2" xfId="14168" xr:uid="{00000000-0005-0000-0000-0000193D0000}"/>
    <cellStyle name="Normal 6 3 2 7" xfId="14169" xr:uid="{00000000-0005-0000-0000-00001A3D0000}"/>
    <cellStyle name="Normal 6 3 2 7 2" xfId="14170" xr:uid="{00000000-0005-0000-0000-00001B3D0000}"/>
    <cellStyle name="Normal 6 3 2 8" xfId="14171" xr:uid="{00000000-0005-0000-0000-00001C3D0000}"/>
    <cellStyle name="Normal 6 3 2 8 2" xfId="14172" xr:uid="{00000000-0005-0000-0000-00001D3D0000}"/>
    <cellStyle name="Normal 6 3 2 9" xfId="14173" xr:uid="{00000000-0005-0000-0000-00001E3D0000}"/>
    <cellStyle name="Normal 6 3 2 9 2" xfId="14174" xr:uid="{00000000-0005-0000-0000-00001F3D0000}"/>
    <cellStyle name="Normal 6 3 20" xfId="14175" xr:uid="{00000000-0005-0000-0000-0000203D0000}"/>
    <cellStyle name="Normal 6 3 20 2" xfId="14176" xr:uid="{00000000-0005-0000-0000-0000213D0000}"/>
    <cellStyle name="Normal 6 3 21" xfId="14177" xr:uid="{00000000-0005-0000-0000-0000223D0000}"/>
    <cellStyle name="Normal 6 3 21 2" xfId="14178" xr:uid="{00000000-0005-0000-0000-0000233D0000}"/>
    <cellStyle name="Normal 6 3 22" xfId="14179" xr:uid="{00000000-0005-0000-0000-0000243D0000}"/>
    <cellStyle name="Normal 6 3 22 2" xfId="14180" xr:uid="{00000000-0005-0000-0000-0000253D0000}"/>
    <cellStyle name="Normal 6 3 23" xfId="14181" xr:uid="{00000000-0005-0000-0000-0000263D0000}"/>
    <cellStyle name="Normal 6 3 23 2" xfId="14182" xr:uid="{00000000-0005-0000-0000-0000273D0000}"/>
    <cellStyle name="Normal 6 3 24" xfId="14183" xr:uid="{00000000-0005-0000-0000-0000283D0000}"/>
    <cellStyle name="Normal 6 3 24 2" xfId="14184" xr:uid="{00000000-0005-0000-0000-0000293D0000}"/>
    <cellStyle name="Normal 6 3 25" xfId="14185" xr:uid="{00000000-0005-0000-0000-00002A3D0000}"/>
    <cellStyle name="Normal 6 3 25 2" xfId="14186" xr:uid="{00000000-0005-0000-0000-00002B3D0000}"/>
    <cellStyle name="Normal 6 3 26" xfId="14187" xr:uid="{00000000-0005-0000-0000-00002C3D0000}"/>
    <cellStyle name="Normal 6 3 26 2" xfId="14188" xr:uid="{00000000-0005-0000-0000-00002D3D0000}"/>
    <cellStyle name="Normal 6 3 27" xfId="14189" xr:uid="{00000000-0005-0000-0000-00002E3D0000}"/>
    <cellStyle name="Normal 6 3 27 2" xfId="14190" xr:uid="{00000000-0005-0000-0000-00002F3D0000}"/>
    <cellStyle name="Normal 6 3 28" xfId="14191" xr:uid="{00000000-0005-0000-0000-0000303D0000}"/>
    <cellStyle name="Normal 6 3 28 2" xfId="14192" xr:uid="{00000000-0005-0000-0000-0000313D0000}"/>
    <cellStyle name="Normal 6 3 29" xfId="14193" xr:uid="{00000000-0005-0000-0000-0000323D0000}"/>
    <cellStyle name="Normal 6 3 29 2" xfId="14194" xr:uid="{00000000-0005-0000-0000-0000333D0000}"/>
    <cellStyle name="Normal 6 3 3" xfId="392" xr:uid="{00000000-0005-0000-0000-0000343D0000}"/>
    <cellStyle name="Normal 6 3 3 10" xfId="14195" xr:uid="{00000000-0005-0000-0000-0000353D0000}"/>
    <cellStyle name="Normal 6 3 3 10 2" xfId="14196" xr:uid="{00000000-0005-0000-0000-0000363D0000}"/>
    <cellStyle name="Normal 6 3 3 11" xfId="14197" xr:uid="{00000000-0005-0000-0000-0000373D0000}"/>
    <cellStyle name="Normal 6 3 3 11 2" xfId="14198" xr:uid="{00000000-0005-0000-0000-0000383D0000}"/>
    <cellStyle name="Normal 6 3 3 12" xfId="14199" xr:uid="{00000000-0005-0000-0000-0000393D0000}"/>
    <cellStyle name="Normal 6 3 3 12 2" xfId="14200" xr:uid="{00000000-0005-0000-0000-00003A3D0000}"/>
    <cellStyle name="Normal 6 3 3 13" xfId="14201" xr:uid="{00000000-0005-0000-0000-00003B3D0000}"/>
    <cellStyle name="Normal 6 3 3 13 2" xfId="14202" xr:uid="{00000000-0005-0000-0000-00003C3D0000}"/>
    <cellStyle name="Normal 6 3 3 14" xfId="14203" xr:uid="{00000000-0005-0000-0000-00003D3D0000}"/>
    <cellStyle name="Normal 6 3 3 14 2" xfId="14204" xr:uid="{00000000-0005-0000-0000-00003E3D0000}"/>
    <cellStyle name="Normal 6 3 3 15" xfId="14205" xr:uid="{00000000-0005-0000-0000-00003F3D0000}"/>
    <cellStyle name="Normal 6 3 3 15 2" xfId="14206" xr:uid="{00000000-0005-0000-0000-0000403D0000}"/>
    <cellStyle name="Normal 6 3 3 16" xfId="14207" xr:uid="{00000000-0005-0000-0000-0000413D0000}"/>
    <cellStyle name="Normal 6 3 3 16 2" xfId="14208" xr:uid="{00000000-0005-0000-0000-0000423D0000}"/>
    <cellStyle name="Normal 6 3 3 17" xfId="14209" xr:uid="{00000000-0005-0000-0000-0000433D0000}"/>
    <cellStyle name="Normal 6 3 3 17 2" xfId="14210" xr:uid="{00000000-0005-0000-0000-0000443D0000}"/>
    <cellStyle name="Normal 6 3 3 18" xfId="14211" xr:uid="{00000000-0005-0000-0000-0000453D0000}"/>
    <cellStyle name="Normal 6 3 3 18 2" xfId="14212" xr:uid="{00000000-0005-0000-0000-0000463D0000}"/>
    <cellStyle name="Normal 6 3 3 19" xfId="14213" xr:uid="{00000000-0005-0000-0000-0000473D0000}"/>
    <cellStyle name="Normal 6 3 3 19 2" xfId="14214" xr:uid="{00000000-0005-0000-0000-0000483D0000}"/>
    <cellStyle name="Normal 6 3 3 2" xfId="14215" xr:uid="{00000000-0005-0000-0000-0000493D0000}"/>
    <cellStyle name="Normal 6 3 3 2 2" xfId="14216" xr:uid="{00000000-0005-0000-0000-00004A3D0000}"/>
    <cellStyle name="Normal 6 3 3 20" xfId="14217" xr:uid="{00000000-0005-0000-0000-00004B3D0000}"/>
    <cellStyle name="Normal 6 3 3 20 2" xfId="14218" xr:uid="{00000000-0005-0000-0000-00004C3D0000}"/>
    <cellStyle name="Normal 6 3 3 21" xfId="14219" xr:uid="{00000000-0005-0000-0000-00004D3D0000}"/>
    <cellStyle name="Normal 6 3 3 21 2" xfId="14220" xr:uid="{00000000-0005-0000-0000-00004E3D0000}"/>
    <cellStyle name="Normal 6 3 3 22" xfId="14221" xr:uid="{00000000-0005-0000-0000-00004F3D0000}"/>
    <cellStyle name="Normal 6 3 3 22 2" xfId="14222" xr:uid="{00000000-0005-0000-0000-0000503D0000}"/>
    <cellStyle name="Normal 6 3 3 23" xfId="14223" xr:uid="{00000000-0005-0000-0000-0000513D0000}"/>
    <cellStyle name="Normal 6 3 3 23 2" xfId="14224" xr:uid="{00000000-0005-0000-0000-0000523D0000}"/>
    <cellStyle name="Normal 6 3 3 24" xfId="14225" xr:uid="{00000000-0005-0000-0000-0000533D0000}"/>
    <cellStyle name="Normal 6 3 3 24 2" xfId="14226" xr:uid="{00000000-0005-0000-0000-0000543D0000}"/>
    <cellStyle name="Normal 6 3 3 25" xfId="14227" xr:uid="{00000000-0005-0000-0000-0000553D0000}"/>
    <cellStyle name="Normal 6 3 3 25 2" xfId="14228" xr:uid="{00000000-0005-0000-0000-0000563D0000}"/>
    <cellStyle name="Normal 6 3 3 26" xfId="14229" xr:uid="{00000000-0005-0000-0000-0000573D0000}"/>
    <cellStyle name="Normal 6 3 3 26 2" xfId="14230" xr:uid="{00000000-0005-0000-0000-0000583D0000}"/>
    <cellStyle name="Normal 6 3 3 27" xfId="14231" xr:uid="{00000000-0005-0000-0000-0000593D0000}"/>
    <cellStyle name="Normal 6 3 3 27 2" xfId="14232" xr:uid="{00000000-0005-0000-0000-00005A3D0000}"/>
    <cellStyle name="Normal 6 3 3 28" xfId="14233" xr:uid="{00000000-0005-0000-0000-00005B3D0000}"/>
    <cellStyle name="Normal 6 3 3 28 2" xfId="14234" xr:uid="{00000000-0005-0000-0000-00005C3D0000}"/>
    <cellStyle name="Normal 6 3 3 29" xfId="14235" xr:uid="{00000000-0005-0000-0000-00005D3D0000}"/>
    <cellStyle name="Normal 6 3 3 29 2" xfId="14236" xr:uid="{00000000-0005-0000-0000-00005E3D0000}"/>
    <cellStyle name="Normal 6 3 3 3" xfId="14237" xr:uid="{00000000-0005-0000-0000-00005F3D0000}"/>
    <cellStyle name="Normal 6 3 3 3 2" xfId="14238" xr:uid="{00000000-0005-0000-0000-0000603D0000}"/>
    <cellStyle name="Normal 6 3 3 30" xfId="14239" xr:uid="{00000000-0005-0000-0000-0000613D0000}"/>
    <cellStyle name="Normal 6 3 3 30 2" xfId="14240" xr:uid="{00000000-0005-0000-0000-0000623D0000}"/>
    <cellStyle name="Normal 6 3 3 31" xfId="14241" xr:uid="{00000000-0005-0000-0000-0000633D0000}"/>
    <cellStyle name="Normal 6 3 3 31 2" xfId="14242" xr:uid="{00000000-0005-0000-0000-0000643D0000}"/>
    <cellStyle name="Normal 6 3 3 32" xfId="14243" xr:uid="{00000000-0005-0000-0000-0000653D0000}"/>
    <cellStyle name="Normal 6 3 3 32 2" xfId="14244" xr:uid="{00000000-0005-0000-0000-0000663D0000}"/>
    <cellStyle name="Normal 6 3 3 33" xfId="14245" xr:uid="{00000000-0005-0000-0000-0000673D0000}"/>
    <cellStyle name="Normal 6 3 3 33 2" xfId="14246" xr:uid="{00000000-0005-0000-0000-0000683D0000}"/>
    <cellStyle name="Normal 6 3 3 34" xfId="14247" xr:uid="{00000000-0005-0000-0000-0000693D0000}"/>
    <cellStyle name="Normal 6 3 3 34 2" xfId="14248" xr:uid="{00000000-0005-0000-0000-00006A3D0000}"/>
    <cellStyle name="Normal 6 3 3 35" xfId="14249" xr:uid="{00000000-0005-0000-0000-00006B3D0000}"/>
    <cellStyle name="Normal 6 3 3 4" xfId="14250" xr:uid="{00000000-0005-0000-0000-00006C3D0000}"/>
    <cellStyle name="Normal 6 3 3 4 2" xfId="14251" xr:uid="{00000000-0005-0000-0000-00006D3D0000}"/>
    <cellStyle name="Normal 6 3 3 5" xfId="14252" xr:uid="{00000000-0005-0000-0000-00006E3D0000}"/>
    <cellStyle name="Normal 6 3 3 5 2" xfId="14253" xr:uid="{00000000-0005-0000-0000-00006F3D0000}"/>
    <cellStyle name="Normal 6 3 3 6" xfId="14254" xr:uid="{00000000-0005-0000-0000-0000703D0000}"/>
    <cellStyle name="Normal 6 3 3 6 2" xfId="14255" xr:uid="{00000000-0005-0000-0000-0000713D0000}"/>
    <cellStyle name="Normal 6 3 3 7" xfId="14256" xr:uid="{00000000-0005-0000-0000-0000723D0000}"/>
    <cellStyle name="Normal 6 3 3 7 2" xfId="14257" xr:uid="{00000000-0005-0000-0000-0000733D0000}"/>
    <cellStyle name="Normal 6 3 3 8" xfId="14258" xr:uid="{00000000-0005-0000-0000-0000743D0000}"/>
    <cellStyle name="Normal 6 3 3 8 2" xfId="14259" xr:uid="{00000000-0005-0000-0000-0000753D0000}"/>
    <cellStyle name="Normal 6 3 3 9" xfId="14260" xr:uid="{00000000-0005-0000-0000-0000763D0000}"/>
    <cellStyle name="Normal 6 3 3 9 2" xfId="14261" xr:uid="{00000000-0005-0000-0000-0000773D0000}"/>
    <cellStyle name="Normal 6 3 30" xfId="14262" xr:uid="{00000000-0005-0000-0000-0000783D0000}"/>
    <cellStyle name="Normal 6 3 30 2" xfId="14263" xr:uid="{00000000-0005-0000-0000-0000793D0000}"/>
    <cellStyle name="Normal 6 3 31" xfId="14264" xr:uid="{00000000-0005-0000-0000-00007A3D0000}"/>
    <cellStyle name="Normal 6 3 31 2" xfId="14265" xr:uid="{00000000-0005-0000-0000-00007B3D0000}"/>
    <cellStyle name="Normal 6 3 32" xfId="14266" xr:uid="{00000000-0005-0000-0000-00007C3D0000}"/>
    <cellStyle name="Normal 6 3 32 2" xfId="14267" xr:uid="{00000000-0005-0000-0000-00007D3D0000}"/>
    <cellStyle name="Normal 6 3 33" xfId="14268" xr:uid="{00000000-0005-0000-0000-00007E3D0000}"/>
    <cellStyle name="Normal 6 3 33 2" xfId="14269" xr:uid="{00000000-0005-0000-0000-00007F3D0000}"/>
    <cellStyle name="Normal 6 3 34" xfId="14270" xr:uid="{00000000-0005-0000-0000-0000803D0000}"/>
    <cellStyle name="Normal 6 3 34 2" xfId="14271" xr:uid="{00000000-0005-0000-0000-0000813D0000}"/>
    <cellStyle name="Normal 6 3 35" xfId="14272" xr:uid="{00000000-0005-0000-0000-0000823D0000}"/>
    <cellStyle name="Normal 6 3 35 2" xfId="14273" xr:uid="{00000000-0005-0000-0000-0000833D0000}"/>
    <cellStyle name="Normal 6 3 36" xfId="14274" xr:uid="{00000000-0005-0000-0000-0000843D0000}"/>
    <cellStyle name="Normal 6 3 36 2" xfId="14275" xr:uid="{00000000-0005-0000-0000-0000853D0000}"/>
    <cellStyle name="Normal 6 3 37" xfId="14276" xr:uid="{00000000-0005-0000-0000-0000863D0000}"/>
    <cellStyle name="Normal 6 3 37 2" xfId="14277" xr:uid="{00000000-0005-0000-0000-0000873D0000}"/>
    <cellStyle name="Normal 6 3 38" xfId="14278" xr:uid="{00000000-0005-0000-0000-0000883D0000}"/>
    <cellStyle name="Normal 6 3 38 2" xfId="14279" xr:uid="{00000000-0005-0000-0000-0000893D0000}"/>
    <cellStyle name="Normal 6 3 39" xfId="14280" xr:uid="{00000000-0005-0000-0000-00008A3D0000}"/>
    <cellStyle name="Normal 6 3 39 2" xfId="14281" xr:uid="{00000000-0005-0000-0000-00008B3D0000}"/>
    <cellStyle name="Normal 6 3 4" xfId="14282" xr:uid="{00000000-0005-0000-0000-00008C3D0000}"/>
    <cellStyle name="Normal 6 3 4 2" xfId="14283" xr:uid="{00000000-0005-0000-0000-00008D3D0000}"/>
    <cellStyle name="Normal 6 3 4 2 2" xfId="14284" xr:uid="{00000000-0005-0000-0000-00008E3D0000}"/>
    <cellStyle name="Normal 6 3 4 3" xfId="14285" xr:uid="{00000000-0005-0000-0000-00008F3D0000}"/>
    <cellStyle name="Normal 6 3 4 3 2" xfId="14286" xr:uid="{00000000-0005-0000-0000-0000903D0000}"/>
    <cellStyle name="Normal 6 3 4 4" xfId="14287" xr:uid="{00000000-0005-0000-0000-0000913D0000}"/>
    <cellStyle name="Normal 6 3 4 4 2" xfId="14288" xr:uid="{00000000-0005-0000-0000-0000923D0000}"/>
    <cellStyle name="Normal 6 3 4 5" xfId="14289" xr:uid="{00000000-0005-0000-0000-0000933D0000}"/>
    <cellStyle name="Normal 6 3 4 5 2" xfId="14290" xr:uid="{00000000-0005-0000-0000-0000943D0000}"/>
    <cellStyle name="Normal 6 3 4 6" xfId="14291" xr:uid="{00000000-0005-0000-0000-0000953D0000}"/>
    <cellStyle name="Normal 6 3 40" xfId="14292" xr:uid="{00000000-0005-0000-0000-0000963D0000}"/>
    <cellStyle name="Normal 6 3 40 2" xfId="14293" xr:uid="{00000000-0005-0000-0000-0000973D0000}"/>
    <cellStyle name="Normal 6 3 41" xfId="14294" xr:uid="{00000000-0005-0000-0000-0000983D0000}"/>
    <cellStyle name="Normal 6 3 41 2" xfId="14295" xr:uid="{00000000-0005-0000-0000-0000993D0000}"/>
    <cellStyle name="Normal 6 3 42" xfId="14296" xr:uid="{00000000-0005-0000-0000-00009A3D0000}"/>
    <cellStyle name="Normal 6 3 42 2" xfId="14297" xr:uid="{00000000-0005-0000-0000-00009B3D0000}"/>
    <cellStyle name="Normal 6 3 43" xfId="14298" xr:uid="{00000000-0005-0000-0000-00009C3D0000}"/>
    <cellStyle name="Normal 6 3 43 2" xfId="14299" xr:uid="{00000000-0005-0000-0000-00009D3D0000}"/>
    <cellStyle name="Normal 6 3 44" xfId="14300" xr:uid="{00000000-0005-0000-0000-00009E3D0000}"/>
    <cellStyle name="Normal 6 3 44 2" xfId="14301" xr:uid="{00000000-0005-0000-0000-00009F3D0000}"/>
    <cellStyle name="Normal 6 3 45" xfId="14302" xr:uid="{00000000-0005-0000-0000-0000A03D0000}"/>
    <cellStyle name="Normal 6 3 45 2" xfId="14303" xr:uid="{00000000-0005-0000-0000-0000A13D0000}"/>
    <cellStyle name="Normal 6 3 46" xfId="14304" xr:uid="{00000000-0005-0000-0000-0000A23D0000}"/>
    <cellStyle name="Normal 6 3 46 2" xfId="14305" xr:uid="{00000000-0005-0000-0000-0000A33D0000}"/>
    <cellStyle name="Normal 6 3 47" xfId="14306" xr:uid="{00000000-0005-0000-0000-0000A43D0000}"/>
    <cellStyle name="Normal 6 3 48" xfId="14088" xr:uid="{00000000-0005-0000-0000-0000A53D0000}"/>
    <cellStyle name="Normal 6 3 5" xfId="14307" xr:uid="{00000000-0005-0000-0000-0000A63D0000}"/>
    <cellStyle name="Normal 6 3 5 2" xfId="14308" xr:uid="{00000000-0005-0000-0000-0000A73D0000}"/>
    <cellStyle name="Normal 6 3 6" xfId="14309" xr:uid="{00000000-0005-0000-0000-0000A83D0000}"/>
    <cellStyle name="Normal 6 3 6 2" xfId="14310" xr:uid="{00000000-0005-0000-0000-0000A93D0000}"/>
    <cellStyle name="Normal 6 3 7" xfId="14311" xr:uid="{00000000-0005-0000-0000-0000AA3D0000}"/>
    <cellStyle name="Normal 6 3 7 2" xfId="14312" xr:uid="{00000000-0005-0000-0000-0000AB3D0000}"/>
    <cellStyle name="Normal 6 3 8" xfId="14313" xr:uid="{00000000-0005-0000-0000-0000AC3D0000}"/>
    <cellStyle name="Normal 6 3 8 2" xfId="14314" xr:uid="{00000000-0005-0000-0000-0000AD3D0000}"/>
    <cellStyle name="Normal 6 3 9" xfId="14315" xr:uid="{00000000-0005-0000-0000-0000AE3D0000}"/>
    <cellStyle name="Normal 6 3 9 2" xfId="14316" xr:uid="{00000000-0005-0000-0000-0000AF3D0000}"/>
    <cellStyle name="Normal 6 30" xfId="14317" xr:uid="{00000000-0005-0000-0000-0000B03D0000}"/>
    <cellStyle name="Normal 6 30 2" xfId="14318" xr:uid="{00000000-0005-0000-0000-0000B13D0000}"/>
    <cellStyle name="Normal 6 31" xfId="14319" xr:uid="{00000000-0005-0000-0000-0000B23D0000}"/>
    <cellStyle name="Normal 6 31 2" xfId="14320" xr:uid="{00000000-0005-0000-0000-0000B33D0000}"/>
    <cellStyle name="Normal 6 32" xfId="14321" xr:uid="{00000000-0005-0000-0000-0000B43D0000}"/>
    <cellStyle name="Normal 6 32 2" xfId="14322" xr:uid="{00000000-0005-0000-0000-0000B53D0000}"/>
    <cellStyle name="Normal 6 33" xfId="14323" xr:uid="{00000000-0005-0000-0000-0000B63D0000}"/>
    <cellStyle name="Normal 6 33 2" xfId="14324" xr:uid="{00000000-0005-0000-0000-0000B73D0000}"/>
    <cellStyle name="Normal 6 34" xfId="14325" xr:uid="{00000000-0005-0000-0000-0000B83D0000}"/>
    <cellStyle name="Normal 6 34 2" xfId="14326" xr:uid="{00000000-0005-0000-0000-0000B93D0000}"/>
    <cellStyle name="Normal 6 35" xfId="14327" xr:uid="{00000000-0005-0000-0000-0000BA3D0000}"/>
    <cellStyle name="Normal 6 35 2" xfId="14328" xr:uid="{00000000-0005-0000-0000-0000BB3D0000}"/>
    <cellStyle name="Normal 6 36" xfId="14329" xr:uid="{00000000-0005-0000-0000-0000BC3D0000}"/>
    <cellStyle name="Normal 6 36 2" xfId="14330" xr:uid="{00000000-0005-0000-0000-0000BD3D0000}"/>
    <cellStyle name="Normal 6 37" xfId="14331" xr:uid="{00000000-0005-0000-0000-0000BE3D0000}"/>
    <cellStyle name="Normal 6 37 2" xfId="14332" xr:uid="{00000000-0005-0000-0000-0000BF3D0000}"/>
    <cellStyle name="Normal 6 38" xfId="14333" xr:uid="{00000000-0005-0000-0000-0000C03D0000}"/>
    <cellStyle name="Normal 6 38 2" xfId="14334" xr:uid="{00000000-0005-0000-0000-0000C13D0000}"/>
    <cellStyle name="Normal 6 39" xfId="14335" xr:uid="{00000000-0005-0000-0000-0000C23D0000}"/>
    <cellStyle name="Normal 6 39 2" xfId="14336" xr:uid="{00000000-0005-0000-0000-0000C33D0000}"/>
    <cellStyle name="Normal 6 4" xfId="393" xr:uid="{00000000-0005-0000-0000-0000C43D0000}"/>
    <cellStyle name="Normal 6 4 10" xfId="14337" xr:uid="{00000000-0005-0000-0000-0000C53D0000}"/>
    <cellStyle name="Normal 6 4 10 2" xfId="14338" xr:uid="{00000000-0005-0000-0000-0000C63D0000}"/>
    <cellStyle name="Normal 6 4 11" xfId="14339" xr:uid="{00000000-0005-0000-0000-0000C73D0000}"/>
    <cellStyle name="Normal 6 4 11 2" xfId="14340" xr:uid="{00000000-0005-0000-0000-0000C83D0000}"/>
    <cellStyle name="Normal 6 4 12" xfId="14341" xr:uid="{00000000-0005-0000-0000-0000C93D0000}"/>
    <cellStyle name="Normal 6 4 12 2" xfId="14342" xr:uid="{00000000-0005-0000-0000-0000CA3D0000}"/>
    <cellStyle name="Normal 6 4 13" xfId="14343" xr:uid="{00000000-0005-0000-0000-0000CB3D0000}"/>
    <cellStyle name="Normal 6 4 13 2" xfId="14344" xr:uid="{00000000-0005-0000-0000-0000CC3D0000}"/>
    <cellStyle name="Normal 6 4 14" xfId="14345" xr:uid="{00000000-0005-0000-0000-0000CD3D0000}"/>
    <cellStyle name="Normal 6 4 14 2" xfId="14346" xr:uid="{00000000-0005-0000-0000-0000CE3D0000}"/>
    <cellStyle name="Normal 6 4 15" xfId="14347" xr:uid="{00000000-0005-0000-0000-0000CF3D0000}"/>
    <cellStyle name="Normal 6 4 15 2" xfId="14348" xr:uid="{00000000-0005-0000-0000-0000D03D0000}"/>
    <cellStyle name="Normal 6 4 16" xfId="14349" xr:uid="{00000000-0005-0000-0000-0000D13D0000}"/>
    <cellStyle name="Normal 6 4 16 2" xfId="14350" xr:uid="{00000000-0005-0000-0000-0000D23D0000}"/>
    <cellStyle name="Normal 6 4 17" xfId="14351" xr:uid="{00000000-0005-0000-0000-0000D33D0000}"/>
    <cellStyle name="Normal 6 4 17 2" xfId="14352" xr:uid="{00000000-0005-0000-0000-0000D43D0000}"/>
    <cellStyle name="Normal 6 4 18" xfId="14353" xr:uid="{00000000-0005-0000-0000-0000D53D0000}"/>
    <cellStyle name="Normal 6 4 18 2" xfId="14354" xr:uid="{00000000-0005-0000-0000-0000D63D0000}"/>
    <cellStyle name="Normal 6 4 19" xfId="14355" xr:uid="{00000000-0005-0000-0000-0000D73D0000}"/>
    <cellStyle name="Normal 6 4 19 2" xfId="14356" xr:uid="{00000000-0005-0000-0000-0000D83D0000}"/>
    <cellStyle name="Normal 6 4 2" xfId="394" xr:uid="{00000000-0005-0000-0000-0000D93D0000}"/>
    <cellStyle name="Normal 6 4 2 10" xfId="14357" xr:uid="{00000000-0005-0000-0000-0000DA3D0000}"/>
    <cellStyle name="Normal 6 4 2 10 2" xfId="14358" xr:uid="{00000000-0005-0000-0000-0000DB3D0000}"/>
    <cellStyle name="Normal 6 4 2 11" xfId="14359" xr:uid="{00000000-0005-0000-0000-0000DC3D0000}"/>
    <cellStyle name="Normal 6 4 2 11 2" xfId="14360" xr:uid="{00000000-0005-0000-0000-0000DD3D0000}"/>
    <cellStyle name="Normal 6 4 2 12" xfId="14361" xr:uid="{00000000-0005-0000-0000-0000DE3D0000}"/>
    <cellStyle name="Normal 6 4 2 12 2" xfId="14362" xr:uid="{00000000-0005-0000-0000-0000DF3D0000}"/>
    <cellStyle name="Normal 6 4 2 13" xfId="14363" xr:uid="{00000000-0005-0000-0000-0000E03D0000}"/>
    <cellStyle name="Normal 6 4 2 13 2" xfId="14364" xr:uid="{00000000-0005-0000-0000-0000E13D0000}"/>
    <cellStyle name="Normal 6 4 2 14" xfId="14365" xr:uid="{00000000-0005-0000-0000-0000E23D0000}"/>
    <cellStyle name="Normal 6 4 2 14 2" xfId="14366" xr:uid="{00000000-0005-0000-0000-0000E33D0000}"/>
    <cellStyle name="Normal 6 4 2 15" xfId="14367" xr:uid="{00000000-0005-0000-0000-0000E43D0000}"/>
    <cellStyle name="Normal 6 4 2 15 2" xfId="14368" xr:uid="{00000000-0005-0000-0000-0000E53D0000}"/>
    <cellStyle name="Normal 6 4 2 16" xfId="14369" xr:uid="{00000000-0005-0000-0000-0000E63D0000}"/>
    <cellStyle name="Normal 6 4 2 16 2" xfId="14370" xr:uid="{00000000-0005-0000-0000-0000E73D0000}"/>
    <cellStyle name="Normal 6 4 2 17" xfId="14371" xr:uid="{00000000-0005-0000-0000-0000E83D0000}"/>
    <cellStyle name="Normal 6 4 2 17 2" xfId="14372" xr:uid="{00000000-0005-0000-0000-0000E93D0000}"/>
    <cellStyle name="Normal 6 4 2 18" xfId="14373" xr:uid="{00000000-0005-0000-0000-0000EA3D0000}"/>
    <cellStyle name="Normal 6 4 2 18 2" xfId="14374" xr:uid="{00000000-0005-0000-0000-0000EB3D0000}"/>
    <cellStyle name="Normal 6 4 2 19" xfId="14375" xr:uid="{00000000-0005-0000-0000-0000EC3D0000}"/>
    <cellStyle name="Normal 6 4 2 19 2" xfId="14376" xr:uid="{00000000-0005-0000-0000-0000ED3D0000}"/>
    <cellStyle name="Normal 6 4 2 2" xfId="395" xr:uid="{00000000-0005-0000-0000-0000EE3D0000}"/>
    <cellStyle name="Normal 6 4 2 2 2" xfId="14377" xr:uid="{00000000-0005-0000-0000-0000EF3D0000}"/>
    <cellStyle name="Normal 6 4 2 20" xfId="14378" xr:uid="{00000000-0005-0000-0000-0000F03D0000}"/>
    <cellStyle name="Normal 6 4 2 20 2" xfId="14379" xr:uid="{00000000-0005-0000-0000-0000F13D0000}"/>
    <cellStyle name="Normal 6 4 2 21" xfId="14380" xr:uid="{00000000-0005-0000-0000-0000F23D0000}"/>
    <cellStyle name="Normal 6 4 2 21 2" xfId="14381" xr:uid="{00000000-0005-0000-0000-0000F33D0000}"/>
    <cellStyle name="Normal 6 4 2 22" xfId="14382" xr:uid="{00000000-0005-0000-0000-0000F43D0000}"/>
    <cellStyle name="Normal 6 4 2 22 2" xfId="14383" xr:uid="{00000000-0005-0000-0000-0000F53D0000}"/>
    <cellStyle name="Normal 6 4 2 23" xfId="14384" xr:uid="{00000000-0005-0000-0000-0000F63D0000}"/>
    <cellStyle name="Normal 6 4 2 23 2" xfId="14385" xr:uid="{00000000-0005-0000-0000-0000F73D0000}"/>
    <cellStyle name="Normal 6 4 2 24" xfId="14386" xr:uid="{00000000-0005-0000-0000-0000F83D0000}"/>
    <cellStyle name="Normal 6 4 2 24 2" xfId="14387" xr:uid="{00000000-0005-0000-0000-0000F93D0000}"/>
    <cellStyle name="Normal 6 4 2 25" xfId="14388" xr:uid="{00000000-0005-0000-0000-0000FA3D0000}"/>
    <cellStyle name="Normal 6 4 2 25 2" xfId="14389" xr:uid="{00000000-0005-0000-0000-0000FB3D0000}"/>
    <cellStyle name="Normal 6 4 2 26" xfId="14390" xr:uid="{00000000-0005-0000-0000-0000FC3D0000}"/>
    <cellStyle name="Normal 6 4 2 3" xfId="14391" xr:uid="{00000000-0005-0000-0000-0000FD3D0000}"/>
    <cellStyle name="Normal 6 4 2 3 2" xfId="14392" xr:uid="{00000000-0005-0000-0000-0000FE3D0000}"/>
    <cellStyle name="Normal 6 4 2 4" xfId="14393" xr:uid="{00000000-0005-0000-0000-0000FF3D0000}"/>
    <cellStyle name="Normal 6 4 2 4 2" xfId="14394" xr:uid="{00000000-0005-0000-0000-0000003E0000}"/>
    <cellStyle name="Normal 6 4 2 5" xfId="14395" xr:uid="{00000000-0005-0000-0000-0000013E0000}"/>
    <cellStyle name="Normal 6 4 2 5 2" xfId="14396" xr:uid="{00000000-0005-0000-0000-0000023E0000}"/>
    <cellStyle name="Normal 6 4 2 6" xfId="14397" xr:uid="{00000000-0005-0000-0000-0000033E0000}"/>
    <cellStyle name="Normal 6 4 2 6 2" xfId="14398" xr:uid="{00000000-0005-0000-0000-0000043E0000}"/>
    <cellStyle name="Normal 6 4 2 7" xfId="14399" xr:uid="{00000000-0005-0000-0000-0000053E0000}"/>
    <cellStyle name="Normal 6 4 2 7 2" xfId="14400" xr:uid="{00000000-0005-0000-0000-0000063E0000}"/>
    <cellStyle name="Normal 6 4 2 8" xfId="14401" xr:uid="{00000000-0005-0000-0000-0000073E0000}"/>
    <cellStyle name="Normal 6 4 2 8 2" xfId="14402" xr:uid="{00000000-0005-0000-0000-0000083E0000}"/>
    <cellStyle name="Normal 6 4 2 9" xfId="14403" xr:uid="{00000000-0005-0000-0000-0000093E0000}"/>
    <cellStyle name="Normal 6 4 2 9 2" xfId="14404" xr:uid="{00000000-0005-0000-0000-00000A3E0000}"/>
    <cellStyle name="Normal 6 4 20" xfId="14405" xr:uid="{00000000-0005-0000-0000-00000B3E0000}"/>
    <cellStyle name="Normal 6 4 20 2" xfId="14406" xr:uid="{00000000-0005-0000-0000-00000C3E0000}"/>
    <cellStyle name="Normal 6 4 21" xfId="14407" xr:uid="{00000000-0005-0000-0000-00000D3E0000}"/>
    <cellStyle name="Normal 6 4 21 2" xfId="14408" xr:uid="{00000000-0005-0000-0000-00000E3E0000}"/>
    <cellStyle name="Normal 6 4 22" xfId="14409" xr:uid="{00000000-0005-0000-0000-00000F3E0000}"/>
    <cellStyle name="Normal 6 4 22 2" xfId="14410" xr:uid="{00000000-0005-0000-0000-0000103E0000}"/>
    <cellStyle name="Normal 6 4 23" xfId="14411" xr:uid="{00000000-0005-0000-0000-0000113E0000}"/>
    <cellStyle name="Normal 6 4 23 2" xfId="14412" xr:uid="{00000000-0005-0000-0000-0000123E0000}"/>
    <cellStyle name="Normal 6 4 24" xfId="14413" xr:uid="{00000000-0005-0000-0000-0000133E0000}"/>
    <cellStyle name="Normal 6 4 24 2" xfId="14414" xr:uid="{00000000-0005-0000-0000-0000143E0000}"/>
    <cellStyle name="Normal 6 4 25" xfId="14415" xr:uid="{00000000-0005-0000-0000-0000153E0000}"/>
    <cellStyle name="Normal 6 4 25 2" xfId="14416" xr:uid="{00000000-0005-0000-0000-0000163E0000}"/>
    <cellStyle name="Normal 6 4 26" xfId="14417" xr:uid="{00000000-0005-0000-0000-0000173E0000}"/>
    <cellStyle name="Normal 6 4 26 2" xfId="14418" xr:uid="{00000000-0005-0000-0000-0000183E0000}"/>
    <cellStyle name="Normal 6 4 27" xfId="14419" xr:uid="{00000000-0005-0000-0000-0000193E0000}"/>
    <cellStyle name="Normal 6 4 27 2" xfId="14420" xr:uid="{00000000-0005-0000-0000-00001A3E0000}"/>
    <cellStyle name="Normal 6 4 28" xfId="14421" xr:uid="{00000000-0005-0000-0000-00001B3E0000}"/>
    <cellStyle name="Normal 6 4 28 2" xfId="14422" xr:uid="{00000000-0005-0000-0000-00001C3E0000}"/>
    <cellStyle name="Normal 6 4 29" xfId="14423" xr:uid="{00000000-0005-0000-0000-00001D3E0000}"/>
    <cellStyle name="Normal 6 4 29 2" xfId="14424" xr:uid="{00000000-0005-0000-0000-00001E3E0000}"/>
    <cellStyle name="Normal 6 4 3" xfId="396" xr:uid="{00000000-0005-0000-0000-00001F3E0000}"/>
    <cellStyle name="Normal 6 4 3 2" xfId="14425" xr:uid="{00000000-0005-0000-0000-0000203E0000}"/>
    <cellStyle name="Normal 6 4 3 2 2" xfId="14426" xr:uid="{00000000-0005-0000-0000-0000213E0000}"/>
    <cellStyle name="Normal 6 4 3 3" xfId="14427" xr:uid="{00000000-0005-0000-0000-0000223E0000}"/>
    <cellStyle name="Normal 6 4 3 3 2" xfId="14428" xr:uid="{00000000-0005-0000-0000-0000233E0000}"/>
    <cellStyle name="Normal 6 4 3 4" xfId="14429" xr:uid="{00000000-0005-0000-0000-0000243E0000}"/>
    <cellStyle name="Normal 6 4 3 4 2" xfId="14430" xr:uid="{00000000-0005-0000-0000-0000253E0000}"/>
    <cellStyle name="Normal 6 4 3 5" xfId="14431" xr:uid="{00000000-0005-0000-0000-0000263E0000}"/>
    <cellStyle name="Normal 6 4 3 5 2" xfId="14432" xr:uid="{00000000-0005-0000-0000-0000273E0000}"/>
    <cellStyle name="Normal 6 4 3 6" xfId="14433" xr:uid="{00000000-0005-0000-0000-0000283E0000}"/>
    <cellStyle name="Normal 6 4 30" xfId="14434" xr:uid="{00000000-0005-0000-0000-0000293E0000}"/>
    <cellStyle name="Normal 6 4 30 2" xfId="14435" xr:uid="{00000000-0005-0000-0000-00002A3E0000}"/>
    <cellStyle name="Normal 6 4 31" xfId="14436" xr:uid="{00000000-0005-0000-0000-00002B3E0000}"/>
    <cellStyle name="Normal 6 4 31 2" xfId="14437" xr:uid="{00000000-0005-0000-0000-00002C3E0000}"/>
    <cellStyle name="Normal 6 4 32" xfId="14438" xr:uid="{00000000-0005-0000-0000-00002D3E0000}"/>
    <cellStyle name="Normal 6 4 32 2" xfId="14439" xr:uid="{00000000-0005-0000-0000-00002E3E0000}"/>
    <cellStyle name="Normal 6 4 33" xfId="14440" xr:uid="{00000000-0005-0000-0000-00002F3E0000}"/>
    <cellStyle name="Normal 6 4 33 2" xfId="14441" xr:uid="{00000000-0005-0000-0000-0000303E0000}"/>
    <cellStyle name="Normal 6 4 34" xfId="14442" xr:uid="{00000000-0005-0000-0000-0000313E0000}"/>
    <cellStyle name="Normal 6 4 34 2" xfId="14443" xr:uid="{00000000-0005-0000-0000-0000323E0000}"/>
    <cellStyle name="Normal 6 4 35" xfId="14444" xr:uid="{00000000-0005-0000-0000-0000333E0000}"/>
    <cellStyle name="Normal 6 4 35 2" xfId="14445" xr:uid="{00000000-0005-0000-0000-0000343E0000}"/>
    <cellStyle name="Normal 6 4 36" xfId="14446" xr:uid="{00000000-0005-0000-0000-0000353E0000}"/>
    <cellStyle name="Normal 6 4 36 2" xfId="14447" xr:uid="{00000000-0005-0000-0000-0000363E0000}"/>
    <cellStyle name="Normal 6 4 37" xfId="14448" xr:uid="{00000000-0005-0000-0000-0000373E0000}"/>
    <cellStyle name="Normal 6 4 37 2" xfId="14449" xr:uid="{00000000-0005-0000-0000-0000383E0000}"/>
    <cellStyle name="Normal 6 4 38" xfId="14450" xr:uid="{00000000-0005-0000-0000-0000393E0000}"/>
    <cellStyle name="Normal 6 4 38 2" xfId="14451" xr:uid="{00000000-0005-0000-0000-00003A3E0000}"/>
    <cellStyle name="Normal 6 4 39" xfId="14452" xr:uid="{00000000-0005-0000-0000-00003B3E0000}"/>
    <cellStyle name="Normal 6 4 39 2" xfId="14453" xr:uid="{00000000-0005-0000-0000-00003C3E0000}"/>
    <cellStyle name="Normal 6 4 4" xfId="14454" xr:uid="{00000000-0005-0000-0000-00003D3E0000}"/>
    <cellStyle name="Normal 6 4 4 2" xfId="14455" xr:uid="{00000000-0005-0000-0000-00003E3E0000}"/>
    <cellStyle name="Normal 6 4 4 2 2" xfId="14456" xr:uid="{00000000-0005-0000-0000-00003F3E0000}"/>
    <cellStyle name="Normal 6 4 4 3" xfId="14457" xr:uid="{00000000-0005-0000-0000-0000403E0000}"/>
    <cellStyle name="Normal 6 4 4 3 2" xfId="14458" xr:uid="{00000000-0005-0000-0000-0000413E0000}"/>
    <cellStyle name="Normal 6 4 4 4" xfId="14459" xr:uid="{00000000-0005-0000-0000-0000423E0000}"/>
    <cellStyle name="Normal 6 4 4 4 2" xfId="14460" xr:uid="{00000000-0005-0000-0000-0000433E0000}"/>
    <cellStyle name="Normal 6 4 4 5" xfId="14461" xr:uid="{00000000-0005-0000-0000-0000443E0000}"/>
    <cellStyle name="Normal 6 4 4 5 2" xfId="14462" xr:uid="{00000000-0005-0000-0000-0000453E0000}"/>
    <cellStyle name="Normal 6 4 4 6" xfId="14463" xr:uid="{00000000-0005-0000-0000-0000463E0000}"/>
    <cellStyle name="Normal 6 4 40" xfId="14464" xr:uid="{00000000-0005-0000-0000-0000473E0000}"/>
    <cellStyle name="Normal 6 4 40 2" xfId="14465" xr:uid="{00000000-0005-0000-0000-0000483E0000}"/>
    <cellStyle name="Normal 6 4 41" xfId="14466" xr:uid="{00000000-0005-0000-0000-0000493E0000}"/>
    <cellStyle name="Normal 6 4 41 2" xfId="14467" xr:uid="{00000000-0005-0000-0000-00004A3E0000}"/>
    <cellStyle name="Normal 6 4 42" xfId="14468" xr:uid="{00000000-0005-0000-0000-00004B3E0000}"/>
    <cellStyle name="Normal 6 4 42 2" xfId="14469" xr:uid="{00000000-0005-0000-0000-00004C3E0000}"/>
    <cellStyle name="Normal 6 4 43" xfId="14470" xr:uid="{00000000-0005-0000-0000-00004D3E0000}"/>
    <cellStyle name="Normal 6 4 43 2" xfId="14471" xr:uid="{00000000-0005-0000-0000-00004E3E0000}"/>
    <cellStyle name="Normal 6 4 44" xfId="14472" xr:uid="{00000000-0005-0000-0000-00004F3E0000}"/>
    <cellStyle name="Normal 6 4 44 2" xfId="14473" xr:uid="{00000000-0005-0000-0000-0000503E0000}"/>
    <cellStyle name="Normal 6 4 45" xfId="14474" xr:uid="{00000000-0005-0000-0000-0000513E0000}"/>
    <cellStyle name="Normal 6 4 45 2" xfId="14475" xr:uid="{00000000-0005-0000-0000-0000523E0000}"/>
    <cellStyle name="Normal 6 4 46" xfId="14476" xr:uid="{00000000-0005-0000-0000-0000533E0000}"/>
    <cellStyle name="Normal 6 4 5" xfId="14477" xr:uid="{00000000-0005-0000-0000-0000543E0000}"/>
    <cellStyle name="Normal 6 4 5 2" xfId="14478" xr:uid="{00000000-0005-0000-0000-0000553E0000}"/>
    <cellStyle name="Normal 6 4 6" xfId="14479" xr:uid="{00000000-0005-0000-0000-0000563E0000}"/>
    <cellStyle name="Normal 6 4 6 2" xfId="14480" xr:uid="{00000000-0005-0000-0000-0000573E0000}"/>
    <cellStyle name="Normal 6 4 7" xfId="14481" xr:uid="{00000000-0005-0000-0000-0000583E0000}"/>
    <cellStyle name="Normal 6 4 7 2" xfId="14482" xr:uid="{00000000-0005-0000-0000-0000593E0000}"/>
    <cellStyle name="Normal 6 4 8" xfId="14483" xr:uid="{00000000-0005-0000-0000-00005A3E0000}"/>
    <cellStyle name="Normal 6 4 8 2" xfId="14484" xr:uid="{00000000-0005-0000-0000-00005B3E0000}"/>
    <cellStyle name="Normal 6 4 9" xfId="14485" xr:uid="{00000000-0005-0000-0000-00005C3E0000}"/>
    <cellStyle name="Normal 6 4 9 2" xfId="14486" xr:uid="{00000000-0005-0000-0000-00005D3E0000}"/>
    <cellStyle name="Normal 6 40" xfId="14487" xr:uid="{00000000-0005-0000-0000-00005E3E0000}"/>
    <cellStyle name="Normal 6 40 2" xfId="14488" xr:uid="{00000000-0005-0000-0000-00005F3E0000}"/>
    <cellStyle name="Normal 6 41" xfId="14489" xr:uid="{00000000-0005-0000-0000-0000603E0000}"/>
    <cellStyle name="Normal 6 41 2" xfId="14490" xr:uid="{00000000-0005-0000-0000-0000613E0000}"/>
    <cellStyle name="Normal 6 42" xfId="14491" xr:uid="{00000000-0005-0000-0000-0000623E0000}"/>
    <cellStyle name="Normal 6 42 2" xfId="14492" xr:uid="{00000000-0005-0000-0000-0000633E0000}"/>
    <cellStyle name="Normal 6 43" xfId="14493" xr:uid="{00000000-0005-0000-0000-0000643E0000}"/>
    <cellStyle name="Normal 6 43 2" xfId="14494" xr:uid="{00000000-0005-0000-0000-0000653E0000}"/>
    <cellStyle name="Normal 6 44" xfId="14495" xr:uid="{00000000-0005-0000-0000-0000663E0000}"/>
    <cellStyle name="Normal 6 44 2" xfId="14496" xr:uid="{00000000-0005-0000-0000-0000673E0000}"/>
    <cellStyle name="Normal 6 45" xfId="14497" xr:uid="{00000000-0005-0000-0000-0000683E0000}"/>
    <cellStyle name="Normal 6 45 2" xfId="14498" xr:uid="{00000000-0005-0000-0000-0000693E0000}"/>
    <cellStyle name="Normal 6 46" xfId="14499" xr:uid="{00000000-0005-0000-0000-00006A3E0000}"/>
    <cellStyle name="Normal 6 46 2" xfId="14500" xr:uid="{00000000-0005-0000-0000-00006B3E0000}"/>
    <cellStyle name="Normal 6 47" xfId="14501" xr:uid="{00000000-0005-0000-0000-00006C3E0000}"/>
    <cellStyle name="Normal 6 47 2" xfId="14502" xr:uid="{00000000-0005-0000-0000-00006D3E0000}"/>
    <cellStyle name="Normal 6 48" xfId="14503" xr:uid="{00000000-0005-0000-0000-00006E3E0000}"/>
    <cellStyle name="Normal 6 48 2" xfId="14504" xr:uid="{00000000-0005-0000-0000-00006F3E0000}"/>
    <cellStyle name="Normal 6 49" xfId="14505" xr:uid="{00000000-0005-0000-0000-0000703E0000}"/>
    <cellStyle name="Normal 6 49 2" xfId="14506" xr:uid="{00000000-0005-0000-0000-0000713E0000}"/>
    <cellStyle name="Normal 6 5" xfId="397" xr:uid="{00000000-0005-0000-0000-0000723E0000}"/>
    <cellStyle name="Normal 6 5 10" xfId="14508" xr:uid="{00000000-0005-0000-0000-0000733E0000}"/>
    <cellStyle name="Normal 6 5 10 2" xfId="14509" xr:uid="{00000000-0005-0000-0000-0000743E0000}"/>
    <cellStyle name="Normal 6 5 11" xfId="14510" xr:uid="{00000000-0005-0000-0000-0000753E0000}"/>
    <cellStyle name="Normal 6 5 11 2" xfId="14511" xr:uid="{00000000-0005-0000-0000-0000763E0000}"/>
    <cellStyle name="Normal 6 5 12" xfId="14512" xr:uid="{00000000-0005-0000-0000-0000773E0000}"/>
    <cellStyle name="Normal 6 5 12 2" xfId="14513" xr:uid="{00000000-0005-0000-0000-0000783E0000}"/>
    <cellStyle name="Normal 6 5 13" xfId="14514" xr:uid="{00000000-0005-0000-0000-0000793E0000}"/>
    <cellStyle name="Normal 6 5 13 2" xfId="14515" xr:uid="{00000000-0005-0000-0000-00007A3E0000}"/>
    <cellStyle name="Normal 6 5 14" xfId="14516" xr:uid="{00000000-0005-0000-0000-00007B3E0000}"/>
    <cellStyle name="Normal 6 5 14 2" xfId="14517" xr:uid="{00000000-0005-0000-0000-00007C3E0000}"/>
    <cellStyle name="Normal 6 5 15" xfId="14518" xr:uid="{00000000-0005-0000-0000-00007D3E0000}"/>
    <cellStyle name="Normal 6 5 15 2" xfId="14519" xr:uid="{00000000-0005-0000-0000-00007E3E0000}"/>
    <cellStyle name="Normal 6 5 16" xfId="14520" xr:uid="{00000000-0005-0000-0000-00007F3E0000}"/>
    <cellStyle name="Normal 6 5 16 2" xfId="14521" xr:uid="{00000000-0005-0000-0000-0000803E0000}"/>
    <cellStyle name="Normal 6 5 17" xfId="14522" xr:uid="{00000000-0005-0000-0000-0000813E0000}"/>
    <cellStyle name="Normal 6 5 17 2" xfId="14523" xr:uid="{00000000-0005-0000-0000-0000823E0000}"/>
    <cellStyle name="Normal 6 5 18" xfId="14524" xr:uid="{00000000-0005-0000-0000-0000833E0000}"/>
    <cellStyle name="Normal 6 5 18 2" xfId="14525" xr:uid="{00000000-0005-0000-0000-0000843E0000}"/>
    <cellStyle name="Normal 6 5 19" xfId="14526" xr:uid="{00000000-0005-0000-0000-0000853E0000}"/>
    <cellStyle name="Normal 6 5 19 2" xfId="14527" xr:uid="{00000000-0005-0000-0000-0000863E0000}"/>
    <cellStyle name="Normal 6 5 2" xfId="398" xr:uid="{00000000-0005-0000-0000-0000873E0000}"/>
    <cellStyle name="Normal 6 5 2 10" xfId="14528" xr:uid="{00000000-0005-0000-0000-0000883E0000}"/>
    <cellStyle name="Normal 6 5 2 10 2" xfId="14529" xr:uid="{00000000-0005-0000-0000-0000893E0000}"/>
    <cellStyle name="Normal 6 5 2 11" xfId="14530" xr:uid="{00000000-0005-0000-0000-00008A3E0000}"/>
    <cellStyle name="Normal 6 5 2 11 2" xfId="14531" xr:uid="{00000000-0005-0000-0000-00008B3E0000}"/>
    <cellStyle name="Normal 6 5 2 12" xfId="14532" xr:uid="{00000000-0005-0000-0000-00008C3E0000}"/>
    <cellStyle name="Normal 6 5 2 12 2" xfId="14533" xr:uid="{00000000-0005-0000-0000-00008D3E0000}"/>
    <cellStyle name="Normal 6 5 2 13" xfId="14534" xr:uid="{00000000-0005-0000-0000-00008E3E0000}"/>
    <cellStyle name="Normal 6 5 2 13 2" xfId="14535" xr:uid="{00000000-0005-0000-0000-00008F3E0000}"/>
    <cellStyle name="Normal 6 5 2 14" xfId="14536" xr:uid="{00000000-0005-0000-0000-0000903E0000}"/>
    <cellStyle name="Normal 6 5 2 14 2" xfId="14537" xr:uid="{00000000-0005-0000-0000-0000913E0000}"/>
    <cellStyle name="Normal 6 5 2 15" xfId="14538" xr:uid="{00000000-0005-0000-0000-0000923E0000}"/>
    <cellStyle name="Normal 6 5 2 15 2" xfId="14539" xr:uid="{00000000-0005-0000-0000-0000933E0000}"/>
    <cellStyle name="Normal 6 5 2 16" xfId="14540" xr:uid="{00000000-0005-0000-0000-0000943E0000}"/>
    <cellStyle name="Normal 6 5 2 16 2" xfId="14541" xr:uid="{00000000-0005-0000-0000-0000953E0000}"/>
    <cellStyle name="Normal 6 5 2 17" xfId="14542" xr:uid="{00000000-0005-0000-0000-0000963E0000}"/>
    <cellStyle name="Normal 6 5 2 2" xfId="14543" xr:uid="{00000000-0005-0000-0000-0000973E0000}"/>
    <cellStyle name="Normal 6 5 2 2 2" xfId="14544" xr:uid="{00000000-0005-0000-0000-0000983E0000}"/>
    <cellStyle name="Normal 6 5 2 3" xfId="14545" xr:uid="{00000000-0005-0000-0000-0000993E0000}"/>
    <cellStyle name="Normal 6 5 2 3 2" xfId="14546" xr:uid="{00000000-0005-0000-0000-00009A3E0000}"/>
    <cellStyle name="Normal 6 5 2 4" xfId="14547" xr:uid="{00000000-0005-0000-0000-00009B3E0000}"/>
    <cellStyle name="Normal 6 5 2 4 2" xfId="14548" xr:uid="{00000000-0005-0000-0000-00009C3E0000}"/>
    <cellStyle name="Normal 6 5 2 5" xfId="14549" xr:uid="{00000000-0005-0000-0000-00009D3E0000}"/>
    <cellStyle name="Normal 6 5 2 5 2" xfId="14550" xr:uid="{00000000-0005-0000-0000-00009E3E0000}"/>
    <cellStyle name="Normal 6 5 2 6" xfId="14551" xr:uid="{00000000-0005-0000-0000-00009F3E0000}"/>
    <cellStyle name="Normal 6 5 2 6 2" xfId="14552" xr:uid="{00000000-0005-0000-0000-0000A03E0000}"/>
    <cellStyle name="Normal 6 5 2 7" xfId="14553" xr:uid="{00000000-0005-0000-0000-0000A13E0000}"/>
    <cellStyle name="Normal 6 5 2 7 2" xfId="14554" xr:uid="{00000000-0005-0000-0000-0000A23E0000}"/>
    <cellStyle name="Normal 6 5 2 8" xfId="14555" xr:uid="{00000000-0005-0000-0000-0000A33E0000}"/>
    <cellStyle name="Normal 6 5 2 8 2" xfId="14556" xr:uid="{00000000-0005-0000-0000-0000A43E0000}"/>
    <cellStyle name="Normal 6 5 2 9" xfId="14557" xr:uid="{00000000-0005-0000-0000-0000A53E0000}"/>
    <cellStyle name="Normal 6 5 2 9 2" xfId="14558" xr:uid="{00000000-0005-0000-0000-0000A63E0000}"/>
    <cellStyle name="Normal 6 5 20" xfId="14559" xr:uid="{00000000-0005-0000-0000-0000A73E0000}"/>
    <cellStyle name="Normal 6 5 20 2" xfId="14560" xr:uid="{00000000-0005-0000-0000-0000A83E0000}"/>
    <cellStyle name="Normal 6 5 21" xfId="14561" xr:uid="{00000000-0005-0000-0000-0000A93E0000}"/>
    <cellStyle name="Normal 6 5 21 2" xfId="14562" xr:uid="{00000000-0005-0000-0000-0000AA3E0000}"/>
    <cellStyle name="Normal 6 5 22" xfId="14563" xr:uid="{00000000-0005-0000-0000-0000AB3E0000}"/>
    <cellStyle name="Normal 6 5 22 2" xfId="14564" xr:uid="{00000000-0005-0000-0000-0000AC3E0000}"/>
    <cellStyle name="Normal 6 5 23" xfId="14565" xr:uid="{00000000-0005-0000-0000-0000AD3E0000}"/>
    <cellStyle name="Normal 6 5 23 2" xfId="14566" xr:uid="{00000000-0005-0000-0000-0000AE3E0000}"/>
    <cellStyle name="Normal 6 5 24" xfId="14567" xr:uid="{00000000-0005-0000-0000-0000AF3E0000}"/>
    <cellStyle name="Normal 6 5 24 2" xfId="14568" xr:uid="{00000000-0005-0000-0000-0000B03E0000}"/>
    <cellStyle name="Normal 6 5 25" xfId="14569" xr:uid="{00000000-0005-0000-0000-0000B13E0000}"/>
    <cellStyle name="Normal 6 5 25 2" xfId="14570" xr:uid="{00000000-0005-0000-0000-0000B23E0000}"/>
    <cellStyle name="Normal 6 5 26" xfId="14571" xr:uid="{00000000-0005-0000-0000-0000B33E0000}"/>
    <cellStyle name="Normal 6 5 26 2" xfId="14572" xr:uid="{00000000-0005-0000-0000-0000B43E0000}"/>
    <cellStyle name="Normal 6 5 27" xfId="14573" xr:uid="{00000000-0005-0000-0000-0000B53E0000}"/>
    <cellStyle name="Normal 6 5 27 2" xfId="14574" xr:uid="{00000000-0005-0000-0000-0000B63E0000}"/>
    <cellStyle name="Normal 6 5 28" xfId="14575" xr:uid="{00000000-0005-0000-0000-0000B73E0000}"/>
    <cellStyle name="Normal 6 5 28 2" xfId="14576" xr:uid="{00000000-0005-0000-0000-0000B83E0000}"/>
    <cellStyle name="Normal 6 5 29" xfId="14577" xr:uid="{00000000-0005-0000-0000-0000B93E0000}"/>
    <cellStyle name="Normal 6 5 29 2" xfId="14578" xr:uid="{00000000-0005-0000-0000-0000BA3E0000}"/>
    <cellStyle name="Normal 6 5 3" xfId="14579" xr:uid="{00000000-0005-0000-0000-0000BB3E0000}"/>
    <cellStyle name="Normal 6 5 3 2" xfId="14580" xr:uid="{00000000-0005-0000-0000-0000BC3E0000}"/>
    <cellStyle name="Normal 6 5 30" xfId="14581" xr:uid="{00000000-0005-0000-0000-0000BD3E0000}"/>
    <cellStyle name="Normal 6 5 30 2" xfId="14582" xr:uid="{00000000-0005-0000-0000-0000BE3E0000}"/>
    <cellStyle name="Normal 6 5 31" xfId="14583" xr:uid="{00000000-0005-0000-0000-0000BF3E0000}"/>
    <cellStyle name="Normal 6 5 31 2" xfId="14584" xr:uid="{00000000-0005-0000-0000-0000C03E0000}"/>
    <cellStyle name="Normal 6 5 32" xfId="14585" xr:uid="{00000000-0005-0000-0000-0000C13E0000}"/>
    <cellStyle name="Normal 6 5 32 2" xfId="14586" xr:uid="{00000000-0005-0000-0000-0000C23E0000}"/>
    <cellStyle name="Normal 6 5 33" xfId="14587" xr:uid="{00000000-0005-0000-0000-0000C33E0000}"/>
    <cellStyle name="Normal 6 5 33 2" xfId="14588" xr:uid="{00000000-0005-0000-0000-0000C43E0000}"/>
    <cellStyle name="Normal 6 5 34" xfId="14589" xr:uid="{00000000-0005-0000-0000-0000C53E0000}"/>
    <cellStyle name="Normal 6 5 34 2" xfId="14590" xr:uid="{00000000-0005-0000-0000-0000C63E0000}"/>
    <cellStyle name="Normal 6 5 35" xfId="14591" xr:uid="{00000000-0005-0000-0000-0000C73E0000}"/>
    <cellStyle name="Normal 6 5 35 2" xfId="14592" xr:uid="{00000000-0005-0000-0000-0000C83E0000}"/>
    <cellStyle name="Normal 6 5 36" xfId="14593" xr:uid="{00000000-0005-0000-0000-0000C93E0000}"/>
    <cellStyle name="Normal 6 5 37" xfId="14507" xr:uid="{00000000-0005-0000-0000-0000CA3E0000}"/>
    <cellStyle name="Normal 6 5 38" xfId="27111" xr:uid="{00000000-0005-0000-0000-0000CB3E0000}"/>
    <cellStyle name="Normal 6 5 4" xfId="14594" xr:uid="{00000000-0005-0000-0000-0000CC3E0000}"/>
    <cellStyle name="Normal 6 5 4 2" xfId="14595" xr:uid="{00000000-0005-0000-0000-0000CD3E0000}"/>
    <cellStyle name="Normal 6 5 5" xfId="14596" xr:uid="{00000000-0005-0000-0000-0000CE3E0000}"/>
    <cellStyle name="Normal 6 5 5 2" xfId="14597" xr:uid="{00000000-0005-0000-0000-0000CF3E0000}"/>
    <cellStyle name="Normal 6 5 6" xfId="14598" xr:uid="{00000000-0005-0000-0000-0000D03E0000}"/>
    <cellStyle name="Normal 6 5 6 2" xfId="14599" xr:uid="{00000000-0005-0000-0000-0000D13E0000}"/>
    <cellStyle name="Normal 6 5 7" xfId="14600" xr:uid="{00000000-0005-0000-0000-0000D23E0000}"/>
    <cellStyle name="Normal 6 5 7 2" xfId="14601" xr:uid="{00000000-0005-0000-0000-0000D33E0000}"/>
    <cellStyle name="Normal 6 5 8" xfId="14602" xr:uid="{00000000-0005-0000-0000-0000D43E0000}"/>
    <cellStyle name="Normal 6 5 8 2" xfId="14603" xr:uid="{00000000-0005-0000-0000-0000D53E0000}"/>
    <cellStyle name="Normal 6 5 9" xfId="14604" xr:uid="{00000000-0005-0000-0000-0000D63E0000}"/>
    <cellStyle name="Normal 6 5 9 2" xfId="14605" xr:uid="{00000000-0005-0000-0000-0000D73E0000}"/>
    <cellStyle name="Normal 6 50" xfId="14606" xr:uid="{00000000-0005-0000-0000-0000D83E0000}"/>
    <cellStyle name="Normal 6 50 2" xfId="14607" xr:uid="{00000000-0005-0000-0000-0000D93E0000}"/>
    <cellStyle name="Normal 6 51" xfId="14608" xr:uid="{00000000-0005-0000-0000-0000DA3E0000}"/>
    <cellStyle name="Normal 6 51 2" xfId="14609" xr:uid="{00000000-0005-0000-0000-0000DB3E0000}"/>
    <cellStyle name="Normal 6 52" xfId="14610" xr:uid="{00000000-0005-0000-0000-0000DC3E0000}"/>
    <cellStyle name="Normal 6 6" xfId="399" xr:uid="{00000000-0005-0000-0000-0000DD3E0000}"/>
    <cellStyle name="Normal 6 6 10" xfId="14612" xr:uid="{00000000-0005-0000-0000-0000DE3E0000}"/>
    <cellStyle name="Normal 6 6 10 2" xfId="14613" xr:uid="{00000000-0005-0000-0000-0000DF3E0000}"/>
    <cellStyle name="Normal 6 6 11" xfId="14614" xr:uid="{00000000-0005-0000-0000-0000E03E0000}"/>
    <cellStyle name="Normal 6 6 11 2" xfId="14615" xr:uid="{00000000-0005-0000-0000-0000E13E0000}"/>
    <cellStyle name="Normal 6 6 12" xfId="14616" xr:uid="{00000000-0005-0000-0000-0000E23E0000}"/>
    <cellStyle name="Normal 6 6 12 2" xfId="14617" xr:uid="{00000000-0005-0000-0000-0000E33E0000}"/>
    <cellStyle name="Normal 6 6 13" xfId="14618" xr:uid="{00000000-0005-0000-0000-0000E43E0000}"/>
    <cellStyle name="Normal 6 6 13 2" xfId="14619" xr:uid="{00000000-0005-0000-0000-0000E53E0000}"/>
    <cellStyle name="Normal 6 6 14" xfId="14620" xr:uid="{00000000-0005-0000-0000-0000E63E0000}"/>
    <cellStyle name="Normal 6 6 14 2" xfId="14621" xr:uid="{00000000-0005-0000-0000-0000E73E0000}"/>
    <cellStyle name="Normal 6 6 15" xfId="14622" xr:uid="{00000000-0005-0000-0000-0000E83E0000}"/>
    <cellStyle name="Normal 6 6 15 2" xfId="14623" xr:uid="{00000000-0005-0000-0000-0000E93E0000}"/>
    <cellStyle name="Normal 6 6 16" xfId="14624" xr:uid="{00000000-0005-0000-0000-0000EA3E0000}"/>
    <cellStyle name="Normal 6 6 16 2" xfId="14625" xr:uid="{00000000-0005-0000-0000-0000EB3E0000}"/>
    <cellStyle name="Normal 6 6 17" xfId="14626" xr:uid="{00000000-0005-0000-0000-0000EC3E0000}"/>
    <cellStyle name="Normal 6 6 17 2" xfId="14627" xr:uid="{00000000-0005-0000-0000-0000ED3E0000}"/>
    <cellStyle name="Normal 6 6 18" xfId="14628" xr:uid="{00000000-0005-0000-0000-0000EE3E0000}"/>
    <cellStyle name="Normal 6 6 18 2" xfId="14629" xr:uid="{00000000-0005-0000-0000-0000EF3E0000}"/>
    <cellStyle name="Normal 6 6 19" xfId="14630" xr:uid="{00000000-0005-0000-0000-0000F03E0000}"/>
    <cellStyle name="Normal 6 6 19 2" xfId="14631" xr:uid="{00000000-0005-0000-0000-0000F13E0000}"/>
    <cellStyle name="Normal 6 6 2" xfId="14632" xr:uid="{00000000-0005-0000-0000-0000F23E0000}"/>
    <cellStyle name="Normal 6 6 2 10" xfId="14633" xr:uid="{00000000-0005-0000-0000-0000F33E0000}"/>
    <cellStyle name="Normal 6 6 2 10 2" xfId="14634" xr:uid="{00000000-0005-0000-0000-0000F43E0000}"/>
    <cellStyle name="Normal 6 6 2 11" xfId="14635" xr:uid="{00000000-0005-0000-0000-0000F53E0000}"/>
    <cellStyle name="Normal 6 6 2 11 2" xfId="14636" xr:uid="{00000000-0005-0000-0000-0000F63E0000}"/>
    <cellStyle name="Normal 6 6 2 12" xfId="14637" xr:uid="{00000000-0005-0000-0000-0000F73E0000}"/>
    <cellStyle name="Normal 6 6 2 12 2" xfId="14638" xr:uid="{00000000-0005-0000-0000-0000F83E0000}"/>
    <cellStyle name="Normal 6 6 2 13" xfId="14639" xr:uid="{00000000-0005-0000-0000-0000F93E0000}"/>
    <cellStyle name="Normal 6 6 2 13 2" xfId="14640" xr:uid="{00000000-0005-0000-0000-0000FA3E0000}"/>
    <cellStyle name="Normal 6 6 2 14" xfId="14641" xr:uid="{00000000-0005-0000-0000-0000FB3E0000}"/>
    <cellStyle name="Normal 6 6 2 14 2" xfId="14642" xr:uid="{00000000-0005-0000-0000-0000FC3E0000}"/>
    <cellStyle name="Normal 6 6 2 15" xfId="14643" xr:uid="{00000000-0005-0000-0000-0000FD3E0000}"/>
    <cellStyle name="Normal 6 6 2 15 2" xfId="14644" xr:uid="{00000000-0005-0000-0000-0000FE3E0000}"/>
    <cellStyle name="Normal 6 6 2 16" xfId="14645" xr:uid="{00000000-0005-0000-0000-0000FF3E0000}"/>
    <cellStyle name="Normal 6 6 2 16 2" xfId="14646" xr:uid="{00000000-0005-0000-0000-0000003F0000}"/>
    <cellStyle name="Normal 6 6 2 17" xfId="14647" xr:uid="{00000000-0005-0000-0000-0000013F0000}"/>
    <cellStyle name="Normal 6 6 2 2" xfId="14648" xr:uid="{00000000-0005-0000-0000-0000023F0000}"/>
    <cellStyle name="Normal 6 6 2 2 2" xfId="14649" xr:uid="{00000000-0005-0000-0000-0000033F0000}"/>
    <cellStyle name="Normal 6 6 2 3" xfId="14650" xr:uid="{00000000-0005-0000-0000-0000043F0000}"/>
    <cellStyle name="Normal 6 6 2 3 2" xfId="14651" xr:uid="{00000000-0005-0000-0000-0000053F0000}"/>
    <cellStyle name="Normal 6 6 2 4" xfId="14652" xr:uid="{00000000-0005-0000-0000-0000063F0000}"/>
    <cellStyle name="Normal 6 6 2 4 2" xfId="14653" xr:uid="{00000000-0005-0000-0000-0000073F0000}"/>
    <cellStyle name="Normal 6 6 2 5" xfId="14654" xr:uid="{00000000-0005-0000-0000-0000083F0000}"/>
    <cellStyle name="Normal 6 6 2 5 2" xfId="14655" xr:uid="{00000000-0005-0000-0000-0000093F0000}"/>
    <cellStyle name="Normal 6 6 2 6" xfId="14656" xr:uid="{00000000-0005-0000-0000-00000A3F0000}"/>
    <cellStyle name="Normal 6 6 2 6 2" xfId="14657" xr:uid="{00000000-0005-0000-0000-00000B3F0000}"/>
    <cellStyle name="Normal 6 6 2 7" xfId="14658" xr:uid="{00000000-0005-0000-0000-00000C3F0000}"/>
    <cellStyle name="Normal 6 6 2 7 2" xfId="14659" xr:uid="{00000000-0005-0000-0000-00000D3F0000}"/>
    <cellStyle name="Normal 6 6 2 8" xfId="14660" xr:uid="{00000000-0005-0000-0000-00000E3F0000}"/>
    <cellStyle name="Normal 6 6 2 8 2" xfId="14661" xr:uid="{00000000-0005-0000-0000-00000F3F0000}"/>
    <cellStyle name="Normal 6 6 2 9" xfId="14662" xr:uid="{00000000-0005-0000-0000-0000103F0000}"/>
    <cellStyle name="Normal 6 6 2 9 2" xfId="14663" xr:uid="{00000000-0005-0000-0000-0000113F0000}"/>
    <cellStyle name="Normal 6 6 20" xfId="14664" xr:uid="{00000000-0005-0000-0000-0000123F0000}"/>
    <cellStyle name="Normal 6 6 20 2" xfId="14665" xr:uid="{00000000-0005-0000-0000-0000133F0000}"/>
    <cellStyle name="Normal 6 6 21" xfId="14666" xr:uid="{00000000-0005-0000-0000-0000143F0000}"/>
    <cellStyle name="Normal 6 6 21 2" xfId="14667" xr:uid="{00000000-0005-0000-0000-0000153F0000}"/>
    <cellStyle name="Normal 6 6 22" xfId="14668" xr:uid="{00000000-0005-0000-0000-0000163F0000}"/>
    <cellStyle name="Normal 6 6 22 2" xfId="14669" xr:uid="{00000000-0005-0000-0000-0000173F0000}"/>
    <cellStyle name="Normal 6 6 23" xfId="14670" xr:uid="{00000000-0005-0000-0000-0000183F0000}"/>
    <cellStyle name="Normal 6 6 23 2" xfId="14671" xr:uid="{00000000-0005-0000-0000-0000193F0000}"/>
    <cellStyle name="Normal 6 6 24" xfId="14672" xr:uid="{00000000-0005-0000-0000-00001A3F0000}"/>
    <cellStyle name="Normal 6 6 24 2" xfId="14673" xr:uid="{00000000-0005-0000-0000-00001B3F0000}"/>
    <cellStyle name="Normal 6 6 25" xfId="14674" xr:uid="{00000000-0005-0000-0000-00001C3F0000}"/>
    <cellStyle name="Normal 6 6 25 2" xfId="14675" xr:uid="{00000000-0005-0000-0000-00001D3F0000}"/>
    <cellStyle name="Normal 6 6 26" xfId="14676" xr:uid="{00000000-0005-0000-0000-00001E3F0000}"/>
    <cellStyle name="Normal 6 6 26 2" xfId="14677" xr:uid="{00000000-0005-0000-0000-00001F3F0000}"/>
    <cellStyle name="Normal 6 6 27" xfId="14678" xr:uid="{00000000-0005-0000-0000-0000203F0000}"/>
    <cellStyle name="Normal 6 6 28" xfId="14611" xr:uid="{00000000-0005-0000-0000-0000213F0000}"/>
    <cellStyle name="Normal 6 6 3" xfId="14679" xr:uid="{00000000-0005-0000-0000-0000223F0000}"/>
    <cellStyle name="Normal 6 6 3 2" xfId="14680" xr:uid="{00000000-0005-0000-0000-0000233F0000}"/>
    <cellStyle name="Normal 6 6 4" xfId="14681" xr:uid="{00000000-0005-0000-0000-0000243F0000}"/>
    <cellStyle name="Normal 6 6 4 2" xfId="14682" xr:uid="{00000000-0005-0000-0000-0000253F0000}"/>
    <cellStyle name="Normal 6 6 5" xfId="14683" xr:uid="{00000000-0005-0000-0000-0000263F0000}"/>
    <cellStyle name="Normal 6 6 5 2" xfId="14684" xr:uid="{00000000-0005-0000-0000-0000273F0000}"/>
    <cellStyle name="Normal 6 6 6" xfId="14685" xr:uid="{00000000-0005-0000-0000-0000283F0000}"/>
    <cellStyle name="Normal 6 6 6 2" xfId="14686" xr:uid="{00000000-0005-0000-0000-0000293F0000}"/>
    <cellStyle name="Normal 6 6 7" xfId="14687" xr:uid="{00000000-0005-0000-0000-00002A3F0000}"/>
    <cellStyle name="Normal 6 6 7 2" xfId="14688" xr:uid="{00000000-0005-0000-0000-00002B3F0000}"/>
    <cellStyle name="Normal 6 6 8" xfId="14689" xr:uid="{00000000-0005-0000-0000-00002C3F0000}"/>
    <cellStyle name="Normal 6 6 8 2" xfId="14690" xr:uid="{00000000-0005-0000-0000-00002D3F0000}"/>
    <cellStyle name="Normal 6 6 9" xfId="14691" xr:uid="{00000000-0005-0000-0000-00002E3F0000}"/>
    <cellStyle name="Normal 6 6 9 2" xfId="14692" xr:uid="{00000000-0005-0000-0000-00002F3F0000}"/>
    <cellStyle name="Normal 6 7" xfId="400" xr:uid="{00000000-0005-0000-0000-0000303F0000}"/>
    <cellStyle name="Normal 6 7 10" xfId="14694" xr:uid="{00000000-0005-0000-0000-0000313F0000}"/>
    <cellStyle name="Normal 6 7 10 2" xfId="14695" xr:uid="{00000000-0005-0000-0000-0000323F0000}"/>
    <cellStyle name="Normal 6 7 11" xfId="14696" xr:uid="{00000000-0005-0000-0000-0000333F0000}"/>
    <cellStyle name="Normal 6 7 11 2" xfId="14697" xr:uid="{00000000-0005-0000-0000-0000343F0000}"/>
    <cellStyle name="Normal 6 7 12" xfId="14698" xr:uid="{00000000-0005-0000-0000-0000353F0000}"/>
    <cellStyle name="Normal 6 7 12 2" xfId="14699" xr:uid="{00000000-0005-0000-0000-0000363F0000}"/>
    <cellStyle name="Normal 6 7 13" xfId="14700" xr:uid="{00000000-0005-0000-0000-0000373F0000}"/>
    <cellStyle name="Normal 6 7 13 2" xfId="14701" xr:uid="{00000000-0005-0000-0000-0000383F0000}"/>
    <cellStyle name="Normal 6 7 14" xfId="14702" xr:uid="{00000000-0005-0000-0000-0000393F0000}"/>
    <cellStyle name="Normal 6 7 14 2" xfId="14703" xr:uid="{00000000-0005-0000-0000-00003A3F0000}"/>
    <cellStyle name="Normal 6 7 15" xfId="14704" xr:uid="{00000000-0005-0000-0000-00003B3F0000}"/>
    <cellStyle name="Normal 6 7 15 2" xfId="14705" xr:uid="{00000000-0005-0000-0000-00003C3F0000}"/>
    <cellStyle name="Normal 6 7 16" xfId="14706" xr:uid="{00000000-0005-0000-0000-00003D3F0000}"/>
    <cellStyle name="Normal 6 7 16 2" xfId="14707" xr:uid="{00000000-0005-0000-0000-00003E3F0000}"/>
    <cellStyle name="Normal 6 7 17" xfId="14708" xr:uid="{00000000-0005-0000-0000-00003F3F0000}"/>
    <cellStyle name="Normal 6 7 17 2" xfId="14709" xr:uid="{00000000-0005-0000-0000-0000403F0000}"/>
    <cellStyle name="Normal 6 7 18" xfId="14710" xr:uid="{00000000-0005-0000-0000-0000413F0000}"/>
    <cellStyle name="Normal 6 7 18 2" xfId="14711" xr:uid="{00000000-0005-0000-0000-0000423F0000}"/>
    <cellStyle name="Normal 6 7 19" xfId="14712" xr:uid="{00000000-0005-0000-0000-0000433F0000}"/>
    <cellStyle name="Normal 6 7 19 2" xfId="14713" xr:uid="{00000000-0005-0000-0000-0000443F0000}"/>
    <cellStyle name="Normal 6 7 2" xfId="14714" xr:uid="{00000000-0005-0000-0000-0000453F0000}"/>
    <cellStyle name="Normal 6 7 2 10" xfId="14715" xr:uid="{00000000-0005-0000-0000-0000463F0000}"/>
    <cellStyle name="Normal 6 7 2 10 2" xfId="14716" xr:uid="{00000000-0005-0000-0000-0000473F0000}"/>
    <cellStyle name="Normal 6 7 2 11" xfId="14717" xr:uid="{00000000-0005-0000-0000-0000483F0000}"/>
    <cellStyle name="Normal 6 7 2 11 2" xfId="14718" xr:uid="{00000000-0005-0000-0000-0000493F0000}"/>
    <cellStyle name="Normal 6 7 2 12" xfId="14719" xr:uid="{00000000-0005-0000-0000-00004A3F0000}"/>
    <cellStyle name="Normal 6 7 2 12 2" xfId="14720" xr:uid="{00000000-0005-0000-0000-00004B3F0000}"/>
    <cellStyle name="Normal 6 7 2 13" xfId="14721" xr:uid="{00000000-0005-0000-0000-00004C3F0000}"/>
    <cellStyle name="Normal 6 7 2 13 2" xfId="14722" xr:uid="{00000000-0005-0000-0000-00004D3F0000}"/>
    <cellStyle name="Normal 6 7 2 14" xfId="14723" xr:uid="{00000000-0005-0000-0000-00004E3F0000}"/>
    <cellStyle name="Normal 6 7 2 14 2" xfId="14724" xr:uid="{00000000-0005-0000-0000-00004F3F0000}"/>
    <cellStyle name="Normal 6 7 2 15" xfId="14725" xr:uid="{00000000-0005-0000-0000-0000503F0000}"/>
    <cellStyle name="Normal 6 7 2 15 2" xfId="14726" xr:uid="{00000000-0005-0000-0000-0000513F0000}"/>
    <cellStyle name="Normal 6 7 2 16" xfId="14727" xr:uid="{00000000-0005-0000-0000-0000523F0000}"/>
    <cellStyle name="Normal 6 7 2 16 2" xfId="14728" xr:uid="{00000000-0005-0000-0000-0000533F0000}"/>
    <cellStyle name="Normal 6 7 2 17" xfId="14729" xr:uid="{00000000-0005-0000-0000-0000543F0000}"/>
    <cellStyle name="Normal 6 7 2 2" xfId="14730" xr:uid="{00000000-0005-0000-0000-0000553F0000}"/>
    <cellStyle name="Normal 6 7 2 2 2" xfId="14731" xr:uid="{00000000-0005-0000-0000-0000563F0000}"/>
    <cellStyle name="Normal 6 7 2 3" xfId="14732" xr:uid="{00000000-0005-0000-0000-0000573F0000}"/>
    <cellStyle name="Normal 6 7 2 3 2" xfId="14733" xr:uid="{00000000-0005-0000-0000-0000583F0000}"/>
    <cellStyle name="Normal 6 7 2 4" xfId="14734" xr:uid="{00000000-0005-0000-0000-0000593F0000}"/>
    <cellStyle name="Normal 6 7 2 4 2" xfId="14735" xr:uid="{00000000-0005-0000-0000-00005A3F0000}"/>
    <cellStyle name="Normal 6 7 2 5" xfId="14736" xr:uid="{00000000-0005-0000-0000-00005B3F0000}"/>
    <cellStyle name="Normal 6 7 2 5 2" xfId="14737" xr:uid="{00000000-0005-0000-0000-00005C3F0000}"/>
    <cellStyle name="Normal 6 7 2 6" xfId="14738" xr:uid="{00000000-0005-0000-0000-00005D3F0000}"/>
    <cellStyle name="Normal 6 7 2 6 2" xfId="14739" xr:uid="{00000000-0005-0000-0000-00005E3F0000}"/>
    <cellStyle name="Normal 6 7 2 7" xfId="14740" xr:uid="{00000000-0005-0000-0000-00005F3F0000}"/>
    <cellStyle name="Normal 6 7 2 7 2" xfId="14741" xr:uid="{00000000-0005-0000-0000-0000603F0000}"/>
    <cellStyle name="Normal 6 7 2 8" xfId="14742" xr:uid="{00000000-0005-0000-0000-0000613F0000}"/>
    <cellStyle name="Normal 6 7 2 8 2" xfId="14743" xr:uid="{00000000-0005-0000-0000-0000623F0000}"/>
    <cellStyle name="Normal 6 7 2 9" xfId="14744" xr:uid="{00000000-0005-0000-0000-0000633F0000}"/>
    <cellStyle name="Normal 6 7 2 9 2" xfId="14745" xr:uid="{00000000-0005-0000-0000-0000643F0000}"/>
    <cellStyle name="Normal 6 7 20" xfId="14746" xr:uid="{00000000-0005-0000-0000-0000653F0000}"/>
    <cellStyle name="Normal 6 7 20 2" xfId="14747" xr:uid="{00000000-0005-0000-0000-0000663F0000}"/>
    <cellStyle name="Normal 6 7 21" xfId="14748" xr:uid="{00000000-0005-0000-0000-0000673F0000}"/>
    <cellStyle name="Normal 6 7 21 2" xfId="14749" xr:uid="{00000000-0005-0000-0000-0000683F0000}"/>
    <cellStyle name="Normal 6 7 22" xfId="14750" xr:uid="{00000000-0005-0000-0000-0000693F0000}"/>
    <cellStyle name="Normal 6 7 22 2" xfId="14751" xr:uid="{00000000-0005-0000-0000-00006A3F0000}"/>
    <cellStyle name="Normal 6 7 23" xfId="14752" xr:uid="{00000000-0005-0000-0000-00006B3F0000}"/>
    <cellStyle name="Normal 6 7 23 2" xfId="14753" xr:uid="{00000000-0005-0000-0000-00006C3F0000}"/>
    <cellStyle name="Normal 6 7 24" xfId="14754" xr:uid="{00000000-0005-0000-0000-00006D3F0000}"/>
    <cellStyle name="Normal 6 7 24 2" xfId="14755" xr:uid="{00000000-0005-0000-0000-00006E3F0000}"/>
    <cellStyle name="Normal 6 7 25" xfId="14756" xr:uid="{00000000-0005-0000-0000-00006F3F0000}"/>
    <cellStyle name="Normal 6 7 25 2" xfId="14757" xr:uid="{00000000-0005-0000-0000-0000703F0000}"/>
    <cellStyle name="Normal 6 7 26" xfId="14758" xr:uid="{00000000-0005-0000-0000-0000713F0000}"/>
    <cellStyle name="Normal 6 7 26 2" xfId="14759" xr:uid="{00000000-0005-0000-0000-0000723F0000}"/>
    <cellStyle name="Normal 6 7 27" xfId="14760" xr:uid="{00000000-0005-0000-0000-0000733F0000}"/>
    <cellStyle name="Normal 6 7 28" xfId="14693" xr:uid="{00000000-0005-0000-0000-0000743F0000}"/>
    <cellStyle name="Normal 6 7 3" xfId="14761" xr:uid="{00000000-0005-0000-0000-0000753F0000}"/>
    <cellStyle name="Normal 6 7 3 2" xfId="14762" xr:uid="{00000000-0005-0000-0000-0000763F0000}"/>
    <cellStyle name="Normal 6 7 4" xfId="14763" xr:uid="{00000000-0005-0000-0000-0000773F0000}"/>
    <cellStyle name="Normal 6 7 4 2" xfId="14764" xr:uid="{00000000-0005-0000-0000-0000783F0000}"/>
    <cellStyle name="Normal 6 7 5" xfId="14765" xr:uid="{00000000-0005-0000-0000-0000793F0000}"/>
    <cellStyle name="Normal 6 7 5 2" xfId="14766" xr:uid="{00000000-0005-0000-0000-00007A3F0000}"/>
    <cellStyle name="Normal 6 7 6" xfId="14767" xr:uid="{00000000-0005-0000-0000-00007B3F0000}"/>
    <cellStyle name="Normal 6 7 6 2" xfId="14768" xr:uid="{00000000-0005-0000-0000-00007C3F0000}"/>
    <cellStyle name="Normal 6 7 7" xfId="14769" xr:uid="{00000000-0005-0000-0000-00007D3F0000}"/>
    <cellStyle name="Normal 6 7 7 2" xfId="14770" xr:uid="{00000000-0005-0000-0000-00007E3F0000}"/>
    <cellStyle name="Normal 6 7 8" xfId="14771" xr:uid="{00000000-0005-0000-0000-00007F3F0000}"/>
    <cellStyle name="Normal 6 7 8 2" xfId="14772" xr:uid="{00000000-0005-0000-0000-0000803F0000}"/>
    <cellStyle name="Normal 6 7 9" xfId="14773" xr:uid="{00000000-0005-0000-0000-0000813F0000}"/>
    <cellStyle name="Normal 6 7 9 2" xfId="14774" xr:uid="{00000000-0005-0000-0000-0000823F0000}"/>
    <cellStyle name="Normal 6 8" xfId="401" xr:uid="{00000000-0005-0000-0000-0000833F0000}"/>
    <cellStyle name="Normal 6 8 2" xfId="14776" xr:uid="{00000000-0005-0000-0000-0000843F0000}"/>
    <cellStyle name="Normal 6 8 3" xfId="14775" xr:uid="{00000000-0005-0000-0000-0000853F0000}"/>
    <cellStyle name="Normal 6 9" xfId="14777" xr:uid="{00000000-0005-0000-0000-0000863F0000}"/>
    <cellStyle name="Normal 6 9 2" xfId="14778" xr:uid="{00000000-0005-0000-0000-0000873F0000}"/>
    <cellStyle name="Normal 6_Dívida - Eletrobrás - contrato genérico v2" xfId="14779" xr:uid="{00000000-0005-0000-0000-0000883F0000}"/>
    <cellStyle name="Normal 60" xfId="402" xr:uid="{00000000-0005-0000-0000-0000893F0000}"/>
    <cellStyle name="Normal 60 2" xfId="403" xr:uid="{00000000-0005-0000-0000-00008A3F0000}"/>
    <cellStyle name="Normal 61" xfId="404" xr:uid="{00000000-0005-0000-0000-00008B3F0000}"/>
    <cellStyle name="Normal 61 2" xfId="405" xr:uid="{00000000-0005-0000-0000-00008C3F0000}"/>
    <cellStyle name="Normal 62" xfId="406" xr:uid="{00000000-0005-0000-0000-00008D3F0000}"/>
    <cellStyle name="Normal 62 2" xfId="407" xr:uid="{00000000-0005-0000-0000-00008E3F0000}"/>
    <cellStyle name="Normal 63" xfId="408" xr:uid="{00000000-0005-0000-0000-00008F3F0000}"/>
    <cellStyle name="Normal 63 2" xfId="409" xr:uid="{00000000-0005-0000-0000-0000903F0000}"/>
    <cellStyle name="Normal 64" xfId="410" xr:uid="{00000000-0005-0000-0000-0000913F0000}"/>
    <cellStyle name="Normal 64 2" xfId="411" xr:uid="{00000000-0005-0000-0000-0000923F0000}"/>
    <cellStyle name="Normal 65" xfId="412" xr:uid="{00000000-0005-0000-0000-0000933F0000}"/>
    <cellStyle name="Normal 65 2" xfId="413" xr:uid="{00000000-0005-0000-0000-0000943F0000}"/>
    <cellStyle name="Normal 66" xfId="414" xr:uid="{00000000-0005-0000-0000-0000953F0000}"/>
    <cellStyle name="Normal 66 2" xfId="415" xr:uid="{00000000-0005-0000-0000-0000963F0000}"/>
    <cellStyle name="Normal 67" xfId="416" xr:uid="{00000000-0005-0000-0000-0000973F0000}"/>
    <cellStyle name="Normal 68" xfId="417" xr:uid="{00000000-0005-0000-0000-0000983F0000}"/>
    <cellStyle name="Normal 69" xfId="418" xr:uid="{00000000-0005-0000-0000-0000993F0000}"/>
    <cellStyle name="Normal 7" xfId="419" xr:uid="{00000000-0005-0000-0000-00009A3F0000}"/>
    <cellStyle name="Normal 7 10" xfId="14781" xr:uid="{00000000-0005-0000-0000-00009B3F0000}"/>
    <cellStyle name="Normal 7 10 2" xfId="14782" xr:uid="{00000000-0005-0000-0000-00009C3F0000}"/>
    <cellStyle name="Normal 7 10 3" xfId="14783" xr:uid="{00000000-0005-0000-0000-00009D3F0000}"/>
    <cellStyle name="Normal 7 11" xfId="14784" xr:uid="{00000000-0005-0000-0000-00009E3F0000}"/>
    <cellStyle name="Normal 7 11 2" xfId="14785" xr:uid="{00000000-0005-0000-0000-00009F3F0000}"/>
    <cellStyle name="Normal 7 11 3" xfId="14786" xr:uid="{00000000-0005-0000-0000-0000A03F0000}"/>
    <cellStyle name="Normal 7 12" xfId="14787" xr:uid="{00000000-0005-0000-0000-0000A13F0000}"/>
    <cellStyle name="Normal 7 12 2" xfId="14788" xr:uid="{00000000-0005-0000-0000-0000A23F0000}"/>
    <cellStyle name="Normal 7 12 3" xfId="14789" xr:uid="{00000000-0005-0000-0000-0000A33F0000}"/>
    <cellStyle name="Normal 7 13" xfId="14790" xr:uid="{00000000-0005-0000-0000-0000A43F0000}"/>
    <cellStyle name="Normal 7 13 2" xfId="14791" xr:uid="{00000000-0005-0000-0000-0000A53F0000}"/>
    <cellStyle name="Normal 7 13 3" xfId="14792" xr:uid="{00000000-0005-0000-0000-0000A63F0000}"/>
    <cellStyle name="Normal 7 14" xfId="14793" xr:uid="{00000000-0005-0000-0000-0000A73F0000}"/>
    <cellStyle name="Normal 7 14 2" xfId="14794" xr:uid="{00000000-0005-0000-0000-0000A83F0000}"/>
    <cellStyle name="Normal 7 14 3" xfId="14795" xr:uid="{00000000-0005-0000-0000-0000A93F0000}"/>
    <cellStyle name="Normal 7 15" xfId="14796" xr:uid="{00000000-0005-0000-0000-0000AA3F0000}"/>
    <cellStyle name="Normal 7 15 2" xfId="14797" xr:uid="{00000000-0005-0000-0000-0000AB3F0000}"/>
    <cellStyle name="Normal 7 15 3" xfId="14798" xr:uid="{00000000-0005-0000-0000-0000AC3F0000}"/>
    <cellStyle name="Normal 7 16" xfId="14799" xr:uid="{00000000-0005-0000-0000-0000AD3F0000}"/>
    <cellStyle name="Normal 7 16 2" xfId="14800" xr:uid="{00000000-0005-0000-0000-0000AE3F0000}"/>
    <cellStyle name="Normal 7 16 3" xfId="14801" xr:uid="{00000000-0005-0000-0000-0000AF3F0000}"/>
    <cellStyle name="Normal 7 17" xfId="14802" xr:uid="{00000000-0005-0000-0000-0000B03F0000}"/>
    <cellStyle name="Normal 7 17 2" xfId="14803" xr:uid="{00000000-0005-0000-0000-0000B13F0000}"/>
    <cellStyle name="Normal 7 17 3" xfId="14804" xr:uid="{00000000-0005-0000-0000-0000B23F0000}"/>
    <cellStyle name="Normal 7 18" xfId="14805" xr:uid="{00000000-0005-0000-0000-0000B33F0000}"/>
    <cellStyle name="Normal 7 18 2" xfId="14806" xr:uid="{00000000-0005-0000-0000-0000B43F0000}"/>
    <cellStyle name="Normal 7 18 3" xfId="14807" xr:uid="{00000000-0005-0000-0000-0000B53F0000}"/>
    <cellStyle name="Normal 7 19" xfId="14808" xr:uid="{00000000-0005-0000-0000-0000B63F0000}"/>
    <cellStyle name="Normal 7 19 2" xfId="14809" xr:uid="{00000000-0005-0000-0000-0000B73F0000}"/>
    <cellStyle name="Normal 7 19 3" xfId="14810" xr:uid="{00000000-0005-0000-0000-0000B83F0000}"/>
    <cellStyle name="Normal 7 2" xfId="420" xr:uid="{00000000-0005-0000-0000-0000B93F0000}"/>
    <cellStyle name="Normal 7 2 10" xfId="14812" xr:uid="{00000000-0005-0000-0000-0000BA3F0000}"/>
    <cellStyle name="Normal 7 2 11" xfId="14813" xr:uid="{00000000-0005-0000-0000-0000BB3F0000}"/>
    <cellStyle name="Normal 7 2 12" xfId="14814" xr:uid="{00000000-0005-0000-0000-0000BC3F0000}"/>
    <cellStyle name="Normal 7 2 13" xfId="14815" xr:uid="{00000000-0005-0000-0000-0000BD3F0000}"/>
    <cellStyle name="Normal 7 2 14" xfId="14816" xr:uid="{00000000-0005-0000-0000-0000BE3F0000}"/>
    <cellStyle name="Normal 7 2 15" xfId="14817" xr:uid="{00000000-0005-0000-0000-0000BF3F0000}"/>
    <cellStyle name="Normal 7 2 16" xfId="14818" xr:uid="{00000000-0005-0000-0000-0000C03F0000}"/>
    <cellStyle name="Normal 7 2 17" xfId="14811" xr:uid="{00000000-0005-0000-0000-0000C13F0000}"/>
    <cellStyle name="Normal 7 2 2" xfId="421" xr:uid="{00000000-0005-0000-0000-0000C23F0000}"/>
    <cellStyle name="Normal 7 2 2 2" xfId="422" xr:uid="{00000000-0005-0000-0000-0000C33F0000}"/>
    <cellStyle name="Normal 7 2 2 2 2" xfId="14819" xr:uid="{00000000-0005-0000-0000-0000C43F0000}"/>
    <cellStyle name="Normal 7 2 2 3" xfId="14820" xr:uid="{00000000-0005-0000-0000-0000C53F0000}"/>
    <cellStyle name="Normal 7 2 3" xfId="423" xr:uid="{00000000-0005-0000-0000-0000C63F0000}"/>
    <cellStyle name="Normal 7 2 3 2" xfId="14821" xr:uid="{00000000-0005-0000-0000-0000C73F0000}"/>
    <cellStyle name="Normal 7 2 4" xfId="14822" xr:uid="{00000000-0005-0000-0000-0000C83F0000}"/>
    <cellStyle name="Normal 7 2 5" xfId="14823" xr:uid="{00000000-0005-0000-0000-0000C93F0000}"/>
    <cellStyle name="Normal 7 2 6" xfId="14824" xr:uid="{00000000-0005-0000-0000-0000CA3F0000}"/>
    <cellStyle name="Normal 7 2 7" xfId="14825" xr:uid="{00000000-0005-0000-0000-0000CB3F0000}"/>
    <cellStyle name="Normal 7 2 8" xfId="14826" xr:uid="{00000000-0005-0000-0000-0000CC3F0000}"/>
    <cellStyle name="Normal 7 2 9" xfId="14827" xr:uid="{00000000-0005-0000-0000-0000CD3F0000}"/>
    <cellStyle name="Normal 7 20" xfId="14828" xr:uid="{00000000-0005-0000-0000-0000CE3F0000}"/>
    <cellStyle name="Normal 7 21" xfId="14829" xr:uid="{00000000-0005-0000-0000-0000CF3F0000}"/>
    <cellStyle name="Normal 7 22" xfId="14830" xr:uid="{00000000-0005-0000-0000-0000D03F0000}"/>
    <cellStyle name="Normal 7 23" xfId="14831" xr:uid="{00000000-0005-0000-0000-0000D13F0000}"/>
    <cellStyle name="Normal 7 24" xfId="14832" xr:uid="{00000000-0005-0000-0000-0000D23F0000}"/>
    <cellStyle name="Normal 7 25" xfId="14833" xr:uid="{00000000-0005-0000-0000-0000D33F0000}"/>
    <cellStyle name="Normal 7 26" xfId="14834" xr:uid="{00000000-0005-0000-0000-0000D43F0000}"/>
    <cellStyle name="Normal 7 27" xfId="14835" xr:uid="{00000000-0005-0000-0000-0000D53F0000}"/>
    <cellStyle name="Normal 7 28" xfId="14836" xr:uid="{00000000-0005-0000-0000-0000D63F0000}"/>
    <cellStyle name="Normal 7 29" xfId="14837" xr:uid="{00000000-0005-0000-0000-0000D73F0000}"/>
    <cellStyle name="Normal 7 3" xfId="424" xr:uid="{00000000-0005-0000-0000-0000D83F0000}"/>
    <cellStyle name="Normal 7 3 2" xfId="425" xr:uid="{00000000-0005-0000-0000-0000D93F0000}"/>
    <cellStyle name="Normal 7 3 2 2" xfId="426" xr:uid="{00000000-0005-0000-0000-0000DA3F0000}"/>
    <cellStyle name="Normal 7 3 2 3" xfId="14839" xr:uid="{00000000-0005-0000-0000-0000DB3F0000}"/>
    <cellStyle name="Normal 7 3 3" xfId="427" xr:uid="{00000000-0005-0000-0000-0000DC3F0000}"/>
    <cellStyle name="Normal 7 3 4" xfId="14840" xr:uid="{00000000-0005-0000-0000-0000DD3F0000}"/>
    <cellStyle name="Normal 7 3 5" xfId="14841" xr:uid="{00000000-0005-0000-0000-0000DE3F0000}"/>
    <cellStyle name="Normal 7 3 6" xfId="14838" xr:uid="{00000000-0005-0000-0000-0000DF3F0000}"/>
    <cellStyle name="Normal 7 30" xfId="14842" xr:uid="{00000000-0005-0000-0000-0000E03F0000}"/>
    <cellStyle name="Normal 7 31" xfId="14843" xr:uid="{00000000-0005-0000-0000-0000E13F0000}"/>
    <cellStyle name="Normal 7 32" xfId="14844" xr:uid="{00000000-0005-0000-0000-0000E23F0000}"/>
    <cellStyle name="Normal 7 33" xfId="14845" xr:uid="{00000000-0005-0000-0000-0000E33F0000}"/>
    <cellStyle name="Normal 7 34" xfId="14846" xr:uid="{00000000-0005-0000-0000-0000E43F0000}"/>
    <cellStyle name="Normal 7 35" xfId="14847" xr:uid="{00000000-0005-0000-0000-0000E53F0000}"/>
    <cellStyle name="Normal 7 36" xfId="14848" xr:uid="{00000000-0005-0000-0000-0000E63F0000}"/>
    <cellStyle name="Normal 7 37" xfId="14849" xr:uid="{00000000-0005-0000-0000-0000E73F0000}"/>
    <cellStyle name="Normal 7 38" xfId="14850" xr:uid="{00000000-0005-0000-0000-0000E83F0000}"/>
    <cellStyle name="Normal 7 39" xfId="14851" xr:uid="{00000000-0005-0000-0000-0000E93F0000}"/>
    <cellStyle name="Normal 7 4" xfId="428" xr:uid="{00000000-0005-0000-0000-0000EA3F0000}"/>
    <cellStyle name="Normal 7 4 2" xfId="429" xr:uid="{00000000-0005-0000-0000-0000EB3F0000}"/>
    <cellStyle name="Normal 7 4 2 2" xfId="430" xr:uid="{00000000-0005-0000-0000-0000EC3F0000}"/>
    <cellStyle name="Normal 7 4 3" xfId="431" xr:uid="{00000000-0005-0000-0000-0000ED3F0000}"/>
    <cellStyle name="Normal 7 4 4" xfId="14853" xr:uid="{00000000-0005-0000-0000-0000EE3F0000}"/>
    <cellStyle name="Normal 7 4 5" xfId="14852" xr:uid="{00000000-0005-0000-0000-0000EF3F0000}"/>
    <cellStyle name="Normal 7 4 6" xfId="27112" xr:uid="{00000000-0005-0000-0000-0000F03F0000}"/>
    <cellStyle name="Normal 7 40" xfId="14780" xr:uid="{00000000-0005-0000-0000-0000F13F0000}"/>
    <cellStyle name="Normal 7 5" xfId="432" xr:uid="{00000000-0005-0000-0000-0000F23F0000}"/>
    <cellStyle name="Normal 7 5 10" xfId="14855" xr:uid="{00000000-0005-0000-0000-0000F33F0000}"/>
    <cellStyle name="Normal 7 5 10 2" xfId="14856" xr:uid="{00000000-0005-0000-0000-0000F43F0000}"/>
    <cellStyle name="Normal 7 5 11" xfId="14857" xr:uid="{00000000-0005-0000-0000-0000F53F0000}"/>
    <cellStyle name="Normal 7 5 11 2" xfId="14858" xr:uid="{00000000-0005-0000-0000-0000F63F0000}"/>
    <cellStyle name="Normal 7 5 12" xfId="14859" xr:uid="{00000000-0005-0000-0000-0000F73F0000}"/>
    <cellStyle name="Normal 7 5 12 2" xfId="14860" xr:uid="{00000000-0005-0000-0000-0000F83F0000}"/>
    <cellStyle name="Normal 7 5 13" xfId="14854" xr:uid="{00000000-0005-0000-0000-0000F93F0000}"/>
    <cellStyle name="Normal 7 5 2" xfId="433" xr:uid="{00000000-0005-0000-0000-0000FA3F0000}"/>
    <cellStyle name="Normal 7 5 2 10" xfId="14861" xr:uid="{00000000-0005-0000-0000-0000FB3F0000}"/>
    <cellStyle name="Normal 7 5 2 11" xfId="14862" xr:uid="{00000000-0005-0000-0000-0000FC3F0000}"/>
    <cellStyle name="Normal 7 5 2 2" xfId="14863" xr:uid="{00000000-0005-0000-0000-0000FD3F0000}"/>
    <cellStyle name="Normal 7 5 2 3" xfId="14864" xr:uid="{00000000-0005-0000-0000-0000FE3F0000}"/>
    <cellStyle name="Normal 7 5 2 4" xfId="14865" xr:uid="{00000000-0005-0000-0000-0000FF3F0000}"/>
    <cellStyle name="Normal 7 5 2 5" xfId="14866" xr:uid="{00000000-0005-0000-0000-000000400000}"/>
    <cellStyle name="Normal 7 5 2 6" xfId="14867" xr:uid="{00000000-0005-0000-0000-000001400000}"/>
    <cellStyle name="Normal 7 5 2 7" xfId="14868" xr:uid="{00000000-0005-0000-0000-000002400000}"/>
    <cellStyle name="Normal 7 5 2 8" xfId="14869" xr:uid="{00000000-0005-0000-0000-000003400000}"/>
    <cellStyle name="Normal 7 5 2 9" xfId="14870" xr:uid="{00000000-0005-0000-0000-000004400000}"/>
    <cellStyle name="Normal 7 5 3" xfId="14871" xr:uid="{00000000-0005-0000-0000-000005400000}"/>
    <cellStyle name="Normal 7 5 4" xfId="14872" xr:uid="{00000000-0005-0000-0000-000006400000}"/>
    <cellStyle name="Normal 7 5 5" xfId="14873" xr:uid="{00000000-0005-0000-0000-000007400000}"/>
    <cellStyle name="Normal 7 5 5 2" xfId="14874" xr:uid="{00000000-0005-0000-0000-000008400000}"/>
    <cellStyle name="Normal 7 5 6" xfId="14875" xr:uid="{00000000-0005-0000-0000-000009400000}"/>
    <cellStyle name="Normal 7 5 6 2" xfId="14876" xr:uid="{00000000-0005-0000-0000-00000A400000}"/>
    <cellStyle name="Normal 7 5 7" xfId="14877" xr:uid="{00000000-0005-0000-0000-00000B400000}"/>
    <cellStyle name="Normal 7 5 7 2" xfId="14878" xr:uid="{00000000-0005-0000-0000-00000C400000}"/>
    <cellStyle name="Normal 7 5 8" xfId="14879" xr:uid="{00000000-0005-0000-0000-00000D400000}"/>
    <cellStyle name="Normal 7 5 8 2" xfId="14880" xr:uid="{00000000-0005-0000-0000-00000E400000}"/>
    <cellStyle name="Normal 7 5 9" xfId="14881" xr:uid="{00000000-0005-0000-0000-00000F400000}"/>
    <cellStyle name="Normal 7 5 9 2" xfId="14882" xr:uid="{00000000-0005-0000-0000-000010400000}"/>
    <cellStyle name="Normal 7 6" xfId="434" xr:uid="{00000000-0005-0000-0000-000011400000}"/>
    <cellStyle name="Normal 7 6 2" xfId="14884" xr:uid="{00000000-0005-0000-0000-000012400000}"/>
    <cellStyle name="Normal 7 6 3" xfId="14885" xr:uid="{00000000-0005-0000-0000-000013400000}"/>
    <cellStyle name="Normal 7 6 4" xfId="14883" xr:uid="{00000000-0005-0000-0000-000014400000}"/>
    <cellStyle name="Normal 7 7" xfId="435" xr:uid="{00000000-0005-0000-0000-000015400000}"/>
    <cellStyle name="Normal 7 7 2" xfId="14887" xr:uid="{00000000-0005-0000-0000-000016400000}"/>
    <cellStyle name="Normal 7 7 2 2" xfId="14888" xr:uid="{00000000-0005-0000-0000-000017400000}"/>
    <cellStyle name="Normal 7 7 3" xfId="14889" xr:uid="{00000000-0005-0000-0000-000018400000}"/>
    <cellStyle name="Normal 7 7 3 2" xfId="14890" xr:uid="{00000000-0005-0000-0000-000019400000}"/>
    <cellStyle name="Normal 7 7 4" xfId="14891" xr:uid="{00000000-0005-0000-0000-00001A400000}"/>
    <cellStyle name="Normal 7 7 4 2" xfId="14892" xr:uid="{00000000-0005-0000-0000-00001B400000}"/>
    <cellStyle name="Normal 7 7 5" xfId="14893" xr:uid="{00000000-0005-0000-0000-00001C400000}"/>
    <cellStyle name="Normal 7 7 5 2" xfId="14894" xr:uid="{00000000-0005-0000-0000-00001D400000}"/>
    <cellStyle name="Normal 7 7 6" xfId="14895" xr:uid="{00000000-0005-0000-0000-00001E400000}"/>
    <cellStyle name="Normal 7 7 7" xfId="14886" xr:uid="{00000000-0005-0000-0000-00001F400000}"/>
    <cellStyle name="Normal 7 8" xfId="14896" xr:uid="{00000000-0005-0000-0000-000020400000}"/>
    <cellStyle name="Normal 7 8 2" xfId="14897" xr:uid="{00000000-0005-0000-0000-000021400000}"/>
    <cellStyle name="Normal 7 8 2 2" xfId="14898" xr:uid="{00000000-0005-0000-0000-000022400000}"/>
    <cellStyle name="Normal 7 8 3" xfId="14899" xr:uid="{00000000-0005-0000-0000-000023400000}"/>
    <cellStyle name="Normal 7 8 3 2" xfId="14900" xr:uid="{00000000-0005-0000-0000-000024400000}"/>
    <cellStyle name="Normal 7 8 4" xfId="14901" xr:uid="{00000000-0005-0000-0000-000025400000}"/>
    <cellStyle name="Normal 7 8 4 2" xfId="14902" xr:uid="{00000000-0005-0000-0000-000026400000}"/>
    <cellStyle name="Normal 7 8 5" xfId="14903" xr:uid="{00000000-0005-0000-0000-000027400000}"/>
    <cellStyle name="Normal 7 8 5 2" xfId="14904" xr:uid="{00000000-0005-0000-0000-000028400000}"/>
    <cellStyle name="Normal 7 8 6" xfId="14905" xr:uid="{00000000-0005-0000-0000-000029400000}"/>
    <cellStyle name="Normal 7 9" xfId="14906" xr:uid="{00000000-0005-0000-0000-00002A400000}"/>
    <cellStyle name="Normal 7 9 2" xfId="14907" xr:uid="{00000000-0005-0000-0000-00002B400000}"/>
    <cellStyle name="Normal 7 9 3" xfId="14908" xr:uid="{00000000-0005-0000-0000-00002C400000}"/>
    <cellStyle name="Normal 7_Dívida - Eletrobrás - contrato genérico v2" xfId="14909" xr:uid="{00000000-0005-0000-0000-00002D400000}"/>
    <cellStyle name="Normal 70" xfId="436" xr:uid="{00000000-0005-0000-0000-00002E400000}"/>
    <cellStyle name="Normal 71" xfId="437" xr:uid="{00000000-0005-0000-0000-00002F400000}"/>
    <cellStyle name="Normal 72" xfId="438" xr:uid="{00000000-0005-0000-0000-000030400000}"/>
    <cellStyle name="Normal 73" xfId="439" xr:uid="{00000000-0005-0000-0000-000031400000}"/>
    <cellStyle name="Normal 74" xfId="440" xr:uid="{00000000-0005-0000-0000-000032400000}"/>
    <cellStyle name="Normal 75" xfId="441" xr:uid="{00000000-0005-0000-0000-000033400000}"/>
    <cellStyle name="Normal 76" xfId="442" xr:uid="{00000000-0005-0000-0000-000034400000}"/>
    <cellStyle name="Normal 77" xfId="443" xr:uid="{00000000-0005-0000-0000-000035400000}"/>
    <cellStyle name="Normal 78" xfId="444" xr:uid="{00000000-0005-0000-0000-000036400000}"/>
    <cellStyle name="Normal 79" xfId="445" xr:uid="{00000000-0005-0000-0000-000037400000}"/>
    <cellStyle name="Normal 8" xfId="446" xr:uid="{00000000-0005-0000-0000-000038400000}"/>
    <cellStyle name="Normal 8 2" xfId="447" xr:uid="{00000000-0005-0000-0000-000039400000}"/>
    <cellStyle name="Normal 8 2 2" xfId="448" xr:uid="{00000000-0005-0000-0000-00003A400000}"/>
    <cellStyle name="Normal 8 2 2 2" xfId="449" xr:uid="{00000000-0005-0000-0000-00003B400000}"/>
    <cellStyle name="Normal 8 2 2 3" xfId="14910" xr:uid="{00000000-0005-0000-0000-00003C400000}"/>
    <cellStyle name="Normal 8 2 3" xfId="450" xr:uid="{00000000-0005-0000-0000-00003D400000}"/>
    <cellStyle name="Normal 8 3" xfId="451" xr:uid="{00000000-0005-0000-0000-00003E400000}"/>
    <cellStyle name="Normal 8 3 10" xfId="14911" xr:uid="{00000000-0005-0000-0000-00003F400000}"/>
    <cellStyle name="Normal 8 3 2" xfId="452" xr:uid="{00000000-0005-0000-0000-000040400000}"/>
    <cellStyle name="Normal 8 3 2 2" xfId="453" xr:uid="{00000000-0005-0000-0000-000041400000}"/>
    <cellStyle name="Normal 8 3 2 3" xfId="14912" xr:uid="{00000000-0005-0000-0000-000042400000}"/>
    <cellStyle name="Normal 8 3 3" xfId="454" xr:uid="{00000000-0005-0000-0000-000043400000}"/>
    <cellStyle name="Normal 8 3 3 2" xfId="14913" xr:uid="{00000000-0005-0000-0000-000044400000}"/>
    <cellStyle name="Normal 8 3 4" xfId="14914" xr:uid="{00000000-0005-0000-0000-000045400000}"/>
    <cellStyle name="Normal 8 3 5" xfId="14915" xr:uid="{00000000-0005-0000-0000-000046400000}"/>
    <cellStyle name="Normal 8 3 5 2" xfId="14916" xr:uid="{00000000-0005-0000-0000-000047400000}"/>
    <cellStyle name="Normal 8 3 6" xfId="14917" xr:uid="{00000000-0005-0000-0000-000048400000}"/>
    <cellStyle name="Normal 8 3 6 2" xfId="14918" xr:uid="{00000000-0005-0000-0000-000049400000}"/>
    <cellStyle name="Normal 8 3 7" xfId="14919" xr:uid="{00000000-0005-0000-0000-00004A400000}"/>
    <cellStyle name="Normal 8 3 7 2" xfId="14920" xr:uid="{00000000-0005-0000-0000-00004B400000}"/>
    <cellStyle name="Normal 8 3 8" xfId="14921" xr:uid="{00000000-0005-0000-0000-00004C400000}"/>
    <cellStyle name="Normal 8 3 8 2" xfId="14922" xr:uid="{00000000-0005-0000-0000-00004D400000}"/>
    <cellStyle name="Normal 8 3 9" xfId="14923" xr:uid="{00000000-0005-0000-0000-00004E400000}"/>
    <cellStyle name="Normal 8 4" xfId="455" xr:uid="{00000000-0005-0000-0000-00004F400000}"/>
    <cellStyle name="Normal 8 4 2" xfId="456" xr:uid="{00000000-0005-0000-0000-000050400000}"/>
    <cellStyle name="Normal 8 4 3" xfId="14924" xr:uid="{00000000-0005-0000-0000-000051400000}"/>
    <cellStyle name="Normal 8 5" xfId="457" xr:uid="{00000000-0005-0000-0000-000052400000}"/>
    <cellStyle name="Normal 8 5 2" xfId="14926" xr:uid="{00000000-0005-0000-0000-000053400000}"/>
    <cellStyle name="Normal 8 5 2 2" xfId="14927" xr:uid="{00000000-0005-0000-0000-000054400000}"/>
    <cellStyle name="Normal 8 5 3" xfId="14928" xr:uid="{00000000-0005-0000-0000-000055400000}"/>
    <cellStyle name="Normal 8 5 3 2" xfId="14929" xr:uid="{00000000-0005-0000-0000-000056400000}"/>
    <cellStyle name="Normal 8 5 4" xfId="14930" xr:uid="{00000000-0005-0000-0000-000057400000}"/>
    <cellStyle name="Normal 8 5 4 2" xfId="14931" xr:uid="{00000000-0005-0000-0000-000058400000}"/>
    <cellStyle name="Normal 8 5 5" xfId="14932" xr:uid="{00000000-0005-0000-0000-000059400000}"/>
    <cellStyle name="Normal 8 5 5 2" xfId="14933" xr:uid="{00000000-0005-0000-0000-00005A400000}"/>
    <cellStyle name="Normal 8 5 6" xfId="14934" xr:uid="{00000000-0005-0000-0000-00005B400000}"/>
    <cellStyle name="Normal 8 5 7" xfId="14925" xr:uid="{00000000-0005-0000-0000-00005C400000}"/>
    <cellStyle name="Normal 8 6" xfId="458" xr:uid="{00000000-0005-0000-0000-00005D400000}"/>
    <cellStyle name="Normal 8 6 2" xfId="14936" xr:uid="{00000000-0005-0000-0000-00005E400000}"/>
    <cellStyle name="Normal 8 6 2 2" xfId="14937" xr:uid="{00000000-0005-0000-0000-00005F400000}"/>
    <cellStyle name="Normal 8 6 3" xfId="14938" xr:uid="{00000000-0005-0000-0000-000060400000}"/>
    <cellStyle name="Normal 8 6 3 2" xfId="14939" xr:uid="{00000000-0005-0000-0000-000061400000}"/>
    <cellStyle name="Normal 8 6 4" xfId="14940" xr:uid="{00000000-0005-0000-0000-000062400000}"/>
    <cellStyle name="Normal 8 6 4 2" xfId="14941" xr:uid="{00000000-0005-0000-0000-000063400000}"/>
    <cellStyle name="Normal 8 6 5" xfId="14942" xr:uid="{00000000-0005-0000-0000-000064400000}"/>
    <cellStyle name="Normal 8 6 5 2" xfId="14943" xr:uid="{00000000-0005-0000-0000-000065400000}"/>
    <cellStyle name="Normal 8 6 6" xfId="14944" xr:uid="{00000000-0005-0000-0000-000066400000}"/>
    <cellStyle name="Normal 8 6 7" xfId="14935" xr:uid="{00000000-0005-0000-0000-000067400000}"/>
    <cellStyle name="Normal 8_Recurso Jan a Mar 09 DEF" xfId="14945" xr:uid="{00000000-0005-0000-0000-000068400000}"/>
    <cellStyle name="Normal 80" xfId="459" xr:uid="{00000000-0005-0000-0000-000069400000}"/>
    <cellStyle name="Normal 81" xfId="460" xr:uid="{00000000-0005-0000-0000-00006A400000}"/>
    <cellStyle name="Normal 82" xfId="461" xr:uid="{00000000-0005-0000-0000-00006B400000}"/>
    <cellStyle name="Normal 83" xfId="462" xr:uid="{00000000-0005-0000-0000-00006C400000}"/>
    <cellStyle name="Normal 84" xfId="463" xr:uid="{00000000-0005-0000-0000-00006D400000}"/>
    <cellStyle name="Normal 85" xfId="464" xr:uid="{00000000-0005-0000-0000-00006E400000}"/>
    <cellStyle name="Normal 86" xfId="465" xr:uid="{00000000-0005-0000-0000-00006F400000}"/>
    <cellStyle name="Normal 87" xfId="466" xr:uid="{00000000-0005-0000-0000-000070400000}"/>
    <cellStyle name="Normal 88" xfId="467" xr:uid="{00000000-0005-0000-0000-000071400000}"/>
    <cellStyle name="Normal 89" xfId="468" xr:uid="{00000000-0005-0000-0000-000072400000}"/>
    <cellStyle name="Normal 9" xfId="469" xr:uid="{00000000-0005-0000-0000-000073400000}"/>
    <cellStyle name="Normal 9 10" xfId="14947" xr:uid="{00000000-0005-0000-0000-000074400000}"/>
    <cellStyle name="Normal 9 11" xfId="14948" xr:uid="{00000000-0005-0000-0000-000075400000}"/>
    <cellStyle name="Normal 9 12" xfId="14949" xr:uid="{00000000-0005-0000-0000-000076400000}"/>
    <cellStyle name="Normal 9 12 2" xfId="14950" xr:uid="{00000000-0005-0000-0000-000077400000}"/>
    <cellStyle name="Normal 9 12 3" xfId="14951" xr:uid="{00000000-0005-0000-0000-000078400000}"/>
    <cellStyle name="Normal 9 12 4" xfId="14952" xr:uid="{00000000-0005-0000-0000-000079400000}"/>
    <cellStyle name="Normal 9 13" xfId="14953" xr:uid="{00000000-0005-0000-0000-00007A400000}"/>
    <cellStyle name="Normal 9 13 10" xfId="14954" xr:uid="{00000000-0005-0000-0000-00007B400000}"/>
    <cellStyle name="Normal 9 13 11" xfId="14955" xr:uid="{00000000-0005-0000-0000-00007C400000}"/>
    <cellStyle name="Normal 9 13 12" xfId="14956" xr:uid="{00000000-0005-0000-0000-00007D400000}"/>
    <cellStyle name="Normal 9 13 13" xfId="14957" xr:uid="{00000000-0005-0000-0000-00007E400000}"/>
    <cellStyle name="Normal 9 13 14" xfId="14958" xr:uid="{00000000-0005-0000-0000-00007F400000}"/>
    <cellStyle name="Normal 9 13 15" xfId="14959" xr:uid="{00000000-0005-0000-0000-000080400000}"/>
    <cellStyle name="Normal 9 13 16" xfId="14960" xr:uid="{00000000-0005-0000-0000-000081400000}"/>
    <cellStyle name="Normal 9 13 17" xfId="14961" xr:uid="{00000000-0005-0000-0000-000082400000}"/>
    <cellStyle name="Normal 9 13 18" xfId="14962" xr:uid="{00000000-0005-0000-0000-000083400000}"/>
    <cellStyle name="Normal 9 13 19" xfId="14963" xr:uid="{00000000-0005-0000-0000-000084400000}"/>
    <cellStyle name="Normal 9 13 2" xfId="14964" xr:uid="{00000000-0005-0000-0000-000085400000}"/>
    <cellStyle name="Normal 9 13 2 10" xfId="14965" xr:uid="{00000000-0005-0000-0000-000086400000}"/>
    <cellStyle name="Normal 9 13 2 11" xfId="14966" xr:uid="{00000000-0005-0000-0000-000087400000}"/>
    <cellStyle name="Normal 9 13 2 12" xfId="14967" xr:uid="{00000000-0005-0000-0000-000088400000}"/>
    <cellStyle name="Normal 9 13 2 13" xfId="14968" xr:uid="{00000000-0005-0000-0000-000089400000}"/>
    <cellStyle name="Normal 9 13 2 14" xfId="14969" xr:uid="{00000000-0005-0000-0000-00008A400000}"/>
    <cellStyle name="Normal 9 13 2 15" xfId="14970" xr:uid="{00000000-0005-0000-0000-00008B400000}"/>
    <cellStyle name="Normal 9 13 2 16" xfId="14971" xr:uid="{00000000-0005-0000-0000-00008C400000}"/>
    <cellStyle name="Normal 9 13 2 17" xfId="14972" xr:uid="{00000000-0005-0000-0000-00008D400000}"/>
    <cellStyle name="Normal 9 13 2 18" xfId="14973" xr:uid="{00000000-0005-0000-0000-00008E400000}"/>
    <cellStyle name="Normal 9 13 2 19" xfId="14974" xr:uid="{00000000-0005-0000-0000-00008F400000}"/>
    <cellStyle name="Normal 9 13 2 2" xfId="14975" xr:uid="{00000000-0005-0000-0000-000090400000}"/>
    <cellStyle name="Normal 9 13 2 20" xfId="14976" xr:uid="{00000000-0005-0000-0000-000091400000}"/>
    <cellStyle name="Normal 9 13 2 21" xfId="14977" xr:uid="{00000000-0005-0000-0000-000092400000}"/>
    <cellStyle name="Normal 9 13 2 3" xfId="14978" xr:uid="{00000000-0005-0000-0000-000093400000}"/>
    <cellStyle name="Normal 9 13 2 4" xfId="14979" xr:uid="{00000000-0005-0000-0000-000094400000}"/>
    <cellStyle name="Normal 9 13 2 5" xfId="14980" xr:uid="{00000000-0005-0000-0000-000095400000}"/>
    <cellStyle name="Normal 9 13 2 6" xfId="14981" xr:uid="{00000000-0005-0000-0000-000096400000}"/>
    <cellStyle name="Normal 9 13 2 7" xfId="14982" xr:uid="{00000000-0005-0000-0000-000097400000}"/>
    <cellStyle name="Normal 9 13 2 8" xfId="14983" xr:uid="{00000000-0005-0000-0000-000098400000}"/>
    <cellStyle name="Normal 9 13 2 9" xfId="14984" xr:uid="{00000000-0005-0000-0000-000099400000}"/>
    <cellStyle name="Normal 9 13 20" xfId="14985" xr:uid="{00000000-0005-0000-0000-00009A400000}"/>
    <cellStyle name="Normal 9 13 21" xfId="14986" xr:uid="{00000000-0005-0000-0000-00009B400000}"/>
    <cellStyle name="Normal 9 13 22" xfId="14987" xr:uid="{00000000-0005-0000-0000-00009C400000}"/>
    <cellStyle name="Normal 9 13 23" xfId="14988" xr:uid="{00000000-0005-0000-0000-00009D400000}"/>
    <cellStyle name="Normal 9 13 24" xfId="14989" xr:uid="{00000000-0005-0000-0000-00009E400000}"/>
    <cellStyle name="Normal 9 13 25" xfId="14990" xr:uid="{00000000-0005-0000-0000-00009F400000}"/>
    <cellStyle name="Normal 9 13 26" xfId="14991" xr:uid="{00000000-0005-0000-0000-0000A0400000}"/>
    <cellStyle name="Normal 9 13 27" xfId="14992" xr:uid="{00000000-0005-0000-0000-0000A1400000}"/>
    <cellStyle name="Normal 9 13 28" xfId="14993" xr:uid="{00000000-0005-0000-0000-0000A2400000}"/>
    <cellStyle name="Normal 9 13 29" xfId="14994" xr:uid="{00000000-0005-0000-0000-0000A3400000}"/>
    <cellStyle name="Normal 9 13 3" xfId="14995" xr:uid="{00000000-0005-0000-0000-0000A4400000}"/>
    <cellStyle name="Normal 9 13 30" xfId="14996" xr:uid="{00000000-0005-0000-0000-0000A5400000}"/>
    <cellStyle name="Normal 9 13 31" xfId="14997" xr:uid="{00000000-0005-0000-0000-0000A6400000}"/>
    <cellStyle name="Normal 9 13 32" xfId="14998" xr:uid="{00000000-0005-0000-0000-0000A7400000}"/>
    <cellStyle name="Normal 9 13 33" xfId="14999" xr:uid="{00000000-0005-0000-0000-0000A8400000}"/>
    <cellStyle name="Normal 9 13 34" xfId="15000" xr:uid="{00000000-0005-0000-0000-0000A9400000}"/>
    <cellStyle name="Normal 9 13 4" xfId="15001" xr:uid="{00000000-0005-0000-0000-0000AA400000}"/>
    <cellStyle name="Normal 9 13 4 2" xfId="15002" xr:uid="{00000000-0005-0000-0000-0000AB400000}"/>
    <cellStyle name="Normal 9 13 4 3" xfId="15003" xr:uid="{00000000-0005-0000-0000-0000AC400000}"/>
    <cellStyle name="Normal 9 13 4 4" xfId="15004" xr:uid="{00000000-0005-0000-0000-0000AD400000}"/>
    <cellStyle name="Normal 9 13 5" xfId="15005" xr:uid="{00000000-0005-0000-0000-0000AE400000}"/>
    <cellStyle name="Normal 9 13 6" xfId="15006" xr:uid="{00000000-0005-0000-0000-0000AF400000}"/>
    <cellStyle name="Normal 9 13 7" xfId="15007" xr:uid="{00000000-0005-0000-0000-0000B0400000}"/>
    <cellStyle name="Normal 9 13 8" xfId="15008" xr:uid="{00000000-0005-0000-0000-0000B1400000}"/>
    <cellStyle name="Normal 9 13 9" xfId="15009" xr:uid="{00000000-0005-0000-0000-0000B2400000}"/>
    <cellStyle name="Normal 9 14" xfId="15010" xr:uid="{00000000-0005-0000-0000-0000B3400000}"/>
    <cellStyle name="Normal 9 15" xfId="15011" xr:uid="{00000000-0005-0000-0000-0000B4400000}"/>
    <cellStyle name="Normal 9 16" xfId="15012" xr:uid="{00000000-0005-0000-0000-0000B5400000}"/>
    <cellStyle name="Normal 9 17" xfId="15013" xr:uid="{00000000-0005-0000-0000-0000B6400000}"/>
    <cellStyle name="Normal 9 18" xfId="15014" xr:uid="{00000000-0005-0000-0000-0000B7400000}"/>
    <cellStyle name="Normal 9 19" xfId="15015" xr:uid="{00000000-0005-0000-0000-0000B8400000}"/>
    <cellStyle name="Normal 9 2" xfId="470" xr:uid="{00000000-0005-0000-0000-0000B9400000}"/>
    <cellStyle name="Normal 9 2 2" xfId="471" xr:uid="{00000000-0005-0000-0000-0000BA400000}"/>
    <cellStyle name="Normal 9 2 2 2" xfId="472" xr:uid="{00000000-0005-0000-0000-0000BB400000}"/>
    <cellStyle name="Normal 9 2 2 2 2" xfId="473" xr:uid="{00000000-0005-0000-0000-0000BC400000}"/>
    <cellStyle name="Normal 9 2 2 3" xfId="474" xr:uid="{00000000-0005-0000-0000-0000BD400000}"/>
    <cellStyle name="Normal 9 2 3" xfId="475" xr:uid="{00000000-0005-0000-0000-0000BE400000}"/>
    <cellStyle name="Normal 9 2 3 2" xfId="476" xr:uid="{00000000-0005-0000-0000-0000BF400000}"/>
    <cellStyle name="Normal 9 2 3 2 2" xfId="477" xr:uid="{00000000-0005-0000-0000-0000C0400000}"/>
    <cellStyle name="Normal 9 2 3 3" xfId="478" xr:uid="{00000000-0005-0000-0000-0000C1400000}"/>
    <cellStyle name="Normal 9 2 4" xfId="479" xr:uid="{00000000-0005-0000-0000-0000C2400000}"/>
    <cellStyle name="Normal 9 2 4 2" xfId="480" xr:uid="{00000000-0005-0000-0000-0000C3400000}"/>
    <cellStyle name="Normal 9 2 5" xfId="481" xr:uid="{00000000-0005-0000-0000-0000C4400000}"/>
    <cellStyle name="Normal 9 2 6" xfId="482" xr:uid="{00000000-0005-0000-0000-0000C5400000}"/>
    <cellStyle name="Normal 9 20" xfId="15016" xr:uid="{00000000-0005-0000-0000-0000C6400000}"/>
    <cellStyle name="Normal 9 21" xfId="15017" xr:uid="{00000000-0005-0000-0000-0000C7400000}"/>
    <cellStyle name="Normal 9 22" xfId="15018" xr:uid="{00000000-0005-0000-0000-0000C8400000}"/>
    <cellStyle name="Normal 9 23" xfId="15019" xr:uid="{00000000-0005-0000-0000-0000C9400000}"/>
    <cellStyle name="Normal 9 24" xfId="15020" xr:uid="{00000000-0005-0000-0000-0000CA400000}"/>
    <cellStyle name="Normal 9 25" xfId="15021" xr:uid="{00000000-0005-0000-0000-0000CB400000}"/>
    <cellStyle name="Normal 9 26" xfId="15022" xr:uid="{00000000-0005-0000-0000-0000CC400000}"/>
    <cellStyle name="Normal 9 27" xfId="15023" xr:uid="{00000000-0005-0000-0000-0000CD400000}"/>
    <cellStyle name="Normal 9 28" xfId="15024" xr:uid="{00000000-0005-0000-0000-0000CE400000}"/>
    <cellStyle name="Normal 9 29" xfId="15025" xr:uid="{00000000-0005-0000-0000-0000CF400000}"/>
    <cellStyle name="Normal 9 3" xfId="483" xr:uid="{00000000-0005-0000-0000-0000D0400000}"/>
    <cellStyle name="Normal 9 3 2" xfId="484" xr:uid="{00000000-0005-0000-0000-0000D1400000}"/>
    <cellStyle name="Normal 9 3 2 2" xfId="485" xr:uid="{00000000-0005-0000-0000-0000D2400000}"/>
    <cellStyle name="Normal 9 3 2 2 2" xfId="486" xr:uid="{00000000-0005-0000-0000-0000D3400000}"/>
    <cellStyle name="Normal 9 3 2 3" xfId="487" xr:uid="{00000000-0005-0000-0000-0000D4400000}"/>
    <cellStyle name="Normal 9 3 3" xfId="488" xr:uid="{00000000-0005-0000-0000-0000D5400000}"/>
    <cellStyle name="Normal 9 3 3 2" xfId="489" xr:uid="{00000000-0005-0000-0000-0000D6400000}"/>
    <cellStyle name="Normal 9 3 4" xfId="490" xr:uid="{00000000-0005-0000-0000-0000D7400000}"/>
    <cellStyle name="Normal 9 30" xfId="14946" xr:uid="{00000000-0005-0000-0000-0000D8400000}"/>
    <cellStyle name="Normal 9 4" xfId="491" xr:uid="{00000000-0005-0000-0000-0000D9400000}"/>
    <cellStyle name="Normal 9 4 2" xfId="492" xr:uid="{00000000-0005-0000-0000-0000DA400000}"/>
    <cellStyle name="Normal 9 4 2 2" xfId="493" xr:uid="{00000000-0005-0000-0000-0000DB400000}"/>
    <cellStyle name="Normal 9 4 2 3" xfId="15026" xr:uid="{00000000-0005-0000-0000-0000DC400000}"/>
    <cellStyle name="Normal 9 4 3" xfId="494" xr:uid="{00000000-0005-0000-0000-0000DD400000}"/>
    <cellStyle name="Normal 9 4 4" xfId="15027" xr:uid="{00000000-0005-0000-0000-0000DE400000}"/>
    <cellStyle name="Normal 9 5" xfId="495" xr:uid="{00000000-0005-0000-0000-0000DF400000}"/>
    <cellStyle name="Normal 9 5 2" xfId="496" xr:uid="{00000000-0005-0000-0000-0000E0400000}"/>
    <cellStyle name="Normal 9 5 2 2" xfId="497" xr:uid="{00000000-0005-0000-0000-0000E1400000}"/>
    <cellStyle name="Normal 9 5 3" xfId="498" xr:uid="{00000000-0005-0000-0000-0000E2400000}"/>
    <cellStyle name="Normal 9 6" xfId="499" xr:uid="{00000000-0005-0000-0000-0000E3400000}"/>
    <cellStyle name="Normal 9 6 2" xfId="500" xr:uid="{00000000-0005-0000-0000-0000E4400000}"/>
    <cellStyle name="Normal 9 6 2 2" xfId="501" xr:uid="{00000000-0005-0000-0000-0000E5400000}"/>
    <cellStyle name="Normal 9 6 3" xfId="502" xr:uid="{00000000-0005-0000-0000-0000E6400000}"/>
    <cellStyle name="Normal 9 6 4" xfId="15028" xr:uid="{00000000-0005-0000-0000-0000E7400000}"/>
    <cellStyle name="Normal 9 7" xfId="503" xr:uid="{00000000-0005-0000-0000-0000E8400000}"/>
    <cellStyle name="Normal 9 7 2" xfId="504" xr:uid="{00000000-0005-0000-0000-0000E9400000}"/>
    <cellStyle name="Normal 9 8" xfId="505" xr:uid="{00000000-0005-0000-0000-0000EA400000}"/>
    <cellStyle name="Normal 9 9" xfId="15029" xr:uid="{00000000-0005-0000-0000-0000EB400000}"/>
    <cellStyle name="Normal 90" xfId="506" xr:uid="{00000000-0005-0000-0000-0000EC400000}"/>
    <cellStyle name="Normal 91" xfId="507" xr:uid="{00000000-0005-0000-0000-0000ED400000}"/>
    <cellStyle name="Normal 92" xfId="508" xr:uid="{00000000-0005-0000-0000-0000EE400000}"/>
    <cellStyle name="Normal 93" xfId="509" xr:uid="{00000000-0005-0000-0000-0000EF400000}"/>
    <cellStyle name="Normal 94" xfId="510" xr:uid="{00000000-0005-0000-0000-0000F0400000}"/>
    <cellStyle name="Normal 95" xfId="511" xr:uid="{00000000-0005-0000-0000-0000F1400000}"/>
    <cellStyle name="Normal 96" xfId="512" xr:uid="{00000000-0005-0000-0000-0000F2400000}"/>
    <cellStyle name="Normal 97" xfId="513" xr:uid="{00000000-0005-0000-0000-0000F3400000}"/>
    <cellStyle name="Normal 98" xfId="514" xr:uid="{00000000-0005-0000-0000-0000F4400000}"/>
    <cellStyle name="Normal 99" xfId="975" xr:uid="{00000000-0005-0000-0000-0000F5400000}"/>
    <cellStyle name="Normal 99 2" xfId="28189" xr:uid="{4B4654E0-5D86-4584-A0CA-EA77EF7C472B}"/>
    <cellStyle name="normální_Business Plan MCE" xfId="15030" xr:uid="{00000000-0005-0000-0000-0000F6400000}"/>
    <cellStyle name="Nota" xfId="515" builtinId="10" customBuiltin="1"/>
    <cellStyle name="Nota 10" xfId="15031" xr:uid="{00000000-0005-0000-0000-0000F8400000}"/>
    <cellStyle name="Nota 10 2" xfId="25877" xr:uid="{00000000-0005-0000-0000-0000F9400000}"/>
    <cellStyle name="Nota 10 2 2" xfId="25878" xr:uid="{00000000-0005-0000-0000-0000FA400000}"/>
    <cellStyle name="Nota 10 2 2 2" xfId="25879" xr:uid="{00000000-0005-0000-0000-0000FB400000}"/>
    <cellStyle name="Nota 10 2 3" xfId="25880" xr:uid="{00000000-0005-0000-0000-0000FC400000}"/>
    <cellStyle name="Nota 10 3" xfId="25881" xr:uid="{00000000-0005-0000-0000-0000FD400000}"/>
    <cellStyle name="Nota 10 3 2" xfId="25882" xr:uid="{00000000-0005-0000-0000-0000FE400000}"/>
    <cellStyle name="Nota 10 4" xfId="25883" xr:uid="{00000000-0005-0000-0000-0000FF400000}"/>
    <cellStyle name="Nota 11" xfId="15032" xr:uid="{00000000-0005-0000-0000-000000410000}"/>
    <cellStyle name="Nota 11 2" xfId="25884" xr:uid="{00000000-0005-0000-0000-000001410000}"/>
    <cellStyle name="Nota 11 2 2" xfId="25885" xr:uid="{00000000-0005-0000-0000-000002410000}"/>
    <cellStyle name="Nota 11 3" xfId="25886" xr:uid="{00000000-0005-0000-0000-000003410000}"/>
    <cellStyle name="Nota 12" xfId="15033" xr:uid="{00000000-0005-0000-0000-000004410000}"/>
    <cellStyle name="Nota 12 2" xfId="25887" xr:uid="{00000000-0005-0000-0000-000005410000}"/>
    <cellStyle name="Nota 12 2 2" xfId="25888" xr:uid="{00000000-0005-0000-0000-000006410000}"/>
    <cellStyle name="Nota 12 3" xfId="25889" xr:uid="{00000000-0005-0000-0000-000007410000}"/>
    <cellStyle name="Nota 13" xfId="15034" xr:uid="{00000000-0005-0000-0000-000008410000}"/>
    <cellStyle name="Nota 13 2" xfId="25891" xr:uid="{00000000-0005-0000-0000-000009410000}"/>
    <cellStyle name="Nota 13 2 2" xfId="27304" xr:uid="{00000000-0005-0000-0000-00000A410000}"/>
    <cellStyle name="Nota 13 2 2 2" xfId="33143" xr:uid="{96719B95-8A35-4FB6-818A-4DB6442ED71C}"/>
    <cellStyle name="Nota 13 3" xfId="25890" xr:uid="{00000000-0005-0000-0000-00000B410000}"/>
    <cellStyle name="Nota 13 4" xfId="27303" xr:uid="{00000000-0005-0000-0000-00000C410000}"/>
    <cellStyle name="Nota 13 4 2" xfId="33142" xr:uid="{6AE04430-44EC-4085-BA92-5B9C8D1E5DDF}"/>
    <cellStyle name="Nota 14" xfId="15035" xr:uid="{00000000-0005-0000-0000-00000D410000}"/>
    <cellStyle name="Nota 14 2" xfId="26110" xr:uid="{00000000-0005-0000-0000-00000E410000}"/>
    <cellStyle name="Nota 2" xfId="516" xr:uid="{00000000-0005-0000-0000-00000F410000}"/>
    <cellStyle name="Nota 2 10" xfId="15037" xr:uid="{00000000-0005-0000-0000-000010410000}"/>
    <cellStyle name="Nota 2 10 2" xfId="15038" xr:uid="{00000000-0005-0000-0000-000011410000}"/>
    <cellStyle name="Nota 2 10 2 2" xfId="24646" xr:uid="{00000000-0005-0000-0000-000012410000}"/>
    <cellStyle name="Nota 2 10 2 2 2" xfId="32655" xr:uid="{609C4DD5-569F-4422-9CC1-0ECA3483083D}"/>
    <cellStyle name="Nota 2 10 3" xfId="24645" xr:uid="{00000000-0005-0000-0000-000013410000}"/>
    <cellStyle name="Nota 2 10 3 2" xfId="32654" xr:uid="{D5E6AF8E-206F-4D6C-9E1E-0567FE680456}"/>
    <cellStyle name="Nota 2 11" xfId="15039" xr:uid="{00000000-0005-0000-0000-000014410000}"/>
    <cellStyle name="Nota 2 11 2" xfId="15040" xr:uid="{00000000-0005-0000-0000-000015410000}"/>
    <cellStyle name="Nota 2 11 2 2" xfId="24648" xr:uid="{00000000-0005-0000-0000-000016410000}"/>
    <cellStyle name="Nota 2 11 2 2 2" xfId="32657" xr:uid="{CB102524-17D9-440D-B965-9429F09BE21E}"/>
    <cellStyle name="Nota 2 11 3" xfId="24647" xr:uid="{00000000-0005-0000-0000-000017410000}"/>
    <cellStyle name="Nota 2 11 3 2" xfId="32656" xr:uid="{547A39BF-D384-4A42-9802-2E6B05035DAF}"/>
    <cellStyle name="Nota 2 12" xfId="15041" xr:uid="{00000000-0005-0000-0000-000018410000}"/>
    <cellStyle name="Nota 2 12 2" xfId="15042" xr:uid="{00000000-0005-0000-0000-000019410000}"/>
    <cellStyle name="Nota 2 12 2 2" xfId="24650" xr:uid="{00000000-0005-0000-0000-00001A410000}"/>
    <cellStyle name="Nota 2 12 2 2 2" xfId="32659" xr:uid="{36FDB934-7E85-4C30-A5BC-97B9241A2EAE}"/>
    <cellStyle name="Nota 2 12 3" xfId="24649" xr:uid="{00000000-0005-0000-0000-00001B410000}"/>
    <cellStyle name="Nota 2 12 3 2" xfId="32658" xr:uid="{77D4C358-B646-4FF1-8A36-5FA912326D4C}"/>
    <cellStyle name="Nota 2 13" xfId="15043" xr:uid="{00000000-0005-0000-0000-00001C410000}"/>
    <cellStyle name="Nota 2 13 2" xfId="24651" xr:uid="{00000000-0005-0000-0000-00001D410000}"/>
    <cellStyle name="Nota 2 13 2 2" xfId="32660" xr:uid="{1E4112CE-6B8E-43CF-ACC6-E456965F02E5}"/>
    <cellStyle name="Nota 2 14" xfId="15036" xr:uid="{00000000-0005-0000-0000-00001E410000}"/>
    <cellStyle name="Nota 2 15" xfId="24644" xr:uid="{00000000-0005-0000-0000-00001F410000}"/>
    <cellStyle name="Nota 2 15 2" xfId="32653" xr:uid="{BD6E5FDC-D47D-4C45-B4B6-5E7B2EFF4CEF}"/>
    <cellStyle name="Nota 2 2" xfId="517" xr:uid="{00000000-0005-0000-0000-000020410000}"/>
    <cellStyle name="Nota 2 2 2" xfId="15045" xr:uid="{00000000-0005-0000-0000-000021410000}"/>
    <cellStyle name="Nota 2 2 2 2" xfId="24653" xr:uid="{00000000-0005-0000-0000-000022410000}"/>
    <cellStyle name="Nota 2 2 2 2 2" xfId="25895" xr:uid="{00000000-0005-0000-0000-000023410000}"/>
    <cellStyle name="Nota 2 2 2 2 3" xfId="25894" xr:uid="{00000000-0005-0000-0000-000024410000}"/>
    <cellStyle name="Nota 2 2 2 2 4" xfId="32662" xr:uid="{2EC8C129-CE5B-4DD2-9088-1ADDFB3F6520}"/>
    <cellStyle name="Nota 2 2 2 3" xfId="25896" xr:uid="{00000000-0005-0000-0000-000025410000}"/>
    <cellStyle name="Nota 2 2 2 4" xfId="25893" xr:uid="{00000000-0005-0000-0000-000026410000}"/>
    <cellStyle name="Nota 2 2 3" xfId="15044" xr:uid="{00000000-0005-0000-0000-000027410000}"/>
    <cellStyle name="Nota 2 2 3 2" xfId="27113" xr:uid="{00000000-0005-0000-0000-000028410000}"/>
    <cellStyle name="Nota 2 2 3 3" xfId="25897" xr:uid="{00000000-0005-0000-0000-000029410000}"/>
    <cellStyle name="Nota 2 2 4" xfId="24652" xr:uid="{00000000-0005-0000-0000-00002A410000}"/>
    <cellStyle name="Nota 2 2 4 2" xfId="25898" xr:uid="{00000000-0005-0000-0000-00002B410000}"/>
    <cellStyle name="Nota 2 2 4 3" xfId="32661" xr:uid="{73660FE0-DAEB-4A05-AE28-C746F16A7220}"/>
    <cellStyle name="Nota 2 2 5" xfId="25899" xr:uid="{00000000-0005-0000-0000-00002C410000}"/>
    <cellStyle name="Nota 2 2 5 2" xfId="27114" xr:uid="{00000000-0005-0000-0000-00002D410000}"/>
    <cellStyle name="Nota 2 2 6" xfId="25892" xr:uid="{00000000-0005-0000-0000-00002E410000}"/>
    <cellStyle name="Nota 2 3" xfId="15046" xr:uid="{00000000-0005-0000-0000-00002F410000}"/>
    <cellStyle name="Nota 2 3 10" xfId="15047" xr:uid="{00000000-0005-0000-0000-000030410000}"/>
    <cellStyle name="Nota 2 3 11" xfId="15048" xr:uid="{00000000-0005-0000-0000-000031410000}"/>
    <cellStyle name="Nota 2 3 12" xfId="15049" xr:uid="{00000000-0005-0000-0000-000032410000}"/>
    <cellStyle name="Nota 2 3 13" xfId="15050" xr:uid="{00000000-0005-0000-0000-000033410000}"/>
    <cellStyle name="Nota 2 3 13 2" xfId="24655" xr:uid="{00000000-0005-0000-0000-000034410000}"/>
    <cellStyle name="Nota 2 3 13 2 2" xfId="32664" xr:uid="{2B55CDDA-B6DE-46DE-9104-B29B8096C459}"/>
    <cellStyle name="Nota 2 3 14" xfId="24654" xr:uid="{00000000-0005-0000-0000-000035410000}"/>
    <cellStyle name="Nota 2 3 14 2" xfId="32663" xr:uid="{40BD73ED-A776-41B1-ABD6-7E2D5ACB430F}"/>
    <cellStyle name="Nota 2 3 15" xfId="25900" xr:uid="{00000000-0005-0000-0000-000036410000}"/>
    <cellStyle name="Nota 2 3 16" xfId="27302" xr:uid="{00000000-0005-0000-0000-000037410000}"/>
    <cellStyle name="Nota 2 3 16 2" xfId="33141" xr:uid="{48B2B661-3959-4E27-8841-E6EBA6592ED4}"/>
    <cellStyle name="Nota 2 3 2" xfId="15051" xr:uid="{00000000-0005-0000-0000-000038410000}"/>
    <cellStyle name="Nota 2 3 2 10" xfId="15052" xr:uid="{00000000-0005-0000-0000-000039410000}"/>
    <cellStyle name="Nota 2 3 2 10 2" xfId="15053" xr:uid="{00000000-0005-0000-0000-00003A410000}"/>
    <cellStyle name="Nota 2 3 2 10 2 2" xfId="24658" xr:uid="{00000000-0005-0000-0000-00003B410000}"/>
    <cellStyle name="Nota 2 3 2 10 2 2 2" xfId="32667" xr:uid="{058EF34F-B7D7-44FB-A688-F375D8218938}"/>
    <cellStyle name="Nota 2 3 2 10 3" xfId="24657" xr:uid="{00000000-0005-0000-0000-00003C410000}"/>
    <cellStyle name="Nota 2 3 2 10 3 2" xfId="32666" xr:uid="{D5D3B70B-0C7F-4232-A848-3DEE122E4A30}"/>
    <cellStyle name="Nota 2 3 2 11" xfId="24656" xr:uid="{00000000-0005-0000-0000-00003D410000}"/>
    <cellStyle name="Nota 2 3 2 11 2" xfId="32665" xr:uid="{832770AD-3094-457B-945F-715A9E341BBC}"/>
    <cellStyle name="Nota 2 3 2 12" xfId="25901" xr:uid="{00000000-0005-0000-0000-00003E410000}"/>
    <cellStyle name="Nota 2 3 2 2" xfId="15054" xr:uid="{00000000-0005-0000-0000-00003F410000}"/>
    <cellStyle name="Nota 2 3 2 2 2" xfId="15055" xr:uid="{00000000-0005-0000-0000-000040410000}"/>
    <cellStyle name="Nota 2 3 2 2 2 2" xfId="24660" xr:uid="{00000000-0005-0000-0000-000041410000}"/>
    <cellStyle name="Nota 2 3 2 2 2 2 2" xfId="32669" xr:uid="{228F0F3B-EA9C-4D6E-B8EA-4054AB6309B2}"/>
    <cellStyle name="Nota 2 3 2 2 3" xfId="24659" xr:uid="{00000000-0005-0000-0000-000042410000}"/>
    <cellStyle name="Nota 2 3 2 2 3 2" xfId="32668" xr:uid="{CC098C76-9FD4-44E9-90D8-40A569009BB3}"/>
    <cellStyle name="Nota 2 3 2 2 4" xfId="27116" xr:uid="{00000000-0005-0000-0000-000043410000}"/>
    <cellStyle name="Nota 2 3 2 3" xfId="15056" xr:uid="{00000000-0005-0000-0000-000044410000}"/>
    <cellStyle name="Nota 2 3 2 3 2" xfId="15057" xr:uid="{00000000-0005-0000-0000-000045410000}"/>
    <cellStyle name="Nota 2 3 2 3 2 2" xfId="24662" xr:uid="{00000000-0005-0000-0000-000046410000}"/>
    <cellStyle name="Nota 2 3 2 3 2 2 2" xfId="32671" xr:uid="{E55BF290-D47C-4300-8F08-B0590D186565}"/>
    <cellStyle name="Nota 2 3 2 3 3" xfId="24661" xr:uid="{00000000-0005-0000-0000-000047410000}"/>
    <cellStyle name="Nota 2 3 2 3 3 2" xfId="32670" xr:uid="{C803C134-F455-4521-B7FE-9E60951CAB10}"/>
    <cellStyle name="Nota 2 3 2 4" xfId="15058" xr:uid="{00000000-0005-0000-0000-000048410000}"/>
    <cellStyle name="Nota 2 3 2 4 2" xfId="15059" xr:uid="{00000000-0005-0000-0000-000049410000}"/>
    <cellStyle name="Nota 2 3 2 4 2 2" xfId="24664" xr:uid="{00000000-0005-0000-0000-00004A410000}"/>
    <cellStyle name="Nota 2 3 2 4 2 2 2" xfId="32673" xr:uid="{A067DA22-FAFF-4B53-888F-6900841FE6CA}"/>
    <cellStyle name="Nota 2 3 2 4 3" xfId="24663" xr:uid="{00000000-0005-0000-0000-00004B410000}"/>
    <cellStyle name="Nota 2 3 2 4 3 2" xfId="32672" xr:uid="{6B2EFCF3-C495-49F5-A801-9ABA2D23360B}"/>
    <cellStyle name="Nota 2 3 2 5" xfId="15060" xr:uid="{00000000-0005-0000-0000-00004C410000}"/>
    <cellStyle name="Nota 2 3 2 5 2" xfId="15061" xr:uid="{00000000-0005-0000-0000-00004D410000}"/>
    <cellStyle name="Nota 2 3 2 5 2 2" xfId="24666" xr:uid="{00000000-0005-0000-0000-00004E410000}"/>
    <cellStyle name="Nota 2 3 2 5 2 2 2" xfId="32675" xr:uid="{122162D1-36C5-4467-B0F9-4CFBA2075F16}"/>
    <cellStyle name="Nota 2 3 2 5 3" xfId="24665" xr:uid="{00000000-0005-0000-0000-00004F410000}"/>
    <cellStyle name="Nota 2 3 2 5 3 2" xfId="32674" xr:uid="{3FAC95A4-3E64-4702-A4E7-5948FDF9E71B}"/>
    <cellStyle name="Nota 2 3 2 6" xfId="15062" xr:uid="{00000000-0005-0000-0000-000050410000}"/>
    <cellStyle name="Nota 2 3 2 6 2" xfId="15063" xr:uid="{00000000-0005-0000-0000-000051410000}"/>
    <cellStyle name="Nota 2 3 2 6 2 2" xfId="24668" xr:uid="{00000000-0005-0000-0000-000052410000}"/>
    <cellStyle name="Nota 2 3 2 6 2 2 2" xfId="32677" xr:uid="{E988FADD-6892-4B93-B038-F9815E08098F}"/>
    <cellStyle name="Nota 2 3 2 6 3" xfId="24667" xr:uid="{00000000-0005-0000-0000-000053410000}"/>
    <cellStyle name="Nota 2 3 2 6 3 2" xfId="32676" xr:uid="{00F73779-B7E3-40EF-9CC8-63E0F5F70F39}"/>
    <cellStyle name="Nota 2 3 2 7" xfId="15064" xr:uid="{00000000-0005-0000-0000-000054410000}"/>
    <cellStyle name="Nota 2 3 2 7 2" xfId="15065" xr:uid="{00000000-0005-0000-0000-000055410000}"/>
    <cellStyle name="Nota 2 3 2 7 2 2" xfId="24670" xr:uid="{00000000-0005-0000-0000-000056410000}"/>
    <cellStyle name="Nota 2 3 2 7 2 2 2" xfId="32679" xr:uid="{01C158EF-1EAC-47D0-9A83-CEF66582A6CA}"/>
    <cellStyle name="Nota 2 3 2 7 3" xfId="24669" xr:uid="{00000000-0005-0000-0000-000057410000}"/>
    <cellStyle name="Nota 2 3 2 7 3 2" xfId="32678" xr:uid="{C0A9A08E-187F-4A88-A055-D13717A05528}"/>
    <cellStyle name="Nota 2 3 2 8" xfId="15066" xr:uid="{00000000-0005-0000-0000-000058410000}"/>
    <cellStyle name="Nota 2 3 2 8 2" xfId="15067" xr:uid="{00000000-0005-0000-0000-000059410000}"/>
    <cellStyle name="Nota 2 3 2 8 2 2" xfId="24672" xr:uid="{00000000-0005-0000-0000-00005A410000}"/>
    <cellStyle name="Nota 2 3 2 8 2 2 2" xfId="32681" xr:uid="{1B45FB78-E2B4-4AFC-BC17-D9198E38A95D}"/>
    <cellStyle name="Nota 2 3 2 8 3" xfId="24671" xr:uid="{00000000-0005-0000-0000-00005B410000}"/>
    <cellStyle name="Nota 2 3 2 8 3 2" xfId="32680" xr:uid="{3A86EA38-24C8-4BA5-86A8-58E2FB266C61}"/>
    <cellStyle name="Nota 2 3 2 9" xfId="15068" xr:uid="{00000000-0005-0000-0000-00005C410000}"/>
    <cellStyle name="Nota 2 3 2 9 2" xfId="15069" xr:uid="{00000000-0005-0000-0000-00005D410000}"/>
    <cellStyle name="Nota 2 3 2 9 2 2" xfId="24674" xr:uid="{00000000-0005-0000-0000-00005E410000}"/>
    <cellStyle name="Nota 2 3 2 9 2 2 2" xfId="32683" xr:uid="{9222B92C-B858-4883-A060-E42CDD3C0DC6}"/>
    <cellStyle name="Nota 2 3 2 9 3" xfId="24673" xr:uid="{00000000-0005-0000-0000-00005F410000}"/>
    <cellStyle name="Nota 2 3 2 9 3 2" xfId="32682" xr:uid="{26DB63C0-C881-4055-97E4-FF33B8D22F43}"/>
    <cellStyle name="Nota 2 3 3" xfId="15070" xr:uid="{00000000-0005-0000-0000-000060410000}"/>
    <cellStyle name="Nota 2 3 3 2" xfId="15071" xr:uid="{00000000-0005-0000-0000-000061410000}"/>
    <cellStyle name="Nota 2 3 3 2 2" xfId="24676" xr:uid="{00000000-0005-0000-0000-000062410000}"/>
    <cellStyle name="Nota 2 3 3 2 2 2" xfId="32685" xr:uid="{2B95EEE0-2EC2-4D79-9FA6-186F7F450F09}"/>
    <cellStyle name="Nota 2 3 3 3" xfId="24675" xr:uid="{00000000-0005-0000-0000-000063410000}"/>
    <cellStyle name="Nota 2 3 3 3 2" xfId="32684" xr:uid="{39C3E6F1-4205-4AC2-9B35-B515E1372101}"/>
    <cellStyle name="Nota 2 3 3 4" xfId="27115" xr:uid="{00000000-0005-0000-0000-000064410000}"/>
    <cellStyle name="Nota 2 3 3 5" xfId="27334" xr:uid="{00000000-0005-0000-0000-000065410000}"/>
    <cellStyle name="Nota 2 3 3 5 2" xfId="33171" xr:uid="{42250272-AA6E-4A91-89DD-A7F82D7CF4AD}"/>
    <cellStyle name="Nota 2 3 4" xfId="15072" xr:uid="{00000000-0005-0000-0000-000066410000}"/>
    <cellStyle name="Nota 2 3 4 2" xfId="15073" xr:uid="{00000000-0005-0000-0000-000067410000}"/>
    <cellStyle name="Nota 2 3 4 2 2" xfId="24678" xr:uid="{00000000-0005-0000-0000-000068410000}"/>
    <cellStyle name="Nota 2 3 4 2 2 2" xfId="32687" xr:uid="{E5DA0158-BD42-4F62-8925-B2F082D32945}"/>
    <cellStyle name="Nota 2 3 4 3" xfId="24677" xr:uid="{00000000-0005-0000-0000-000069410000}"/>
    <cellStyle name="Nota 2 3 4 3 2" xfId="32686" xr:uid="{734D6680-CF9F-47DD-94F1-7242B3B70E40}"/>
    <cellStyle name="Nota 2 3 5" xfId="15074" xr:uid="{00000000-0005-0000-0000-00006A410000}"/>
    <cellStyle name="Nota 2 3 6" xfId="15075" xr:uid="{00000000-0005-0000-0000-00006B410000}"/>
    <cellStyle name="Nota 2 3 7" xfId="15076" xr:uid="{00000000-0005-0000-0000-00006C410000}"/>
    <cellStyle name="Nota 2 3 8" xfId="15077" xr:uid="{00000000-0005-0000-0000-00006D410000}"/>
    <cellStyle name="Nota 2 3 9" xfId="15078" xr:uid="{00000000-0005-0000-0000-00006E410000}"/>
    <cellStyle name="Nota 2 4" xfId="15079" xr:uid="{00000000-0005-0000-0000-00006F410000}"/>
    <cellStyle name="Nota 2 4 2" xfId="15080" xr:uid="{00000000-0005-0000-0000-000070410000}"/>
    <cellStyle name="Nota 2 4 2 2" xfId="24680" xr:uid="{00000000-0005-0000-0000-000071410000}"/>
    <cellStyle name="Nota 2 4 2 2 2" xfId="25904" xr:uid="{00000000-0005-0000-0000-000072410000}"/>
    <cellStyle name="Nota 2 4 2 2 3" xfId="32689" xr:uid="{E9551AD1-FFE6-4B3E-9836-60A6499EEF27}"/>
    <cellStyle name="Nota 2 4 2 3" xfId="25903" xr:uid="{00000000-0005-0000-0000-000073410000}"/>
    <cellStyle name="Nota 2 4 3" xfId="24679" xr:uid="{00000000-0005-0000-0000-000074410000}"/>
    <cellStyle name="Nota 2 4 3 2" xfId="25905" xr:uid="{00000000-0005-0000-0000-000075410000}"/>
    <cellStyle name="Nota 2 4 3 3" xfId="32688" xr:uid="{3F2CDB51-3EB7-4635-9135-86228042854A}"/>
    <cellStyle name="Nota 2 4 4" xfId="25902" xr:uid="{00000000-0005-0000-0000-000076410000}"/>
    <cellStyle name="Nota 2 5" xfId="15081" xr:uid="{00000000-0005-0000-0000-000077410000}"/>
    <cellStyle name="Nota 2 5 10" xfId="15082" xr:uid="{00000000-0005-0000-0000-000078410000}"/>
    <cellStyle name="Nota 2 5 11" xfId="15083" xr:uid="{00000000-0005-0000-0000-000079410000}"/>
    <cellStyle name="Nota 2 5 11 2" xfId="24682" xr:uid="{00000000-0005-0000-0000-00007A410000}"/>
    <cellStyle name="Nota 2 5 11 2 2" xfId="32691" xr:uid="{BA3F5BFF-3AEB-4175-B763-E8BDFD100661}"/>
    <cellStyle name="Nota 2 5 12" xfId="24681" xr:uid="{00000000-0005-0000-0000-00007B410000}"/>
    <cellStyle name="Nota 2 5 12 2" xfId="32690" xr:uid="{1FA72702-8059-4BEC-81C2-B48A3767CAE9}"/>
    <cellStyle name="Nota 2 5 2" xfId="15084" xr:uid="{00000000-0005-0000-0000-00007C410000}"/>
    <cellStyle name="Nota 2 5 2 2" xfId="24683" xr:uid="{00000000-0005-0000-0000-00007D410000}"/>
    <cellStyle name="Nota 2 5 2 2 2" xfId="32692" xr:uid="{B33E0EFC-A532-48C5-86FB-768920A52EF4}"/>
    <cellStyle name="Nota 2 5 2 3" xfId="25906" xr:uid="{00000000-0005-0000-0000-00007E410000}"/>
    <cellStyle name="Nota 2 5 3" xfId="15085" xr:uid="{00000000-0005-0000-0000-00007F410000}"/>
    <cellStyle name="Nota 2 5 4" xfId="15086" xr:uid="{00000000-0005-0000-0000-000080410000}"/>
    <cellStyle name="Nota 2 5 5" xfId="15087" xr:uid="{00000000-0005-0000-0000-000081410000}"/>
    <cellStyle name="Nota 2 5 6" xfId="15088" xr:uid="{00000000-0005-0000-0000-000082410000}"/>
    <cellStyle name="Nota 2 5 7" xfId="15089" xr:uid="{00000000-0005-0000-0000-000083410000}"/>
    <cellStyle name="Nota 2 5 8" xfId="15090" xr:uid="{00000000-0005-0000-0000-000084410000}"/>
    <cellStyle name="Nota 2 5 9" xfId="15091" xr:uid="{00000000-0005-0000-0000-000085410000}"/>
    <cellStyle name="Nota 2 6" xfId="15092" xr:uid="{00000000-0005-0000-0000-000086410000}"/>
    <cellStyle name="Nota 2 6 2" xfId="15093" xr:uid="{00000000-0005-0000-0000-000087410000}"/>
    <cellStyle name="Nota 2 6 2 2" xfId="24685" xr:uid="{00000000-0005-0000-0000-000088410000}"/>
    <cellStyle name="Nota 2 6 2 2 2" xfId="32694" xr:uid="{DCBBF39C-D527-4E2A-8629-2F4C2891B742}"/>
    <cellStyle name="Nota 2 6 2 3" xfId="25908" xr:uid="{00000000-0005-0000-0000-000089410000}"/>
    <cellStyle name="Nota 2 6 3" xfId="24684" xr:uid="{00000000-0005-0000-0000-00008A410000}"/>
    <cellStyle name="Nota 2 6 3 2" xfId="32693" xr:uid="{A3215850-CD26-4A59-B4AC-795F91FD8542}"/>
    <cellStyle name="Nota 2 6 4" xfId="25907" xr:uid="{00000000-0005-0000-0000-00008B410000}"/>
    <cellStyle name="Nota 2 7" xfId="15094" xr:uid="{00000000-0005-0000-0000-00008C410000}"/>
    <cellStyle name="Nota 2 7 2" xfId="15095" xr:uid="{00000000-0005-0000-0000-00008D410000}"/>
    <cellStyle name="Nota 2 7 2 2" xfId="24687" xr:uid="{00000000-0005-0000-0000-00008E410000}"/>
    <cellStyle name="Nota 2 7 2 2 2" xfId="32696" xr:uid="{B6399A64-F14E-4724-A087-D35E607901ED}"/>
    <cellStyle name="Nota 2 7 3" xfId="24686" xr:uid="{00000000-0005-0000-0000-00008F410000}"/>
    <cellStyle name="Nota 2 7 3 2" xfId="32695" xr:uid="{2C61F4B1-2FB7-485F-89A1-F9765981B64A}"/>
    <cellStyle name="Nota 2 8" xfId="15096" xr:uid="{00000000-0005-0000-0000-000090410000}"/>
    <cellStyle name="Nota 2 8 2" xfId="15097" xr:uid="{00000000-0005-0000-0000-000091410000}"/>
    <cellStyle name="Nota 2 8 2 2" xfId="24689" xr:uid="{00000000-0005-0000-0000-000092410000}"/>
    <cellStyle name="Nota 2 8 2 2 2" xfId="32698" xr:uid="{6985B25F-9418-4FFD-9AEA-81A299C8309B}"/>
    <cellStyle name="Nota 2 8 3" xfId="24688" xr:uid="{00000000-0005-0000-0000-000093410000}"/>
    <cellStyle name="Nota 2 8 3 2" xfId="32697" xr:uid="{0F838C01-E6A4-43FB-AE55-80007D3EB6A8}"/>
    <cellStyle name="Nota 2 9" xfId="15098" xr:uid="{00000000-0005-0000-0000-000094410000}"/>
    <cellStyle name="Nota 2 9 2" xfId="15099" xr:uid="{00000000-0005-0000-0000-000095410000}"/>
    <cellStyle name="Nota 2 9 2 2" xfId="24691" xr:uid="{00000000-0005-0000-0000-000096410000}"/>
    <cellStyle name="Nota 2 9 2 2 2" xfId="32700" xr:uid="{FD6D107D-9AC0-447B-8764-9C2DCDD36EE0}"/>
    <cellStyle name="Nota 2 9 3" xfId="24690" xr:uid="{00000000-0005-0000-0000-000097410000}"/>
    <cellStyle name="Nota 2 9 3 2" xfId="32699" xr:uid="{F185FEEB-B38D-4D00-95D2-6C5F8E39596E}"/>
    <cellStyle name="Nota 3" xfId="518" xr:uid="{00000000-0005-0000-0000-000098410000}"/>
    <cellStyle name="Nota 3 10" xfId="15101" xr:uid="{00000000-0005-0000-0000-000099410000}"/>
    <cellStyle name="Nota 3 10 2" xfId="15102" xr:uid="{00000000-0005-0000-0000-00009A410000}"/>
    <cellStyle name="Nota 3 10 2 2" xfId="24694" xr:uid="{00000000-0005-0000-0000-00009B410000}"/>
    <cellStyle name="Nota 3 10 2 2 2" xfId="32703" xr:uid="{796B0BDA-E893-4F45-A16B-D4B1EEBC4E53}"/>
    <cellStyle name="Nota 3 10 3" xfId="24693" xr:uid="{00000000-0005-0000-0000-00009C410000}"/>
    <cellStyle name="Nota 3 10 3 2" xfId="32702" xr:uid="{6257C225-999E-4DA5-9C6A-E542AECD4DC9}"/>
    <cellStyle name="Nota 3 11" xfId="15103" xr:uid="{00000000-0005-0000-0000-00009D410000}"/>
    <cellStyle name="Nota 3 11 2" xfId="15104" xr:uid="{00000000-0005-0000-0000-00009E410000}"/>
    <cellStyle name="Nota 3 11 2 2" xfId="24696" xr:uid="{00000000-0005-0000-0000-00009F410000}"/>
    <cellStyle name="Nota 3 11 2 2 2" xfId="32705" xr:uid="{4022D2AB-D431-4CA8-A095-A56186404777}"/>
    <cellStyle name="Nota 3 11 3" xfId="24695" xr:uid="{00000000-0005-0000-0000-0000A0410000}"/>
    <cellStyle name="Nota 3 11 3 2" xfId="32704" xr:uid="{5DFB4834-E22C-4543-9621-BF204132D727}"/>
    <cellStyle name="Nota 3 12" xfId="15105" xr:uid="{00000000-0005-0000-0000-0000A1410000}"/>
    <cellStyle name="Nota 3 12 2" xfId="15106" xr:uid="{00000000-0005-0000-0000-0000A2410000}"/>
    <cellStyle name="Nota 3 12 2 2" xfId="24698" xr:uid="{00000000-0005-0000-0000-0000A3410000}"/>
    <cellStyle name="Nota 3 12 2 2 2" xfId="32707" xr:uid="{8BC4F4C4-D994-4CE5-AEC1-64E383737C4B}"/>
    <cellStyle name="Nota 3 12 3" xfId="24697" xr:uid="{00000000-0005-0000-0000-0000A4410000}"/>
    <cellStyle name="Nota 3 12 3 2" xfId="32706" xr:uid="{80EB7BC6-EE7C-4AF3-9AE3-D4B8DF42BB70}"/>
    <cellStyle name="Nota 3 13" xfId="15107" xr:uid="{00000000-0005-0000-0000-0000A5410000}"/>
    <cellStyle name="Nota 3 13 2" xfId="24699" xr:uid="{00000000-0005-0000-0000-0000A6410000}"/>
    <cellStyle name="Nota 3 13 2 2" xfId="32708" xr:uid="{43F09E7D-90BC-4078-AB57-FCC66686E2DC}"/>
    <cellStyle name="Nota 3 14" xfId="15100" xr:uid="{00000000-0005-0000-0000-0000A7410000}"/>
    <cellStyle name="Nota 3 15" xfId="24692" xr:uid="{00000000-0005-0000-0000-0000A8410000}"/>
    <cellStyle name="Nota 3 15 2" xfId="32701" xr:uid="{17E22FF2-AD1D-4C19-8BD4-E24CDAA55DDB}"/>
    <cellStyle name="Nota 3 16" xfId="25909" xr:uid="{00000000-0005-0000-0000-0000A9410000}"/>
    <cellStyle name="Nota 3 17" xfId="27166" xr:uid="{00000000-0005-0000-0000-0000AA410000}"/>
    <cellStyle name="Nota 3 17 2" xfId="33014" xr:uid="{FF53B508-E2E2-4E57-A219-D8BFBCD0B724}"/>
    <cellStyle name="Nota 3 2" xfId="15108" xr:uid="{00000000-0005-0000-0000-0000AB410000}"/>
    <cellStyle name="Nota 3 2 2" xfId="15109" xr:uid="{00000000-0005-0000-0000-0000AC410000}"/>
    <cellStyle name="Nota 3 2 2 2" xfId="24701" xr:uid="{00000000-0005-0000-0000-0000AD410000}"/>
    <cellStyle name="Nota 3 2 2 2 2" xfId="32710" xr:uid="{1EE7FC64-D8BE-49A4-945B-4D0CC63948B8}"/>
    <cellStyle name="Nota 3 2 2 3" xfId="27118" xr:uid="{00000000-0005-0000-0000-0000AE410000}"/>
    <cellStyle name="Nota 3 2 3" xfId="24700" xr:uid="{00000000-0005-0000-0000-0000AF410000}"/>
    <cellStyle name="Nota 3 2 3 2" xfId="32709" xr:uid="{0A7BED67-D897-44F0-97AE-5B5618F70236}"/>
    <cellStyle name="Nota 3 2 4" xfId="25910" xr:uid="{00000000-0005-0000-0000-0000B0410000}"/>
    <cellStyle name="Nota 3 3" xfId="15110" xr:uid="{00000000-0005-0000-0000-0000B1410000}"/>
    <cellStyle name="Nota 3 3 10" xfId="15111" xr:uid="{00000000-0005-0000-0000-0000B2410000}"/>
    <cellStyle name="Nota 3 3 11" xfId="15112" xr:uid="{00000000-0005-0000-0000-0000B3410000}"/>
    <cellStyle name="Nota 3 3 12" xfId="15113" xr:uid="{00000000-0005-0000-0000-0000B4410000}"/>
    <cellStyle name="Nota 3 3 13" xfId="15114" xr:uid="{00000000-0005-0000-0000-0000B5410000}"/>
    <cellStyle name="Nota 3 3 13 2" xfId="24703" xr:uid="{00000000-0005-0000-0000-0000B6410000}"/>
    <cellStyle name="Nota 3 3 13 2 2" xfId="32712" xr:uid="{82DD1659-85CF-481C-8A1F-6CD61CC6E41D}"/>
    <cellStyle name="Nota 3 3 14" xfId="24702" xr:uid="{00000000-0005-0000-0000-0000B7410000}"/>
    <cellStyle name="Nota 3 3 14 2" xfId="32711" xr:uid="{459F65B7-A8E5-4EC3-8ADF-CB0D31F3299F}"/>
    <cellStyle name="Nota 3 3 2" xfId="15115" xr:uid="{00000000-0005-0000-0000-0000B8410000}"/>
    <cellStyle name="Nota 3 3 2 10" xfId="15116" xr:uid="{00000000-0005-0000-0000-0000B9410000}"/>
    <cellStyle name="Nota 3 3 2 10 2" xfId="15117" xr:uid="{00000000-0005-0000-0000-0000BA410000}"/>
    <cellStyle name="Nota 3 3 2 10 2 2" xfId="24705" xr:uid="{00000000-0005-0000-0000-0000BB410000}"/>
    <cellStyle name="Nota 3 3 2 10 2 2 2" xfId="32714" xr:uid="{CCB433BC-8C54-4D4E-B097-6C95F68E941D}"/>
    <cellStyle name="Nota 3 3 2 10 3" xfId="24704" xr:uid="{00000000-0005-0000-0000-0000BC410000}"/>
    <cellStyle name="Nota 3 3 2 10 3 2" xfId="32713" xr:uid="{FFFD7FE0-685E-4BCB-B750-D543B66420A4}"/>
    <cellStyle name="Nota 3 3 2 2" xfId="15118" xr:uid="{00000000-0005-0000-0000-0000BD410000}"/>
    <cellStyle name="Nota 3 3 2 2 2" xfId="15119" xr:uid="{00000000-0005-0000-0000-0000BE410000}"/>
    <cellStyle name="Nota 3 3 2 2 2 2" xfId="24707" xr:uid="{00000000-0005-0000-0000-0000BF410000}"/>
    <cellStyle name="Nota 3 3 2 2 2 2 2" xfId="32716" xr:uid="{DB3DA408-219F-4A39-90AE-A758C9E660DB}"/>
    <cellStyle name="Nota 3 3 2 2 3" xfId="24706" xr:uid="{00000000-0005-0000-0000-0000C0410000}"/>
    <cellStyle name="Nota 3 3 2 2 3 2" xfId="32715" xr:uid="{F2822242-F629-42CF-A833-5189B181E542}"/>
    <cellStyle name="Nota 3 3 2 3" xfId="15120" xr:uid="{00000000-0005-0000-0000-0000C1410000}"/>
    <cellStyle name="Nota 3 3 2 3 2" xfId="15121" xr:uid="{00000000-0005-0000-0000-0000C2410000}"/>
    <cellStyle name="Nota 3 3 2 3 2 2" xfId="24709" xr:uid="{00000000-0005-0000-0000-0000C3410000}"/>
    <cellStyle name="Nota 3 3 2 3 2 2 2" xfId="32718" xr:uid="{243DD209-982C-4E9A-909D-F7986DAD5E1B}"/>
    <cellStyle name="Nota 3 3 2 3 3" xfId="24708" xr:uid="{00000000-0005-0000-0000-0000C4410000}"/>
    <cellStyle name="Nota 3 3 2 3 3 2" xfId="32717" xr:uid="{808F6B8C-A1AC-47ED-88D0-9EC3F4813537}"/>
    <cellStyle name="Nota 3 3 2 4" xfId="15122" xr:uid="{00000000-0005-0000-0000-0000C5410000}"/>
    <cellStyle name="Nota 3 3 2 4 2" xfId="15123" xr:uid="{00000000-0005-0000-0000-0000C6410000}"/>
    <cellStyle name="Nota 3 3 2 4 2 2" xfId="24711" xr:uid="{00000000-0005-0000-0000-0000C7410000}"/>
    <cellStyle name="Nota 3 3 2 4 2 2 2" xfId="32720" xr:uid="{671A1FC8-E587-4F4E-BE21-DA7A3916A144}"/>
    <cellStyle name="Nota 3 3 2 4 3" xfId="24710" xr:uid="{00000000-0005-0000-0000-0000C8410000}"/>
    <cellStyle name="Nota 3 3 2 4 3 2" xfId="32719" xr:uid="{91B7D93E-0DA7-42D2-ADF5-E767995F5462}"/>
    <cellStyle name="Nota 3 3 2 5" xfId="15124" xr:uid="{00000000-0005-0000-0000-0000C9410000}"/>
    <cellStyle name="Nota 3 3 2 5 2" xfId="15125" xr:uid="{00000000-0005-0000-0000-0000CA410000}"/>
    <cellStyle name="Nota 3 3 2 5 2 2" xfId="24713" xr:uid="{00000000-0005-0000-0000-0000CB410000}"/>
    <cellStyle name="Nota 3 3 2 5 2 2 2" xfId="32722" xr:uid="{2FC4A154-913F-449D-8495-99C47345167D}"/>
    <cellStyle name="Nota 3 3 2 5 3" xfId="24712" xr:uid="{00000000-0005-0000-0000-0000CC410000}"/>
    <cellStyle name="Nota 3 3 2 5 3 2" xfId="32721" xr:uid="{5D668118-FBF3-439D-B65D-48CB7DCEB415}"/>
    <cellStyle name="Nota 3 3 2 6" xfId="15126" xr:uid="{00000000-0005-0000-0000-0000CD410000}"/>
    <cellStyle name="Nota 3 3 2 6 2" xfId="15127" xr:uid="{00000000-0005-0000-0000-0000CE410000}"/>
    <cellStyle name="Nota 3 3 2 6 2 2" xfId="24715" xr:uid="{00000000-0005-0000-0000-0000CF410000}"/>
    <cellStyle name="Nota 3 3 2 6 2 2 2" xfId="32724" xr:uid="{DBFB66F0-535D-4110-BEE9-5E869D61E87D}"/>
    <cellStyle name="Nota 3 3 2 6 3" xfId="24714" xr:uid="{00000000-0005-0000-0000-0000D0410000}"/>
    <cellStyle name="Nota 3 3 2 6 3 2" xfId="32723" xr:uid="{693767AA-C883-4D7F-999A-10B1B37C10BC}"/>
    <cellStyle name="Nota 3 3 2 7" xfId="15128" xr:uid="{00000000-0005-0000-0000-0000D1410000}"/>
    <cellStyle name="Nota 3 3 2 7 2" xfId="15129" xr:uid="{00000000-0005-0000-0000-0000D2410000}"/>
    <cellStyle name="Nota 3 3 2 7 2 2" xfId="24717" xr:uid="{00000000-0005-0000-0000-0000D3410000}"/>
    <cellStyle name="Nota 3 3 2 7 2 2 2" xfId="32726" xr:uid="{3C7905A1-41EF-442F-810B-EC6062F02211}"/>
    <cellStyle name="Nota 3 3 2 7 3" xfId="24716" xr:uid="{00000000-0005-0000-0000-0000D4410000}"/>
    <cellStyle name="Nota 3 3 2 7 3 2" xfId="32725" xr:uid="{9EF39761-A69B-4DD7-BF15-0152807F22CB}"/>
    <cellStyle name="Nota 3 3 2 8" xfId="15130" xr:uid="{00000000-0005-0000-0000-0000D5410000}"/>
    <cellStyle name="Nota 3 3 2 8 2" xfId="15131" xr:uid="{00000000-0005-0000-0000-0000D6410000}"/>
    <cellStyle name="Nota 3 3 2 8 2 2" xfId="24719" xr:uid="{00000000-0005-0000-0000-0000D7410000}"/>
    <cellStyle name="Nota 3 3 2 8 2 2 2" xfId="32728" xr:uid="{3D616FDF-D82C-487C-B893-456FB0122A27}"/>
    <cellStyle name="Nota 3 3 2 8 3" xfId="24718" xr:uid="{00000000-0005-0000-0000-0000D8410000}"/>
    <cellStyle name="Nota 3 3 2 8 3 2" xfId="32727" xr:uid="{81377E21-3003-467B-8DF1-ED836AB05C03}"/>
    <cellStyle name="Nota 3 3 2 9" xfId="15132" xr:uid="{00000000-0005-0000-0000-0000D9410000}"/>
    <cellStyle name="Nota 3 3 2 9 2" xfId="15133" xr:uid="{00000000-0005-0000-0000-0000DA410000}"/>
    <cellStyle name="Nota 3 3 2 9 2 2" xfId="24721" xr:uid="{00000000-0005-0000-0000-0000DB410000}"/>
    <cellStyle name="Nota 3 3 2 9 2 2 2" xfId="32730" xr:uid="{3939640C-B3FC-47E8-B4B4-94652A5E252E}"/>
    <cellStyle name="Nota 3 3 2 9 3" xfId="24720" xr:uid="{00000000-0005-0000-0000-0000DC410000}"/>
    <cellStyle name="Nota 3 3 2 9 3 2" xfId="32729" xr:uid="{3C8439F8-A6C0-4200-BC16-45B267E8D27F}"/>
    <cellStyle name="Nota 3 3 3" xfId="15134" xr:uid="{00000000-0005-0000-0000-0000DD410000}"/>
    <cellStyle name="Nota 3 3 3 2" xfId="15135" xr:uid="{00000000-0005-0000-0000-0000DE410000}"/>
    <cellStyle name="Nota 3 3 3 2 2" xfId="24723" xr:uid="{00000000-0005-0000-0000-0000DF410000}"/>
    <cellStyle name="Nota 3 3 3 2 2 2" xfId="32732" xr:uid="{9A0DEBCD-1DCB-424C-B482-1DD70D984CA4}"/>
    <cellStyle name="Nota 3 3 3 3" xfId="24722" xr:uid="{00000000-0005-0000-0000-0000E0410000}"/>
    <cellStyle name="Nota 3 3 3 3 2" xfId="32731" xr:uid="{7472E029-0584-4DEC-AB9C-ECC09B2468E2}"/>
    <cellStyle name="Nota 3 3 4" xfId="15136" xr:uid="{00000000-0005-0000-0000-0000E1410000}"/>
    <cellStyle name="Nota 3 3 4 2" xfId="15137" xr:uid="{00000000-0005-0000-0000-0000E2410000}"/>
    <cellStyle name="Nota 3 3 4 2 2" xfId="24725" xr:uid="{00000000-0005-0000-0000-0000E3410000}"/>
    <cellStyle name="Nota 3 3 4 2 2 2" xfId="32734" xr:uid="{CEBAE363-764F-4A16-B83E-83F8991EBF5F}"/>
    <cellStyle name="Nota 3 3 4 3" xfId="24724" xr:uid="{00000000-0005-0000-0000-0000E4410000}"/>
    <cellStyle name="Nota 3 3 4 3 2" xfId="32733" xr:uid="{ADB0DC1C-D388-478F-AB25-2AEF997494D7}"/>
    <cellStyle name="Nota 3 3 5" xfId="15138" xr:uid="{00000000-0005-0000-0000-0000E5410000}"/>
    <cellStyle name="Nota 3 3 6" xfId="15139" xr:uid="{00000000-0005-0000-0000-0000E6410000}"/>
    <cellStyle name="Nota 3 3 7" xfId="15140" xr:uid="{00000000-0005-0000-0000-0000E7410000}"/>
    <cellStyle name="Nota 3 3 8" xfId="15141" xr:uid="{00000000-0005-0000-0000-0000E8410000}"/>
    <cellStyle name="Nota 3 3 9" xfId="15142" xr:uid="{00000000-0005-0000-0000-0000E9410000}"/>
    <cellStyle name="Nota 3 4" xfId="15143" xr:uid="{00000000-0005-0000-0000-0000EA410000}"/>
    <cellStyle name="Nota 3 4 2" xfId="15144" xr:uid="{00000000-0005-0000-0000-0000EB410000}"/>
    <cellStyle name="Nota 3 4 2 2" xfId="24727" xr:uid="{00000000-0005-0000-0000-0000EC410000}"/>
    <cellStyle name="Nota 3 4 2 2 2" xfId="25913" xr:uid="{00000000-0005-0000-0000-0000ED410000}"/>
    <cellStyle name="Nota 3 4 2 2 3" xfId="32736" xr:uid="{C9B7C539-8C3C-4A06-BCCC-06A0ED182FDC}"/>
    <cellStyle name="Nota 3 4 2 3" xfId="25912" xr:uid="{00000000-0005-0000-0000-0000EE410000}"/>
    <cellStyle name="Nota 3 4 3" xfId="24726" xr:uid="{00000000-0005-0000-0000-0000EF410000}"/>
    <cellStyle name="Nota 3 4 3 2" xfId="25914" xr:uid="{00000000-0005-0000-0000-0000F0410000}"/>
    <cellStyle name="Nota 3 4 3 3" xfId="32735" xr:uid="{27A74E62-6C96-4E72-9308-D49FA33EB2F9}"/>
    <cellStyle name="Nota 3 4 4" xfId="25911" xr:uid="{00000000-0005-0000-0000-0000F1410000}"/>
    <cellStyle name="Nota 3 5" xfId="15145" xr:uid="{00000000-0005-0000-0000-0000F2410000}"/>
    <cellStyle name="Nota 3 5 10" xfId="15146" xr:uid="{00000000-0005-0000-0000-0000F3410000}"/>
    <cellStyle name="Nota 3 5 11" xfId="15147" xr:uid="{00000000-0005-0000-0000-0000F4410000}"/>
    <cellStyle name="Nota 3 5 11 2" xfId="24729" xr:uid="{00000000-0005-0000-0000-0000F5410000}"/>
    <cellStyle name="Nota 3 5 11 2 2" xfId="32738" xr:uid="{E39823BC-EC16-4348-B5C7-30BDFF3AEEB0}"/>
    <cellStyle name="Nota 3 5 12" xfId="24728" xr:uid="{00000000-0005-0000-0000-0000F6410000}"/>
    <cellStyle name="Nota 3 5 12 2" xfId="32737" xr:uid="{9A7B8807-7568-4238-9000-CA85D8D862F4}"/>
    <cellStyle name="Nota 3 5 13" xfId="25915" xr:uid="{00000000-0005-0000-0000-0000F7410000}"/>
    <cellStyle name="Nota 3 5 14" xfId="27165" xr:uid="{00000000-0005-0000-0000-0000F8410000}"/>
    <cellStyle name="Nota 3 5 14 2" xfId="33013" xr:uid="{0786853D-8BDC-425B-91CF-738CDF0C5782}"/>
    <cellStyle name="Nota 3 5 2" xfId="15148" xr:uid="{00000000-0005-0000-0000-0000F9410000}"/>
    <cellStyle name="Nota 3 5 2 2" xfId="27119" xr:uid="{00000000-0005-0000-0000-0000FA410000}"/>
    <cellStyle name="Nota 3 5 2 3" xfId="27336" xr:uid="{00000000-0005-0000-0000-0000FB410000}"/>
    <cellStyle name="Nota 3 5 2 3 2" xfId="33173" xr:uid="{30702554-75F8-4E86-AEDB-365732620F02}"/>
    <cellStyle name="Nota 3 5 3" xfId="15149" xr:uid="{00000000-0005-0000-0000-0000FC410000}"/>
    <cellStyle name="Nota 3 5 4" xfId="15150" xr:uid="{00000000-0005-0000-0000-0000FD410000}"/>
    <cellStyle name="Nota 3 5 5" xfId="15151" xr:uid="{00000000-0005-0000-0000-0000FE410000}"/>
    <cellStyle name="Nota 3 5 6" xfId="15152" xr:uid="{00000000-0005-0000-0000-0000FF410000}"/>
    <cellStyle name="Nota 3 5 7" xfId="15153" xr:uid="{00000000-0005-0000-0000-000000420000}"/>
    <cellStyle name="Nota 3 5 8" xfId="15154" xr:uid="{00000000-0005-0000-0000-000001420000}"/>
    <cellStyle name="Nota 3 5 9" xfId="15155" xr:uid="{00000000-0005-0000-0000-000002420000}"/>
    <cellStyle name="Nota 3 6" xfId="15156" xr:uid="{00000000-0005-0000-0000-000003420000}"/>
    <cellStyle name="Nota 3 6 2" xfId="25916" xr:uid="{00000000-0005-0000-0000-000004420000}"/>
    <cellStyle name="Nota 3 6 3" xfId="27164" xr:uid="{00000000-0005-0000-0000-000005420000}"/>
    <cellStyle name="Nota 3 6 3 2" xfId="33012" xr:uid="{25DDF93E-B0A0-4383-8D18-C8417DA26A63}"/>
    <cellStyle name="Nota 3 7" xfId="15157" xr:uid="{00000000-0005-0000-0000-000006420000}"/>
    <cellStyle name="Nota 3 7 2" xfId="15158" xr:uid="{00000000-0005-0000-0000-000007420000}"/>
    <cellStyle name="Nota 3 7 2 2" xfId="24731" xr:uid="{00000000-0005-0000-0000-000008420000}"/>
    <cellStyle name="Nota 3 7 2 2 2" xfId="32740" xr:uid="{040BFBA1-BDCE-4153-AB90-905147EFA319}"/>
    <cellStyle name="Nota 3 7 3" xfId="24730" xr:uid="{00000000-0005-0000-0000-000009420000}"/>
    <cellStyle name="Nota 3 7 3 2" xfId="32739" xr:uid="{F78C64C3-AA16-462D-9CE8-F091F5ECBE1D}"/>
    <cellStyle name="Nota 3 7 4" xfId="27117" xr:uid="{00000000-0005-0000-0000-00000A420000}"/>
    <cellStyle name="Nota 3 7 5" xfId="27335" xr:uid="{00000000-0005-0000-0000-00000B420000}"/>
    <cellStyle name="Nota 3 7 5 2" xfId="33172" xr:uid="{D2517230-4445-4CF3-BA74-2FCC93730958}"/>
    <cellStyle name="Nota 3 8" xfId="15159" xr:uid="{00000000-0005-0000-0000-00000C420000}"/>
    <cellStyle name="Nota 3 8 2" xfId="15160" xr:uid="{00000000-0005-0000-0000-00000D420000}"/>
    <cellStyle name="Nota 3 8 2 2" xfId="24733" xr:uid="{00000000-0005-0000-0000-00000E420000}"/>
    <cellStyle name="Nota 3 8 2 2 2" xfId="32742" xr:uid="{1ACC1DF1-92AC-4335-9E80-88374993C372}"/>
    <cellStyle name="Nota 3 8 3" xfId="24732" xr:uid="{00000000-0005-0000-0000-00000F420000}"/>
    <cellStyle name="Nota 3 8 3 2" xfId="32741" xr:uid="{6DBA1459-20D0-4583-80CE-8013797E1E34}"/>
    <cellStyle name="Nota 3 9" xfId="15161" xr:uid="{00000000-0005-0000-0000-000010420000}"/>
    <cellStyle name="Nota 3 9 2" xfId="15162" xr:uid="{00000000-0005-0000-0000-000011420000}"/>
    <cellStyle name="Nota 3 9 2 2" xfId="24735" xr:uid="{00000000-0005-0000-0000-000012420000}"/>
    <cellStyle name="Nota 3 9 2 2 2" xfId="32744" xr:uid="{FB5A13FE-3574-4BC4-A966-44B9A448382E}"/>
    <cellStyle name="Nota 3 9 3" xfId="24734" xr:uid="{00000000-0005-0000-0000-000013420000}"/>
    <cellStyle name="Nota 3 9 3 2" xfId="32743" xr:uid="{65D6BA80-17C3-479C-BCE1-70D64E1BE825}"/>
    <cellStyle name="Nota 4" xfId="15163" xr:uid="{00000000-0005-0000-0000-000014420000}"/>
    <cellStyle name="Nota 4 10" xfId="15164" xr:uid="{00000000-0005-0000-0000-000015420000}"/>
    <cellStyle name="Nota 4 10 2" xfId="15165" xr:uid="{00000000-0005-0000-0000-000016420000}"/>
    <cellStyle name="Nota 4 10 2 2" xfId="24738" xr:uid="{00000000-0005-0000-0000-000017420000}"/>
    <cellStyle name="Nota 4 10 2 2 2" xfId="32747" xr:uid="{EC66C664-A438-47B8-BF3A-A48D22AD797F}"/>
    <cellStyle name="Nota 4 10 3" xfId="24737" xr:uid="{00000000-0005-0000-0000-000018420000}"/>
    <cellStyle name="Nota 4 10 3 2" xfId="32746" xr:uid="{3F9B24DD-1F52-4C29-8722-1D8CFECD02AD}"/>
    <cellStyle name="Nota 4 11" xfId="15166" xr:uid="{00000000-0005-0000-0000-000019420000}"/>
    <cellStyle name="Nota 4 11 2" xfId="15167" xr:uid="{00000000-0005-0000-0000-00001A420000}"/>
    <cellStyle name="Nota 4 11 2 2" xfId="24740" xr:uid="{00000000-0005-0000-0000-00001B420000}"/>
    <cellStyle name="Nota 4 11 2 2 2" xfId="32749" xr:uid="{610DE09B-D7AC-4577-AE2E-7181ADE8A281}"/>
    <cellStyle name="Nota 4 11 3" xfId="24739" xr:uid="{00000000-0005-0000-0000-00001C420000}"/>
    <cellStyle name="Nota 4 11 3 2" xfId="32748" xr:uid="{2F0017B8-7CE6-411A-9798-75FD8BD5DC58}"/>
    <cellStyle name="Nota 4 12" xfId="15168" xr:uid="{00000000-0005-0000-0000-00001D420000}"/>
    <cellStyle name="Nota 4 12 2" xfId="15169" xr:uid="{00000000-0005-0000-0000-00001E420000}"/>
    <cellStyle name="Nota 4 12 2 2" xfId="24742" xr:uid="{00000000-0005-0000-0000-00001F420000}"/>
    <cellStyle name="Nota 4 12 2 2 2" xfId="32751" xr:uid="{A5D84FA1-95C3-4812-A84E-BBDCCBD266C8}"/>
    <cellStyle name="Nota 4 12 3" xfId="24741" xr:uid="{00000000-0005-0000-0000-000020420000}"/>
    <cellStyle name="Nota 4 12 3 2" xfId="32750" xr:uid="{43C930E6-74D6-49D6-B0B0-738705585641}"/>
    <cellStyle name="Nota 4 13" xfId="15170" xr:uid="{00000000-0005-0000-0000-000021420000}"/>
    <cellStyle name="Nota 4 13 2" xfId="24743" xr:uid="{00000000-0005-0000-0000-000022420000}"/>
    <cellStyle name="Nota 4 13 2 2" xfId="32752" xr:uid="{61C0D123-24BC-45EA-8637-E49571E90DED}"/>
    <cellStyle name="Nota 4 14" xfId="24736" xr:uid="{00000000-0005-0000-0000-000023420000}"/>
    <cellStyle name="Nota 4 14 2" xfId="32745" xr:uid="{7CE6F8F7-A51F-429B-9836-37C9A45D3CB0}"/>
    <cellStyle name="Nota 4 2" xfId="15171" xr:uid="{00000000-0005-0000-0000-000024420000}"/>
    <cellStyle name="Nota 4 2 2" xfId="15172" xr:uid="{00000000-0005-0000-0000-000025420000}"/>
    <cellStyle name="Nota 4 2 2 2" xfId="24745" xr:uid="{00000000-0005-0000-0000-000026420000}"/>
    <cellStyle name="Nota 4 2 2 2 2" xfId="25920" xr:uid="{00000000-0005-0000-0000-000027420000}"/>
    <cellStyle name="Nota 4 2 2 2 3" xfId="25919" xr:uid="{00000000-0005-0000-0000-000028420000}"/>
    <cellStyle name="Nota 4 2 2 2 4" xfId="32754" xr:uid="{24FBB69B-B2BE-4ED4-9F07-B1CDBFDF1E6B}"/>
    <cellStyle name="Nota 4 2 2 3" xfId="25921" xr:uid="{00000000-0005-0000-0000-000029420000}"/>
    <cellStyle name="Nota 4 2 2 4" xfId="25918" xr:uid="{00000000-0005-0000-0000-00002A420000}"/>
    <cellStyle name="Nota 4 2 3" xfId="24744" xr:uid="{00000000-0005-0000-0000-00002B420000}"/>
    <cellStyle name="Nota 4 2 3 2" xfId="25923" xr:uid="{00000000-0005-0000-0000-00002C420000}"/>
    <cellStyle name="Nota 4 2 3 3" xfId="25922" xr:uid="{00000000-0005-0000-0000-00002D420000}"/>
    <cellStyle name="Nota 4 2 3 4" xfId="32753" xr:uid="{C45454DD-2284-4BDB-97E3-766C486C9E0D}"/>
    <cellStyle name="Nota 4 2 4" xfId="25924" xr:uid="{00000000-0005-0000-0000-00002E420000}"/>
    <cellStyle name="Nota 4 2 5" xfId="25917" xr:uid="{00000000-0005-0000-0000-00002F420000}"/>
    <cellStyle name="Nota 4 3" xfId="15173" xr:uid="{00000000-0005-0000-0000-000030420000}"/>
    <cellStyle name="Nota 4 3 10" xfId="15174" xr:uid="{00000000-0005-0000-0000-000031420000}"/>
    <cellStyle name="Nota 4 3 11" xfId="15175" xr:uid="{00000000-0005-0000-0000-000032420000}"/>
    <cellStyle name="Nota 4 3 12" xfId="15176" xr:uid="{00000000-0005-0000-0000-000033420000}"/>
    <cellStyle name="Nota 4 3 13" xfId="15177" xr:uid="{00000000-0005-0000-0000-000034420000}"/>
    <cellStyle name="Nota 4 3 13 2" xfId="24747" xr:uid="{00000000-0005-0000-0000-000035420000}"/>
    <cellStyle name="Nota 4 3 13 2 2" xfId="32756" xr:uid="{83B13303-4372-4F5C-899F-F860A54CEB64}"/>
    <cellStyle name="Nota 4 3 14" xfId="24746" xr:uid="{00000000-0005-0000-0000-000036420000}"/>
    <cellStyle name="Nota 4 3 14 2" xfId="32755" xr:uid="{98A316F9-A238-4B1F-8E48-CF11456C64FD}"/>
    <cellStyle name="Nota 4 3 2" xfId="15178" xr:uid="{00000000-0005-0000-0000-000037420000}"/>
    <cellStyle name="Nota 4 3 2 10" xfId="15179" xr:uid="{00000000-0005-0000-0000-000038420000}"/>
    <cellStyle name="Nota 4 3 2 10 2" xfId="15180" xr:uid="{00000000-0005-0000-0000-000039420000}"/>
    <cellStyle name="Nota 4 3 2 10 2 2" xfId="24749" xr:uid="{00000000-0005-0000-0000-00003A420000}"/>
    <cellStyle name="Nota 4 3 2 10 2 2 2" xfId="32758" xr:uid="{3A3DFBEA-66EE-4D42-B039-CC7D9873B93D}"/>
    <cellStyle name="Nota 4 3 2 10 3" xfId="24748" xr:uid="{00000000-0005-0000-0000-00003B420000}"/>
    <cellStyle name="Nota 4 3 2 10 3 2" xfId="32757" xr:uid="{97C978E3-2B57-4EE5-A210-4D86D426D258}"/>
    <cellStyle name="Nota 4 3 2 2" xfId="15181" xr:uid="{00000000-0005-0000-0000-00003C420000}"/>
    <cellStyle name="Nota 4 3 2 2 2" xfId="15182" xr:uid="{00000000-0005-0000-0000-00003D420000}"/>
    <cellStyle name="Nota 4 3 2 2 2 2" xfId="24751" xr:uid="{00000000-0005-0000-0000-00003E420000}"/>
    <cellStyle name="Nota 4 3 2 2 2 2 2" xfId="32760" xr:uid="{6113235E-B616-4F7B-9D13-B97E6659D297}"/>
    <cellStyle name="Nota 4 3 2 2 3" xfId="24750" xr:uid="{00000000-0005-0000-0000-00003F420000}"/>
    <cellStyle name="Nota 4 3 2 2 3 2" xfId="32759" xr:uid="{C7014807-5F10-4789-B59E-E7BE6948CA75}"/>
    <cellStyle name="Nota 4 3 2 2 4" xfId="25925" xr:uid="{00000000-0005-0000-0000-000040420000}"/>
    <cellStyle name="Nota 4 3 2 3" xfId="15183" xr:uid="{00000000-0005-0000-0000-000041420000}"/>
    <cellStyle name="Nota 4 3 2 3 2" xfId="15184" xr:uid="{00000000-0005-0000-0000-000042420000}"/>
    <cellStyle name="Nota 4 3 2 3 2 2" xfId="24753" xr:uid="{00000000-0005-0000-0000-000043420000}"/>
    <cellStyle name="Nota 4 3 2 3 2 2 2" xfId="32762" xr:uid="{DFB9A962-FD46-46A9-919E-B1EB94341371}"/>
    <cellStyle name="Nota 4 3 2 3 3" xfId="24752" xr:uid="{00000000-0005-0000-0000-000044420000}"/>
    <cellStyle name="Nota 4 3 2 3 3 2" xfId="32761" xr:uid="{0F8A7765-636C-4183-BAE3-760F05AF51AC}"/>
    <cellStyle name="Nota 4 3 2 4" xfId="15185" xr:uid="{00000000-0005-0000-0000-000045420000}"/>
    <cellStyle name="Nota 4 3 2 4 2" xfId="15186" xr:uid="{00000000-0005-0000-0000-000046420000}"/>
    <cellStyle name="Nota 4 3 2 4 2 2" xfId="24755" xr:uid="{00000000-0005-0000-0000-000047420000}"/>
    <cellStyle name="Nota 4 3 2 4 2 2 2" xfId="32764" xr:uid="{5FD26676-8DBA-4D1A-B939-10F6521A7DF0}"/>
    <cellStyle name="Nota 4 3 2 4 3" xfId="24754" xr:uid="{00000000-0005-0000-0000-000048420000}"/>
    <cellStyle name="Nota 4 3 2 4 3 2" xfId="32763" xr:uid="{227EE56B-ADAB-4C0F-ADB9-27127E345E6D}"/>
    <cellStyle name="Nota 4 3 2 5" xfId="15187" xr:uid="{00000000-0005-0000-0000-000049420000}"/>
    <cellStyle name="Nota 4 3 2 5 2" xfId="15188" xr:uid="{00000000-0005-0000-0000-00004A420000}"/>
    <cellStyle name="Nota 4 3 2 5 2 2" xfId="24757" xr:uid="{00000000-0005-0000-0000-00004B420000}"/>
    <cellStyle name="Nota 4 3 2 5 2 2 2" xfId="32766" xr:uid="{5CBE8427-0BD7-470B-9B30-A2B1EA23B213}"/>
    <cellStyle name="Nota 4 3 2 5 3" xfId="24756" xr:uid="{00000000-0005-0000-0000-00004C420000}"/>
    <cellStyle name="Nota 4 3 2 5 3 2" xfId="32765" xr:uid="{E5A16759-D033-4206-8108-F499EE4964D0}"/>
    <cellStyle name="Nota 4 3 2 6" xfId="15189" xr:uid="{00000000-0005-0000-0000-00004D420000}"/>
    <cellStyle name="Nota 4 3 2 6 2" xfId="15190" xr:uid="{00000000-0005-0000-0000-00004E420000}"/>
    <cellStyle name="Nota 4 3 2 6 2 2" xfId="24759" xr:uid="{00000000-0005-0000-0000-00004F420000}"/>
    <cellStyle name="Nota 4 3 2 6 2 2 2" xfId="32768" xr:uid="{321F0993-EDBA-4302-8A34-ACA63C75F316}"/>
    <cellStyle name="Nota 4 3 2 6 3" xfId="24758" xr:uid="{00000000-0005-0000-0000-000050420000}"/>
    <cellStyle name="Nota 4 3 2 6 3 2" xfId="32767" xr:uid="{1F397E51-1A54-46FA-B06E-B0E032014D9A}"/>
    <cellStyle name="Nota 4 3 2 7" xfId="15191" xr:uid="{00000000-0005-0000-0000-000051420000}"/>
    <cellStyle name="Nota 4 3 2 7 2" xfId="15192" xr:uid="{00000000-0005-0000-0000-000052420000}"/>
    <cellStyle name="Nota 4 3 2 7 2 2" xfId="24761" xr:uid="{00000000-0005-0000-0000-000053420000}"/>
    <cellStyle name="Nota 4 3 2 7 2 2 2" xfId="32770" xr:uid="{B6A03FCA-84E2-497D-BA99-7C6E50A296BB}"/>
    <cellStyle name="Nota 4 3 2 7 3" xfId="24760" xr:uid="{00000000-0005-0000-0000-000054420000}"/>
    <cellStyle name="Nota 4 3 2 7 3 2" xfId="32769" xr:uid="{B02FDC15-05BD-4A61-BCA9-12E036F7445C}"/>
    <cellStyle name="Nota 4 3 2 8" xfId="15193" xr:uid="{00000000-0005-0000-0000-000055420000}"/>
    <cellStyle name="Nota 4 3 2 8 2" xfId="15194" xr:uid="{00000000-0005-0000-0000-000056420000}"/>
    <cellStyle name="Nota 4 3 2 8 2 2" xfId="24763" xr:uid="{00000000-0005-0000-0000-000057420000}"/>
    <cellStyle name="Nota 4 3 2 8 2 2 2" xfId="32772" xr:uid="{A28075E6-F8B2-4873-B666-2420D47DB5AC}"/>
    <cellStyle name="Nota 4 3 2 8 3" xfId="24762" xr:uid="{00000000-0005-0000-0000-000058420000}"/>
    <cellStyle name="Nota 4 3 2 8 3 2" xfId="32771" xr:uid="{9B0E7E87-EFAB-4328-858B-CE766FCC76D8}"/>
    <cellStyle name="Nota 4 3 2 9" xfId="15195" xr:uid="{00000000-0005-0000-0000-000059420000}"/>
    <cellStyle name="Nota 4 3 2 9 2" xfId="15196" xr:uid="{00000000-0005-0000-0000-00005A420000}"/>
    <cellStyle name="Nota 4 3 2 9 2 2" xfId="24765" xr:uid="{00000000-0005-0000-0000-00005B420000}"/>
    <cellStyle name="Nota 4 3 2 9 2 2 2" xfId="32774" xr:uid="{84EF35BD-7F33-4BE6-A040-FBCAFFF04A0D}"/>
    <cellStyle name="Nota 4 3 2 9 3" xfId="24764" xr:uid="{00000000-0005-0000-0000-00005C420000}"/>
    <cellStyle name="Nota 4 3 2 9 3 2" xfId="32773" xr:uid="{BC89E013-95C6-4983-A14B-B8D697C7C89B}"/>
    <cellStyle name="Nota 4 3 3" xfId="15197" xr:uid="{00000000-0005-0000-0000-00005D420000}"/>
    <cellStyle name="Nota 4 3 3 2" xfId="15198" xr:uid="{00000000-0005-0000-0000-00005E420000}"/>
    <cellStyle name="Nota 4 3 3 2 2" xfId="24767" xr:uid="{00000000-0005-0000-0000-00005F420000}"/>
    <cellStyle name="Nota 4 3 3 2 2 2" xfId="32776" xr:uid="{FB9BA1DB-FDE6-4626-8C50-21A83C44A72C}"/>
    <cellStyle name="Nota 4 3 3 3" xfId="24766" xr:uid="{00000000-0005-0000-0000-000060420000}"/>
    <cellStyle name="Nota 4 3 3 3 2" xfId="32775" xr:uid="{1C9D8427-CF26-4415-9BE5-B89D7742B0C8}"/>
    <cellStyle name="Nota 4 3 3 4" xfId="25926" xr:uid="{00000000-0005-0000-0000-000061420000}"/>
    <cellStyle name="Nota 4 3 4" xfId="15199" xr:uid="{00000000-0005-0000-0000-000062420000}"/>
    <cellStyle name="Nota 4 3 4 2" xfId="15200" xr:uid="{00000000-0005-0000-0000-000063420000}"/>
    <cellStyle name="Nota 4 3 4 2 2" xfId="24769" xr:uid="{00000000-0005-0000-0000-000064420000}"/>
    <cellStyle name="Nota 4 3 4 2 2 2" xfId="32778" xr:uid="{C11D9C82-660E-46E9-8070-851DFA4DFCEF}"/>
    <cellStyle name="Nota 4 3 4 3" xfId="24768" xr:uid="{00000000-0005-0000-0000-000065420000}"/>
    <cellStyle name="Nota 4 3 4 3 2" xfId="32777" xr:uid="{5375A009-9648-4AD5-97E5-4EF733295E7A}"/>
    <cellStyle name="Nota 4 3 5" xfId="15201" xr:uid="{00000000-0005-0000-0000-000066420000}"/>
    <cellStyle name="Nota 4 3 6" xfId="15202" xr:uid="{00000000-0005-0000-0000-000067420000}"/>
    <cellStyle name="Nota 4 3 7" xfId="15203" xr:uid="{00000000-0005-0000-0000-000068420000}"/>
    <cellStyle name="Nota 4 3 8" xfId="15204" xr:uid="{00000000-0005-0000-0000-000069420000}"/>
    <cellStyle name="Nota 4 3 9" xfId="15205" xr:uid="{00000000-0005-0000-0000-00006A420000}"/>
    <cellStyle name="Nota 4 4" xfId="15206" xr:uid="{00000000-0005-0000-0000-00006B420000}"/>
    <cellStyle name="Nota 4 4 2" xfId="15207" xr:uid="{00000000-0005-0000-0000-00006C420000}"/>
    <cellStyle name="Nota 4 4 2 2" xfId="24771" xr:uid="{00000000-0005-0000-0000-00006D420000}"/>
    <cellStyle name="Nota 4 4 2 2 2" xfId="32780" xr:uid="{E981FD25-027F-4F69-8957-B7AC95BFDEC9}"/>
    <cellStyle name="Nota 4 4 2 3" xfId="25928" xr:uid="{00000000-0005-0000-0000-00006E420000}"/>
    <cellStyle name="Nota 4 4 3" xfId="24770" xr:uid="{00000000-0005-0000-0000-00006F420000}"/>
    <cellStyle name="Nota 4 4 3 2" xfId="32779" xr:uid="{13B3DABD-1B16-437C-9233-C73E3BB08D4A}"/>
    <cellStyle name="Nota 4 4 4" xfId="25927" xr:uid="{00000000-0005-0000-0000-000070420000}"/>
    <cellStyle name="Nota 4 5" xfId="15208" xr:uid="{00000000-0005-0000-0000-000071420000}"/>
    <cellStyle name="Nota 4 5 10" xfId="15209" xr:uid="{00000000-0005-0000-0000-000072420000}"/>
    <cellStyle name="Nota 4 5 11" xfId="15210" xr:uid="{00000000-0005-0000-0000-000073420000}"/>
    <cellStyle name="Nota 4 5 11 2" xfId="24773" xr:uid="{00000000-0005-0000-0000-000074420000}"/>
    <cellStyle name="Nota 4 5 11 2 2" xfId="32782" xr:uid="{14870393-79B5-4512-82C5-8EB428C6693D}"/>
    <cellStyle name="Nota 4 5 12" xfId="24772" xr:uid="{00000000-0005-0000-0000-000075420000}"/>
    <cellStyle name="Nota 4 5 12 2" xfId="32781" xr:uid="{6D77F1E2-20B4-4D9B-BFD1-74563A1E1A70}"/>
    <cellStyle name="Nota 4 5 2" xfId="15211" xr:uid="{00000000-0005-0000-0000-000076420000}"/>
    <cellStyle name="Nota 4 5 3" xfId="15212" xr:uid="{00000000-0005-0000-0000-000077420000}"/>
    <cellStyle name="Nota 4 5 4" xfId="15213" xr:uid="{00000000-0005-0000-0000-000078420000}"/>
    <cellStyle name="Nota 4 5 5" xfId="15214" xr:uid="{00000000-0005-0000-0000-000079420000}"/>
    <cellStyle name="Nota 4 5 6" xfId="15215" xr:uid="{00000000-0005-0000-0000-00007A420000}"/>
    <cellStyle name="Nota 4 5 7" xfId="15216" xr:uid="{00000000-0005-0000-0000-00007B420000}"/>
    <cellStyle name="Nota 4 5 8" xfId="15217" xr:uid="{00000000-0005-0000-0000-00007C420000}"/>
    <cellStyle name="Nota 4 5 9" xfId="15218" xr:uid="{00000000-0005-0000-0000-00007D420000}"/>
    <cellStyle name="Nota 4 6" xfId="15219" xr:uid="{00000000-0005-0000-0000-00007E420000}"/>
    <cellStyle name="Nota 4 7" xfId="15220" xr:uid="{00000000-0005-0000-0000-00007F420000}"/>
    <cellStyle name="Nota 4 7 2" xfId="15221" xr:uid="{00000000-0005-0000-0000-000080420000}"/>
    <cellStyle name="Nota 4 7 2 2" xfId="24775" xr:uid="{00000000-0005-0000-0000-000081420000}"/>
    <cellStyle name="Nota 4 7 2 2 2" xfId="32784" xr:uid="{CA537D88-AC76-468D-8F67-0C67FCB74AB8}"/>
    <cellStyle name="Nota 4 7 3" xfId="24774" xr:uid="{00000000-0005-0000-0000-000082420000}"/>
    <cellStyle name="Nota 4 7 3 2" xfId="32783" xr:uid="{DBAFED11-47A2-4ED2-BD3F-AB507B9792F5}"/>
    <cellStyle name="Nota 4 8" xfId="15222" xr:uid="{00000000-0005-0000-0000-000083420000}"/>
    <cellStyle name="Nota 4 8 2" xfId="15223" xr:uid="{00000000-0005-0000-0000-000084420000}"/>
    <cellStyle name="Nota 4 8 2 2" xfId="24777" xr:uid="{00000000-0005-0000-0000-000085420000}"/>
    <cellStyle name="Nota 4 8 2 2 2" xfId="32786" xr:uid="{D77732D0-BABA-43DC-83E3-B6F5AD279E52}"/>
    <cellStyle name="Nota 4 8 3" xfId="24776" xr:uid="{00000000-0005-0000-0000-000086420000}"/>
    <cellStyle name="Nota 4 8 3 2" xfId="32785" xr:uid="{B0D2B6C2-2682-4F16-956F-52E377F8AD8E}"/>
    <cellStyle name="Nota 4 9" xfId="15224" xr:uid="{00000000-0005-0000-0000-000087420000}"/>
    <cellStyle name="Nota 4 9 2" xfId="15225" xr:uid="{00000000-0005-0000-0000-000088420000}"/>
    <cellStyle name="Nota 4 9 2 2" xfId="24779" xr:uid="{00000000-0005-0000-0000-000089420000}"/>
    <cellStyle name="Nota 4 9 2 2 2" xfId="32788" xr:uid="{94F6E782-EC65-48AE-865E-988073846E6A}"/>
    <cellStyle name="Nota 4 9 3" xfId="24778" xr:uid="{00000000-0005-0000-0000-00008A420000}"/>
    <cellStyle name="Nota 4 9 3 2" xfId="32787" xr:uid="{CBF5F743-3A5A-46A9-ABFF-47111966DF52}"/>
    <cellStyle name="Nota 5" xfId="15226" xr:uid="{00000000-0005-0000-0000-00008B420000}"/>
    <cellStyle name="Nota 5 10" xfId="15227" xr:uid="{00000000-0005-0000-0000-00008C420000}"/>
    <cellStyle name="Nota 5 10 2" xfId="15228" xr:uid="{00000000-0005-0000-0000-00008D420000}"/>
    <cellStyle name="Nota 5 10 2 2" xfId="24782" xr:uid="{00000000-0005-0000-0000-00008E420000}"/>
    <cellStyle name="Nota 5 10 2 2 2" xfId="32791" xr:uid="{6F373331-702D-48AA-987B-40420D467B1E}"/>
    <cellStyle name="Nota 5 10 3" xfId="24781" xr:uid="{00000000-0005-0000-0000-00008F420000}"/>
    <cellStyle name="Nota 5 10 3 2" xfId="32790" xr:uid="{E27A7956-B3FA-4213-9103-F2FEC5387431}"/>
    <cellStyle name="Nota 5 11" xfId="15229" xr:uid="{00000000-0005-0000-0000-000090420000}"/>
    <cellStyle name="Nota 5 11 2" xfId="15230" xr:uid="{00000000-0005-0000-0000-000091420000}"/>
    <cellStyle name="Nota 5 11 2 2" xfId="24784" xr:uid="{00000000-0005-0000-0000-000092420000}"/>
    <cellStyle name="Nota 5 11 2 2 2" xfId="32793" xr:uid="{EC5F2235-4EAF-4AD7-849F-4C9A7400B165}"/>
    <cellStyle name="Nota 5 11 3" xfId="24783" xr:uid="{00000000-0005-0000-0000-000093420000}"/>
    <cellStyle name="Nota 5 11 3 2" xfId="32792" xr:uid="{916DBA54-72B8-4816-984D-42639C38ACD2}"/>
    <cellStyle name="Nota 5 12" xfId="15231" xr:uid="{00000000-0005-0000-0000-000094420000}"/>
    <cellStyle name="Nota 5 12 2" xfId="15232" xr:uid="{00000000-0005-0000-0000-000095420000}"/>
    <cellStyle name="Nota 5 12 2 2" xfId="24786" xr:uid="{00000000-0005-0000-0000-000096420000}"/>
    <cellStyle name="Nota 5 12 2 2 2" xfId="32795" xr:uid="{74B173B0-BBF6-4668-AAAF-285F97DC8D03}"/>
    <cellStyle name="Nota 5 12 3" xfId="24785" xr:uid="{00000000-0005-0000-0000-000097420000}"/>
    <cellStyle name="Nota 5 12 3 2" xfId="32794" xr:uid="{2C8E651F-2442-4884-BE58-EFE30CE49099}"/>
    <cellStyle name="Nota 5 13" xfId="15233" xr:uid="{00000000-0005-0000-0000-000098420000}"/>
    <cellStyle name="Nota 5 13 2" xfId="24787" xr:uid="{00000000-0005-0000-0000-000099420000}"/>
    <cellStyle name="Nota 5 13 2 2" xfId="32796" xr:uid="{D8FB34F5-2ABB-4991-ABE3-B1B3A30E8836}"/>
    <cellStyle name="Nota 5 14" xfId="24780" xr:uid="{00000000-0005-0000-0000-00009A420000}"/>
    <cellStyle name="Nota 5 14 2" xfId="32789" xr:uid="{9D493877-338B-420B-893D-82821CCD59D0}"/>
    <cellStyle name="Nota 5 2" xfId="15234" xr:uid="{00000000-0005-0000-0000-00009B420000}"/>
    <cellStyle name="Nota 5 2 2" xfId="15235" xr:uid="{00000000-0005-0000-0000-00009C420000}"/>
    <cellStyle name="Nota 5 2 2 2" xfId="24789" xr:uid="{00000000-0005-0000-0000-00009D420000}"/>
    <cellStyle name="Nota 5 2 2 2 2" xfId="25932" xr:uid="{00000000-0005-0000-0000-00009E420000}"/>
    <cellStyle name="Nota 5 2 2 2 3" xfId="25931" xr:uid="{00000000-0005-0000-0000-00009F420000}"/>
    <cellStyle name="Nota 5 2 2 2 4" xfId="32798" xr:uid="{4D59258F-862E-49B8-9CB3-15D89DAE56E3}"/>
    <cellStyle name="Nota 5 2 2 3" xfId="25933" xr:uid="{00000000-0005-0000-0000-0000A0420000}"/>
    <cellStyle name="Nota 5 2 2 4" xfId="25930" xr:uid="{00000000-0005-0000-0000-0000A1420000}"/>
    <cellStyle name="Nota 5 2 3" xfId="24788" xr:uid="{00000000-0005-0000-0000-0000A2420000}"/>
    <cellStyle name="Nota 5 2 3 2" xfId="25935" xr:uid="{00000000-0005-0000-0000-0000A3420000}"/>
    <cellStyle name="Nota 5 2 3 3" xfId="25934" xr:uid="{00000000-0005-0000-0000-0000A4420000}"/>
    <cellStyle name="Nota 5 2 3 4" xfId="32797" xr:uid="{A62FF023-A0A6-40DF-B5C4-BE32C4E03983}"/>
    <cellStyle name="Nota 5 2 4" xfId="25936" xr:uid="{00000000-0005-0000-0000-0000A5420000}"/>
    <cellStyle name="Nota 5 2 5" xfId="25929" xr:uid="{00000000-0005-0000-0000-0000A6420000}"/>
    <cellStyle name="Nota 5 3" xfId="15236" xr:uid="{00000000-0005-0000-0000-0000A7420000}"/>
    <cellStyle name="Nota 5 3 10" xfId="15237" xr:uid="{00000000-0005-0000-0000-0000A8420000}"/>
    <cellStyle name="Nota 5 3 10 2" xfId="15238" xr:uid="{00000000-0005-0000-0000-0000A9420000}"/>
    <cellStyle name="Nota 5 3 10 2 2" xfId="24791" xr:uid="{00000000-0005-0000-0000-0000AA420000}"/>
    <cellStyle name="Nota 5 3 10 2 2 2" xfId="32800" xr:uid="{AA6D846D-8EC4-420D-95BE-885E16E0E962}"/>
    <cellStyle name="Nota 5 3 10 3" xfId="24790" xr:uid="{00000000-0005-0000-0000-0000AB420000}"/>
    <cellStyle name="Nota 5 3 10 3 2" xfId="32799" xr:uid="{BFE35212-FDE6-49C2-9FDC-3BAE01EE6E8B}"/>
    <cellStyle name="Nota 5 3 11" xfId="15239" xr:uid="{00000000-0005-0000-0000-0000AC420000}"/>
    <cellStyle name="Nota 5 3 11 2" xfId="15240" xr:uid="{00000000-0005-0000-0000-0000AD420000}"/>
    <cellStyle name="Nota 5 3 11 2 2" xfId="24793" xr:uid="{00000000-0005-0000-0000-0000AE420000}"/>
    <cellStyle name="Nota 5 3 11 2 2 2" xfId="32802" xr:uid="{A44EDB85-712F-45DA-8A14-55EDD727B382}"/>
    <cellStyle name="Nota 5 3 11 3" xfId="24792" xr:uid="{00000000-0005-0000-0000-0000AF420000}"/>
    <cellStyle name="Nota 5 3 11 3 2" xfId="32801" xr:uid="{7B2B8624-E905-48A7-9591-CBEBCB5FF79C}"/>
    <cellStyle name="Nota 5 3 12" xfId="15241" xr:uid="{00000000-0005-0000-0000-0000B0420000}"/>
    <cellStyle name="Nota 5 3 12 2" xfId="15242" xr:uid="{00000000-0005-0000-0000-0000B1420000}"/>
    <cellStyle name="Nota 5 3 12 2 2" xfId="24795" xr:uid="{00000000-0005-0000-0000-0000B2420000}"/>
    <cellStyle name="Nota 5 3 12 2 2 2" xfId="32804" xr:uid="{504A8919-DE24-48DA-BFFE-5DCC6BB012F0}"/>
    <cellStyle name="Nota 5 3 12 3" xfId="24794" xr:uid="{00000000-0005-0000-0000-0000B3420000}"/>
    <cellStyle name="Nota 5 3 12 3 2" xfId="32803" xr:uid="{3F1CD828-DA07-426B-BD8E-5FD9E6577648}"/>
    <cellStyle name="Nota 5 3 13" xfId="15243" xr:uid="{00000000-0005-0000-0000-0000B4420000}"/>
    <cellStyle name="Nota 5 3 13 2" xfId="15244" xr:uid="{00000000-0005-0000-0000-0000B5420000}"/>
    <cellStyle name="Nota 5 3 13 2 2" xfId="24797" xr:uid="{00000000-0005-0000-0000-0000B6420000}"/>
    <cellStyle name="Nota 5 3 13 2 2 2" xfId="32806" xr:uid="{B33B2211-9B7B-44EA-A273-34CB166DC896}"/>
    <cellStyle name="Nota 5 3 13 3" xfId="24796" xr:uid="{00000000-0005-0000-0000-0000B7420000}"/>
    <cellStyle name="Nota 5 3 13 3 2" xfId="32805" xr:uid="{C7F88BB8-19F5-4DA1-8590-73C4B920C9D6}"/>
    <cellStyle name="Nota 5 3 2" xfId="15245" xr:uid="{00000000-0005-0000-0000-0000B8420000}"/>
    <cellStyle name="Nota 5 3 2 2" xfId="15246" xr:uid="{00000000-0005-0000-0000-0000B9420000}"/>
    <cellStyle name="Nota 5 3 2 2 2" xfId="24799" xr:uid="{00000000-0005-0000-0000-0000BA420000}"/>
    <cellStyle name="Nota 5 3 2 2 2 2" xfId="32808" xr:uid="{61A8404D-DBED-4434-93A6-742EA23DA6F9}"/>
    <cellStyle name="Nota 5 3 2 2 3" xfId="25938" xr:uid="{00000000-0005-0000-0000-0000BB420000}"/>
    <cellStyle name="Nota 5 3 2 3" xfId="24798" xr:uid="{00000000-0005-0000-0000-0000BC420000}"/>
    <cellStyle name="Nota 5 3 2 3 2" xfId="32807" xr:uid="{7A3804C0-DA92-4945-A07F-65B17EDDF6AB}"/>
    <cellStyle name="Nota 5 3 2 4" xfId="25937" xr:uid="{00000000-0005-0000-0000-0000BD420000}"/>
    <cellStyle name="Nota 5 3 3" xfId="15247" xr:uid="{00000000-0005-0000-0000-0000BE420000}"/>
    <cellStyle name="Nota 5 3 3 2" xfId="15248" xr:uid="{00000000-0005-0000-0000-0000BF420000}"/>
    <cellStyle name="Nota 5 3 3 2 2" xfId="24801" xr:uid="{00000000-0005-0000-0000-0000C0420000}"/>
    <cellStyle name="Nota 5 3 3 2 2 2" xfId="32810" xr:uid="{593C08E3-EB35-4F0B-A343-98DD32080EEF}"/>
    <cellStyle name="Nota 5 3 3 3" xfId="24800" xr:uid="{00000000-0005-0000-0000-0000C1420000}"/>
    <cellStyle name="Nota 5 3 3 3 2" xfId="32809" xr:uid="{50B5EB93-9D9E-4F0B-891C-20D8E8EA9696}"/>
    <cellStyle name="Nota 5 3 3 4" xfId="25939" xr:uid="{00000000-0005-0000-0000-0000C2420000}"/>
    <cellStyle name="Nota 5 3 4" xfId="15249" xr:uid="{00000000-0005-0000-0000-0000C3420000}"/>
    <cellStyle name="Nota 5 3 4 2" xfId="15250" xr:uid="{00000000-0005-0000-0000-0000C4420000}"/>
    <cellStyle name="Nota 5 3 4 2 2" xfId="24803" xr:uid="{00000000-0005-0000-0000-0000C5420000}"/>
    <cellStyle name="Nota 5 3 4 2 2 2" xfId="32812" xr:uid="{A83E80A0-EBAE-491F-A68D-A162FB05BECC}"/>
    <cellStyle name="Nota 5 3 4 3" xfId="24802" xr:uid="{00000000-0005-0000-0000-0000C6420000}"/>
    <cellStyle name="Nota 5 3 4 3 2" xfId="32811" xr:uid="{41F46A5A-16C6-4A23-8EE9-2DB2DC974286}"/>
    <cellStyle name="Nota 5 3 5" xfId="15251" xr:uid="{00000000-0005-0000-0000-0000C7420000}"/>
    <cellStyle name="Nota 5 3 5 2" xfId="15252" xr:uid="{00000000-0005-0000-0000-0000C8420000}"/>
    <cellStyle name="Nota 5 3 5 2 2" xfId="24805" xr:uid="{00000000-0005-0000-0000-0000C9420000}"/>
    <cellStyle name="Nota 5 3 5 2 2 2" xfId="32814" xr:uid="{CACDD4FE-B014-46C7-8C8F-3AE1D6C0571C}"/>
    <cellStyle name="Nota 5 3 5 3" xfId="24804" xr:uid="{00000000-0005-0000-0000-0000CA420000}"/>
    <cellStyle name="Nota 5 3 5 3 2" xfId="32813" xr:uid="{267C45D8-2C41-4909-B48D-247929CE90DD}"/>
    <cellStyle name="Nota 5 3 6" xfId="15253" xr:uid="{00000000-0005-0000-0000-0000CB420000}"/>
    <cellStyle name="Nota 5 3 6 2" xfId="15254" xr:uid="{00000000-0005-0000-0000-0000CC420000}"/>
    <cellStyle name="Nota 5 3 6 2 2" xfId="24807" xr:uid="{00000000-0005-0000-0000-0000CD420000}"/>
    <cellStyle name="Nota 5 3 6 2 2 2" xfId="32816" xr:uid="{E00A6184-1B6F-4DD6-9C13-40B2C0C0E569}"/>
    <cellStyle name="Nota 5 3 6 3" xfId="24806" xr:uid="{00000000-0005-0000-0000-0000CE420000}"/>
    <cellStyle name="Nota 5 3 6 3 2" xfId="32815" xr:uid="{B81FDCEE-F68E-4136-8747-50BC87DD3664}"/>
    <cellStyle name="Nota 5 3 7" xfId="15255" xr:uid="{00000000-0005-0000-0000-0000CF420000}"/>
    <cellStyle name="Nota 5 3 7 2" xfId="15256" xr:uid="{00000000-0005-0000-0000-0000D0420000}"/>
    <cellStyle name="Nota 5 3 7 2 2" xfId="24809" xr:uid="{00000000-0005-0000-0000-0000D1420000}"/>
    <cellStyle name="Nota 5 3 7 2 2 2" xfId="32818" xr:uid="{DD9F7BD4-7EDD-4683-90DB-E5477786F05F}"/>
    <cellStyle name="Nota 5 3 7 3" xfId="24808" xr:uid="{00000000-0005-0000-0000-0000D2420000}"/>
    <cellStyle name="Nota 5 3 7 3 2" xfId="32817" xr:uid="{A839774C-777E-4F0B-A718-31C2FA54225B}"/>
    <cellStyle name="Nota 5 3 8" xfId="15257" xr:uid="{00000000-0005-0000-0000-0000D3420000}"/>
    <cellStyle name="Nota 5 3 8 2" xfId="15258" xr:uid="{00000000-0005-0000-0000-0000D4420000}"/>
    <cellStyle name="Nota 5 3 8 2 2" xfId="24811" xr:uid="{00000000-0005-0000-0000-0000D5420000}"/>
    <cellStyle name="Nota 5 3 8 2 2 2" xfId="32820" xr:uid="{B34E1FEF-D440-42B8-829A-A6E76783250E}"/>
    <cellStyle name="Nota 5 3 8 3" xfId="24810" xr:uid="{00000000-0005-0000-0000-0000D6420000}"/>
    <cellStyle name="Nota 5 3 8 3 2" xfId="32819" xr:uid="{FFDA943B-FDEE-48B2-96FD-04E1FFF02897}"/>
    <cellStyle name="Nota 5 3 9" xfId="15259" xr:uid="{00000000-0005-0000-0000-0000D7420000}"/>
    <cellStyle name="Nota 5 3 9 2" xfId="15260" xr:uid="{00000000-0005-0000-0000-0000D8420000}"/>
    <cellStyle name="Nota 5 3 9 2 2" xfId="24813" xr:uid="{00000000-0005-0000-0000-0000D9420000}"/>
    <cellStyle name="Nota 5 3 9 2 2 2" xfId="32822" xr:uid="{F81AFB00-710D-45B6-807A-EED484767F4A}"/>
    <cellStyle name="Nota 5 3 9 3" xfId="24812" xr:uid="{00000000-0005-0000-0000-0000DA420000}"/>
    <cellStyle name="Nota 5 3 9 3 2" xfId="32821" xr:uid="{34CD7575-0EEF-4430-98B8-233996D656CC}"/>
    <cellStyle name="Nota 5 4" xfId="15261" xr:uid="{00000000-0005-0000-0000-0000DB420000}"/>
    <cellStyle name="Nota 5 4 2" xfId="15262" xr:uid="{00000000-0005-0000-0000-0000DC420000}"/>
    <cellStyle name="Nota 5 4 2 2" xfId="24815" xr:uid="{00000000-0005-0000-0000-0000DD420000}"/>
    <cellStyle name="Nota 5 4 2 2 2" xfId="32824" xr:uid="{C894CF52-2EA0-4AB0-A54F-1ABBA6152B4D}"/>
    <cellStyle name="Nota 5 4 2 3" xfId="25941" xr:uid="{00000000-0005-0000-0000-0000DE420000}"/>
    <cellStyle name="Nota 5 4 3" xfId="24814" xr:uid="{00000000-0005-0000-0000-0000DF420000}"/>
    <cellStyle name="Nota 5 4 3 2" xfId="32823" xr:uid="{B17048FB-628E-49AB-AFEB-FAF70DC112B0}"/>
    <cellStyle name="Nota 5 4 4" xfId="25940" xr:uid="{00000000-0005-0000-0000-0000E0420000}"/>
    <cellStyle name="Nota 5 5" xfId="15263" xr:uid="{00000000-0005-0000-0000-0000E1420000}"/>
    <cellStyle name="Nota 5 6" xfId="15264" xr:uid="{00000000-0005-0000-0000-0000E2420000}"/>
    <cellStyle name="Nota 5 7" xfId="15265" xr:uid="{00000000-0005-0000-0000-0000E3420000}"/>
    <cellStyle name="Nota 5 7 2" xfId="15266" xr:uid="{00000000-0005-0000-0000-0000E4420000}"/>
    <cellStyle name="Nota 5 7 2 2" xfId="24817" xr:uid="{00000000-0005-0000-0000-0000E5420000}"/>
    <cellStyle name="Nota 5 7 2 2 2" xfId="32826" xr:uid="{642DA4D8-589A-4E4A-976B-38F5438157A3}"/>
    <cellStyle name="Nota 5 7 3" xfId="24816" xr:uid="{00000000-0005-0000-0000-0000E6420000}"/>
    <cellStyle name="Nota 5 7 3 2" xfId="32825" xr:uid="{61F150FC-DD26-4861-9BA7-85BF28581B08}"/>
    <cellStyle name="Nota 5 8" xfId="15267" xr:uid="{00000000-0005-0000-0000-0000E7420000}"/>
    <cellStyle name="Nota 5 8 2" xfId="15268" xr:uid="{00000000-0005-0000-0000-0000E8420000}"/>
    <cellStyle name="Nota 5 8 2 2" xfId="24819" xr:uid="{00000000-0005-0000-0000-0000E9420000}"/>
    <cellStyle name="Nota 5 8 2 2 2" xfId="32828" xr:uid="{88255BC8-BF38-41CD-B761-4586E49449F8}"/>
    <cellStyle name="Nota 5 8 3" xfId="24818" xr:uid="{00000000-0005-0000-0000-0000EA420000}"/>
    <cellStyle name="Nota 5 8 3 2" xfId="32827" xr:uid="{A731951F-D26E-43A2-A778-FB750B3DAF50}"/>
    <cellStyle name="Nota 5 9" xfId="15269" xr:uid="{00000000-0005-0000-0000-0000EB420000}"/>
    <cellStyle name="Nota 5 9 2" xfId="15270" xr:uid="{00000000-0005-0000-0000-0000EC420000}"/>
    <cellStyle name="Nota 5 9 2 2" xfId="24821" xr:uid="{00000000-0005-0000-0000-0000ED420000}"/>
    <cellStyle name="Nota 5 9 2 2 2" xfId="32830" xr:uid="{E080A3C8-EB13-4BF6-B768-1C6AD51C819B}"/>
    <cellStyle name="Nota 5 9 3" xfId="24820" xr:uid="{00000000-0005-0000-0000-0000EE420000}"/>
    <cellStyle name="Nota 5 9 3 2" xfId="32829" xr:uid="{72D88279-9139-483D-BBF9-FA8FF977CAA9}"/>
    <cellStyle name="Nota 6" xfId="15271" xr:uid="{00000000-0005-0000-0000-0000EF420000}"/>
    <cellStyle name="Nota 6 10" xfId="15272" xr:uid="{00000000-0005-0000-0000-0000F0420000}"/>
    <cellStyle name="Nota 6 10 2" xfId="15273" xr:uid="{00000000-0005-0000-0000-0000F1420000}"/>
    <cellStyle name="Nota 6 11" xfId="15274" xr:uid="{00000000-0005-0000-0000-0000F2420000}"/>
    <cellStyle name="Nota 6 11 2" xfId="15275" xr:uid="{00000000-0005-0000-0000-0000F3420000}"/>
    <cellStyle name="Nota 6 12" xfId="15276" xr:uid="{00000000-0005-0000-0000-0000F4420000}"/>
    <cellStyle name="Nota 6 12 2" xfId="15277" xr:uid="{00000000-0005-0000-0000-0000F5420000}"/>
    <cellStyle name="Nota 6 13" xfId="15278" xr:uid="{00000000-0005-0000-0000-0000F6420000}"/>
    <cellStyle name="Nota 6 13 2" xfId="15279" xr:uid="{00000000-0005-0000-0000-0000F7420000}"/>
    <cellStyle name="Nota 6 14" xfId="15280" xr:uid="{00000000-0005-0000-0000-0000F8420000}"/>
    <cellStyle name="Nota 6 14 2" xfId="15281" xr:uid="{00000000-0005-0000-0000-0000F9420000}"/>
    <cellStyle name="Nota 6 15" xfId="15282" xr:uid="{00000000-0005-0000-0000-0000FA420000}"/>
    <cellStyle name="Nota 6 15 2" xfId="15283" xr:uid="{00000000-0005-0000-0000-0000FB420000}"/>
    <cellStyle name="Nota 6 16" xfId="15284" xr:uid="{00000000-0005-0000-0000-0000FC420000}"/>
    <cellStyle name="Nota 6 16 2" xfId="15285" xr:uid="{00000000-0005-0000-0000-0000FD420000}"/>
    <cellStyle name="Nota 6 17" xfId="15286" xr:uid="{00000000-0005-0000-0000-0000FE420000}"/>
    <cellStyle name="Nota 6 17 2" xfId="15287" xr:uid="{00000000-0005-0000-0000-0000FF420000}"/>
    <cellStyle name="Nota 6 18" xfId="15288" xr:uid="{00000000-0005-0000-0000-000000430000}"/>
    <cellStyle name="Nota 6 18 2" xfId="15289" xr:uid="{00000000-0005-0000-0000-000001430000}"/>
    <cellStyle name="Nota 6 19" xfId="15290" xr:uid="{00000000-0005-0000-0000-000002430000}"/>
    <cellStyle name="Nota 6 19 2" xfId="15291" xr:uid="{00000000-0005-0000-0000-000003430000}"/>
    <cellStyle name="Nota 6 2" xfId="15292" xr:uid="{00000000-0005-0000-0000-000004430000}"/>
    <cellStyle name="Nota 6 2 10" xfId="15293" xr:uid="{00000000-0005-0000-0000-000005430000}"/>
    <cellStyle name="Nota 6 2 10 2" xfId="15294" xr:uid="{00000000-0005-0000-0000-000006430000}"/>
    <cellStyle name="Nota 6 2 11" xfId="15295" xr:uid="{00000000-0005-0000-0000-000007430000}"/>
    <cellStyle name="Nota 6 2 11 2" xfId="15296" xr:uid="{00000000-0005-0000-0000-000008430000}"/>
    <cellStyle name="Nota 6 2 12" xfId="15297" xr:uid="{00000000-0005-0000-0000-000009430000}"/>
    <cellStyle name="Nota 6 2 12 2" xfId="15298" xr:uid="{00000000-0005-0000-0000-00000A430000}"/>
    <cellStyle name="Nota 6 2 13" xfId="15299" xr:uid="{00000000-0005-0000-0000-00000B430000}"/>
    <cellStyle name="Nota 6 2 13 2" xfId="15300" xr:uid="{00000000-0005-0000-0000-00000C430000}"/>
    <cellStyle name="Nota 6 2 14" xfId="15301" xr:uid="{00000000-0005-0000-0000-00000D430000}"/>
    <cellStyle name="Nota 6 2 14 2" xfId="15302" xr:uid="{00000000-0005-0000-0000-00000E430000}"/>
    <cellStyle name="Nota 6 2 15" xfId="15303" xr:uid="{00000000-0005-0000-0000-00000F430000}"/>
    <cellStyle name="Nota 6 2 15 2" xfId="15304" xr:uid="{00000000-0005-0000-0000-000010430000}"/>
    <cellStyle name="Nota 6 2 16" xfId="15305" xr:uid="{00000000-0005-0000-0000-000011430000}"/>
    <cellStyle name="Nota 6 2 16 2" xfId="15306" xr:uid="{00000000-0005-0000-0000-000012430000}"/>
    <cellStyle name="Nota 6 2 17" xfId="15307" xr:uid="{00000000-0005-0000-0000-000013430000}"/>
    <cellStyle name="Nota 6 2 17 2" xfId="15308" xr:uid="{00000000-0005-0000-0000-000014430000}"/>
    <cellStyle name="Nota 6 2 18" xfId="15309" xr:uid="{00000000-0005-0000-0000-000015430000}"/>
    <cellStyle name="Nota 6 2 18 2" xfId="15310" xr:uid="{00000000-0005-0000-0000-000016430000}"/>
    <cellStyle name="Nota 6 2 19" xfId="15311" xr:uid="{00000000-0005-0000-0000-000017430000}"/>
    <cellStyle name="Nota 6 2 19 2" xfId="15312" xr:uid="{00000000-0005-0000-0000-000018430000}"/>
    <cellStyle name="Nota 6 2 2" xfId="15313" xr:uid="{00000000-0005-0000-0000-000019430000}"/>
    <cellStyle name="Nota 6 2 2 2" xfId="15314" xr:uid="{00000000-0005-0000-0000-00001A430000}"/>
    <cellStyle name="Nota 6 2 2 2 2" xfId="15315" xr:uid="{00000000-0005-0000-0000-00001B430000}"/>
    <cellStyle name="Nota 6 2 2 2 2 2" xfId="25945" xr:uid="{00000000-0005-0000-0000-00001C430000}"/>
    <cellStyle name="Nota 6 2 2 2 3" xfId="25944" xr:uid="{00000000-0005-0000-0000-00001D430000}"/>
    <cellStyle name="Nota 6 2 2 3" xfId="15316" xr:uid="{00000000-0005-0000-0000-00001E430000}"/>
    <cellStyle name="Nota 6 2 2 3 2" xfId="15317" xr:uid="{00000000-0005-0000-0000-00001F430000}"/>
    <cellStyle name="Nota 6 2 2 3 3" xfId="25946" xr:uid="{00000000-0005-0000-0000-000020430000}"/>
    <cellStyle name="Nota 6 2 2 4" xfId="15318" xr:uid="{00000000-0005-0000-0000-000021430000}"/>
    <cellStyle name="Nota 6 2 2 4 2" xfId="15319" xr:uid="{00000000-0005-0000-0000-000022430000}"/>
    <cellStyle name="Nota 6 2 2 5" xfId="15320" xr:uid="{00000000-0005-0000-0000-000023430000}"/>
    <cellStyle name="Nota 6 2 2 5 2" xfId="15321" xr:uid="{00000000-0005-0000-0000-000024430000}"/>
    <cellStyle name="Nota 6 2 2 6" xfId="15322" xr:uid="{00000000-0005-0000-0000-000025430000}"/>
    <cellStyle name="Nota 6 2 2 7" xfId="25943" xr:uid="{00000000-0005-0000-0000-000026430000}"/>
    <cellStyle name="Nota 6 2 20" xfId="15323" xr:uid="{00000000-0005-0000-0000-000027430000}"/>
    <cellStyle name="Nota 6 2 20 2" xfId="15324" xr:uid="{00000000-0005-0000-0000-000028430000}"/>
    <cellStyle name="Nota 6 2 21" xfId="15325" xr:uid="{00000000-0005-0000-0000-000029430000}"/>
    <cellStyle name="Nota 6 2 21 2" xfId="15326" xr:uid="{00000000-0005-0000-0000-00002A430000}"/>
    <cellStyle name="Nota 6 2 22" xfId="15327" xr:uid="{00000000-0005-0000-0000-00002B430000}"/>
    <cellStyle name="Nota 6 2 22 2" xfId="15328" xr:uid="{00000000-0005-0000-0000-00002C430000}"/>
    <cellStyle name="Nota 6 2 23" xfId="15329" xr:uid="{00000000-0005-0000-0000-00002D430000}"/>
    <cellStyle name="Nota 6 2 23 2" xfId="15330" xr:uid="{00000000-0005-0000-0000-00002E430000}"/>
    <cellStyle name="Nota 6 2 24" xfId="15331" xr:uid="{00000000-0005-0000-0000-00002F430000}"/>
    <cellStyle name="Nota 6 2 24 2" xfId="15332" xr:uid="{00000000-0005-0000-0000-000030430000}"/>
    <cellStyle name="Nota 6 2 25" xfId="15333" xr:uid="{00000000-0005-0000-0000-000031430000}"/>
    <cellStyle name="Nota 6 2 25 2" xfId="15334" xr:uid="{00000000-0005-0000-0000-000032430000}"/>
    <cellStyle name="Nota 6 2 26" xfId="15335" xr:uid="{00000000-0005-0000-0000-000033430000}"/>
    <cellStyle name="Nota 6 2 26 2" xfId="15336" xr:uid="{00000000-0005-0000-0000-000034430000}"/>
    <cellStyle name="Nota 6 2 27" xfId="15337" xr:uid="{00000000-0005-0000-0000-000035430000}"/>
    <cellStyle name="Nota 6 2 27 2" xfId="15338" xr:uid="{00000000-0005-0000-0000-000036430000}"/>
    <cellStyle name="Nota 6 2 28" xfId="15339" xr:uid="{00000000-0005-0000-0000-000037430000}"/>
    <cellStyle name="Nota 6 2 28 2" xfId="15340" xr:uid="{00000000-0005-0000-0000-000038430000}"/>
    <cellStyle name="Nota 6 2 29" xfId="15341" xr:uid="{00000000-0005-0000-0000-000039430000}"/>
    <cellStyle name="Nota 6 2 29 2" xfId="15342" xr:uid="{00000000-0005-0000-0000-00003A430000}"/>
    <cellStyle name="Nota 6 2 3" xfId="15343" xr:uid="{00000000-0005-0000-0000-00003B430000}"/>
    <cellStyle name="Nota 6 2 3 2" xfId="15344" xr:uid="{00000000-0005-0000-0000-00003C430000}"/>
    <cellStyle name="Nota 6 2 3 2 2" xfId="15345" xr:uid="{00000000-0005-0000-0000-00003D430000}"/>
    <cellStyle name="Nota 6 2 3 2 3" xfId="25948" xr:uid="{00000000-0005-0000-0000-00003E430000}"/>
    <cellStyle name="Nota 6 2 3 3" xfId="15346" xr:uid="{00000000-0005-0000-0000-00003F430000}"/>
    <cellStyle name="Nota 6 2 3 3 2" xfId="15347" xr:uid="{00000000-0005-0000-0000-000040430000}"/>
    <cellStyle name="Nota 6 2 3 4" xfId="15348" xr:uid="{00000000-0005-0000-0000-000041430000}"/>
    <cellStyle name="Nota 6 2 3 4 2" xfId="15349" xr:uid="{00000000-0005-0000-0000-000042430000}"/>
    <cellStyle name="Nota 6 2 3 5" xfId="15350" xr:uid="{00000000-0005-0000-0000-000043430000}"/>
    <cellStyle name="Nota 6 2 3 5 2" xfId="15351" xr:uid="{00000000-0005-0000-0000-000044430000}"/>
    <cellStyle name="Nota 6 2 3 6" xfId="15352" xr:uid="{00000000-0005-0000-0000-000045430000}"/>
    <cellStyle name="Nota 6 2 3 7" xfId="25947" xr:uid="{00000000-0005-0000-0000-000046430000}"/>
    <cellStyle name="Nota 6 2 30" xfId="15353" xr:uid="{00000000-0005-0000-0000-000047430000}"/>
    <cellStyle name="Nota 6 2 30 2" xfId="15354" xr:uid="{00000000-0005-0000-0000-000048430000}"/>
    <cellStyle name="Nota 6 2 31" xfId="15355" xr:uid="{00000000-0005-0000-0000-000049430000}"/>
    <cellStyle name="Nota 6 2 31 2" xfId="15356" xr:uid="{00000000-0005-0000-0000-00004A430000}"/>
    <cellStyle name="Nota 6 2 32" xfId="15357" xr:uid="{00000000-0005-0000-0000-00004B430000}"/>
    <cellStyle name="Nota 6 2 32 2" xfId="15358" xr:uid="{00000000-0005-0000-0000-00004C430000}"/>
    <cellStyle name="Nota 6 2 33" xfId="15359" xr:uid="{00000000-0005-0000-0000-00004D430000}"/>
    <cellStyle name="Nota 6 2 33 2" xfId="15360" xr:uid="{00000000-0005-0000-0000-00004E430000}"/>
    <cellStyle name="Nota 6 2 34" xfId="15361" xr:uid="{00000000-0005-0000-0000-00004F430000}"/>
    <cellStyle name="Nota 6 2 34 2" xfId="15362" xr:uid="{00000000-0005-0000-0000-000050430000}"/>
    <cellStyle name="Nota 6 2 35" xfId="15363" xr:uid="{00000000-0005-0000-0000-000051430000}"/>
    <cellStyle name="Nota 6 2 35 2" xfId="15364" xr:uid="{00000000-0005-0000-0000-000052430000}"/>
    <cellStyle name="Nota 6 2 36" xfId="15365" xr:uid="{00000000-0005-0000-0000-000053430000}"/>
    <cellStyle name="Nota 6 2 36 2" xfId="15366" xr:uid="{00000000-0005-0000-0000-000054430000}"/>
    <cellStyle name="Nota 6 2 37" xfId="15367" xr:uid="{00000000-0005-0000-0000-000055430000}"/>
    <cellStyle name="Nota 6 2 38" xfId="25942" xr:uid="{00000000-0005-0000-0000-000056430000}"/>
    <cellStyle name="Nota 6 2 4" xfId="15368" xr:uid="{00000000-0005-0000-0000-000057430000}"/>
    <cellStyle name="Nota 6 2 4 2" xfId="15369" xr:uid="{00000000-0005-0000-0000-000058430000}"/>
    <cellStyle name="Nota 6 2 4 2 2" xfId="15370" xr:uid="{00000000-0005-0000-0000-000059430000}"/>
    <cellStyle name="Nota 6 2 4 3" xfId="15371" xr:uid="{00000000-0005-0000-0000-00005A430000}"/>
    <cellStyle name="Nota 6 2 4 3 2" xfId="15372" xr:uid="{00000000-0005-0000-0000-00005B430000}"/>
    <cellStyle name="Nota 6 2 4 4" xfId="15373" xr:uid="{00000000-0005-0000-0000-00005C430000}"/>
    <cellStyle name="Nota 6 2 4 4 2" xfId="15374" xr:uid="{00000000-0005-0000-0000-00005D430000}"/>
    <cellStyle name="Nota 6 2 4 5" xfId="15375" xr:uid="{00000000-0005-0000-0000-00005E430000}"/>
    <cellStyle name="Nota 6 2 4 5 2" xfId="15376" xr:uid="{00000000-0005-0000-0000-00005F430000}"/>
    <cellStyle name="Nota 6 2 4 6" xfId="15377" xr:uid="{00000000-0005-0000-0000-000060430000}"/>
    <cellStyle name="Nota 6 2 4 7" xfId="25949" xr:uid="{00000000-0005-0000-0000-000061430000}"/>
    <cellStyle name="Nota 6 2 5" xfId="15378" xr:uid="{00000000-0005-0000-0000-000062430000}"/>
    <cellStyle name="Nota 6 2 5 2" xfId="15379" xr:uid="{00000000-0005-0000-0000-000063430000}"/>
    <cellStyle name="Nota 6 2 6" xfId="15380" xr:uid="{00000000-0005-0000-0000-000064430000}"/>
    <cellStyle name="Nota 6 2 6 2" xfId="15381" xr:uid="{00000000-0005-0000-0000-000065430000}"/>
    <cellStyle name="Nota 6 2 7" xfId="15382" xr:uid="{00000000-0005-0000-0000-000066430000}"/>
    <cellStyle name="Nota 6 2 7 2" xfId="15383" xr:uid="{00000000-0005-0000-0000-000067430000}"/>
    <cellStyle name="Nota 6 2 8" xfId="15384" xr:uid="{00000000-0005-0000-0000-000068430000}"/>
    <cellStyle name="Nota 6 2 8 2" xfId="15385" xr:uid="{00000000-0005-0000-0000-000069430000}"/>
    <cellStyle name="Nota 6 2 9" xfId="15386" xr:uid="{00000000-0005-0000-0000-00006A430000}"/>
    <cellStyle name="Nota 6 2 9 2" xfId="15387" xr:uid="{00000000-0005-0000-0000-00006B430000}"/>
    <cellStyle name="Nota 6 20" xfId="15388" xr:uid="{00000000-0005-0000-0000-00006C430000}"/>
    <cellStyle name="Nota 6 20 2" xfId="15389" xr:uid="{00000000-0005-0000-0000-00006D430000}"/>
    <cellStyle name="Nota 6 21" xfId="15390" xr:uid="{00000000-0005-0000-0000-00006E430000}"/>
    <cellStyle name="Nota 6 21 2" xfId="15391" xr:uid="{00000000-0005-0000-0000-00006F430000}"/>
    <cellStyle name="Nota 6 22" xfId="15392" xr:uid="{00000000-0005-0000-0000-000070430000}"/>
    <cellStyle name="Nota 6 22 2" xfId="15393" xr:uid="{00000000-0005-0000-0000-000071430000}"/>
    <cellStyle name="Nota 6 23" xfId="15394" xr:uid="{00000000-0005-0000-0000-000072430000}"/>
    <cellStyle name="Nota 6 23 2" xfId="15395" xr:uid="{00000000-0005-0000-0000-000073430000}"/>
    <cellStyle name="Nota 6 24" xfId="15396" xr:uid="{00000000-0005-0000-0000-000074430000}"/>
    <cellStyle name="Nota 6 24 2" xfId="15397" xr:uid="{00000000-0005-0000-0000-000075430000}"/>
    <cellStyle name="Nota 6 25" xfId="15398" xr:uid="{00000000-0005-0000-0000-000076430000}"/>
    <cellStyle name="Nota 6 25 2" xfId="15399" xr:uid="{00000000-0005-0000-0000-000077430000}"/>
    <cellStyle name="Nota 6 26" xfId="15400" xr:uid="{00000000-0005-0000-0000-000078430000}"/>
    <cellStyle name="Nota 6 26 2" xfId="15401" xr:uid="{00000000-0005-0000-0000-000079430000}"/>
    <cellStyle name="Nota 6 27" xfId="15402" xr:uid="{00000000-0005-0000-0000-00007A430000}"/>
    <cellStyle name="Nota 6 27 2" xfId="15403" xr:uid="{00000000-0005-0000-0000-00007B430000}"/>
    <cellStyle name="Nota 6 28" xfId="15404" xr:uid="{00000000-0005-0000-0000-00007C430000}"/>
    <cellStyle name="Nota 6 28 2" xfId="15405" xr:uid="{00000000-0005-0000-0000-00007D430000}"/>
    <cellStyle name="Nota 6 29" xfId="15406" xr:uid="{00000000-0005-0000-0000-00007E430000}"/>
    <cellStyle name="Nota 6 29 2" xfId="15407" xr:uid="{00000000-0005-0000-0000-00007F430000}"/>
    <cellStyle name="Nota 6 3" xfId="15408" xr:uid="{00000000-0005-0000-0000-000080430000}"/>
    <cellStyle name="Nota 6 3 10" xfId="15409" xr:uid="{00000000-0005-0000-0000-000081430000}"/>
    <cellStyle name="Nota 6 3 10 2" xfId="15410" xr:uid="{00000000-0005-0000-0000-000082430000}"/>
    <cellStyle name="Nota 6 3 11" xfId="15411" xr:uid="{00000000-0005-0000-0000-000083430000}"/>
    <cellStyle name="Nota 6 3 12" xfId="15412" xr:uid="{00000000-0005-0000-0000-000084430000}"/>
    <cellStyle name="Nota 6 3 12 2" xfId="15413" xr:uid="{00000000-0005-0000-0000-000085430000}"/>
    <cellStyle name="Nota 6 3 13" xfId="15414" xr:uid="{00000000-0005-0000-0000-000086430000}"/>
    <cellStyle name="Nota 6 3 14" xfId="15415" xr:uid="{00000000-0005-0000-0000-000087430000}"/>
    <cellStyle name="Nota 6 3 14 2" xfId="15416" xr:uid="{00000000-0005-0000-0000-000088430000}"/>
    <cellStyle name="Nota 6 3 15" xfId="15417" xr:uid="{00000000-0005-0000-0000-000089430000}"/>
    <cellStyle name="Nota 6 3 16" xfId="15418" xr:uid="{00000000-0005-0000-0000-00008A430000}"/>
    <cellStyle name="Nota 6 3 17" xfId="15419" xr:uid="{00000000-0005-0000-0000-00008B430000}"/>
    <cellStyle name="Nota 6 3 17 2" xfId="15420" xr:uid="{00000000-0005-0000-0000-00008C430000}"/>
    <cellStyle name="Nota 6 3 18" xfId="15421" xr:uid="{00000000-0005-0000-0000-00008D430000}"/>
    <cellStyle name="Nota 6 3 18 2" xfId="15422" xr:uid="{00000000-0005-0000-0000-00008E430000}"/>
    <cellStyle name="Nota 6 3 19" xfId="15423" xr:uid="{00000000-0005-0000-0000-00008F430000}"/>
    <cellStyle name="Nota 6 3 19 2" xfId="15424" xr:uid="{00000000-0005-0000-0000-000090430000}"/>
    <cellStyle name="Nota 6 3 2" xfId="15425" xr:uid="{00000000-0005-0000-0000-000091430000}"/>
    <cellStyle name="Nota 6 3 2 10" xfId="15426" xr:uid="{00000000-0005-0000-0000-000092430000}"/>
    <cellStyle name="Nota 6 3 2 10 2" xfId="15427" xr:uid="{00000000-0005-0000-0000-000093430000}"/>
    <cellStyle name="Nota 6 3 2 2" xfId="15428" xr:uid="{00000000-0005-0000-0000-000094430000}"/>
    <cellStyle name="Nota 6 3 2 2 2" xfId="15429" xr:uid="{00000000-0005-0000-0000-000095430000}"/>
    <cellStyle name="Nota 6 3 2 2 3" xfId="25950" xr:uid="{00000000-0005-0000-0000-000096430000}"/>
    <cellStyle name="Nota 6 3 2 3" xfId="15430" xr:uid="{00000000-0005-0000-0000-000097430000}"/>
    <cellStyle name="Nota 6 3 2 3 2" xfId="15431" xr:uid="{00000000-0005-0000-0000-000098430000}"/>
    <cellStyle name="Nota 6 3 2 4" xfId="15432" xr:uid="{00000000-0005-0000-0000-000099430000}"/>
    <cellStyle name="Nota 6 3 2 4 2" xfId="15433" xr:uid="{00000000-0005-0000-0000-00009A430000}"/>
    <cellStyle name="Nota 6 3 2 5" xfId="15434" xr:uid="{00000000-0005-0000-0000-00009B430000}"/>
    <cellStyle name="Nota 6 3 2 5 2" xfId="15435" xr:uid="{00000000-0005-0000-0000-00009C430000}"/>
    <cellStyle name="Nota 6 3 2 6" xfId="15436" xr:uid="{00000000-0005-0000-0000-00009D430000}"/>
    <cellStyle name="Nota 6 3 2 6 2" xfId="15437" xr:uid="{00000000-0005-0000-0000-00009E430000}"/>
    <cellStyle name="Nota 6 3 2 7" xfId="15438" xr:uid="{00000000-0005-0000-0000-00009F430000}"/>
    <cellStyle name="Nota 6 3 2 7 2" xfId="15439" xr:uid="{00000000-0005-0000-0000-0000A0430000}"/>
    <cellStyle name="Nota 6 3 2 8" xfId="15440" xr:uid="{00000000-0005-0000-0000-0000A1430000}"/>
    <cellStyle name="Nota 6 3 2 8 2" xfId="15441" xr:uid="{00000000-0005-0000-0000-0000A2430000}"/>
    <cellStyle name="Nota 6 3 2 9" xfId="15442" xr:uid="{00000000-0005-0000-0000-0000A3430000}"/>
    <cellStyle name="Nota 6 3 2 9 2" xfId="15443" xr:uid="{00000000-0005-0000-0000-0000A4430000}"/>
    <cellStyle name="Nota 6 3 20" xfId="15444" xr:uid="{00000000-0005-0000-0000-0000A5430000}"/>
    <cellStyle name="Nota 6 3 20 2" xfId="15445" xr:uid="{00000000-0005-0000-0000-0000A6430000}"/>
    <cellStyle name="Nota 6 3 21" xfId="15446" xr:uid="{00000000-0005-0000-0000-0000A7430000}"/>
    <cellStyle name="Nota 6 3 21 2" xfId="15447" xr:uid="{00000000-0005-0000-0000-0000A8430000}"/>
    <cellStyle name="Nota 6 3 22" xfId="15448" xr:uid="{00000000-0005-0000-0000-0000A9430000}"/>
    <cellStyle name="Nota 6 3 22 2" xfId="15449" xr:uid="{00000000-0005-0000-0000-0000AA430000}"/>
    <cellStyle name="Nota 6 3 23" xfId="15450" xr:uid="{00000000-0005-0000-0000-0000AB430000}"/>
    <cellStyle name="Nota 6 3 23 2" xfId="15451" xr:uid="{00000000-0005-0000-0000-0000AC430000}"/>
    <cellStyle name="Nota 6 3 24" xfId="15452" xr:uid="{00000000-0005-0000-0000-0000AD430000}"/>
    <cellStyle name="Nota 6 3 24 2" xfId="15453" xr:uid="{00000000-0005-0000-0000-0000AE430000}"/>
    <cellStyle name="Nota 6 3 25" xfId="15454" xr:uid="{00000000-0005-0000-0000-0000AF430000}"/>
    <cellStyle name="Nota 6 3 25 2" xfId="15455" xr:uid="{00000000-0005-0000-0000-0000B0430000}"/>
    <cellStyle name="Nota 6 3 26" xfId="15456" xr:uid="{00000000-0005-0000-0000-0000B1430000}"/>
    <cellStyle name="Nota 6 3 26 2" xfId="15457" xr:uid="{00000000-0005-0000-0000-0000B2430000}"/>
    <cellStyle name="Nota 6 3 27" xfId="15458" xr:uid="{00000000-0005-0000-0000-0000B3430000}"/>
    <cellStyle name="Nota 6 3 27 2" xfId="15459" xr:uid="{00000000-0005-0000-0000-0000B4430000}"/>
    <cellStyle name="Nota 6 3 28" xfId="15460" xr:uid="{00000000-0005-0000-0000-0000B5430000}"/>
    <cellStyle name="Nota 6 3 28 2" xfId="15461" xr:uid="{00000000-0005-0000-0000-0000B6430000}"/>
    <cellStyle name="Nota 6 3 29" xfId="15462" xr:uid="{00000000-0005-0000-0000-0000B7430000}"/>
    <cellStyle name="Nota 6 3 29 2" xfId="15463" xr:uid="{00000000-0005-0000-0000-0000B8430000}"/>
    <cellStyle name="Nota 6 3 3" xfId="15464" xr:uid="{00000000-0005-0000-0000-0000B9430000}"/>
    <cellStyle name="Nota 6 3 3 2" xfId="15465" xr:uid="{00000000-0005-0000-0000-0000BA430000}"/>
    <cellStyle name="Nota 6 3 3 2 2" xfId="15466" xr:uid="{00000000-0005-0000-0000-0000BB430000}"/>
    <cellStyle name="Nota 6 3 3 3" xfId="15467" xr:uid="{00000000-0005-0000-0000-0000BC430000}"/>
    <cellStyle name="Nota 6 3 3 3 2" xfId="15468" xr:uid="{00000000-0005-0000-0000-0000BD430000}"/>
    <cellStyle name="Nota 6 3 3 4" xfId="15469" xr:uid="{00000000-0005-0000-0000-0000BE430000}"/>
    <cellStyle name="Nota 6 3 3 4 2" xfId="15470" xr:uid="{00000000-0005-0000-0000-0000BF430000}"/>
    <cellStyle name="Nota 6 3 3 5" xfId="15471" xr:uid="{00000000-0005-0000-0000-0000C0430000}"/>
    <cellStyle name="Nota 6 3 3 5 2" xfId="15472" xr:uid="{00000000-0005-0000-0000-0000C1430000}"/>
    <cellStyle name="Nota 6 3 3 6" xfId="15473" xr:uid="{00000000-0005-0000-0000-0000C2430000}"/>
    <cellStyle name="Nota 6 3 3 7" xfId="25951" xr:uid="{00000000-0005-0000-0000-0000C3430000}"/>
    <cellStyle name="Nota 6 3 30" xfId="15474" xr:uid="{00000000-0005-0000-0000-0000C4430000}"/>
    <cellStyle name="Nota 6 3 30 2" xfId="15475" xr:uid="{00000000-0005-0000-0000-0000C5430000}"/>
    <cellStyle name="Nota 6 3 31" xfId="15476" xr:uid="{00000000-0005-0000-0000-0000C6430000}"/>
    <cellStyle name="Nota 6 3 31 2" xfId="15477" xr:uid="{00000000-0005-0000-0000-0000C7430000}"/>
    <cellStyle name="Nota 6 3 32" xfId="15478" xr:uid="{00000000-0005-0000-0000-0000C8430000}"/>
    <cellStyle name="Nota 6 3 32 2" xfId="15479" xr:uid="{00000000-0005-0000-0000-0000C9430000}"/>
    <cellStyle name="Nota 6 3 33" xfId="15480" xr:uid="{00000000-0005-0000-0000-0000CA430000}"/>
    <cellStyle name="Nota 6 3 33 2" xfId="15481" xr:uid="{00000000-0005-0000-0000-0000CB430000}"/>
    <cellStyle name="Nota 6 3 34" xfId="15482" xr:uid="{00000000-0005-0000-0000-0000CC430000}"/>
    <cellStyle name="Nota 6 3 35" xfId="15483" xr:uid="{00000000-0005-0000-0000-0000CD430000}"/>
    <cellStyle name="Nota 6 3 35 2" xfId="15484" xr:uid="{00000000-0005-0000-0000-0000CE430000}"/>
    <cellStyle name="Nota 6 3 36" xfId="15485" xr:uid="{00000000-0005-0000-0000-0000CF430000}"/>
    <cellStyle name="Nota 6 3 36 2" xfId="15486" xr:uid="{00000000-0005-0000-0000-0000D0430000}"/>
    <cellStyle name="Nota 6 3 37" xfId="15487" xr:uid="{00000000-0005-0000-0000-0000D1430000}"/>
    <cellStyle name="Nota 6 3 4" xfId="15488" xr:uid="{00000000-0005-0000-0000-0000D2430000}"/>
    <cellStyle name="Nota 6 3 4 2" xfId="15489" xr:uid="{00000000-0005-0000-0000-0000D3430000}"/>
    <cellStyle name="Nota 6 3 4 2 2" xfId="15490" xr:uid="{00000000-0005-0000-0000-0000D4430000}"/>
    <cellStyle name="Nota 6 3 4 3" xfId="15491" xr:uid="{00000000-0005-0000-0000-0000D5430000}"/>
    <cellStyle name="Nota 6 3 4 3 2" xfId="15492" xr:uid="{00000000-0005-0000-0000-0000D6430000}"/>
    <cellStyle name="Nota 6 3 4 4" xfId="15493" xr:uid="{00000000-0005-0000-0000-0000D7430000}"/>
    <cellStyle name="Nota 6 3 4 4 2" xfId="15494" xr:uid="{00000000-0005-0000-0000-0000D8430000}"/>
    <cellStyle name="Nota 6 3 4 5" xfId="15495" xr:uid="{00000000-0005-0000-0000-0000D9430000}"/>
    <cellStyle name="Nota 6 3 4 5 2" xfId="15496" xr:uid="{00000000-0005-0000-0000-0000DA430000}"/>
    <cellStyle name="Nota 6 3 4 6" xfId="15497" xr:uid="{00000000-0005-0000-0000-0000DB430000}"/>
    <cellStyle name="Nota 6 3 5" xfId="15498" xr:uid="{00000000-0005-0000-0000-0000DC430000}"/>
    <cellStyle name="Nota 6 3 5 2" xfId="15499" xr:uid="{00000000-0005-0000-0000-0000DD430000}"/>
    <cellStyle name="Nota 6 3 6" xfId="15500" xr:uid="{00000000-0005-0000-0000-0000DE430000}"/>
    <cellStyle name="Nota 6 3 7" xfId="15501" xr:uid="{00000000-0005-0000-0000-0000DF430000}"/>
    <cellStyle name="Nota 6 3 8" xfId="15502" xr:uid="{00000000-0005-0000-0000-0000E0430000}"/>
    <cellStyle name="Nota 6 3 8 2" xfId="15503" xr:uid="{00000000-0005-0000-0000-0000E1430000}"/>
    <cellStyle name="Nota 6 3 9" xfId="15504" xr:uid="{00000000-0005-0000-0000-0000E2430000}"/>
    <cellStyle name="Nota 6 30" xfId="15505" xr:uid="{00000000-0005-0000-0000-0000E3430000}"/>
    <cellStyle name="Nota 6 30 2" xfId="15506" xr:uid="{00000000-0005-0000-0000-0000E4430000}"/>
    <cellStyle name="Nota 6 31" xfId="15507" xr:uid="{00000000-0005-0000-0000-0000E5430000}"/>
    <cellStyle name="Nota 6 31 2" xfId="15508" xr:uid="{00000000-0005-0000-0000-0000E6430000}"/>
    <cellStyle name="Nota 6 32" xfId="15509" xr:uid="{00000000-0005-0000-0000-0000E7430000}"/>
    <cellStyle name="Nota 6 32 2" xfId="15510" xr:uid="{00000000-0005-0000-0000-0000E8430000}"/>
    <cellStyle name="Nota 6 33" xfId="15511" xr:uid="{00000000-0005-0000-0000-0000E9430000}"/>
    <cellStyle name="Nota 6 33 2" xfId="15512" xr:uid="{00000000-0005-0000-0000-0000EA430000}"/>
    <cellStyle name="Nota 6 34" xfId="15513" xr:uid="{00000000-0005-0000-0000-0000EB430000}"/>
    <cellStyle name="Nota 6 34 2" xfId="15514" xr:uid="{00000000-0005-0000-0000-0000EC430000}"/>
    <cellStyle name="Nota 6 35" xfId="15515" xr:uid="{00000000-0005-0000-0000-0000ED430000}"/>
    <cellStyle name="Nota 6 35 2" xfId="15516" xr:uid="{00000000-0005-0000-0000-0000EE430000}"/>
    <cellStyle name="Nota 6 36" xfId="15517" xr:uid="{00000000-0005-0000-0000-0000EF430000}"/>
    <cellStyle name="Nota 6 36 2" xfId="15518" xr:uid="{00000000-0005-0000-0000-0000F0430000}"/>
    <cellStyle name="Nota 6 37" xfId="15519" xr:uid="{00000000-0005-0000-0000-0000F1430000}"/>
    <cellStyle name="Nota 6 37 2" xfId="15520" xr:uid="{00000000-0005-0000-0000-0000F2430000}"/>
    <cellStyle name="Nota 6 38" xfId="15521" xr:uid="{00000000-0005-0000-0000-0000F3430000}"/>
    <cellStyle name="Nota 6 38 2" xfId="15522" xr:uid="{00000000-0005-0000-0000-0000F4430000}"/>
    <cellStyle name="Nota 6 39" xfId="15523" xr:uid="{00000000-0005-0000-0000-0000F5430000}"/>
    <cellStyle name="Nota 6 39 2" xfId="15524" xr:uid="{00000000-0005-0000-0000-0000F6430000}"/>
    <cellStyle name="Nota 6 4" xfId="15525" xr:uid="{00000000-0005-0000-0000-0000F7430000}"/>
    <cellStyle name="Nota 6 4 2" xfId="15526" xr:uid="{00000000-0005-0000-0000-0000F8430000}"/>
    <cellStyle name="Nota 6 4 2 2" xfId="15527" xr:uid="{00000000-0005-0000-0000-0000F9430000}"/>
    <cellStyle name="Nota 6 4 2 3" xfId="25953" xr:uid="{00000000-0005-0000-0000-0000FA430000}"/>
    <cellStyle name="Nota 6 4 3" xfId="15528" xr:uid="{00000000-0005-0000-0000-0000FB430000}"/>
    <cellStyle name="Nota 6 4 3 2" xfId="15529" xr:uid="{00000000-0005-0000-0000-0000FC430000}"/>
    <cellStyle name="Nota 6 4 4" xfId="15530" xr:uid="{00000000-0005-0000-0000-0000FD430000}"/>
    <cellStyle name="Nota 6 4 4 2" xfId="15531" xr:uid="{00000000-0005-0000-0000-0000FE430000}"/>
    <cellStyle name="Nota 6 4 5" xfId="15532" xr:uid="{00000000-0005-0000-0000-0000FF430000}"/>
    <cellStyle name="Nota 6 4 5 2" xfId="15533" xr:uid="{00000000-0005-0000-0000-000000440000}"/>
    <cellStyle name="Nota 6 4 6" xfId="15534" xr:uid="{00000000-0005-0000-0000-000001440000}"/>
    <cellStyle name="Nota 6 4 7" xfId="25952" xr:uid="{00000000-0005-0000-0000-000002440000}"/>
    <cellStyle name="Nota 6 40" xfId="15535" xr:uid="{00000000-0005-0000-0000-000003440000}"/>
    <cellStyle name="Nota 6 40 2" xfId="15536" xr:uid="{00000000-0005-0000-0000-000004440000}"/>
    <cellStyle name="Nota 6 41" xfId="15537" xr:uid="{00000000-0005-0000-0000-000005440000}"/>
    <cellStyle name="Nota 6 41 2" xfId="15538" xr:uid="{00000000-0005-0000-0000-000006440000}"/>
    <cellStyle name="Nota 6 42" xfId="15539" xr:uid="{00000000-0005-0000-0000-000007440000}"/>
    <cellStyle name="Nota 6 42 2" xfId="15540" xr:uid="{00000000-0005-0000-0000-000008440000}"/>
    <cellStyle name="Nota 6 43" xfId="15541" xr:uid="{00000000-0005-0000-0000-000009440000}"/>
    <cellStyle name="Nota 6 43 2" xfId="15542" xr:uid="{00000000-0005-0000-0000-00000A440000}"/>
    <cellStyle name="Nota 6 44" xfId="15543" xr:uid="{00000000-0005-0000-0000-00000B440000}"/>
    <cellStyle name="Nota 6 44 2" xfId="15544" xr:uid="{00000000-0005-0000-0000-00000C440000}"/>
    <cellStyle name="Nota 6 45" xfId="15545" xr:uid="{00000000-0005-0000-0000-00000D440000}"/>
    <cellStyle name="Nota 6 45 2" xfId="15546" xr:uid="{00000000-0005-0000-0000-00000E440000}"/>
    <cellStyle name="Nota 6 46" xfId="15547" xr:uid="{00000000-0005-0000-0000-00000F440000}"/>
    <cellStyle name="Nota 6 46 2" xfId="15548" xr:uid="{00000000-0005-0000-0000-000010440000}"/>
    <cellStyle name="Nota 6 47" xfId="15549" xr:uid="{00000000-0005-0000-0000-000011440000}"/>
    <cellStyle name="Nota 6 47 2" xfId="15550" xr:uid="{00000000-0005-0000-0000-000012440000}"/>
    <cellStyle name="Nota 6 48" xfId="15551" xr:uid="{00000000-0005-0000-0000-000013440000}"/>
    <cellStyle name="Nota 6 48 2" xfId="15552" xr:uid="{00000000-0005-0000-0000-000014440000}"/>
    <cellStyle name="Nota 6 49" xfId="15553" xr:uid="{00000000-0005-0000-0000-000015440000}"/>
    <cellStyle name="Nota 6 49 2" xfId="15554" xr:uid="{00000000-0005-0000-0000-000016440000}"/>
    <cellStyle name="Nota 6 5" xfId="15555" xr:uid="{00000000-0005-0000-0000-000017440000}"/>
    <cellStyle name="Nota 6 50" xfId="15556" xr:uid="{00000000-0005-0000-0000-000018440000}"/>
    <cellStyle name="Nota 6 6" xfId="15557" xr:uid="{00000000-0005-0000-0000-000019440000}"/>
    <cellStyle name="Nota 6 7" xfId="15558" xr:uid="{00000000-0005-0000-0000-00001A440000}"/>
    <cellStyle name="Nota 6 7 2" xfId="15559" xr:uid="{00000000-0005-0000-0000-00001B440000}"/>
    <cellStyle name="Nota 6 8" xfId="15560" xr:uid="{00000000-0005-0000-0000-00001C440000}"/>
    <cellStyle name="Nota 6 8 2" xfId="15561" xr:uid="{00000000-0005-0000-0000-00001D440000}"/>
    <cellStyle name="Nota 6 9" xfId="15562" xr:uid="{00000000-0005-0000-0000-00001E440000}"/>
    <cellStyle name="Nota 6 9 2" xfId="15563" xr:uid="{00000000-0005-0000-0000-00001F440000}"/>
    <cellStyle name="Nota 7" xfId="15564" xr:uid="{00000000-0005-0000-0000-000020440000}"/>
    <cellStyle name="Nota 7 10" xfId="15565" xr:uid="{00000000-0005-0000-0000-000021440000}"/>
    <cellStyle name="Nota 7 11" xfId="15566" xr:uid="{00000000-0005-0000-0000-000022440000}"/>
    <cellStyle name="Nota 7 12" xfId="15567" xr:uid="{00000000-0005-0000-0000-000023440000}"/>
    <cellStyle name="Nota 7 13" xfId="15568" xr:uid="{00000000-0005-0000-0000-000024440000}"/>
    <cellStyle name="Nota 7 13 2" xfId="24823" xr:uid="{00000000-0005-0000-0000-000025440000}"/>
    <cellStyle name="Nota 7 13 2 2" xfId="32832" xr:uid="{50D9E343-F987-4C76-9002-E79EB0194AEF}"/>
    <cellStyle name="Nota 7 14" xfId="24822" xr:uid="{00000000-0005-0000-0000-000026440000}"/>
    <cellStyle name="Nota 7 14 2" xfId="32831" xr:uid="{D9FA4D81-6ABD-41EA-9972-6E5BA8775564}"/>
    <cellStyle name="Nota 7 2" xfId="15569" xr:uid="{00000000-0005-0000-0000-000027440000}"/>
    <cellStyle name="Nota 7 2 2" xfId="25954" xr:uid="{00000000-0005-0000-0000-000028440000}"/>
    <cellStyle name="Nota 7 2 2 2" xfId="25955" xr:uid="{00000000-0005-0000-0000-000029440000}"/>
    <cellStyle name="Nota 7 2 2 2 2" xfId="25956" xr:uid="{00000000-0005-0000-0000-00002A440000}"/>
    <cellStyle name="Nota 7 2 2 3" xfId="25957" xr:uid="{00000000-0005-0000-0000-00002B440000}"/>
    <cellStyle name="Nota 7 2 3" xfId="25958" xr:uid="{00000000-0005-0000-0000-00002C440000}"/>
    <cellStyle name="Nota 7 2 3 2" xfId="25959" xr:uid="{00000000-0005-0000-0000-00002D440000}"/>
    <cellStyle name="Nota 7 2 4" xfId="25960" xr:uid="{00000000-0005-0000-0000-00002E440000}"/>
    <cellStyle name="Nota 7 3" xfId="15570" xr:uid="{00000000-0005-0000-0000-00002F440000}"/>
    <cellStyle name="Nota 7 3 2" xfId="25961" xr:uid="{00000000-0005-0000-0000-000030440000}"/>
    <cellStyle name="Nota 7 3 2 2" xfId="25962" xr:uid="{00000000-0005-0000-0000-000031440000}"/>
    <cellStyle name="Nota 7 3 3" xfId="25963" xr:uid="{00000000-0005-0000-0000-000032440000}"/>
    <cellStyle name="Nota 7 4" xfId="15571" xr:uid="{00000000-0005-0000-0000-000033440000}"/>
    <cellStyle name="Nota 7 4 2" xfId="25964" xr:uid="{00000000-0005-0000-0000-000034440000}"/>
    <cellStyle name="Nota 7 5" xfId="15572" xr:uid="{00000000-0005-0000-0000-000035440000}"/>
    <cellStyle name="Nota 7 6" xfId="15573" xr:uid="{00000000-0005-0000-0000-000036440000}"/>
    <cellStyle name="Nota 7 7" xfId="15574" xr:uid="{00000000-0005-0000-0000-000037440000}"/>
    <cellStyle name="Nota 7 8" xfId="15575" xr:uid="{00000000-0005-0000-0000-000038440000}"/>
    <cellStyle name="Nota 7 9" xfId="15576" xr:uid="{00000000-0005-0000-0000-000039440000}"/>
    <cellStyle name="Nota 8" xfId="15577" xr:uid="{00000000-0005-0000-0000-00003A440000}"/>
    <cellStyle name="Nota 8 2" xfId="15578" xr:uid="{00000000-0005-0000-0000-00003B440000}"/>
    <cellStyle name="Nota 8 2 2" xfId="15579" xr:uid="{00000000-0005-0000-0000-00003C440000}"/>
    <cellStyle name="Nota 8 2 2 2" xfId="24825" xr:uid="{00000000-0005-0000-0000-00003D440000}"/>
    <cellStyle name="Nota 8 2 2 2 2" xfId="25967" xr:uid="{00000000-0005-0000-0000-00003E440000}"/>
    <cellStyle name="Nota 8 2 2 2 3" xfId="32834" xr:uid="{F94F3941-4C2C-4D5D-B062-53A748EBDC87}"/>
    <cellStyle name="Nota 8 2 2 3" xfId="25966" xr:uid="{00000000-0005-0000-0000-00003F440000}"/>
    <cellStyle name="Nota 8 2 3" xfId="24824" xr:uid="{00000000-0005-0000-0000-000040440000}"/>
    <cellStyle name="Nota 8 2 3 2" xfId="25968" xr:uid="{00000000-0005-0000-0000-000041440000}"/>
    <cellStyle name="Nota 8 2 3 3" xfId="32833" xr:uid="{1CF151AE-D961-44A6-91DD-521554AC0474}"/>
    <cellStyle name="Nota 8 2 4" xfId="25965" xr:uid="{00000000-0005-0000-0000-000042440000}"/>
    <cellStyle name="Nota 8 3" xfId="25969" xr:uid="{00000000-0005-0000-0000-000043440000}"/>
    <cellStyle name="Nota 8 3 2" xfId="25970" xr:uid="{00000000-0005-0000-0000-000044440000}"/>
    <cellStyle name="Nota 8 4" xfId="25971" xr:uid="{00000000-0005-0000-0000-000045440000}"/>
    <cellStyle name="Nota 9" xfId="15580" xr:uid="{00000000-0005-0000-0000-000046440000}"/>
    <cellStyle name="Nota 9 2" xfId="25972" xr:uid="{00000000-0005-0000-0000-000047440000}"/>
    <cellStyle name="Nota 9 2 2" xfId="25973" xr:uid="{00000000-0005-0000-0000-000048440000}"/>
    <cellStyle name="Nota 9 2 2 2" xfId="25974" xr:uid="{00000000-0005-0000-0000-000049440000}"/>
    <cellStyle name="Nota 9 2 3" xfId="25975" xr:uid="{00000000-0005-0000-0000-00004A440000}"/>
    <cellStyle name="Nota 9 3" xfId="25976" xr:uid="{00000000-0005-0000-0000-00004B440000}"/>
    <cellStyle name="Nota 9 3 2" xfId="25977" xr:uid="{00000000-0005-0000-0000-00004C440000}"/>
    <cellStyle name="Nota 9 4" xfId="25978" xr:uid="{00000000-0005-0000-0000-00004D440000}"/>
    <cellStyle name="Notas" xfId="15581" xr:uid="{00000000-0005-0000-0000-00004E440000}"/>
    <cellStyle name="Notas 2" xfId="24826" xr:uid="{00000000-0005-0000-0000-00004F440000}"/>
    <cellStyle name="Notas 2 2" xfId="32835" xr:uid="{AC661331-F88E-4BAB-B588-25C15BCCB0AF}"/>
    <cellStyle name="Note" xfId="519" xr:uid="{00000000-0005-0000-0000-000050440000}"/>
    <cellStyle name="Note 10" xfId="520" xr:uid="{00000000-0005-0000-0000-000051440000}"/>
    <cellStyle name="Note 10 2" xfId="27850" xr:uid="{F63551D6-CEDA-4ECE-A267-0F2CE0397253}"/>
    <cellStyle name="Note 11" xfId="521" xr:uid="{00000000-0005-0000-0000-000052440000}"/>
    <cellStyle name="Note 11 2" xfId="27851" xr:uid="{7710FAAC-FC1C-4A48-986D-5317CC7CFBAD}"/>
    <cellStyle name="Note 12" xfId="522" xr:uid="{00000000-0005-0000-0000-000053440000}"/>
    <cellStyle name="Note 12 2" xfId="27852" xr:uid="{A5DB9F78-3006-4FA3-B131-8EBB0003B570}"/>
    <cellStyle name="Note 13" xfId="523" xr:uid="{00000000-0005-0000-0000-000054440000}"/>
    <cellStyle name="Note 13 2" xfId="27853" xr:uid="{CE533ECA-156B-4E8C-88AF-1E30720FA25D}"/>
    <cellStyle name="Note 14" xfId="524" xr:uid="{00000000-0005-0000-0000-000055440000}"/>
    <cellStyle name="Note 14 2" xfId="27854" xr:uid="{DC4EAC19-1BCB-47C0-B325-1EBB7C143A14}"/>
    <cellStyle name="Note 15" xfId="525" xr:uid="{00000000-0005-0000-0000-000056440000}"/>
    <cellStyle name="Note 15 2" xfId="27855" xr:uid="{8C3FCE10-C425-4C27-8FAC-36673DFB84E1}"/>
    <cellStyle name="Note 16" xfId="526" xr:uid="{00000000-0005-0000-0000-000057440000}"/>
    <cellStyle name="Note 16 2" xfId="27856" xr:uid="{C73129EA-E4DA-4B64-B92F-E66E4A4BB451}"/>
    <cellStyle name="Note 17" xfId="527" xr:uid="{00000000-0005-0000-0000-000058440000}"/>
    <cellStyle name="Note 17 2" xfId="27857" xr:uid="{32AE6FFF-1070-4DEE-9B45-8A20EBADF427}"/>
    <cellStyle name="Note 18" xfId="528" xr:uid="{00000000-0005-0000-0000-000059440000}"/>
    <cellStyle name="Note 18 2" xfId="27858" xr:uid="{5DC4F8AE-26D1-405A-A7D1-308AEF64EC97}"/>
    <cellStyle name="Note 19" xfId="15582" xr:uid="{00000000-0005-0000-0000-00005A440000}"/>
    <cellStyle name="Note 2" xfId="529" xr:uid="{00000000-0005-0000-0000-00005B440000}"/>
    <cellStyle name="Note 2 2" xfId="15584" xr:uid="{00000000-0005-0000-0000-00005C440000}"/>
    <cellStyle name="Note 2 2 2" xfId="24829" xr:uid="{00000000-0005-0000-0000-00005D440000}"/>
    <cellStyle name="Note 2 2 2 2" xfId="25982" xr:uid="{00000000-0005-0000-0000-00005E440000}"/>
    <cellStyle name="Note 2 2 2 3" xfId="27298" xr:uid="{00000000-0005-0000-0000-00005F440000}"/>
    <cellStyle name="Note 2 2 2 3 2" xfId="33137" xr:uid="{127110FD-6E5F-4391-BEC7-CD7023B0EAC2}"/>
    <cellStyle name="Note 2 2 2 4" xfId="32838" xr:uid="{7119E750-3C28-48AA-A5BF-10215128591A}"/>
    <cellStyle name="Note 2 2 3" xfId="25981" xr:uid="{00000000-0005-0000-0000-000060440000}"/>
    <cellStyle name="Note 2 2 4" xfId="27162" xr:uid="{00000000-0005-0000-0000-000061440000}"/>
    <cellStyle name="Note 2 2 4 2" xfId="33010" xr:uid="{D643EA00-2B83-458B-BBE0-AAA286C395EF}"/>
    <cellStyle name="Note 2 3" xfId="15583" xr:uid="{00000000-0005-0000-0000-000062440000}"/>
    <cellStyle name="Note 2 3 2" xfId="25983" xr:uid="{00000000-0005-0000-0000-000063440000}"/>
    <cellStyle name="Note 2 3 3" xfId="27299" xr:uid="{00000000-0005-0000-0000-000064440000}"/>
    <cellStyle name="Note 2 3 3 2" xfId="33138" xr:uid="{00DA8893-933C-46B8-B274-A2F5562A966B}"/>
    <cellStyle name="Note 2 4" xfId="24828" xr:uid="{00000000-0005-0000-0000-000065440000}"/>
    <cellStyle name="Note 2 4 2" xfId="27121" xr:uid="{00000000-0005-0000-0000-000066440000}"/>
    <cellStyle name="Note 2 4 2 2" xfId="27337" xr:uid="{00000000-0005-0000-0000-000067440000}"/>
    <cellStyle name="Note 2 4 2 2 2" xfId="33174" xr:uid="{A0559FF4-DB6A-4F93-8E58-EDDD07DB3A8C}"/>
    <cellStyle name="Note 2 4 3" xfId="25984" xr:uid="{00000000-0005-0000-0000-000068440000}"/>
    <cellStyle name="Note 2 4 4" xfId="27161" xr:uid="{00000000-0005-0000-0000-000069440000}"/>
    <cellStyle name="Note 2 4 4 2" xfId="33009" xr:uid="{F61FB133-D148-47E4-8FD2-61B699358E6B}"/>
    <cellStyle name="Note 2 4 5" xfId="32837" xr:uid="{30FDB1B7-6605-4FCC-BF36-E4C84DA5C6C6}"/>
    <cellStyle name="Note 2 5" xfId="25980" xr:uid="{00000000-0005-0000-0000-00006A440000}"/>
    <cellStyle name="Note 2 6" xfId="27300" xr:uid="{00000000-0005-0000-0000-00006B440000}"/>
    <cellStyle name="Note 2 6 2" xfId="33139" xr:uid="{834E8929-3CC8-47E4-A48D-BEA234D37A91}"/>
    <cellStyle name="Note 20" xfId="24827" xr:uid="{00000000-0005-0000-0000-00006C440000}"/>
    <cellStyle name="Note 20 2" xfId="32836" xr:uid="{35FEE326-6372-4F77-937D-9830BEF97982}"/>
    <cellStyle name="Note 21" xfId="25979" xr:uid="{00000000-0005-0000-0000-00006D440000}"/>
    <cellStyle name="Note 3" xfId="530" xr:uid="{00000000-0005-0000-0000-00006E440000}"/>
    <cellStyle name="Note 3 2" xfId="15586" xr:uid="{00000000-0005-0000-0000-00006F440000}"/>
    <cellStyle name="Note 3 2 2" xfId="24831" xr:uid="{00000000-0005-0000-0000-000070440000}"/>
    <cellStyle name="Note 3 2 2 2" xfId="25987" xr:uid="{00000000-0005-0000-0000-000071440000}"/>
    <cellStyle name="Note 3 2 2 3" xfId="27297" xr:uid="{00000000-0005-0000-0000-000072440000}"/>
    <cellStyle name="Note 3 2 2 3 2" xfId="33136" xr:uid="{12E05F8A-3DC6-44E0-849F-7B49F13E1AEE}"/>
    <cellStyle name="Note 3 2 2 4" xfId="32840" xr:uid="{042DA370-CD27-4286-BADF-14BA80E5500D}"/>
    <cellStyle name="Note 3 2 3" xfId="25986" xr:uid="{00000000-0005-0000-0000-000073440000}"/>
    <cellStyle name="Note 3 2 4" xfId="27294" xr:uid="{00000000-0005-0000-0000-000074440000}"/>
    <cellStyle name="Note 3 2 4 2" xfId="33133" xr:uid="{418920DA-5755-417A-BBEE-AEF67FEB4AE7}"/>
    <cellStyle name="Note 3 3" xfId="15585" xr:uid="{00000000-0005-0000-0000-000075440000}"/>
    <cellStyle name="Note 3 3 2" xfId="25988" xr:uid="{00000000-0005-0000-0000-000076440000}"/>
    <cellStyle name="Note 3 3 3" xfId="27159" xr:uid="{00000000-0005-0000-0000-000077440000}"/>
    <cellStyle name="Note 3 3 3 2" xfId="33007" xr:uid="{DC58C54D-2E6F-4D35-8AF4-88C209C18F7F}"/>
    <cellStyle name="Note 3 4" xfId="24830" xr:uid="{00000000-0005-0000-0000-000078440000}"/>
    <cellStyle name="Note 3 4 2" xfId="27122" xr:uid="{00000000-0005-0000-0000-000079440000}"/>
    <cellStyle name="Note 3 4 2 2" xfId="27338" xr:uid="{00000000-0005-0000-0000-00007A440000}"/>
    <cellStyle name="Note 3 4 2 2 2" xfId="33175" xr:uid="{023C3286-D2FA-4E0E-842A-C682D083D28D}"/>
    <cellStyle name="Note 3 4 3" xfId="25989" xr:uid="{00000000-0005-0000-0000-00007B440000}"/>
    <cellStyle name="Note 3 4 4" xfId="27295" xr:uid="{00000000-0005-0000-0000-00007C440000}"/>
    <cellStyle name="Note 3 4 4 2" xfId="33134" xr:uid="{B453D47A-B0A0-46DA-B56A-716A91A87431}"/>
    <cellStyle name="Note 3 4 5" xfId="32839" xr:uid="{27C2EA08-2EC7-4B36-AB8A-142D1ED26E55}"/>
    <cellStyle name="Note 3 5" xfId="25985" xr:uid="{00000000-0005-0000-0000-00007D440000}"/>
    <cellStyle name="Note 3 6" xfId="27160" xr:uid="{00000000-0005-0000-0000-00007E440000}"/>
    <cellStyle name="Note 3 6 2" xfId="33008" xr:uid="{E821A5E9-72AC-406C-AE09-CBB261FC2C46}"/>
    <cellStyle name="Note 4" xfId="531" xr:uid="{00000000-0005-0000-0000-00007F440000}"/>
    <cellStyle name="Note 4 2" xfId="15588" xr:uid="{00000000-0005-0000-0000-000080440000}"/>
    <cellStyle name="Note 4 2 2" xfId="24833" xr:uid="{00000000-0005-0000-0000-000081440000}"/>
    <cellStyle name="Note 4 2 2 2" xfId="32842" xr:uid="{C1A9738B-E224-4B0D-B27B-223C43A29F62}"/>
    <cellStyle name="Note 4 3" xfId="15587" xr:uid="{00000000-0005-0000-0000-000082440000}"/>
    <cellStyle name="Note 4 4" xfId="24832" xr:uid="{00000000-0005-0000-0000-000083440000}"/>
    <cellStyle name="Note 4 4 2" xfId="32841" xr:uid="{D7D7BE00-5A57-4F39-876C-842AE442622C}"/>
    <cellStyle name="Note 4 5" xfId="25990" xr:uid="{00000000-0005-0000-0000-000084440000}"/>
    <cellStyle name="Note 4 6" xfId="27296" xr:uid="{00000000-0005-0000-0000-000085440000}"/>
    <cellStyle name="Note 4 6 2" xfId="33135" xr:uid="{218762E3-C7DA-4C21-942F-FCBCBC552A75}"/>
    <cellStyle name="Note 4 7" xfId="27859" xr:uid="{EDD9D9D5-4F46-4DC2-8882-0CF11D17E67D}"/>
    <cellStyle name="Note 5" xfId="532" xr:uid="{00000000-0005-0000-0000-000086440000}"/>
    <cellStyle name="Note 5 2" xfId="15590" xr:uid="{00000000-0005-0000-0000-000087440000}"/>
    <cellStyle name="Note 5 2 2" xfId="24835" xr:uid="{00000000-0005-0000-0000-000088440000}"/>
    <cellStyle name="Note 5 2 2 2" xfId="32844" xr:uid="{533BDFB2-93A7-49D0-852B-6EE5B117ED10}"/>
    <cellStyle name="Note 5 2 3" xfId="27123" xr:uid="{00000000-0005-0000-0000-000089440000}"/>
    <cellStyle name="Note 5 2 4" xfId="27339" xr:uid="{00000000-0005-0000-0000-00008A440000}"/>
    <cellStyle name="Note 5 2 4 2" xfId="33176" xr:uid="{8BFFFF81-C243-4093-84F7-E56ED235C63A}"/>
    <cellStyle name="Note 5 3" xfId="15589" xr:uid="{00000000-0005-0000-0000-00008B440000}"/>
    <cellStyle name="Note 5 4" xfId="24834" xr:uid="{00000000-0005-0000-0000-00008C440000}"/>
    <cellStyle name="Note 5 4 2" xfId="32843" xr:uid="{8EF6EBED-DD58-4D88-B2AF-59FDFBAA87AD}"/>
    <cellStyle name="Note 5 5" xfId="25991" xr:uid="{00000000-0005-0000-0000-00008D440000}"/>
    <cellStyle name="Note 6" xfId="533" xr:uid="{00000000-0005-0000-0000-00008E440000}"/>
    <cellStyle name="Note 6 2" xfId="15592" xr:uid="{00000000-0005-0000-0000-00008F440000}"/>
    <cellStyle name="Note 6 2 2" xfId="24837" xr:uid="{00000000-0005-0000-0000-000090440000}"/>
    <cellStyle name="Note 6 2 2 2" xfId="32846" xr:uid="{2C2E2CCA-E409-4C39-B752-6A07114BE24B}"/>
    <cellStyle name="Note 6 3" xfId="15591" xr:uid="{00000000-0005-0000-0000-000091440000}"/>
    <cellStyle name="Note 6 4" xfId="24836" xr:uid="{00000000-0005-0000-0000-000092440000}"/>
    <cellStyle name="Note 6 4 2" xfId="32845" xr:uid="{F05FADC6-6C6F-4036-894C-E47982FB61F8}"/>
    <cellStyle name="Note 6 5" xfId="27120" xr:uid="{00000000-0005-0000-0000-000093440000}"/>
    <cellStyle name="Note 7" xfId="534" xr:uid="{00000000-0005-0000-0000-000094440000}"/>
    <cellStyle name="Note 7 2" xfId="15594" xr:uid="{00000000-0005-0000-0000-000095440000}"/>
    <cellStyle name="Note 7 2 2" xfId="24839" xr:uid="{00000000-0005-0000-0000-000096440000}"/>
    <cellStyle name="Note 7 2 2 2" xfId="32848" xr:uid="{D7D1A8A4-8F5E-4B61-868A-FDC07FD1F690}"/>
    <cellStyle name="Note 7 3" xfId="15593" xr:uid="{00000000-0005-0000-0000-000097440000}"/>
    <cellStyle name="Note 7 4" xfId="24838" xr:uid="{00000000-0005-0000-0000-000098440000}"/>
    <cellStyle name="Note 7 4 2" xfId="32847" xr:uid="{1990C9BD-EC9B-4D37-B825-A20491898BC4}"/>
    <cellStyle name="Note 7 5" xfId="27860" xr:uid="{B46F6F69-F3D6-487E-92E9-B8D65B5D674F}"/>
    <cellStyle name="Note 8" xfId="535" xr:uid="{00000000-0005-0000-0000-000099440000}"/>
    <cellStyle name="Note 8 2" xfId="15595" xr:uid="{00000000-0005-0000-0000-00009A440000}"/>
    <cellStyle name="Note 8 3" xfId="24840" xr:uid="{00000000-0005-0000-0000-00009B440000}"/>
    <cellStyle name="Note 8 3 2" xfId="32849" xr:uid="{B90DA6E9-6D84-4B25-BE36-40267B4F5180}"/>
    <cellStyle name="Note 8 4" xfId="27861" xr:uid="{C1ABC70E-62F1-4CF5-9CD5-0BC4AE1C2029}"/>
    <cellStyle name="Note 9" xfId="536" xr:uid="{00000000-0005-0000-0000-00009C440000}"/>
    <cellStyle name="Note 9 2" xfId="27862" xr:uid="{78179420-B8E2-4EDC-8F34-86EC2CFBA077}"/>
    <cellStyle name="Number [0]" xfId="15596" xr:uid="{00000000-0005-0000-0000-00009D440000}"/>
    <cellStyle name="Number [1]" xfId="15597" xr:uid="{00000000-0005-0000-0000-00009E440000}"/>
    <cellStyle name="Number [2]" xfId="15598" xr:uid="{00000000-0005-0000-0000-00009F440000}"/>
    <cellStyle name="OT" xfId="15599" xr:uid="{00000000-0005-0000-0000-0000A0440000}"/>
    <cellStyle name="Output" xfId="537" xr:uid="{00000000-0005-0000-0000-0000A1440000}"/>
    <cellStyle name="Output 10" xfId="538" xr:uid="{00000000-0005-0000-0000-0000A2440000}"/>
    <cellStyle name="Output 10 2" xfId="27863" xr:uid="{840BCE00-A684-4C23-9A0B-361108158A91}"/>
    <cellStyle name="Output 11" xfId="539" xr:uid="{00000000-0005-0000-0000-0000A3440000}"/>
    <cellStyle name="Output 11 2" xfId="27864" xr:uid="{8E2849CA-DF6F-42BE-B98A-5DC58047E2E6}"/>
    <cellStyle name="Output 12" xfId="540" xr:uid="{00000000-0005-0000-0000-0000A4440000}"/>
    <cellStyle name="Output 12 2" xfId="27865" xr:uid="{70AF9256-80C5-432A-B900-DC8B8C0164CC}"/>
    <cellStyle name="Output 13" xfId="541" xr:uid="{00000000-0005-0000-0000-0000A5440000}"/>
    <cellStyle name="Output 13 2" xfId="27866" xr:uid="{A4822C7F-D881-4F23-A33C-930E669695D1}"/>
    <cellStyle name="Output 14" xfId="542" xr:uid="{00000000-0005-0000-0000-0000A6440000}"/>
    <cellStyle name="Output 14 2" xfId="27867" xr:uid="{019966C0-CF9D-417E-906F-AA910543ADCA}"/>
    <cellStyle name="Output 15" xfId="543" xr:uid="{00000000-0005-0000-0000-0000A7440000}"/>
    <cellStyle name="Output 15 2" xfId="27868" xr:uid="{BD4904B7-1632-4A41-9755-360F28CC6403}"/>
    <cellStyle name="Output 16" xfId="544" xr:uid="{00000000-0005-0000-0000-0000A8440000}"/>
    <cellStyle name="Output 16 2" xfId="27869" xr:uid="{2E99E18B-ACC9-4B5E-9ED3-4C05B9A8A36C}"/>
    <cellStyle name="Output 17" xfId="545" xr:uid="{00000000-0005-0000-0000-0000A9440000}"/>
    <cellStyle name="Output 17 2" xfId="27870" xr:uid="{B2E94894-8223-4FB8-933B-FC8530184D22}"/>
    <cellStyle name="Output 18" xfId="546" xr:uid="{00000000-0005-0000-0000-0000AA440000}"/>
    <cellStyle name="Output 18 2" xfId="27871" xr:uid="{1E534A70-BD12-4FD2-B067-157BA72DFA21}"/>
    <cellStyle name="Output 19" xfId="15600" xr:uid="{00000000-0005-0000-0000-0000AB440000}"/>
    <cellStyle name="Output 2" xfId="547" xr:uid="{00000000-0005-0000-0000-0000AC440000}"/>
    <cellStyle name="Output 2 2" xfId="15602" xr:uid="{00000000-0005-0000-0000-0000AD440000}"/>
    <cellStyle name="Output 2 2 2" xfId="24843" xr:uid="{00000000-0005-0000-0000-0000AE440000}"/>
    <cellStyle name="Output 2 2 2 2" xfId="32852" xr:uid="{8EC8F6D1-9764-443A-8F54-3470F5CE62CE}"/>
    <cellStyle name="Output 2 2 3" xfId="25994" xr:uid="{00000000-0005-0000-0000-0000AF440000}"/>
    <cellStyle name="Output 2 3" xfId="15601" xr:uid="{00000000-0005-0000-0000-0000B0440000}"/>
    <cellStyle name="Output 2 4" xfId="24842" xr:uid="{00000000-0005-0000-0000-0000B1440000}"/>
    <cellStyle name="Output 2 4 2" xfId="32851" xr:uid="{7584E5FA-E79E-4EFF-960F-F99CA8952023}"/>
    <cellStyle name="Output 2 5" xfId="25993" xr:uid="{00000000-0005-0000-0000-0000B2440000}"/>
    <cellStyle name="Output 20" xfId="24841" xr:uid="{00000000-0005-0000-0000-0000B3440000}"/>
    <cellStyle name="Output 20 2" xfId="32850" xr:uid="{5BB20DA3-6DF8-4987-9FF4-F91B06430812}"/>
    <cellStyle name="Output 21" xfId="25992" xr:uid="{00000000-0005-0000-0000-0000B4440000}"/>
    <cellStyle name="Output 3" xfId="548" xr:uid="{00000000-0005-0000-0000-0000B5440000}"/>
    <cellStyle name="Output 3 2" xfId="15604" xr:uid="{00000000-0005-0000-0000-0000B6440000}"/>
    <cellStyle name="Output 3 2 2" xfId="24845" xr:uid="{00000000-0005-0000-0000-0000B7440000}"/>
    <cellStyle name="Output 3 2 2 2" xfId="32854" xr:uid="{5C9C3A8F-BB8E-465D-B69C-C697EA9D9CD7}"/>
    <cellStyle name="Output 3 3" xfId="15603" xr:uid="{00000000-0005-0000-0000-0000B8440000}"/>
    <cellStyle name="Output 3 4" xfId="24844" xr:uid="{00000000-0005-0000-0000-0000B9440000}"/>
    <cellStyle name="Output 3 4 2" xfId="32853" xr:uid="{3E91A554-853D-4933-B5A1-4F6A3D809696}"/>
    <cellStyle name="Output 3 5" xfId="25995" xr:uid="{00000000-0005-0000-0000-0000BA440000}"/>
    <cellStyle name="Output 4" xfId="549" xr:uid="{00000000-0005-0000-0000-0000BB440000}"/>
    <cellStyle name="Output 4 2" xfId="15606" xr:uid="{00000000-0005-0000-0000-0000BC440000}"/>
    <cellStyle name="Output 4 2 2" xfId="24847" xr:uid="{00000000-0005-0000-0000-0000BD440000}"/>
    <cellStyle name="Output 4 2 2 2" xfId="32856" xr:uid="{9B54A305-8C44-46D0-9AEF-BB1BC0A8DFCE}"/>
    <cellStyle name="Output 4 3" xfId="15605" xr:uid="{00000000-0005-0000-0000-0000BE440000}"/>
    <cellStyle name="Output 4 4" xfId="24846" xr:uid="{00000000-0005-0000-0000-0000BF440000}"/>
    <cellStyle name="Output 4 4 2" xfId="32855" xr:uid="{FEDDF67D-CB63-406D-9A6B-9F294A262C19}"/>
    <cellStyle name="Output 4 5" xfId="27872" xr:uid="{AFBC5CDB-6B7E-4D93-97B9-BB51AFCF65CC}"/>
    <cellStyle name="Output 5" xfId="550" xr:uid="{00000000-0005-0000-0000-0000C0440000}"/>
    <cellStyle name="Output 5 2" xfId="15608" xr:uid="{00000000-0005-0000-0000-0000C1440000}"/>
    <cellStyle name="Output 5 2 2" xfId="24849" xr:uid="{00000000-0005-0000-0000-0000C2440000}"/>
    <cellStyle name="Output 5 2 2 2" xfId="32858" xr:uid="{E7659B33-3EEA-431E-8690-152F63459744}"/>
    <cellStyle name="Output 5 3" xfId="15607" xr:uid="{00000000-0005-0000-0000-0000C3440000}"/>
    <cellStyle name="Output 5 4" xfId="24848" xr:uid="{00000000-0005-0000-0000-0000C4440000}"/>
    <cellStyle name="Output 5 4 2" xfId="32857" xr:uid="{CCAF6130-3658-4D15-899C-B04A7A6CD106}"/>
    <cellStyle name="Output 5 5" xfId="27873" xr:uid="{643D7308-3CE3-4D95-B8A5-5E51DE7F91C1}"/>
    <cellStyle name="Output 6" xfId="551" xr:uid="{00000000-0005-0000-0000-0000C5440000}"/>
    <cellStyle name="Output 6 2" xfId="15610" xr:uid="{00000000-0005-0000-0000-0000C6440000}"/>
    <cellStyle name="Output 6 2 2" xfId="24851" xr:uid="{00000000-0005-0000-0000-0000C7440000}"/>
    <cellStyle name="Output 6 2 2 2" xfId="32860" xr:uid="{D0B43E1D-A49E-4F2A-B7D4-5F9FF7CC7E1C}"/>
    <cellStyle name="Output 6 3" xfId="15609" xr:uid="{00000000-0005-0000-0000-0000C8440000}"/>
    <cellStyle name="Output 6 4" xfId="24850" xr:uid="{00000000-0005-0000-0000-0000C9440000}"/>
    <cellStyle name="Output 6 4 2" xfId="32859" xr:uid="{5BE9C970-59CD-49F4-85F2-BA5AF2F492D8}"/>
    <cellStyle name="Output 6 5" xfId="27874" xr:uid="{19CA4FED-042A-4CF1-A0C3-C19AA7A068BC}"/>
    <cellStyle name="Output 7" xfId="552" xr:uid="{00000000-0005-0000-0000-0000CA440000}"/>
    <cellStyle name="Output 7 2" xfId="15612" xr:uid="{00000000-0005-0000-0000-0000CB440000}"/>
    <cellStyle name="Output 7 2 2" xfId="24853" xr:uid="{00000000-0005-0000-0000-0000CC440000}"/>
    <cellStyle name="Output 7 2 2 2" xfId="32862" xr:uid="{E3B15483-3CD2-4AB6-A403-6C1D92DAE6EE}"/>
    <cellStyle name="Output 7 3" xfId="15611" xr:uid="{00000000-0005-0000-0000-0000CD440000}"/>
    <cellStyle name="Output 7 4" xfId="24852" xr:uid="{00000000-0005-0000-0000-0000CE440000}"/>
    <cellStyle name="Output 7 4 2" xfId="32861" xr:uid="{4711D202-11E8-4F0F-A7CA-6539B62A8403}"/>
    <cellStyle name="Output 7 5" xfId="27875" xr:uid="{F7B6C221-FFF6-4620-8B2C-C45DCFE1309C}"/>
    <cellStyle name="Output 8" xfId="553" xr:uid="{00000000-0005-0000-0000-0000CF440000}"/>
    <cellStyle name="Output 8 2" xfId="15613" xr:uid="{00000000-0005-0000-0000-0000D0440000}"/>
    <cellStyle name="Output 8 3" xfId="24854" xr:uid="{00000000-0005-0000-0000-0000D1440000}"/>
    <cellStyle name="Output 8 3 2" xfId="32863" xr:uid="{1F3B6E56-3841-4812-B3F5-6D5431179673}"/>
    <cellStyle name="Output 8 4" xfId="27876" xr:uid="{13543D39-4DA8-4EA8-BF77-54F4B9B3A9E2}"/>
    <cellStyle name="Output 9" xfId="554" xr:uid="{00000000-0005-0000-0000-0000D2440000}"/>
    <cellStyle name="Output 9 2" xfId="27877" xr:uid="{496E91C0-3D5B-46A9-B01E-11B1FFD27786}"/>
    <cellStyle name="Page Number" xfId="555" xr:uid="{00000000-0005-0000-0000-0000D3440000}"/>
    <cellStyle name="Percent [0]" xfId="15614" xr:uid="{00000000-0005-0000-0000-0000D4440000}"/>
    <cellStyle name="Percent [1]" xfId="15615" xr:uid="{00000000-0005-0000-0000-0000D5440000}"/>
    <cellStyle name="Percent [2]" xfId="15616" xr:uid="{00000000-0005-0000-0000-0000D6440000}"/>
    <cellStyle name="Percent [2] 2" xfId="15617" xr:uid="{00000000-0005-0000-0000-0000D7440000}"/>
    <cellStyle name="Percent [2] 3" xfId="15618" xr:uid="{00000000-0005-0000-0000-0000D8440000}"/>
    <cellStyle name="Percent [2] 4" xfId="15619" xr:uid="{00000000-0005-0000-0000-0000D9440000}"/>
    <cellStyle name="Percent [2] 5" xfId="15620" xr:uid="{00000000-0005-0000-0000-0000DA440000}"/>
    <cellStyle name="Percent 10" xfId="15621" xr:uid="{00000000-0005-0000-0000-0000DB440000}"/>
    <cellStyle name="Percent 2" xfId="556" xr:uid="{00000000-0005-0000-0000-0000DC440000}"/>
    <cellStyle name="Percent 2 2" xfId="15622" xr:uid="{00000000-0005-0000-0000-0000DD440000}"/>
    <cellStyle name="Percent 2 2 2" xfId="27124" xr:uid="{00000000-0005-0000-0000-0000DE440000}"/>
    <cellStyle name="Percent 2 3" xfId="15623" xr:uid="{00000000-0005-0000-0000-0000DF440000}"/>
    <cellStyle name="Percent 2 4" xfId="15624" xr:uid="{00000000-0005-0000-0000-0000E0440000}"/>
    <cellStyle name="Percent 3" xfId="15625" xr:uid="{00000000-0005-0000-0000-0000E1440000}"/>
    <cellStyle name="Percent 3 2" xfId="15626" xr:uid="{00000000-0005-0000-0000-0000E2440000}"/>
    <cellStyle name="Percent 4" xfId="15627" xr:uid="{00000000-0005-0000-0000-0000E3440000}"/>
    <cellStyle name="Percent 5" xfId="15628" xr:uid="{00000000-0005-0000-0000-0000E4440000}"/>
    <cellStyle name="Percent 6" xfId="15629" xr:uid="{00000000-0005-0000-0000-0000E5440000}"/>
    <cellStyle name="Percent 7" xfId="15630" xr:uid="{00000000-0005-0000-0000-0000E6440000}"/>
    <cellStyle name="Percent 8" xfId="15631" xr:uid="{00000000-0005-0000-0000-0000E7440000}"/>
    <cellStyle name="Percent 8 2" xfId="15632" xr:uid="{00000000-0005-0000-0000-0000E8440000}"/>
    <cellStyle name="Percent 9" xfId="15633" xr:uid="{00000000-0005-0000-0000-0000E9440000}"/>
    <cellStyle name="Percent_Mensal (2)" xfId="15634" xr:uid="{00000000-0005-0000-0000-0000EA440000}"/>
    <cellStyle name="PERCENTAGE" xfId="15635" xr:uid="{00000000-0005-0000-0000-0000EB440000}"/>
    <cellStyle name="Percentual" xfId="15636" xr:uid="{00000000-0005-0000-0000-0000EC440000}"/>
    <cellStyle name="Plain0Decimals" xfId="557" xr:uid="{00000000-0005-0000-0000-0000ED440000}"/>
    <cellStyle name="PlainDollar" xfId="558" xr:uid="{00000000-0005-0000-0000-0000EE440000}"/>
    <cellStyle name="Ponto" xfId="15637" xr:uid="{00000000-0005-0000-0000-0000EF440000}"/>
    <cellStyle name="Porcentagem" xfId="559" builtinId="5"/>
    <cellStyle name="Porcentagem 10" xfId="560" xr:uid="{00000000-0005-0000-0000-0000F1440000}"/>
    <cellStyle name="Porcentagem 10 10" xfId="15639" xr:uid="{00000000-0005-0000-0000-0000F2440000}"/>
    <cellStyle name="Porcentagem 10 10 10" xfId="15640" xr:uid="{00000000-0005-0000-0000-0000F3440000}"/>
    <cellStyle name="Porcentagem 10 10 11" xfId="15641" xr:uid="{00000000-0005-0000-0000-0000F4440000}"/>
    <cellStyle name="Porcentagem 10 10 12" xfId="15642" xr:uid="{00000000-0005-0000-0000-0000F5440000}"/>
    <cellStyle name="Porcentagem 10 10 13" xfId="15643" xr:uid="{00000000-0005-0000-0000-0000F6440000}"/>
    <cellStyle name="Porcentagem 10 10 14" xfId="15644" xr:uid="{00000000-0005-0000-0000-0000F7440000}"/>
    <cellStyle name="Porcentagem 10 10 15" xfId="15645" xr:uid="{00000000-0005-0000-0000-0000F8440000}"/>
    <cellStyle name="Porcentagem 10 10 16" xfId="15646" xr:uid="{00000000-0005-0000-0000-0000F9440000}"/>
    <cellStyle name="Porcentagem 10 10 17" xfId="15647" xr:uid="{00000000-0005-0000-0000-0000FA440000}"/>
    <cellStyle name="Porcentagem 10 10 18" xfId="15648" xr:uid="{00000000-0005-0000-0000-0000FB440000}"/>
    <cellStyle name="Porcentagem 10 10 19" xfId="15649" xr:uid="{00000000-0005-0000-0000-0000FC440000}"/>
    <cellStyle name="Porcentagem 10 10 2" xfId="15650" xr:uid="{00000000-0005-0000-0000-0000FD440000}"/>
    <cellStyle name="Porcentagem 10 10 2 10" xfId="15651" xr:uid="{00000000-0005-0000-0000-0000FE440000}"/>
    <cellStyle name="Porcentagem 10 10 2 10 2" xfId="15652" xr:uid="{00000000-0005-0000-0000-0000FF440000}"/>
    <cellStyle name="Porcentagem 10 10 2 10 3" xfId="15653" xr:uid="{00000000-0005-0000-0000-000000450000}"/>
    <cellStyle name="Porcentagem 10 10 2 10 4" xfId="15654" xr:uid="{00000000-0005-0000-0000-000001450000}"/>
    <cellStyle name="Porcentagem 10 10 2 11" xfId="15655" xr:uid="{00000000-0005-0000-0000-000002450000}"/>
    <cellStyle name="Porcentagem 10 10 2 11 2" xfId="15656" xr:uid="{00000000-0005-0000-0000-000003450000}"/>
    <cellStyle name="Porcentagem 10 10 2 11 3" xfId="15657" xr:uid="{00000000-0005-0000-0000-000004450000}"/>
    <cellStyle name="Porcentagem 10 10 2 11 4" xfId="15658" xr:uid="{00000000-0005-0000-0000-000005450000}"/>
    <cellStyle name="Porcentagem 10 10 2 12" xfId="15659" xr:uid="{00000000-0005-0000-0000-000006450000}"/>
    <cellStyle name="Porcentagem 10 10 2 12 2" xfId="15660" xr:uid="{00000000-0005-0000-0000-000007450000}"/>
    <cellStyle name="Porcentagem 10 10 2 12 3" xfId="15661" xr:uid="{00000000-0005-0000-0000-000008450000}"/>
    <cellStyle name="Porcentagem 10 10 2 12 4" xfId="15662" xr:uid="{00000000-0005-0000-0000-000009450000}"/>
    <cellStyle name="Porcentagem 10 10 2 13" xfId="15663" xr:uid="{00000000-0005-0000-0000-00000A450000}"/>
    <cellStyle name="Porcentagem 10 10 2 13 2" xfId="15664" xr:uid="{00000000-0005-0000-0000-00000B450000}"/>
    <cellStyle name="Porcentagem 10 10 2 13 3" xfId="15665" xr:uid="{00000000-0005-0000-0000-00000C450000}"/>
    <cellStyle name="Porcentagem 10 10 2 13 4" xfId="15666" xr:uid="{00000000-0005-0000-0000-00000D450000}"/>
    <cellStyle name="Porcentagem 10 10 2 14" xfId="15667" xr:uid="{00000000-0005-0000-0000-00000E450000}"/>
    <cellStyle name="Porcentagem 10 10 2 14 2" xfId="15668" xr:uid="{00000000-0005-0000-0000-00000F450000}"/>
    <cellStyle name="Porcentagem 10 10 2 14 3" xfId="15669" xr:uid="{00000000-0005-0000-0000-000010450000}"/>
    <cellStyle name="Porcentagem 10 10 2 14 4" xfId="15670" xr:uid="{00000000-0005-0000-0000-000011450000}"/>
    <cellStyle name="Porcentagem 10 10 2 15" xfId="15671" xr:uid="{00000000-0005-0000-0000-000012450000}"/>
    <cellStyle name="Porcentagem 10 10 2 15 2" xfId="15672" xr:uid="{00000000-0005-0000-0000-000013450000}"/>
    <cellStyle name="Porcentagem 10 10 2 15 3" xfId="15673" xr:uid="{00000000-0005-0000-0000-000014450000}"/>
    <cellStyle name="Porcentagem 10 10 2 15 4" xfId="15674" xr:uid="{00000000-0005-0000-0000-000015450000}"/>
    <cellStyle name="Porcentagem 10 10 2 16" xfId="15675" xr:uid="{00000000-0005-0000-0000-000016450000}"/>
    <cellStyle name="Porcentagem 10 10 2 17" xfId="15676" xr:uid="{00000000-0005-0000-0000-000017450000}"/>
    <cellStyle name="Porcentagem 10 10 2 18" xfId="15677" xr:uid="{00000000-0005-0000-0000-000018450000}"/>
    <cellStyle name="Porcentagem 10 10 2 19" xfId="15678" xr:uid="{00000000-0005-0000-0000-000019450000}"/>
    <cellStyle name="Porcentagem 10 10 2 2" xfId="15679" xr:uid="{00000000-0005-0000-0000-00001A450000}"/>
    <cellStyle name="Porcentagem 10 10 2 2 2" xfId="15680" xr:uid="{00000000-0005-0000-0000-00001B450000}"/>
    <cellStyle name="Porcentagem 10 10 2 2 3" xfId="15681" xr:uid="{00000000-0005-0000-0000-00001C450000}"/>
    <cellStyle name="Porcentagem 10 10 2 2 4" xfId="15682" xr:uid="{00000000-0005-0000-0000-00001D450000}"/>
    <cellStyle name="Porcentagem 10 10 2 20" xfId="15683" xr:uid="{00000000-0005-0000-0000-00001E450000}"/>
    <cellStyle name="Porcentagem 10 10 2 21" xfId="15684" xr:uid="{00000000-0005-0000-0000-00001F450000}"/>
    <cellStyle name="Porcentagem 10 10 2 3" xfId="15685" xr:uid="{00000000-0005-0000-0000-000020450000}"/>
    <cellStyle name="Porcentagem 10 10 2 3 2" xfId="15686" xr:uid="{00000000-0005-0000-0000-000021450000}"/>
    <cellStyle name="Porcentagem 10 10 2 3 3" xfId="15687" xr:uid="{00000000-0005-0000-0000-000022450000}"/>
    <cellStyle name="Porcentagem 10 10 2 3 4" xfId="15688" xr:uid="{00000000-0005-0000-0000-000023450000}"/>
    <cellStyle name="Porcentagem 10 10 2 4" xfId="15689" xr:uid="{00000000-0005-0000-0000-000024450000}"/>
    <cellStyle name="Porcentagem 10 10 2 4 2" xfId="15690" xr:uid="{00000000-0005-0000-0000-000025450000}"/>
    <cellStyle name="Porcentagem 10 10 2 4 3" xfId="15691" xr:uid="{00000000-0005-0000-0000-000026450000}"/>
    <cellStyle name="Porcentagem 10 10 2 4 4" xfId="15692" xr:uid="{00000000-0005-0000-0000-000027450000}"/>
    <cellStyle name="Porcentagem 10 10 2 5" xfId="15693" xr:uid="{00000000-0005-0000-0000-000028450000}"/>
    <cellStyle name="Porcentagem 10 10 2 5 2" xfId="15694" xr:uid="{00000000-0005-0000-0000-000029450000}"/>
    <cellStyle name="Porcentagem 10 10 2 5 3" xfId="15695" xr:uid="{00000000-0005-0000-0000-00002A450000}"/>
    <cellStyle name="Porcentagem 10 10 2 5 4" xfId="15696" xr:uid="{00000000-0005-0000-0000-00002B450000}"/>
    <cellStyle name="Porcentagem 10 10 2 6" xfId="15697" xr:uid="{00000000-0005-0000-0000-00002C450000}"/>
    <cellStyle name="Porcentagem 10 10 2 6 2" xfId="15698" xr:uid="{00000000-0005-0000-0000-00002D450000}"/>
    <cellStyle name="Porcentagem 10 10 2 6 3" xfId="15699" xr:uid="{00000000-0005-0000-0000-00002E450000}"/>
    <cellStyle name="Porcentagem 10 10 2 6 4" xfId="15700" xr:uid="{00000000-0005-0000-0000-00002F450000}"/>
    <cellStyle name="Porcentagem 10 10 2 7" xfId="15701" xr:uid="{00000000-0005-0000-0000-000030450000}"/>
    <cellStyle name="Porcentagem 10 10 2 7 2" xfId="15702" xr:uid="{00000000-0005-0000-0000-000031450000}"/>
    <cellStyle name="Porcentagem 10 10 2 7 3" xfId="15703" xr:uid="{00000000-0005-0000-0000-000032450000}"/>
    <cellStyle name="Porcentagem 10 10 2 7 4" xfId="15704" xr:uid="{00000000-0005-0000-0000-000033450000}"/>
    <cellStyle name="Porcentagem 10 10 2 8" xfId="15705" xr:uid="{00000000-0005-0000-0000-000034450000}"/>
    <cellStyle name="Porcentagem 10 10 2 8 2" xfId="15706" xr:uid="{00000000-0005-0000-0000-000035450000}"/>
    <cellStyle name="Porcentagem 10 10 2 8 3" xfId="15707" xr:uid="{00000000-0005-0000-0000-000036450000}"/>
    <cellStyle name="Porcentagem 10 10 2 8 4" xfId="15708" xr:uid="{00000000-0005-0000-0000-000037450000}"/>
    <cellStyle name="Porcentagem 10 10 2 9" xfId="15709" xr:uid="{00000000-0005-0000-0000-000038450000}"/>
    <cellStyle name="Porcentagem 10 10 2 9 2" xfId="15710" xr:uid="{00000000-0005-0000-0000-000039450000}"/>
    <cellStyle name="Porcentagem 10 10 2 9 3" xfId="15711" xr:uid="{00000000-0005-0000-0000-00003A450000}"/>
    <cellStyle name="Porcentagem 10 10 2 9 4" xfId="15712" xr:uid="{00000000-0005-0000-0000-00003B450000}"/>
    <cellStyle name="Porcentagem 10 10 20" xfId="15713" xr:uid="{00000000-0005-0000-0000-00003C450000}"/>
    <cellStyle name="Porcentagem 10 10 21" xfId="15714" xr:uid="{00000000-0005-0000-0000-00003D450000}"/>
    <cellStyle name="Porcentagem 10 10 22" xfId="15715" xr:uid="{00000000-0005-0000-0000-00003E450000}"/>
    <cellStyle name="Porcentagem 10 10 23" xfId="15716" xr:uid="{00000000-0005-0000-0000-00003F450000}"/>
    <cellStyle name="Porcentagem 10 10 24" xfId="15717" xr:uid="{00000000-0005-0000-0000-000040450000}"/>
    <cellStyle name="Porcentagem 10 10 25" xfId="15718" xr:uid="{00000000-0005-0000-0000-000041450000}"/>
    <cellStyle name="Porcentagem 10 10 26" xfId="15719" xr:uid="{00000000-0005-0000-0000-000042450000}"/>
    <cellStyle name="Porcentagem 10 10 26 2" xfId="15720" xr:uid="{00000000-0005-0000-0000-000043450000}"/>
    <cellStyle name="Porcentagem 10 10 26 3" xfId="15721" xr:uid="{00000000-0005-0000-0000-000044450000}"/>
    <cellStyle name="Porcentagem 10 10 26 4" xfId="15722" xr:uid="{00000000-0005-0000-0000-000045450000}"/>
    <cellStyle name="Porcentagem 10 10 27" xfId="15723" xr:uid="{00000000-0005-0000-0000-000046450000}"/>
    <cellStyle name="Porcentagem 10 10 28" xfId="15724" xr:uid="{00000000-0005-0000-0000-000047450000}"/>
    <cellStyle name="Porcentagem 10 10 29" xfId="15725" xr:uid="{00000000-0005-0000-0000-000048450000}"/>
    <cellStyle name="Porcentagem 10 10 3" xfId="15726" xr:uid="{00000000-0005-0000-0000-000049450000}"/>
    <cellStyle name="Porcentagem 10 10 3 2" xfId="15727" xr:uid="{00000000-0005-0000-0000-00004A450000}"/>
    <cellStyle name="Porcentagem 10 10 3 3" xfId="15728" xr:uid="{00000000-0005-0000-0000-00004B450000}"/>
    <cellStyle name="Porcentagem 10 10 3 4" xfId="15729" xr:uid="{00000000-0005-0000-0000-00004C450000}"/>
    <cellStyle name="Porcentagem 10 10 30" xfId="15730" xr:uid="{00000000-0005-0000-0000-00004D450000}"/>
    <cellStyle name="Porcentagem 10 10 31" xfId="15731" xr:uid="{00000000-0005-0000-0000-00004E450000}"/>
    <cellStyle name="Porcentagem 10 10 32" xfId="15732" xr:uid="{00000000-0005-0000-0000-00004F450000}"/>
    <cellStyle name="Porcentagem 10 10 33" xfId="15733" xr:uid="{00000000-0005-0000-0000-000050450000}"/>
    <cellStyle name="Porcentagem 10 10 34" xfId="15734" xr:uid="{00000000-0005-0000-0000-000051450000}"/>
    <cellStyle name="Porcentagem 10 10 35" xfId="15735" xr:uid="{00000000-0005-0000-0000-000052450000}"/>
    <cellStyle name="Porcentagem 10 10 36" xfId="15736" xr:uid="{00000000-0005-0000-0000-000053450000}"/>
    <cellStyle name="Porcentagem 10 10 4" xfId="15737" xr:uid="{00000000-0005-0000-0000-000054450000}"/>
    <cellStyle name="Porcentagem 10 10 4 2" xfId="15738" xr:uid="{00000000-0005-0000-0000-000055450000}"/>
    <cellStyle name="Porcentagem 10 10 4 3" xfId="15739" xr:uid="{00000000-0005-0000-0000-000056450000}"/>
    <cellStyle name="Porcentagem 10 10 4 4" xfId="15740" xr:uid="{00000000-0005-0000-0000-000057450000}"/>
    <cellStyle name="Porcentagem 10 10 5" xfId="15741" xr:uid="{00000000-0005-0000-0000-000058450000}"/>
    <cellStyle name="Porcentagem 10 10 6" xfId="15742" xr:uid="{00000000-0005-0000-0000-000059450000}"/>
    <cellStyle name="Porcentagem 10 10 7" xfId="15743" xr:uid="{00000000-0005-0000-0000-00005A450000}"/>
    <cellStyle name="Porcentagem 10 10 8" xfId="15744" xr:uid="{00000000-0005-0000-0000-00005B450000}"/>
    <cellStyle name="Porcentagem 10 10 9" xfId="15745" xr:uid="{00000000-0005-0000-0000-00005C450000}"/>
    <cellStyle name="Porcentagem 10 11" xfId="15746" xr:uid="{00000000-0005-0000-0000-00005D450000}"/>
    <cellStyle name="Porcentagem 10 12" xfId="15747" xr:uid="{00000000-0005-0000-0000-00005E450000}"/>
    <cellStyle name="Porcentagem 10 13" xfId="15748" xr:uid="{00000000-0005-0000-0000-00005F450000}"/>
    <cellStyle name="Porcentagem 10 14" xfId="15749" xr:uid="{00000000-0005-0000-0000-000060450000}"/>
    <cellStyle name="Porcentagem 10 15" xfId="15750" xr:uid="{00000000-0005-0000-0000-000061450000}"/>
    <cellStyle name="Porcentagem 10 16" xfId="15751" xr:uid="{00000000-0005-0000-0000-000062450000}"/>
    <cellStyle name="Porcentagem 10 17" xfId="15752" xr:uid="{00000000-0005-0000-0000-000063450000}"/>
    <cellStyle name="Porcentagem 10 18" xfId="15753" xr:uid="{00000000-0005-0000-0000-000064450000}"/>
    <cellStyle name="Porcentagem 10 19" xfId="15754" xr:uid="{00000000-0005-0000-0000-000065450000}"/>
    <cellStyle name="Porcentagem 10 2" xfId="15755" xr:uid="{00000000-0005-0000-0000-000066450000}"/>
    <cellStyle name="Porcentagem 10 2 10" xfId="15756" xr:uid="{00000000-0005-0000-0000-000067450000}"/>
    <cellStyle name="Porcentagem 10 2 11" xfId="15757" xr:uid="{00000000-0005-0000-0000-000068450000}"/>
    <cellStyle name="Porcentagem 10 2 12" xfId="15758" xr:uid="{00000000-0005-0000-0000-000069450000}"/>
    <cellStyle name="Porcentagem 10 2 2" xfId="15759" xr:uid="{00000000-0005-0000-0000-00006A450000}"/>
    <cellStyle name="Porcentagem 10 2 3" xfId="15760" xr:uid="{00000000-0005-0000-0000-00006B450000}"/>
    <cellStyle name="Porcentagem 10 2 4" xfId="15761" xr:uid="{00000000-0005-0000-0000-00006C450000}"/>
    <cellStyle name="Porcentagem 10 2 5" xfId="15762" xr:uid="{00000000-0005-0000-0000-00006D450000}"/>
    <cellStyle name="Porcentagem 10 2 6" xfId="15763" xr:uid="{00000000-0005-0000-0000-00006E450000}"/>
    <cellStyle name="Porcentagem 10 2 7" xfId="15764" xr:uid="{00000000-0005-0000-0000-00006F450000}"/>
    <cellStyle name="Porcentagem 10 2 8" xfId="15765" xr:uid="{00000000-0005-0000-0000-000070450000}"/>
    <cellStyle name="Porcentagem 10 2 9" xfId="15766" xr:uid="{00000000-0005-0000-0000-000071450000}"/>
    <cellStyle name="Porcentagem 10 20" xfId="15767" xr:uid="{00000000-0005-0000-0000-000072450000}"/>
    <cellStyle name="Porcentagem 10 21" xfId="15768" xr:uid="{00000000-0005-0000-0000-000073450000}"/>
    <cellStyle name="Porcentagem 10 22" xfId="15769" xr:uid="{00000000-0005-0000-0000-000074450000}"/>
    <cellStyle name="Porcentagem 10 23" xfId="15770" xr:uid="{00000000-0005-0000-0000-000075450000}"/>
    <cellStyle name="Porcentagem 10 24" xfId="15771" xr:uid="{00000000-0005-0000-0000-000076450000}"/>
    <cellStyle name="Porcentagem 10 25" xfId="15772" xr:uid="{00000000-0005-0000-0000-000077450000}"/>
    <cellStyle name="Porcentagem 10 26" xfId="15638" xr:uid="{00000000-0005-0000-0000-000078450000}"/>
    <cellStyle name="Porcentagem 10 27" xfId="27526" xr:uid="{00000000-0005-0000-0000-000079450000}"/>
    <cellStyle name="Porcentagem 10 3" xfId="15773" xr:uid="{00000000-0005-0000-0000-00007A450000}"/>
    <cellStyle name="Porcentagem 10 3 10" xfId="15774" xr:uid="{00000000-0005-0000-0000-00007B450000}"/>
    <cellStyle name="Porcentagem 10 3 11" xfId="15775" xr:uid="{00000000-0005-0000-0000-00007C450000}"/>
    <cellStyle name="Porcentagem 10 3 12" xfId="15776" xr:uid="{00000000-0005-0000-0000-00007D450000}"/>
    <cellStyle name="Porcentagem 10 3 2" xfId="15777" xr:uid="{00000000-0005-0000-0000-00007E450000}"/>
    <cellStyle name="Porcentagem 10 3 3" xfId="15778" xr:uid="{00000000-0005-0000-0000-00007F450000}"/>
    <cellStyle name="Porcentagem 10 3 4" xfId="15779" xr:uid="{00000000-0005-0000-0000-000080450000}"/>
    <cellStyle name="Porcentagem 10 3 5" xfId="15780" xr:uid="{00000000-0005-0000-0000-000081450000}"/>
    <cellStyle name="Porcentagem 10 3 6" xfId="15781" xr:uid="{00000000-0005-0000-0000-000082450000}"/>
    <cellStyle name="Porcentagem 10 3 7" xfId="15782" xr:uid="{00000000-0005-0000-0000-000083450000}"/>
    <cellStyle name="Porcentagem 10 3 8" xfId="15783" xr:uid="{00000000-0005-0000-0000-000084450000}"/>
    <cellStyle name="Porcentagem 10 3 9" xfId="15784" xr:uid="{00000000-0005-0000-0000-000085450000}"/>
    <cellStyle name="Porcentagem 10 4" xfId="15785" xr:uid="{00000000-0005-0000-0000-000086450000}"/>
    <cellStyle name="Porcentagem 10 4 10" xfId="15786" xr:uid="{00000000-0005-0000-0000-000087450000}"/>
    <cellStyle name="Porcentagem 10 4 11" xfId="15787" xr:uid="{00000000-0005-0000-0000-000088450000}"/>
    <cellStyle name="Porcentagem 10 4 2" xfId="15788" xr:uid="{00000000-0005-0000-0000-000089450000}"/>
    <cellStyle name="Porcentagem 10 4 3" xfId="15789" xr:uid="{00000000-0005-0000-0000-00008A450000}"/>
    <cellStyle name="Porcentagem 10 4 4" xfId="15790" xr:uid="{00000000-0005-0000-0000-00008B450000}"/>
    <cellStyle name="Porcentagem 10 4 5" xfId="15791" xr:uid="{00000000-0005-0000-0000-00008C450000}"/>
    <cellStyle name="Porcentagem 10 4 6" xfId="15792" xr:uid="{00000000-0005-0000-0000-00008D450000}"/>
    <cellStyle name="Porcentagem 10 4 7" xfId="15793" xr:uid="{00000000-0005-0000-0000-00008E450000}"/>
    <cellStyle name="Porcentagem 10 4 8" xfId="15794" xr:uid="{00000000-0005-0000-0000-00008F450000}"/>
    <cellStyle name="Porcentagem 10 4 9" xfId="15795" xr:uid="{00000000-0005-0000-0000-000090450000}"/>
    <cellStyle name="Porcentagem 10 5" xfId="15796" xr:uid="{00000000-0005-0000-0000-000091450000}"/>
    <cellStyle name="Porcentagem 10 5 2" xfId="15797" xr:uid="{00000000-0005-0000-0000-000092450000}"/>
    <cellStyle name="Porcentagem 10 5 3" xfId="15798" xr:uid="{00000000-0005-0000-0000-000093450000}"/>
    <cellStyle name="Porcentagem 10 5 4" xfId="15799" xr:uid="{00000000-0005-0000-0000-000094450000}"/>
    <cellStyle name="Porcentagem 10 6" xfId="15800" xr:uid="{00000000-0005-0000-0000-000095450000}"/>
    <cellStyle name="Porcentagem 10 6 2" xfId="15801" xr:uid="{00000000-0005-0000-0000-000096450000}"/>
    <cellStyle name="Porcentagem 10 6 3" xfId="15802" xr:uid="{00000000-0005-0000-0000-000097450000}"/>
    <cellStyle name="Porcentagem 10 6 4" xfId="15803" xr:uid="{00000000-0005-0000-0000-000098450000}"/>
    <cellStyle name="Porcentagem 10 7" xfId="15804" xr:uid="{00000000-0005-0000-0000-000099450000}"/>
    <cellStyle name="Porcentagem 10 7 2" xfId="15805" xr:uid="{00000000-0005-0000-0000-00009A450000}"/>
    <cellStyle name="Porcentagem 10 7 3" xfId="15806" xr:uid="{00000000-0005-0000-0000-00009B450000}"/>
    <cellStyle name="Porcentagem 10 7 4" xfId="15807" xr:uid="{00000000-0005-0000-0000-00009C450000}"/>
    <cellStyle name="Porcentagem 10 8" xfId="15808" xr:uid="{00000000-0005-0000-0000-00009D450000}"/>
    <cellStyle name="Porcentagem 10 8 2" xfId="15809" xr:uid="{00000000-0005-0000-0000-00009E450000}"/>
    <cellStyle name="Porcentagem 10 8 3" xfId="15810" xr:uid="{00000000-0005-0000-0000-00009F450000}"/>
    <cellStyle name="Porcentagem 10 8 4" xfId="15811" xr:uid="{00000000-0005-0000-0000-0000A0450000}"/>
    <cellStyle name="Porcentagem 10 9" xfId="15812" xr:uid="{00000000-0005-0000-0000-0000A1450000}"/>
    <cellStyle name="Porcentagem 10 9 2" xfId="15813" xr:uid="{00000000-0005-0000-0000-0000A2450000}"/>
    <cellStyle name="Porcentagem 10 9 2 2" xfId="15814" xr:uid="{00000000-0005-0000-0000-0000A3450000}"/>
    <cellStyle name="Porcentagem 10 9 2 3" xfId="15815" xr:uid="{00000000-0005-0000-0000-0000A4450000}"/>
    <cellStyle name="Porcentagem 10 9 2 4" xfId="15816" xr:uid="{00000000-0005-0000-0000-0000A5450000}"/>
    <cellStyle name="Porcentagem 10 9 3" xfId="15817" xr:uid="{00000000-0005-0000-0000-0000A6450000}"/>
    <cellStyle name="Porcentagem 10 9 3 2" xfId="15818" xr:uid="{00000000-0005-0000-0000-0000A7450000}"/>
    <cellStyle name="Porcentagem 10 9 3 3" xfId="15819" xr:uid="{00000000-0005-0000-0000-0000A8450000}"/>
    <cellStyle name="Porcentagem 10 9 3 4" xfId="15820" xr:uid="{00000000-0005-0000-0000-0000A9450000}"/>
    <cellStyle name="Porcentagem 10 9 4" xfId="15821" xr:uid="{00000000-0005-0000-0000-0000AA450000}"/>
    <cellStyle name="Porcentagem 11" xfId="561" xr:uid="{00000000-0005-0000-0000-0000AB450000}"/>
    <cellStyle name="Porcentagem 11 10" xfId="15822" xr:uid="{00000000-0005-0000-0000-0000AC450000}"/>
    <cellStyle name="Porcentagem 11 11" xfId="15823" xr:uid="{00000000-0005-0000-0000-0000AD450000}"/>
    <cellStyle name="Porcentagem 11 12" xfId="15824" xr:uid="{00000000-0005-0000-0000-0000AE450000}"/>
    <cellStyle name="Porcentagem 11 2" xfId="15825" xr:uid="{00000000-0005-0000-0000-0000AF450000}"/>
    <cellStyle name="Porcentagem 11 2 10" xfId="15826" xr:uid="{00000000-0005-0000-0000-0000B0450000}"/>
    <cellStyle name="Porcentagem 11 2 2" xfId="15827" xr:uid="{00000000-0005-0000-0000-0000B1450000}"/>
    <cellStyle name="Porcentagem 11 2 3" xfId="15828" xr:uid="{00000000-0005-0000-0000-0000B2450000}"/>
    <cellStyle name="Porcentagem 11 2 4" xfId="15829" xr:uid="{00000000-0005-0000-0000-0000B3450000}"/>
    <cellStyle name="Porcentagem 11 2 5" xfId="15830" xr:uid="{00000000-0005-0000-0000-0000B4450000}"/>
    <cellStyle name="Porcentagem 11 2 6" xfId="15831" xr:uid="{00000000-0005-0000-0000-0000B5450000}"/>
    <cellStyle name="Porcentagem 11 2 7" xfId="15832" xr:uid="{00000000-0005-0000-0000-0000B6450000}"/>
    <cellStyle name="Porcentagem 11 2 8" xfId="15833" xr:uid="{00000000-0005-0000-0000-0000B7450000}"/>
    <cellStyle name="Porcentagem 11 2 9" xfId="15834" xr:uid="{00000000-0005-0000-0000-0000B8450000}"/>
    <cellStyle name="Porcentagem 11 3" xfId="15835" xr:uid="{00000000-0005-0000-0000-0000B9450000}"/>
    <cellStyle name="Porcentagem 11 3 10" xfId="15836" xr:uid="{00000000-0005-0000-0000-0000BA450000}"/>
    <cellStyle name="Porcentagem 11 3 2" xfId="15837" xr:uid="{00000000-0005-0000-0000-0000BB450000}"/>
    <cellStyle name="Porcentagem 11 3 3" xfId="15838" xr:uid="{00000000-0005-0000-0000-0000BC450000}"/>
    <cellStyle name="Porcentagem 11 3 4" xfId="15839" xr:uid="{00000000-0005-0000-0000-0000BD450000}"/>
    <cellStyle name="Porcentagem 11 3 5" xfId="15840" xr:uid="{00000000-0005-0000-0000-0000BE450000}"/>
    <cellStyle name="Porcentagem 11 3 6" xfId="15841" xr:uid="{00000000-0005-0000-0000-0000BF450000}"/>
    <cellStyle name="Porcentagem 11 3 7" xfId="15842" xr:uid="{00000000-0005-0000-0000-0000C0450000}"/>
    <cellStyle name="Porcentagem 11 3 8" xfId="15843" xr:uid="{00000000-0005-0000-0000-0000C1450000}"/>
    <cellStyle name="Porcentagem 11 3 9" xfId="15844" xr:uid="{00000000-0005-0000-0000-0000C2450000}"/>
    <cellStyle name="Porcentagem 11 4" xfId="15845" xr:uid="{00000000-0005-0000-0000-0000C3450000}"/>
    <cellStyle name="Porcentagem 11 5" xfId="15846" xr:uid="{00000000-0005-0000-0000-0000C4450000}"/>
    <cellStyle name="Porcentagem 11 6" xfId="15847" xr:uid="{00000000-0005-0000-0000-0000C5450000}"/>
    <cellStyle name="Porcentagem 11 7" xfId="15848" xr:uid="{00000000-0005-0000-0000-0000C6450000}"/>
    <cellStyle name="Porcentagem 11 8" xfId="15849" xr:uid="{00000000-0005-0000-0000-0000C7450000}"/>
    <cellStyle name="Porcentagem 11 9" xfId="15850" xr:uid="{00000000-0005-0000-0000-0000C8450000}"/>
    <cellStyle name="Porcentagem 12" xfId="15851" xr:uid="{00000000-0005-0000-0000-0000C9450000}"/>
    <cellStyle name="Porcentagem 12 10" xfId="15852" xr:uid="{00000000-0005-0000-0000-0000CA450000}"/>
    <cellStyle name="Porcentagem 12 11" xfId="15853" xr:uid="{00000000-0005-0000-0000-0000CB450000}"/>
    <cellStyle name="Porcentagem 12 12" xfId="15854" xr:uid="{00000000-0005-0000-0000-0000CC450000}"/>
    <cellStyle name="Porcentagem 12 13" xfId="15855" xr:uid="{00000000-0005-0000-0000-0000CD450000}"/>
    <cellStyle name="Porcentagem 12 14" xfId="15856" xr:uid="{00000000-0005-0000-0000-0000CE450000}"/>
    <cellStyle name="Porcentagem 12 2" xfId="15857" xr:uid="{00000000-0005-0000-0000-0000CF450000}"/>
    <cellStyle name="Porcentagem 12 2 10" xfId="15858" xr:uid="{00000000-0005-0000-0000-0000D0450000}"/>
    <cellStyle name="Porcentagem 12 2 2" xfId="15859" xr:uid="{00000000-0005-0000-0000-0000D1450000}"/>
    <cellStyle name="Porcentagem 12 2 3" xfId="15860" xr:uid="{00000000-0005-0000-0000-0000D2450000}"/>
    <cellStyle name="Porcentagem 12 2 4" xfId="15861" xr:uid="{00000000-0005-0000-0000-0000D3450000}"/>
    <cellStyle name="Porcentagem 12 2 5" xfId="15862" xr:uid="{00000000-0005-0000-0000-0000D4450000}"/>
    <cellStyle name="Porcentagem 12 2 6" xfId="15863" xr:uid="{00000000-0005-0000-0000-0000D5450000}"/>
    <cellStyle name="Porcentagem 12 2 7" xfId="15864" xr:uid="{00000000-0005-0000-0000-0000D6450000}"/>
    <cellStyle name="Porcentagem 12 2 8" xfId="15865" xr:uid="{00000000-0005-0000-0000-0000D7450000}"/>
    <cellStyle name="Porcentagem 12 2 9" xfId="15866" xr:uid="{00000000-0005-0000-0000-0000D8450000}"/>
    <cellStyle name="Porcentagem 12 3" xfId="15867" xr:uid="{00000000-0005-0000-0000-0000D9450000}"/>
    <cellStyle name="Porcentagem 12 3 10" xfId="15868" xr:uid="{00000000-0005-0000-0000-0000DA450000}"/>
    <cellStyle name="Porcentagem 12 3 2" xfId="15869" xr:uid="{00000000-0005-0000-0000-0000DB450000}"/>
    <cellStyle name="Porcentagem 12 3 3" xfId="15870" xr:uid="{00000000-0005-0000-0000-0000DC450000}"/>
    <cellStyle name="Porcentagem 12 3 4" xfId="15871" xr:uid="{00000000-0005-0000-0000-0000DD450000}"/>
    <cellStyle name="Porcentagem 12 3 5" xfId="15872" xr:uid="{00000000-0005-0000-0000-0000DE450000}"/>
    <cellStyle name="Porcentagem 12 3 6" xfId="15873" xr:uid="{00000000-0005-0000-0000-0000DF450000}"/>
    <cellStyle name="Porcentagem 12 3 7" xfId="15874" xr:uid="{00000000-0005-0000-0000-0000E0450000}"/>
    <cellStyle name="Porcentagem 12 3 8" xfId="15875" xr:uid="{00000000-0005-0000-0000-0000E1450000}"/>
    <cellStyle name="Porcentagem 12 3 9" xfId="15876" xr:uid="{00000000-0005-0000-0000-0000E2450000}"/>
    <cellStyle name="Porcentagem 12 4" xfId="15877" xr:uid="{00000000-0005-0000-0000-0000E3450000}"/>
    <cellStyle name="Porcentagem 12 5" xfId="15878" xr:uid="{00000000-0005-0000-0000-0000E4450000}"/>
    <cellStyle name="Porcentagem 12 6" xfId="15879" xr:uid="{00000000-0005-0000-0000-0000E5450000}"/>
    <cellStyle name="Porcentagem 12 7" xfId="15880" xr:uid="{00000000-0005-0000-0000-0000E6450000}"/>
    <cellStyle name="Porcentagem 12 8" xfId="15881" xr:uid="{00000000-0005-0000-0000-0000E7450000}"/>
    <cellStyle name="Porcentagem 12 9" xfId="15882" xr:uid="{00000000-0005-0000-0000-0000E8450000}"/>
    <cellStyle name="Porcentagem 13" xfId="15883" xr:uid="{00000000-0005-0000-0000-0000E9450000}"/>
    <cellStyle name="Porcentagem 13 10" xfId="15884" xr:uid="{00000000-0005-0000-0000-0000EA450000}"/>
    <cellStyle name="Porcentagem 13 11" xfId="15885" xr:uid="{00000000-0005-0000-0000-0000EB450000}"/>
    <cellStyle name="Porcentagem 13 12" xfId="15886" xr:uid="{00000000-0005-0000-0000-0000EC450000}"/>
    <cellStyle name="Porcentagem 13 2" xfId="15887" xr:uid="{00000000-0005-0000-0000-0000ED450000}"/>
    <cellStyle name="Porcentagem 13 2 10" xfId="15888" xr:uid="{00000000-0005-0000-0000-0000EE450000}"/>
    <cellStyle name="Porcentagem 13 2 2" xfId="15889" xr:uid="{00000000-0005-0000-0000-0000EF450000}"/>
    <cellStyle name="Porcentagem 13 2 3" xfId="15890" xr:uid="{00000000-0005-0000-0000-0000F0450000}"/>
    <cellStyle name="Porcentagem 13 2 4" xfId="15891" xr:uid="{00000000-0005-0000-0000-0000F1450000}"/>
    <cellStyle name="Porcentagem 13 2 5" xfId="15892" xr:uid="{00000000-0005-0000-0000-0000F2450000}"/>
    <cellStyle name="Porcentagem 13 2 6" xfId="15893" xr:uid="{00000000-0005-0000-0000-0000F3450000}"/>
    <cellStyle name="Porcentagem 13 2 7" xfId="15894" xr:uid="{00000000-0005-0000-0000-0000F4450000}"/>
    <cellStyle name="Porcentagem 13 2 8" xfId="15895" xr:uid="{00000000-0005-0000-0000-0000F5450000}"/>
    <cellStyle name="Porcentagem 13 2 9" xfId="15896" xr:uid="{00000000-0005-0000-0000-0000F6450000}"/>
    <cellStyle name="Porcentagem 13 3" xfId="15897" xr:uid="{00000000-0005-0000-0000-0000F7450000}"/>
    <cellStyle name="Porcentagem 13 3 10" xfId="15898" xr:uid="{00000000-0005-0000-0000-0000F8450000}"/>
    <cellStyle name="Porcentagem 13 3 2" xfId="15899" xr:uid="{00000000-0005-0000-0000-0000F9450000}"/>
    <cellStyle name="Porcentagem 13 3 3" xfId="15900" xr:uid="{00000000-0005-0000-0000-0000FA450000}"/>
    <cellStyle name="Porcentagem 13 3 4" xfId="15901" xr:uid="{00000000-0005-0000-0000-0000FB450000}"/>
    <cellStyle name="Porcentagem 13 3 5" xfId="15902" xr:uid="{00000000-0005-0000-0000-0000FC450000}"/>
    <cellStyle name="Porcentagem 13 3 6" xfId="15903" xr:uid="{00000000-0005-0000-0000-0000FD450000}"/>
    <cellStyle name="Porcentagem 13 3 7" xfId="15904" xr:uid="{00000000-0005-0000-0000-0000FE450000}"/>
    <cellStyle name="Porcentagem 13 3 8" xfId="15905" xr:uid="{00000000-0005-0000-0000-0000FF450000}"/>
    <cellStyle name="Porcentagem 13 3 9" xfId="15906" xr:uid="{00000000-0005-0000-0000-000000460000}"/>
    <cellStyle name="Porcentagem 13 4" xfId="15907" xr:uid="{00000000-0005-0000-0000-000001460000}"/>
    <cellStyle name="Porcentagem 13 5" xfId="15908" xr:uid="{00000000-0005-0000-0000-000002460000}"/>
    <cellStyle name="Porcentagem 13 6" xfId="15909" xr:uid="{00000000-0005-0000-0000-000003460000}"/>
    <cellStyle name="Porcentagem 13 7" xfId="15910" xr:uid="{00000000-0005-0000-0000-000004460000}"/>
    <cellStyle name="Porcentagem 13 8" xfId="15911" xr:uid="{00000000-0005-0000-0000-000005460000}"/>
    <cellStyle name="Porcentagem 13 9" xfId="15912" xr:uid="{00000000-0005-0000-0000-000006460000}"/>
    <cellStyle name="Porcentagem 14" xfId="15913" xr:uid="{00000000-0005-0000-0000-000007460000}"/>
    <cellStyle name="Porcentagem 15" xfId="15914" xr:uid="{00000000-0005-0000-0000-000008460000}"/>
    <cellStyle name="Porcentagem 15 10" xfId="15915" xr:uid="{00000000-0005-0000-0000-000009460000}"/>
    <cellStyle name="Porcentagem 15 11" xfId="15916" xr:uid="{00000000-0005-0000-0000-00000A460000}"/>
    <cellStyle name="Porcentagem 15 12" xfId="15917" xr:uid="{00000000-0005-0000-0000-00000B460000}"/>
    <cellStyle name="Porcentagem 15 13" xfId="15918" xr:uid="{00000000-0005-0000-0000-00000C460000}"/>
    <cellStyle name="Porcentagem 15 2" xfId="15919" xr:uid="{00000000-0005-0000-0000-00000D460000}"/>
    <cellStyle name="Porcentagem 15 3" xfId="15920" xr:uid="{00000000-0005-0000-0000-00000E460000}"/>
    <cellStyle name="Porcentagem 15 4" xfId="15921" xr:uid="{00000000-0005-0000-0000-00000F460000}"/>
    <cellStyle name="Porcentagem 15 5" xfId="15922" xr:uid="{00000000-0005-0000-0000-000010460000}"/>
    <cellStyle name="Porcentagem 15 6" xfId="15923" xr:uid="{00000000-0005-0000-0000-000011460000}"/>
    <cellStyle name="Porcentagem 15 7" xfId="15924" xr:uid="{00000000-0005-0000-0000-000012460000}"/>
    <cellStyle name="Porcentagem 15 8" xfId="15925" xr:uid="{00000000-0005-0000-0000-000013460000}"/>
    <cellStyle name="Porcentagem 15 9" xfId="15926" xr:uid="{00000000-0005-0000-0000-000014460000}"/>
    <cellStyle name="Porcentagem 16" xfId="15927" xr:uid="{00000000-0005-0000-0000-000015460000}"/>
    <cellStyle name="Porcentagem 2" xfId="562" xr:uid="{00000000-0005-0000-0000-000016460000}"/>
    <cellStyle name="Porcentagem 2 10" xfId="15929" xr:uid="{00000000-0005-0000-0000-000017460000}"/>
    <cellStyle name="Porcentagem 2 10 2" xfId="15930" xr:uid="{00000000-0005-0000-0000-000018460000}"/>
    <cellStyle name="Porcentagem 2 10 3" xfId="15931" xr:uid="{00000000-0005-0000-0000-000019460000}"/>
    <cellStyle name="Porcentagem 2 10 4" xfId="15932" xr:uid="{00000000-0005-0000-0000-00001A460000}"/>
    <cellStyle name="Porcentagem 2 11" xfId="15933" xr:uid="{00000000-0005-0000-0000-00001B460000}"/>
    <cellStyle name="Porcentagem 2 11 2" xfId="15934" xr:uid="{00000000-0005-0000-0000-00001C460000}"/>
    <cellStyle name="Porcentagem 2 11 3" xfId="15935" xr:uid="{00000000-0005-0000-0000-00001D460000}"/>
    <cellStyle name="Porcentagem 2 11 4" xfId="15936" xr:uid="{00000000-0005-0000-0000-00001E460000}"/>
    <cellStyle name="Porcentagem 2 12" xfId="15937" xr:uid="{00000000-0005-0000-0000-00001F460000}"/>
    <cellStyle name="Porcentagem 2 12 2" xfId="15938" xr:uid="{00000000-0005-0000-0000-000020460000}"/>
    <cellStyle name="Porcentagem 2 12 3" xfId="15939" xr:uid="{00000000-0005-0000-0000-000021460000}"/>
    <cellStyle name="Porcentagem 2 12 4" xfId="15940" xr:uid="{00000000-0005-0000-0000-000022460000}"/>
    <cellStyle name="Porcentagem 2 13" xfId="15941" xr:uid="{00000000-0005-0000-0000-000023460000}"/>
    <cellStyle name="Porcentagem 2 13 2" xfId="15942" xr:uid="{00000000-0005-0000-0000-000024460000}"/>
    <cellStyle name="Porcentagem 2 13 3" xfId="15943" xr:uid="{00000000-0005-0000-0000-000025460000}"/>
    <cellStyle name="Porcentagem 2 13 4" xfId="15944" xr:uid="{00000000-0005-0000-0000-000026460000}"/>
    <cellStyle name="Porcentagem 2 14" xfId="15945" xr:uid="{00000000-0005-0000-0000-000027460000}"/>
    <cellStyle name="Porcentagem 2 14 2" xfId="15946" xr:uid="{00000000-0005-0000-0000-000028460000}"/>
    <cellStyle name="Porcentagem 2 14 3" xfId="15947" xr:uid="{00000000-0005-0000-0000-000029460000}"/>
    <cellStyle name="Porcentagem 2 14 4" xfId="15948" xr:uid="{00000000-0005-0000-0000-00002A460000}"/>
    <cellStyle name="Porcentagem 2 15" xfId="15949" xr:uid="{00000000-0005-0000-0000-00002B460000}"/>
    <cellStyle name="Porcentagem 2 15 2" xfId="15950" xr:uid="{00000000-0005-0000-0000-00002C460000}"/>
    <cellStyle name="Porcentagem 2 15 3" xfId="15951" xr:uid="{00000000-0005-0000-0000-00002D460000}"/>
    <cellStyle name="Porcentagem 2 15 4" xfId="15952" xr:uid="{00000000-0005-0000-0000-00002E460000}"/>
    <cellStyle name="Porcentagem 2 16" xfId="15953" xr:uid="{00000000-0005-0000-0000-00002F460000}"/>
    <cellStyle name="Porcentagem 2 16 2" xfId="15954" xr:uid="{00000000-0005-0000-0000-000030460000}"/>
    <cellStyle name="Porcentagem 2 16 3" xfId="15955" xr:uid="{00000000-0005-0000-0000-000031460000}"/>
    <cellStyle name="Porcentagem 2 16 4" xfId="15956" xr:uid="{00000000-0005-0000-0000-000032460000}"/>
    <cellStyle name="Porcentagem 2 17" xfId="15957" xr:uid="{00000000-0005-0000-0000-000033460000}"/>
    <cellStyle name="Porcentagem 2 17 2" xfId="15958" xr:uid="{00000000-0005-0000-0000-000034460000}"/>
    <cellStyle name="Porcentagem 2 17 3" xfId="15959" xr:uid="{00000000-0005-0000-0000-000035460000}"/>
    <cellStyle name="Porcentagem 2 17 4" xfId="15960" xr:uid="{00000000-0005-0000-0000-000036460000}"/>
    <cellStyle name="Porcentagem 2 18" xfId="15961" xr:uid="{00000000-0005-0000-0000-000037460000}"/>
    <cellStyle name="Porcentagem 2 18 2" xfId="15962" xr:uid="{00000000-0005-0000-0000-000038460000}"/>
    <cellStyle name="Porcentagem 2 18 3" xfId="15963" xr:uid="{00000000-0005-0000-0000-000039460000}"/>
    <cellStyle name="Porcentagem 2 18 4" xfId="15964" xr:uid="{00000000-0005-0000-0000-00003A460000}"/>
    <cellStyle name="Porcentagem 2 19" xfId="15965" xr:uid="{00000000-0005-0000-0000-00003B460000}"/>
    <cellStyle name="Porcentagem 2 19 2" xfId="15966" xr:uid="{00000000-0005-0000-0000-00003C460000}"/>
    <cellStyle name="Porcentagem 2 19 3" xfId="15967" xr:uid="{00000000-0005-0000-0000-00003D460000}"/>
    <cellStyle name="Porcentagem 2 19 4" xfId="15968" xr:uid="{00000000-0005-0000-0000-00003E460000}"/>
    <cellStyle name="Porcentagem 2 2" xfId="563" xr:uid="{00000000-0005-0000-0000-00003F460000}"/>
    <cellStyle name="Porcentagem 2 2 10" xfId="15970" xr:uid="{00000000-0005-0000-0000-000040460000}"/>
    <cellStyle name="Porcentagem 2 2 10 2" xfId="15971" xr:uid="{00000000-0005-0000-0000-000041460000}"/>
    <cellStyle name="Porcentagem 2 2 10 3" xfId="15972" xr:uid="{00000000-0005-0000-0000-000042460000}"/>
    <cellStyle name="Porcentagem 2 2 11" xfId="15973" xr:uid="{00000000-0005-0000-0000-000043460000}"/>
    <cellStyle name="Porcentagem 2 2 11 2" xfId="15974" xr:uid="{00000000-0005-0000-0000-000044460000}"/>
    <cellStyle name="Porcentagem 2 2 11 3" xfId="15975" xr:uid="{00000000-0005-0000-0000-000045460000}"/>
    <cellStyle name="Porcentagem 2 2 12" xfId="15976" xr:uid="{00000000-0005-0000-0000-000046460000}"/>
    <cellStyle name="Porcentagem 2 2 12 2" xfId="15977" xr:uid="{00000000-0005-0000-0000-000047460000}"/>
    <cellStyle name="Porcentagem 2 2 12 3" xfId="15978" xr:uid="{00000000-0005-0000-0000-000048460000}"/>
    <cellStyle name="Porcentagem 2 2 13" xfId="15979" xr:uid="{00000000-0005-0000-0000-000049460000}"/>
    <cellStyle name="Porcentagem 2 2 13 2" xfId="15980" xr:uid="{00000000-0005-0000-0000-00004A460000}"/>
    <cellStyle name="Porcentagem 2 2 13 3" xfId="15981" xr:uid="{00000000-0005-0000-0000-00004B460000}"/>
    <cellStyle name="Porcentagem 2 2 14" xfId="15982" xr:uid="{00000000-0005-0000-0000-00004C460000}"/>
    <cellStyle name="Porcentagem 2 2 14 2" xfId="15983" xr:uid="{00000000-0005-0000-0000-00004D460000}"/>
    <cellStyle name="Porcentagem 2 2 14 3" xfId="15984" xr:uid="{00000000-0005-0000-0000-00004E460000}"/>
    <cellStyle name="Porcentagem 2 2 15" xfId="15985" xr:uid="{00000000-0005-0000-0000-00004F460000}"/>
    <cellStyle name="Porcentagem 2 2 15 2" xfId="15986" xr:uid="{00000000-0005-0000-0000-000050460000}"/>
    <cellStyle name="Porcentagem 2 2 15 3" xfId="15987" xr:uid="{00000000-0005-0000-0000-000051460000}"/>
    <cellStyle name="Porcentagem 2 2 16" xfId="15988" xr:uid="{00000000-0005-0000-0000-000052460000}"/>
    <cellStyle name="Porcentagem 2 2 16 2" xfId="15989" xr:uid="{00000000-0005-0000-0000-000053460000}"/>
    <cellStyle name="Porcentagem 2 2 16 3" xfId="15990" xr:uid="{00000000-0005-0000-0000-000054460000}"/>
    <cellStyle name="Porcentagem 2 2 17" xfId="15991" xr:uid="{00000000-0005-0000-0000-000055460000}"/>
    <cellStyle name="Porcentagem 2 2 17 2" xfId="15992" xr:uid="{00000000-0005-0000-0000-000056460000}"/>
    <cellStyle name="Porcentagem 2 2 17 3" xfId="15993" xr:uid="{00000000-0005-0000-0000-000057460000}"/>
    <cellStyle name="Porcentagem 2 2 18" xfId="15994" xr:uid="{00000000-0005-0000-0000-000058460000}"/>
    <cellStyle name="Porcentagem 2 2 18 2" xfId="15995" xr:uid="{00000000-0005-0000-0000-000059460000}"/>
    <cellStyle name="Porcentagem 2 2 18 3" xfId="15996" xr:uid="{00000000-0005-0000-0000-00005A460000}"/>
    <cellStyle name="Porcentagem 2 2 19" xfId="15997" xr:uid="{00000000-0005-0000-0000-00005B460000}"/>
    <cellStyle name="Porcentagem 2 2 19 2" xfId="15998" xr:uid="{00000000-0005-0000-0000-00005C460000}"/>
    <cellStyle name="Porcentagem 2 2 19 3" xfId="15999" xr:uid="{00000000-0005-0000-0000-00005D460000}"/>
    <cellStyle name="Porcentagem 2 2 2" xfId="16000" xr:uid="{00000000-0005-0000-0000-00005E460000}"/>
    <cellStyle name="Porcentagem 2 2 2 10" xfId="16001" xr:uid="{00000000-0005-0000-0000-00005F460000}"/>
    <cellStyle name="Porcentagem 2 2 2 10 2" xfId="16002" xr:uid="{00000000-0005-0000-0000-000060460000}"/>
    <cellStyle name="Porcentagem 2 2 2 10 3" xfId="16003" xr:uid="{00000000-0005-0000-0000-000061460000}"/>
    <cellStyle name="Porcentagem 2 2 2 10 4" xfId="16004" xr:uid="{00000000-0005-0000-0000-000062460000}"/>
    <cellStyle name="Porcentagem 2 2 2 11" xfId="16005" xr:uid="{00000000-0005-0000-0000-000063460000}"/>
    <cellStyle name="Porcentagem 2 2 2 11 2" xfId="16006" xr:uid="{00000000-0005-0000-0000-000064460000}"/>
    <cellStyle name="Porcentagem 2 2 2 11 3" xfId="16007" xr:uid="{00000000-0005-0000-0000-000065460000}"/>
    <cellStyle name="Porcentagem 2 2 2 11 4" xfId="16008" xr:uid="{00000000-0005-0000-0000-000066460000}"/>
    <cellStyle name="Porcentagem 2 2 2 12" xfId="16009" xr:uid="{00000000-0005-0000-0000-000067460000}"/>
    <cellStyle name="Porcentagem 2 2 2 12 2" xfId="16010" xr:uid="{00000000-0005-0000-0000-000068460000}"/>
    <cellStyle name="Porcentagem 2 2 2 12 3" xfId="16011" xr:uid="{00000000-0005-0000-0000-000069460000}"/>
    <cellStyle name="Porcentagem 2 2 2 12 4" xfId="16012" xr:uid="{00000000-0005-0000-0000-00006A460000}"/>
    <cellStyle name="Porcentagem 2 2 2 13" xfId="16013" xr:uid="{00000000-0005-0000-0000-00006B460000}"/>
    <cellStyle name="Porcentagem 2 2 2 13 2" xfId="16014" xr:uid="{00000000-0005-0000-0000-00006C460000}"/>
    <cellStyle name="Porcentagem 2 2 2 13 3" xfId="16015" xr:uid="{00000000-0005-0000-0000-00006D460000}"/>
    <cellStyle name="Porcentagem 2 2 2 13 4" xfId="16016" xr:uid="{00000000-0005-0000-0000-00006E460000}"/>
    <cellStyle name="Porcentagem 2 2 2 14" xfId="16017" xr:uid="{00000000-0005-0000-0000-00006F460000}"/>
    <cellStyle name="Porcentagem 2 2 2 14 2" xfId="16018" xr:uid="{00000000-0005-0000-0000-000070460000}"/>
    <cellStyle name="Porcentagem 2 2 2 14 3" xfId="16019" xr:uid="{00000000-0005-0000-0000-000071460000}"/>
    <cellStyle name="Porcentagem 2 2 2 14 4" xfId="16020" xr:uid="{00000000-0005-0000-0000-000072460000}"/>
    <cellStyle name="Porcentagem 2 2 2 15" xfId="16021" xr:uid="{00000000-0005-0000-0000-000073460000}"/>
    <cellStyle name="Porcentagem 2 2 2 15 2" xfId="16022" xr:uid="{00000000-0005-0000-0000-000074460000}"/>
    <cellStyle name="Porcentagem 2 2 2 15 3" xfId="16023" xr:uid="{00000000-0005-0000-0000-000075460000}"/>
    <cellStyle name="Porcentagem 2 2 2 15 4" xfId="16024" xr:uid="{00000000-0005-0000-0000-000076460000}"/>
    <cellStyle name="Porcentagem 2 2 2 16" xfId="16025" xr:uid="{00000000-0005-0000-0000-000077460000}"/>
    <cellStyle name="Porcentagem 2 2 2 16 2" xfId="16026" xr:uid="{00000000-0005-0000-0000-000078460000}"/>
    <cellStyle name="Porcentagem 2 2 2 17" xfId="16027" xr:uid="{00000000-0005-0000-0000-000079460000}"/>
    <cellStyle name="Porcentagem 2 2 2 17 2" xfId="16028" xr:uid="{00000000-0005-0000-0000-00007A460000}"/>
    <cellStyle name="Porcentagem 2 2 2 18" xfId="16029" xr:uid="{00000000-0005-0000-0000-00007B460000}"/>
    <cellStyle name="Porcentagem 2 2 2 18 2" xfId="16030" xr:uid="{00000000-0005-0000-0000-00007C460000}"/>
    <cellStyle name="Porcentagem 2 2 2 19" xfId="16031" xr:uid="{00000000-0005-0000-0000-00007D460000}"/>
    <cellStyle name="Porcentagem 2 2 2 19 2" xfId="16032" xr:uid="{00000000-0005-0000-0000-00007E460000}"/>
    <cellStyle name="Porcentagem 2 2 2 2" xfId="16033" xr:uid="{00000000-0005-0000-0000-00007F460000}"/>
    <cellStyle name="Porcentagem 2 2 2 2 10" xfId="16034" xr:uid="{00000000-0005-0000-0000-000080460000}"/>
    <cellStyle name="Porcentagem 2 2 2 2 11" xfId="16035" xr:uid="{00000000-0005-0000-0000-000081460000}"/>
    <cellStyle name="Porcentagem 2 2 2 2 12" xfId="16036" xr:uid="{00000000-0005-0000-0000-000082460000}"/>
    <cellStyle name="Porcentagem 2 2 2 2 13" xfId="16037" xr:uid="{00000000-0005-0000-0000-000083460000}"/>
    <cellStyle name="Porcentagem 2 2 2 2 14" xfId="16038" xr:uid="{00000000-0005-0000-0000-000084460000}"/>
    <cellStyle name="Porcentagem 2 2 2 2 15" xfId="16039" xr:uid="{00000000-0005-0000-0000-000085460000}"/>
    <cellStyle name="Porcentagem 2 2 2 2 16" xfId="16040" xr:uid="{00000000-0005-0000-0000-000086460000}"/>
    <cellStyle name="Porcentagem 2 2 2 2 17" xfId="16041" xr:uid="{00000000-0005-0000-0000-000087460000}"/>
    <cellStyle name="Porcentagem 2 2 2 2 18" xfId="16042" xr:uid="{00000000-0005-0000-0000-000088460000}"/>
    <cellStyle name="Porcentagem 2 2 2 2 19" xfId="16043" xr:uid="{00000000-0005-0000-0000-000089460000}"/>
    <cellStyle name="Porcentagem 2 2 2 2 2" xfId="16044" xr:uid="{00000000-0005-0000-0000-00008A460000}"/>
    <cellStyle name="Porcentagem 2 2 2 2 20" xfId="16045" xr:uid="{00000000-0005-0000-0000-00008B460000}"/>
    <cellStyle name="Porcentagem 2 2 2 2 21" xfId="16046" xr:uid="{00000000-0005-0000-0000-00008C460000}"/>
    <cellStyle name="Porcentagem 2 2 2 2 22" xfId="16047" xr:uid="{00000000-0005-0000-0000-00008D460000}"/>
    <cellStyle name="Porcentagem 2 2 2 2 23" xfId="16048" xr:uid="{00000000-0005-0000-0000-00008E460000}"/>
    <cellStyle name="Porcentagem 2 2 2 2 24" xfId="16049" xr:uid="{00000000-0005-0000-0000-00008F460000}"/>
    <cellStyle name="Porcentagem 2 2 2 2 25" xfId="16050" xr:uid="{00000000-0005-0000-0000-000090460000}"/>
    <cellStyle name="Porcentagem 2 2 2 2 26" xfId="16051" xr:uid="{00000000-0005-0000-0000-000091460000}"/>
    <cellStyle name="Porcentagem 2 2 2 2 27" xfId="16052" xr:uid="{00000000-0005-0000-0000-000092460000}"/>
    <cellStyle name="Porcentagem 2 2 2 2 28" xfId="16053" xr:uid="{00000000-0005-0000-0000-000093460000}"/>
    <cellStyle name="Porcentagem 2 2 2 2 29" xfId="16054" xr:uid="{00000000-0005-0000-0000-000094460000}"/>
    <cellStyle name="Porcentagem 2 2 2 2 3" xfId="16055" xr:uid="{00000000-0005-0000-0000-000095460000}"/>
    <cellStyle name="Porcentagem 2 2 2 2 30" xfId="16056" xr:uid="{00000000-0005-0000-0000-000096460000}"/>
    <cellStyle name="Porcentagem 2 2 2 2 31" xfId="16057" xr:uid="{00000000-0005-0000-0000-000097460000}"/>
    <cellStyle name="Porcentagem 2 2 2 2 32" xfId="16058" xr:uid="{00000000-0005-0000-0000-000098460000}"/>
    <cellStyle name="Porcentagem 2 2 2 2 33" xfId="16059" xr:uid="{00000000-0005-0000-0000-000099460000}"/>
    <cellStyle name="Porcentagem 2 2 2 2 34" xfId="16060" xr:uid="{00000000-0005-0000-0000-00009A460000}"/>
    <cellStyle name="Porcentagem 2 2 2 2 35" xfId="16061" xr:uid="{00000000-0005-0000-0000-00009B460000}"/>
    <cellStyle name="Porcentagem 2 2 2 2 36" xfId="16062" xr:uid="{00000000-0005-0000-0000-00009C460000}"/>
    <cellStyle name="Porcentagem 2 2 2 2 37" xfId="16063" xr:uid="{00000000-0005-0000-0000-00009D460000}"/>
    <cellStyle name="Porcentagem 2 2 2 2 38" xfId="16064" xr:uid="{00000000-0005-0000-0000-00009E460000}"/>
    <cellStyle name="Porcentagem 2 2 2 2 4" xfId="16065" xr:uid="{00000000-0005-0000-0000-00009F460000}"/>
    <cellStyle name="Porcentagem 2 2 2 2 5" xfId="16066" xr:uid="{00000000-0005-0000-0000-0000A0460000}"/>
    <cellStyle name="Porcentagem 2 2 2 2 6" xfId="16067" xr:uid="{00000000-0005-0000-0000-0000A1460000}"/>
    <cellStyle name="Porcentagem 2 2 2 2 7" xfId="16068" xr:uid="{00000000-0005-0000-0000-0000A2460000}"/>
    <cellStyle name="Porcentagem 2 2 2 2 8" xfId="16069" xr:uid="{00000000-0005-0000-0000-0000A3460000}"/>
    <cellStyle name="Porcentagem 2 2 2 2 9" xfId="16070" xr:uid="{00000000-0005-0000-0000-0000A4460000}"/>
    <cellStyle name="Porcentagem 2 2 2 20" xfId="16071" xr:uid="{00000000-0005-0000-0000-0000A5460000}"/>
    <cellStyle name="Porcentagem 2 2 2 20 2" xfId="16072" xr:uid="{00000000-0005-0000-0000-0000A6460000}"/>
    <cellStyle name="Porcentagem 2 2 2 21" xfId="16073" xr:uid="{00000000-0005-0000-0000-0000A7460000}"/>
    <cellStyle name="Porcentagem 2 2 2 21 2" xfId="16074" xr:uid="{00000000-0005-0000-0000-0000A8460000}"/>
    <cellStyle name="Porcentagem 2 2 2 22" xfId="16075" xr:uid="{00000000-0005-0000-0000-0000A9460000}"/>
    <cellStyle name="Porcentagem 2 2 2 22 2" xfId="16076" xr:uid="{00000000-0005-0000-0000-0000AA460000}"/>
    <cellStyle name="Porcentagem 2 2 2 23" xfId="16077" xr:uid="{00000000-0005-0000-0000-0000AB460000}"/>
    <cellStyle name="Porcentagem 2 2 2 23 2" xfId="16078" xr:uid="{00000000-0005-0000-0000-0000AC460000}"/>
    <cellStyle name="Porcentagem 2 2 2 24" xfId="16079" xr:uid="{00000000-0005-0000-0000-0000AD460000}"/>
    <cellStyle name="Porcentagem 2 2 2 24 2" xfId="16080" xr:uid="{00000000-0005-0000-0000-0000AE460000}"/>
    <cellStyle name="Porcentagem 2 2 2 25" xfId="16081" xr:uid="{00000000-0005-0000-0000-0000AF460000}"/>
    <cellStyle name="Porcentagem 2 2 2 25 2" xfId="16082" xr:uid="{00000000-0005-0000-0000-0000B0460000}"/>
    <cellStyle name="Porcentagem 2 2 2 26" xfId="16083" xr:uid="{00000000-0005-0000-0000-0000B1460000}"/>
    <cellStyle name="Porcentagem 2 2 2 26 2" xfId="16084" xr:uid="{00000000-0005-0000-0000-0000B2460000}"/>
    <cellStyle name="Porcentagem 2 2 2 27" xfId="16085" xr:uid="{00000000-0005-0000-0000-0000B3460000}"/>
    <cellStyle name="Porcentagem 2 2 2 27 2" xfId="16086" xr:uid="{00000000-0005-0000-0000-0000B4460000}"/>
    <cellStyle name="Porcentagem 2 2 2 28" xfId="16087" xr:uid="{00000000-0005-0000-0000-0000B5460000}"/>
    <cellStyle name="Porcentagem 2 2 2 28 2" xfId="16088" xr:uid="{00000000-0005-0000-0000-0000B6460000}"/>
    <cellStyle name="Porcentagem 2 2 2 29" xfId="16089" xr:uid="{00000000-0005-0000-0000-0000B7460000}"/>
    <cellStyle name="Porcentagem 2 2 2 29 2" xfId="16090" xr:uid="{00000000-0005-0000-0000-0000B8460000}"/>
    <cellStyle name="Porcentagem 2 2 2 3" xfId="16091" xr:uid="{00000000-0005-0000-0000-0000B9460000}"/>
    <cellStyle name="Porcentagem 2 2 2 3 2" xfId="16092" xr:uid="{00000000-0005-0000-0000-0000BA460000}"/>
    <cellStyle name="Porcentagem 2 2 2 3 3" xfId="16093" xr:uid="{00000000-0005-0000-0000-0000BB460000}"/>
    <cellStyle name="Porcentagem 2 2 2 3 4" xfId="16094" xr:uid="{00000000-0005-0000-0000-0000BC460000}"/>
    <cellStyle name="Porcentagem 2 2 2 30" xfId="16095" xr:uid="{00000000-0005-0000-0000-0000BD460000}"/>
    <cellStyle name="Porcentagem 2 2 2 30 2" xfId="16096" xr:uid="{00000000-0005-0000-0000-0000BE460000}"/>
    <cellStyle name="Porcentagem 2 2 2 31" xfId="16097" xr:uid="{00000000-0005-0000-0000-0000BF460000}"/>
    <cellStyle name="Porcentagem 2 2 2 31 2" xfId="16098" xr:uid="{00000000-0005-0000-0000-0000C0460000}"/>
    <cellStyle name="Porcentagem 2 2 2 32" xfId="16099" xr:uid="{00000000-0005-0000-0000-0000C1460000}"/>
    <cellStyle name="Porcentagem 2 2 2 32 2" xfId="16100" xr:uid="{00000000-0005-0000-0000-0000C2460000}"/>
    <cellStyle name="Porcentagem 2 2 2 33" xfId="16101" xr:uid="{00000000-0005-0000-0000-0000C3460000}"/>
    <cellStyle name="Porcentagem 2 2 2 33 2" xfId="16102" xr:uid="{00000000-0005-0000-0000-0000C4460000}"/>
    <cellStyle name="Porcentagem 2 2 2 34" xfId="16103" xr:uid="{00000000-0005-0000-0000-0000C5460000}"/>
    <cellStyle name="Porcentagem 2 2 2 34 2" xfId="16104" xr:uid="{00000000-0005-0000-0000-0000C6460000}"/>
    <cellStyle name="Porcentagem 2 2 2 35" xfId="16105" xr:uid="{00000000-0005-0000-0000-0000C7460000}"/>
    <cellStyle name="Porcentagem 2 2 2 35 2" xfId="16106" xr:uid="{00000000-0005-0000-0000-0000C8460000}"/>
    <cellStyle name="Porcentagem 2 2 2 36" xfId="16107" xr:uid="{00000000-0005-0000-0000-0000C9460000}"/>
    <cellStyle name="Porcentagem 2 2 2 37" xfId="16108" xr:uid="{00000000-0005-0000-0000-0000CA460000}"/>
    <cellStyle name="Porcentagem 2 2 2 4" xfId="16109" xr:uid="{00000000-0005-0000-0000-0000CB460000}"/>
    <cellStyle name="Porcentagem 2 2 2 4 2" xfId="16110" xr:uid="{00000000-0005-0000-0000-0000CC460000}"/>
    <cellStyle name="Porcentagem 2 2 2 4 3" xfId="16111" xr:uid="{00000000-0005-0000-0000-0000CD460000}"/>
    <cellStyle name="Porcentagem 2 2 2 4 4" xfId="16112" xr:uid="{00000000-0005-0000-0000-0000CE460000}"/>
    <cellStyle name="Porcentagem 2 2 2 5" xfId="16113" xr:uid="{00000000-0005-0000-0000-0000CF460000}"/>
    <cellStyle name="Porcentagem 2 2 2 5 2" xfId="16114" xr:uid="{00000000-0005-0000-0000-0000D0460000}"/>
    <cellStyle name="Porcentagem 2 2 2 5 3" xfId="16115" xr:uid="{00000000-0005-0000-0000-0000D1460000}"/>
    <cellStyle name="Porcentagem 2 2 2 5 4" xfId="16116" xr:uid="{00000000-0005-0000-0000-0000D2460000}"/>
    <cellStyle name="Porcentagem 2 2 2 6" xfId="16117" xr:uid="{00000000-0005-0000-0000-0000D3460000}"/>
    <cellStyle name="Porcentagem 2 2 2 6 2" xfId="16118" xr:uid="{00000000-0005-0000-0000-0000D4460000}"/>
    <cellStyle name="Porcentagem 2 2 2 6 3" xfId="16119" xr:uid="{00000000-0005-0000-0000-0000D5460000}"/>
    <cellStyle name="Porcentagem 2 2 2 6 4" xfId="16120" xr:uid="{00000000-0005-0000-0000-0000D6460000}"/>
    <cellStyle name="Porcentagem 2 2 2 7" xfId="16121" xr:uid="{00000000-0005-0000-0000-0000D7460000}"/>
    <cellStyle name="Porcentagem 2 2 2 7 2" xfId="16122" xr:uid="{00000000-0005-0000-0000-0000D8460000}"/>
    <cellStyle name="Porcentagem 2 2 2 7 3" xfId="16123" xr:uid="{00000000-0005-0000-0000-0000D9460000}"/>
    <cellStyle name="Porcentagem 2 2 2 7 4" xfId="16124" xr:uid="{00000000-0005-0000-0000-0000DA460000}"/>
    <cellStyle name="Porcentagem 2 2 2 8" xfId="16125" xr:uid="{00000000-0005-0000-0000-0000DB460000}"/>
    <cellStyle name="Porcentagem 2 2 2 8 2" xfId="16126" xr:uid="{00000000-0005-0000-0000-0000DC460000}"/>
    <cellStyle name="Porcentagem 2 2 2 8 3" xfId="16127" xr:uid="{00000000-0005-0000-0000-0000DD460000}"/>
    <cellStyle name="Porcentagem 2 2 2 8 4" xfId="16128" xr:uid="{00000000-0005-0000-0000-0000DE460000}"/>
    <cellStyle name="Porcentagem 2 2 2 9" xfId="16129" xr:uid="{00000000-0005-0000-0000-0000DF460000}"/>
    <cellStyle name="Porcentagem 2 2 2 9 2" xfId="16130" xr:uid="{00000000-0005-0000-0000-0000E0460000}"/>
    <cellStyle name="Porcentagem 2 2 2 9 3" xfId="16131" xr:uid="{00000000-0005-0000-0000-0000E1460000}"/>
    <cellStyle name="Porcentagem 2 2 2 9 4" xfId="16132" xr:uid="{00000000-0005-0000-0000-0000E2460000}"/>
    <cellStyle name="Porcentagem 2 2 20" xfId="16133" xr:uid="{00000000-0005-0000-0000-0000E3460000}"/>
    <cellStyle name="Porcentagem 2 2 21" xfId="16134" xr:uid="{00000000-0005-0000-0000-0000E4460000}"/>
    <cellStyle name="Porcentagem 2 2 22" xfId="16135" xr:uid="{00000000-0005-0000-0000-0000E5460000}"/>
    <cellStyle name="Porcentagem 2 2 23" xfId="16136" xr:uid="{00000000-0005-0000-0000-0000E6460000}"/>
    <cellStyle name="Porcentagem 2 2 24" xfId="16137" xr:uid="{00000000-0005-0000-0000-0000E7460000}"/>
    <cellStyle name="Porcentagem 2 2 25" xfId="16138" xr:uid="{00000000-0005-0000-0000-0000E8460000}"/>
    <cellStyle name="Porcentagem 2 2 26" xfId="16139" xr:uid="{00000000-0005-0000-0000-0000E9460000}"/>
    <cellStyle name="Porcentagem 2 2 27" xfId="16140" xr:uid="{00000000-0005-0000-0000-0000EA460000}"/>
    <cellStyle name="Porcentagem 2 2 28" xfId="16141" xr:uid="{00000000-0005-0000-0000-0000EB460000}"/>
    <cellStyle name="Porcentagem 2 2 29" xfId="16142" xr:uid="{00000000-0005-0000-0000-0000EC460000}"/>
    <cellStyle name="Porcentagem 2 2 3" xfId="16143" xr:uid="{00000000-0005-0000-0000-0000ED460000}"/>
    <cellStyle name="Porcentagem 2 2 30" xfId="16144" xr:uid="{00000000-0005-0000-0000-0000EE460000}"/>
    <cellStyle name="Porcentagem 2 2 31" xfId="16145" xr:uid="{00000000-0005-0000-0000-0000EF460000}"/>
    <cellStyle name="Porcentagem 2 2 32" xfId="16146" xr:uid="{00000000-0005-0000-0000-0000F0460000}"/>
    <cellStyle name="Porcentagem 2 2 33" xfId="16147" xr:uid="{00000000-0005-0000-0000-0000F1460000}"/>
    <cellStyle name="Porcentagem 2 2 34" xfId="16148" xr:uid="{00000000-0005-0000-0000-0000F2460000}"/>
    <cellStyle name="Porcentagem 2 2 35" xfId="16149" xr:uid="{00000000-0005-0000-0000-0000F3460000}"/>
    <cellStyle name="Porcentagem 2 2 36" xfId="16150" xr:uid="{00000000-0005-0000-0000-0000F4460000}"/>
    <cellStyle name="Porcentagem 2 2 37" xfId="16151" xr:uid="{00000000-0005-0000-0000-0000F5460000}"/>
    <cellStyle name="Porcentagem 2 2 38" xfId="16152" xr:uid="{00000000-0005-0000-0000-0000F6460000}"/>
    <cellStyle name="Porcentagem 2 2 39" xfId="16153" xr:uid="{00000000-0005-0000-0000-0000F7460000}"/>
    <cellStyle name="Porcentagem 2 2 4" xfId="16154" xr:uid="{00000000-0005-0000-0000-0000F8460000}"/>
    <cellStyle name="Porcentagem 2 2 40" xfId="15969" xr:uid="{00000000-0005-0000-0000-0000F9460000}"/>
    <cellStyle name="Porcentagem 2 2 5" xfId="16155" xr:uid="{00000000-0005-0000-0000-0000FA460000}"/>
    <cellStyle name="Porcentagem 2 2 6" xfId="16156" xr:uid="{00000000-0005-0000-0000-0000FB460000}"/>
    <cellStyle name="Porcentagem 2 2 7" xfId="16157" xr:uid="{00000000-0005-0000-0000-0000FC460000}"/>
    <cellStyle name="Porcentagem 2 2 7 2" xfId="16158" xr:uid="{00000000-0005-0000-0000-0000FD460000}"/>
    <cellStyle name="Porcentagem 2 2 7 3" xfId="16159" xr:uid="{00000000-0005-0000-0000-0000FE460000}"/>
    <cellStyle name="Porcentagem 2 2 8" xfId="16160" xr:uid="{00000000-0005-0000-0000-0000FF460000}"/>
    <cellStyle name="Porcentagem 2 2 8 2" xfId="16161" xr:uid="{00000000-0005-0000-0000-000000470000}"/>
    <cellStyle name="Porcentagem 2 2 8 3" xfId="16162" xr:uid="{00000000-0005-0000-0000-000001470000}"/>
    <cellStyle name="Porcentagem 2 2 9" xfId="16163" xr:uid="{00000000-0005-0000-0000-000002470000}"/>
    <cellStyle name="Porcentagem 2 2 9 2" xfId="16164" xr:uid="{00000000-0005-0000-0000-000003470000}"/>
    <cellStyle name="Porcentagem 2 2 9 3" xfId="16165" xr:uid="{00000000-0005-0000-0000-000004470000}"/>
    <cellStyle name="Porcentagem 2 20" xfId="16166" xr:uid="{00000000-0005-0000-0000-000005470000}"/>
    <cellStyle name="Porcentagem 2 20 2" xfId="16167" xr:uid="{00000000-0005-0000-0000-000006470000}"/>
    <cellStyle name="Porcentagem 2 20 3" xfId="16168" xr:uid="{00000000-0005-0000-0000-000007470000}"/>
    <cellStyle name="Porcentagem 2 20 4" xfId="16169" xr:uid="{00000000-0005-0000-0000-000008470000}"/>
    <cellStyle name="Porcentagem 2 21" xfId="16170" xr:uid="{00000000-0005-0000-0000-000009470000}"/>
    <cellStyle name="Porcentagem 2 21 2" xfId="16171" xr:uid="{00000000-0005-0000-0000-00000A470000}"/>
    <cellStyle name="Porcentagem 2 21 3" xfId="16172" xr:uid="{00000000-0005-0000-0000-00000B470000}"/>
    <cellStyle name="Porcentagem 2 21 4" xfId="16173" xr:uid="{00000000-0005-0000-0000-00000C470000}"/>
    <cellStyle name="Porcentagem 2 22" xfId="16174" xr:uid="{00000000-0005-0000-0000-00000D470000}"/>
    <cellStyle name="Porcentagem 2 22 2" xfId="16175" xr:uid="{00000000-0005-0000-0000-00000E470000}"/>
    <cellStyle name="Porcentagem 2 22 3" xfId="16176" xr:uid="{00000000-0005-0000-0000-00000F470000}"/>
    <cellStyle name="Porcentagem 2 22 4" xfId="16177" xr:uid="{00000000-0005-0000-0000-000010470000}"/>
    <cellStyle name="Porcentagem 2 23" xfId="16178" xr:uid="{00000000-0005-0000-0000-000011470000}"/>
    <cellStyle name="Porcentagem 2 23 2" xfId="16179" xr:uid="{00000000-0005-0000-0000-000012470000}"/>
    <cellStyle name="Porcentagem 2 23 3" xfId="16180" xr:uid="{00000000-0005-0000-0000-000013470000}"/>
    <cellStyle name="Porcentagem 2 23 4" xfId="16181" xr:uid="{00000000-0005-0000-0000-000014470000}"/>
    <cellStyle name="Porcentagem 2 24" xfId="16182" xr:uid="{00000000-0005-0000-0000-000015470000}"/>
    <cellStyle name="Porcentagem 2 24 2" xfId="16183" xr:uid="{00000000-0005-0000-0000-000016470000}"/>
    <cellStyle name="Porcentagem 2 24 3" xfId="16184" xr:uid="{00000000-0005-0000-0000-000017470000}"/>
    <cellStyle name="Porcentagem 2 24 4" xfId="16185" xr:uid="{00000000-0005-0000-0000-000018470000}"/>
    <cellStyle name="Porcentagem 2 25" xfId="16186" xr:uid="{00000000-0005-0000-0000-000019470000}"/>
    <cellStyle name="Porcentagem 2 25 2" xfId="16187" xr:uid="{00000000-0005-0000-0000-00001A470000}"/>
    <cellStyle name="Porcentagem 2 26" xfId="16188" xr:uid="{00000000-0005-0000-0000-00001B470000}"/>
    <cellStyle name="Porcentagem 2 26 2" xfId="16189" xr:uid="{00000000-0005-0000-0000-00001C470000}"/>
    <cellStyle name="Porcentagem 2 27" xfId="16190" xr:uid="{00000000-0005-0000-0000-00001D470000}"/>
    <cellStyle name="Porcentagem 2 27 2" xfId="16191" xr:uid="{00000000-0005-0000-0000-00001E470000}"/>
    <cellStyle name="Porcentagem 2 28" xfId="16192" xr:uid="{00000000-0005-0000-0000-00001F470000}"/>
    <cellStyle name="Porcentagem 2 28 2" xfId="16193" xr:uid="{00000000-0005-0000-0000-000020470000}"/>
    <cellStyle name="Porcentagem 2 29" xfId="16194" xr:uid="{00000000-0005-0000-0000-000021470000}"/>
    <cellStyle name="Porcentagem 2 29 2" xfId="16195" xr:uid="{00000000-0005-0000-0000-000022470000}"/>
    <cellStyle name="Porcentagem 2 3" xfId="564" xr:uid="{00000000-0005-0000-0000-000023470000}"/>
    <cellStyle name="Porcentagem 2 3 10" xfId="16196" xr:uid="{00000000-0005-0000-0000-000024470000}"/>
    <cellStyle name="Porcentagem 2 3 11" xfId="16197" xr:uid="{00000000-0005-0000-0000-000025470000}"/>
    <cellStyle name="Porcentagem 2 3 2" xfId="16198" xr:uid="{00000000-0005-0000-0000-000026470000}"/>
    <cellStyle name="Porcentagem 2 3 2 2" xfId="16199" xr:uid="{00000000-0005-0000-0000-000027470000}"/>
    <cellStyle name="Porcentagem 2 3 2 3" xfId="16200" xr:uid="{00000000-0005-0000-0000-000028470000}"/>
    <cellStyle name="Porcentagem 2 3 2 4" xfId="16201" xr:uid="{00000000-0005-0000-0000-000029470000}"/>
    <cellStyle name="Porcentagem 2 3 3" xfId="16202" xr:uid="{00000000-0005-0000-0000-00002A470000}"/>
    <cellStyle name="Porcentagem 2 3 4" xfId="16203" xr:uid="{00000000-0005-0000-0000-00002B470000}"/>
    <cellStyle name="Porcentagem 2 3 5" xfId="16204" xr:uid="{00000000-0005-0000-0000-00002C470000}"/>
    <cellStyle name="Porcentagem 2 3 6" xfId="16205" xr:uid="{00000000-0005-0000-0000-00002D470000}"/>
    <cellStyle name="Porcentagem 2 3 7" xfId="16206" xr:uid="{00000000-0005-0000-0000-00002E470000}"/>
    <cellStyle name="Porcentagem 2 3 8" xfId="16207" xr:uid="{00000000-0005-0000-0000-00002F470000}"/>
    <cellStyle name="Porcentagem 2 3 9" xfId="16208" xr:uid="{00000000-0005-0000-0000-000030470000}"/>
    <cellStyle name="Porcentagem 2 30" xfId="16209" xr:uid="{00000000-0005-0000-0000-000031470000}"/>
    <cellStyle name="Porcentagem 2 30 2" xfId="16210" xr:uid="{00000000-0005-0000-0000-000032470000}"/>
    <cellStyle name="Porcentagem 2 31" xfId="16211" xr:uid="{00000000-0005-0000-0000-000033470000}"/>
    <cellStyle name="Porcentagem 2 31 2" xfId="16212" xr:uid="{00000000-0005-0000-0000-000034470000}"/>
    <cellStyle name="Porcentagem 2 32" xfId="16213" xr:uid="{00000000-0005-0000-0000-000035470000}"/>
    <cellStyle name="Porcentagem 2 32 2" xfId="16214" xr:uid="{00000000-0005-0000-0000-000036470000}"/>
    <cellStyle name="Porcentagem 2 33" xfId="16215" xr:uid="{00000000-0005-0000-0000-000037470000}"/>
    <cellStyle name="Porcentagem 2 33 2" xfId="16216" xr:uid="{00000000-0005-0000-0000-000038470000}"/>
    <cellStyle name="Porcentagem 2 34" xfId="16217" xr:uid="{00000000-0005-0000-0000-000039470000}"/>
    <cellStyle name="Porcentagem 2 34 2" xfId="16218" xr:uid="{00000000-0005-0000-0000-00003A470000}"/>
    <cellStyle name="Porcentagem 2 35" xfId="16219" xr:uid="{00000000-0005-0000-0000-00003B470000}"/>
    <cellStyle name="Porcentagem 2 35 2" xfId="16220" xr:uid="{00000000-0005-0000-0000-00003C470000}"/>
    <cellStyle name="Porcentagem 2 36" xfId="16221" xr:uid="{00000000-0005-0000-0000-00003D470000}"/>
    <cellStyle name="Porcentagem 2 36 2" xfId="16222" xr:uid="{00000000-0005-0000-0000-00003E470000}"/>
    <cellStyle name="Porcentagem 2 37" xfId="16223" xr:uid="{00000000-0005-0000-0000-00003F470000}"/>
    <cellStyle name="Porcentagem 2 37 2" xfId="16224" xr:uid="{00000000-0005-0000-0000-000040470000}"/>
    <cellStyle name="Porcentagem 2 38" xfId="16225" xr:uid="{00000000-0005-0000-0000-000041470000}"/>
    <cellStyle name="Porcentagem 2 39" xfId="16226" xr:uid="{00000000-0005-0000-0000-000042470000}"/>
    <cellStyle name="Porcentagem 2 4" xfId="565" xr:uid="{00000000-0005-0000-0000-000043470000}"/>
    <cellStyle name="Porcentagem 2 4 10" xfId="16228" xr:uid="{00000000-0005-0000-0000-000044470000}"/>
    <cellStyle name="Porcentagem 2 4 11" xfId="16229" xr:uid="{00000000-0005-0000-0000-000045470000}"/>
    <cellStyle name="Porcentagem 2 4 12" xfId="16230" xr:uid="{00000000-0005-0000-0000-000046470000}"/>
    <cellStyle name="Porcentagem 2 4 13" xfId="16227" xr:uid="{00000000-0005-0000-0000-000047470000}"/>
    <cellStyle name="Porcentagem 2 4 2" xfId="16231" xr:uid="{00000000-0005-0000-0000-000048470000}"/>
    <cellStyle name="Porcentagem 2 4 3" xfId="16232" xr:uid="{00000000-0005-0000-0000-000049470000}"/>
    <cellStyle name="Porcentagem 2 4 4" xfId="16233" xr:uid="{00000000-0005-0000-0000-00004A470000}"/>
    <cellStyle name="Porcentagem 2 4 5" xfId="16234" xr:uid="{00000000-0005-0000-0000-00004B470000}"/>
    <cellStyle name="Porcentagem 2 4 6" xfId="16235" xr:uid="{00000000-0005-0000-0000-00004C470000}"/>
    <cellStyle name="Porcentagem 2 4 7" xfId="16236" xr:uid="{00000000-0005-0000-0000-00004D470000}"/>
    <cellStyle name="Porcentagem 2 4 8" xfId="16237" xr:uid="{00000000-0005-0000-0000-00004E470000}"/>
    <cellStyle name="Porcentagem 2 4 9" xfId="16238" xr:uid="{00000000-0005-0000-0000-00004F470000}"/>
    <cellStyle name="Porcentagem 2 40" xfId="16239" xr:uid="{00000000-0005-0000-0000-000050470000}"/>
    <cellStyle name="Porcentagem 2 41" xfId="16240" xr:uid="{00000000-0005-0000-0000-000051470000}"/>
    <cellStyle name="Porcentagem 2 42" xfId="16241" xr:uid="{00000000-0005-0000-0000-000052470000}"/>
    <cellStyle name="Porcentagem 2 43" xfId="16242" xr:uid="{00000000-0005-0000-0000-000053470000}"/>
    <cellStyle name="Porcentagem 2 44" xfId="16243" xr:uid="{00000000-0005-0000-0000-000054470000}"/>
    <cellStyle name="Porcentagem 2 45" xfId="16244" xr:uid="{00000000-0005-0000-0000-000055470000}"/>
    <cellStyle name="Porcentagem 2 46" xfId="16245" xr:uid="{00000000-0005-0000-0000-000056470000}"/>
    <cellStyle name="Porcentagem 2 47" xfId="16246" xr:uid="{00000000-0005-0000-0000-000057470000}"/>
    <cellStyle name="Porcentagem 2 48" xfId="16247" xr:uid="{00000000-0005-0000-0000-000058470000}"/>
    <cellStyle name="Porcentagem 2 49" xfId="16248" xr:uid="{00000000-0005-0000-0000-000059470000}"/>
    <cellStyle name="Porcentagem 2 5" xfId="566" xr:uid="{00000000-0005-0000-0000-00005A470000}"/>
    <cellStyle name="Porcentagem 2 5 10" xfId="16250" xr:uid="{00000000-0005-0000-0000-00005B470000}"/>
    <cellStyle name="Porcentagem 2 5 11" xfId="16251" xr:uid="{00000000-0005-0000-0000-00005C470000}"/>
    <cellStyle name="Porcentagem 2 5 12" xfId="16252" xr:uid="{00000000-0005-0000-0000-00005D470000}"/>
    <cellStyle name="Porcentagem 2 5 13" xfId="16249" xr:uid="{00000000-0005-0000-0000-00005E470000}"/>
    <cellStyle name="Porcentagem 2 5 2" xfId="16253" xr:uid="{00000000-0005-0000-0000-00005F470000}"/>
    <cellStyle name="Porcentagem 2 5 2 2" xfId="25996" xr:uid="{00000000-0005-0000-0000-000060470000}"/>
    <cellStyle name="Porcentagem 2 5 3" xfId="16254" xr:uid="{00000000-0005-0000-0000-000061470000}"/>
    <cellStyle name="Porcentagem 2 5 4" xfId="16255" xr:uid="{00000000-0005-0000-0000-000062470000}"/>
    <cellStyle name="Porcentagem 2 5 5" xfId="16256" xr:uid="{00000000-0005-0000-0000-000063470000}"/>
    <cellStyle name="Porcentagem 2 5 6" xfId="16257" xr:uid="{00000000-0005-0000-0000-000064470000}"/>
    <cellStyle name="Porcentagem 2 5 7" xfId="16258" xr:uid="{00000000-0005-0000-0000-000065470000}"/>
    <cellStyle name="Porcentagem 2 5 8" xfId="16259" xr:uid="{00000000-0005-0000-0000-000066470000}"/>
    <cellStyle name="Porcentagem 2 5 9" xfId="16260" xr:uid="{00000000-0005-0000-0000-000067470000}"/>
    <cellStyle name="Porcentagem 2 50" xfId="16261" xr:uid="{00000000-0005-0000-0000-000068470000}"/>
    <cellStyle name="Porcentagem 2 51" xfId="16262" xr:uid="{00000000-0005-0000-0000-000069470000}"/>
    <cellStyle name="Porcentagem 2 52" xfId="16263" xr:uid="{00000000-0005-0000-0000-00006A470000}"/>
    <cellStyle name="Porcentagem 2 53" xfId="16264" xr:uid="{00000000-0005-0000-0000-00006B470000}"/>
    <cellStyle name="Porcentagem 2 54" xfId="16265" xr:uid="{00000000-0005-0000-0000-00006C470000}"/>
    <cellStyle name="Porcentagem 2 55" xfId="16266" xr:uid="{00000000-0005-0000-0000-00006D470000}"/>
    <cellStyle name="Porcentagem 2 56" xfId="16267" xr:uid="{00000000-0005-0000-0000-00006E470000}"/>
    <cellStyle name="Porcentagem 2 57" xfId="16268" xr:uid="{00000000-0005-0000-0000-00006F470000}"/>
    <cellStyle name="Porcentagem 2 58" xfId="15928" xr:uid="{00000000-0005-0000-0000-000070470000}"/>
    <cellStyle name="Porcentagem 2 6" xfId="567" xr:uid="{00000000-0005-0000-0000-000071470000}"/>
    <cellStyle name="Porcentagem 2 6 10" xfId="16270" xr:uid="{00000000-0005-0000-0000-000072470000}"/>
    <cellStyle name="Porcentagem 2 6 11" xfId="16271" xr:uid="{00000000-0005-0000-0000-000073470000}"/>
    <cellStyle name="Porcentagem 2 6 12" xfId="16272" xr:uid="{00000000-0005-0000-0000-000074470000}"/>
    <cellStyle name="Porcentagem 2 6 13" xfId="16269" xr:uid="{00000000-0005-0000-0000-000075470000}"/>
    <cellStyle name="Porcentagem 2 6 2" xfId="16273" xr:uid="{00000000-0005-0000-0000-000076470000}"/>
    <cellStyle name="Porcentagem 2 6 3" xfId="16274" xr:uid="{00000000-0005-0000-0000-000077470000}"/>
    <cellStyle name="Porcentagem 2 6 4" xfId="16275" xr:uid="{00000000-0005-0000-0000-000078470000}"/>
    <cellStyle name="Porcentagem 2 6 5" xfId="16276" xr:uid="{00000000-0005-0000-0000-000079470000}"/>
    <cellStyle name="Porcentagem 2 6 6" xfId="16277" xr:uid="{00000000-0005-0000-0000-00007A470000}"/>
    <cellStyle name="Porcentagem 2 6 7" xfId="16278" xr:uid="{00000000-0005-0000-0000-00007B470000}"/>
    <cellStyle name="Porcentagem 2 6 8" xfId="16279" xr:uid="{00000000-0005-0000-0000-00007C470000}"/>
    <cellStyle name="Porcentagem 2 6 9" xfId="16280" xr:uid="{00000000-0005-0000-0000-00007D470000}"/>
    <cellStyle name="Porcentagem 2 7" xfId="568" xr:uid="{00000000-0005-0000-0000-00007E470000}"/>
    <cellStyle name="Porcentagem 2 7 2" xfId="16282" xr:uid="{00000000-0005-0000-0000-00007F470000}"/>
    <cellStyle name="Porcentagem 2 7 3" xfId="16283" xr:uid="{00000000-0005-0000-0000-000080470000}"/>
    <cellStyle name="Porcentagem 2 7 4" xfId="16284" xr:uid="{00000000-0005-0000-0000-000081470000}"/>
    <cellStyle name="Porcentagem 2 7 5" xfId="16281" xr:uid="{00000000-0005-0000-0000-000082470000}"/>
    <cellStyle name="Porcentagem 2 7 6" xfId="27149" xr:uid="{00000000-0005-0000-0000-000083470000}"/>
    <cellStyle name="Porcentagem 2 8" xfId="16285" xr:uid="{00000000-0005-0000-0000-000084470000}"/>
    <cellStyle name="Porcentagem 2 8 2" xfId="16286" xr:uid="{00000000-0005-0000-0000-000085470000}"/>
    <cellStyle name="Porcentagem 2 8 3" xfId="16287" xr:uid="{00000000-0005-0000-0000-000086470000}"/>
    <cellStyle name="Porcentagem 2 8 4" xfId="16288" xr:uid="{00000000-0005-0000-0000-000087470000}"/>
    <cellStyle name="Porcentagem 2 9" xfId="16289" xr:uid="{00000000-0005-0000-0000-000088470000}"/>
    <cellStyle name="Porcentagem 2 9 2" xfId="16290" xr:uid="{00000000-0005-0000-0000-000089470000}"/>
    <cellStyle name="Porcentagem 2 9 3" xfId="16291" xr:uid="{00000000-0005-0000-0000-00008A470000}"/>
    <cellStyle name="Porcentagem 2 9 4" xfId="16292" xr:uid="{00000000-0005-0000-0000-00008B470000}"/>
    <cellStyle name="Porcentagem 3" xfId="569" xr:uid="{00000000-0005-0000-0000-00008C470000}"/>
    <cellStyle name="Porcentagem 3 10" xfId="16293" xr:uid="{00000000-0005-0000-0000-00008D470000}"/>
    <cellStyle name="Porcentagem 3 11" xfId="16294" xr:uid="{00000000-0005-0000-0000-00008E470000}"/>
    <cellStyle name="Porcentagem 3 12" xfId="16295" xr:uid="{00000000-0005-0000-0000-00008F470000}"/>
    <cellStyle name="Porcentagem 3 13" xfId="16296" xr:uid="{00000000-0005-0000-0000-000090470000}"/>
    <cellStyle name="Porcentagem 3 14" xfId="16297" xr:uid="{00000000-0005-0000-0000-000091470000}"/>
    <cellStyle name="Porcentagem 3 15" xfId="16298" xr:uid="{00000000-0005-0000-0000-000092470000}"/>
    <cellStyle name="Porcentagem 3 16" xfId="16299" xr:uid="{00000000-0005-0000-0000-000093470000}"/>
    <cellStyle name="Porcentagem 3 2" xfId="570" xr:uid="{00000000-0005-0000-0000-000094470000}"/>
    <cellStyle name="Porcentagem 3 2 2" xfId="571" xr:uid="{00000000-0005-0000-0000-000095470000}"/>
    <cellStyle name="Porcentagem 3 2 2 2" xfId="16301" xr:uid="{00000000-0005-0000-0000-000096470000}"/>
    <cellStyle name="Porcentagem 3 2 3" xfId="16302" xr:uid="{00000000-0005-0000-0000-000097470000}"/>
    <cellStyle name="Porcentagem 3 2 4" xfId="16303" xr:uid="{00000000-0005-0000-0000-000098470000}"/>
    <cellStyle name="Porcentagem 3 2 5" xfId="16304" xr:uid="{00000000-0005-0000-0000-000099470000}"/>
    <cellStyle name="Porcentagem 3 2 6" xfId="16305" xr:uid="{00000000-0005-0000-0000-00009A470000}"/>
    <cellStyle name="Porcentagem 3 2 7" xfId="16300" xr:uid="{00000000-0005-0000-0000-00009B470000}"/>
    <cellStyle name="Porcentagem 3 3" xfId="572" xr:uid="{00000000-0005-0000-0000-00009C470000}"/>
    <cellStyle name="Porcentagem 3 3 2" xfId="16307" xr:uid="{00000000-0005-0000-0000-00009D470000}"/>
    <cellStyle name="Porcentagem 3 3 3" xfId="16308" xr:uid="{00000000-0005-0000-0000-00009E470000}"/>
    <cellStyle name="Porcentagem 3 3 4" xfId="16306" xr:uid="{00000000-0005-0000-0000-00009F470000}"/>
    <cellStyle name="Porcentagem 3 4" xfId="573" xr:uid="{00000000-0005-0000-0000-0000A0470000}"/>
    <cellStyle name="Porcentagem 3 5" xfId="574" xr:uid="{00000000-0005-0000-0000-0000A1470000}"/>
    <cellStyle name="Porcentagem 3 5 2" xfId="16309" xr:uid="{00000000-0005-0000-0000-0000A2470000}"/>
    <cellStyle name="Porcentagem 3 6" xfId="575" xr:uid="{00000000-0005-0000-0000-0000A3470000}"/>
    <cellStyle name="Porcentagem 3 6 2" xfId="16310" xr:uid="{00000000-0005-0000-0000-0000A4470000}"/>
    <cellStyle name="Porcentagem 3 7" xfId="16311" xr:uid="{00000000-0005-0000-0000-0000A5470000}"/>
    <cellStyle name="Porcentagem 3 8" xfId="16312" xr:uid="{00000000-0005-0000-0000-0000A6470000}"/>
    <cellStyle name="Porcentagem 3 9" xfId="16313" xr:uid="{00000000-0005-0000-0000-0000A7470000}"/>
    <cellStyle name="Porcentagem 30" xfId="16314" xr:uid="{00000000-0005-0000-0000-0000A8470000}"/>
    <cellStyle name="Porcentagem 30 2" xfId="16315" xr:uid="{00000000-0005-0000-0000-0000A9470000}"/>
    <cellStyle name="Porcentagem 31" xfId="16316" xr:uid="{00000000-0005-0000-0000-0000AA470000}"/>
    <cellStyle name="Porcentagem 31 2" xfId="16317" xr:uid="{00000000-0005-0000-0000-0000AB470000}"/>
    <cellStyle name="Porcentagem 4" xfId="576" xr:uid="{00000000-0005-0000-0000-0000AC470000}"/>
    <cellStyle name="Porcentagem 4 10" xfId="16318" xr:uid="{00000000-0005-0000-0000-0000AD470000}"/>
    <cellStyle name="Porcentagem 4 11" xfId="16319" xr:uid="{00000000-0005-0000-0000-0000AE470000}"/>
    <cellStyle name="Porcentagem 4 12" xfId="16320" xr:uid="{00000000-0005-0000-0000-0000AF470000}"/>
    <cellStyle name="Porcentagem 4 13" xfId="16321" xr:uid="{00000000-0005-0000-0000-0000B0470000}"/>
    <cellStyle name="Porcentagem 4 14" xfId="16322" xr:uid="{00000000-0005-0000-0000-0000B1470000}"/>
    <cellStyle name="Porcentagem 4 15" xfId="16323" xr:uid="{00000000-0005-0000-0000-0000B2470000}"/>
    <cellStyle name="Porcentagem 4 16" xfId="16324" xr:uid="{00000000-0005-0000-0000-0000B3470000}"/>
    <cellStyle name="Porcentagem 4 17" xfId="16325" xr:uid="{00000000-0005-0000-0000-0000B4470000}"/>
    <cellStyle name="Porcentagem 4 18" xfId="16326" xr:uid="{00000000-0005-0000-0000-0000B5470000}"/>
    <cellStyle name="Porcentagem 4 19" xfId="16327" xr:uid="{00000000-0005-0000-0000-0000B6470000}"/>
    <cellStyle name="Porcentagem 4 2" xfId="577" xr:uid="{00000000-0005-0000-0000-0000B7470000}"/>
    <cellStyle name="Porcentagem 4 2 10" xfId="16329" xr:uid="{00000000-0005-0000-0000-0000B8470000}"/>
    <cellStyle name="Porcentagem 4 2 11" xfId="16330" xr:uid="{00000000-0005-0000-0000-0000B9470000}"/>
    <cellStyle name="Porcentagem 4 2 12" xfId="16331" xr:uid="{00000000-0005-0000-0000-0000BA470000}"/>
    <cellStyle name="Porcentagem 4 2 13" xfId="16332" xr:uid="{00000000-0005-0000-0000-0000BB470000}"/>
    <cellStyle name="Porcentagem 4 2 14" xfId="16333" xr:uid="{00000000-0005-0000-0000-0000BC470000}"/>
    <cellStyle name="Porcentagem 4 2 15" xfId="16328" xr:uid="{00000000-0005-0000-0000-0000BD470000}"/>
    <cellStyle name="Porcentagem 4 2 2" xfId="578" xr:uid="{00000000-0005-0000-0000-0000BE470000}"/>
    <cellStyle name="Porcentagem 4 2 2 10" xfId="16334" xr:uid="{00000000-0005-0000-0000-0000BF470000}"/>
    <cellStyle name="Porcentagem 4 2 2 2" xfId="579" xr:uid="{00000000-0005-0000-0000-0000C0470000}"/>
    <cellStyle name="Porcentagem 4 2 2 2 2" xfId="580" xr:uid="{00000000-0005-0000-0000-0000C1470000}"/>
    <cellStyle name="Porcentagem 4 2 2 3" xfId="581" xr:uid="{00000000-0005-0000-0000-0000C2470000}"/>
    <cellStyle name="Porcentagem 4 2 2 4" xfId="16335" xr:uid="{00000000-0005-0000-0000-0000C3470000}"/>
    <cellStyle name="Porcentagem 4 2 2 5" xfId="16336" xr:uid="{00000000-0005-0000-0000-0000C4470000}"/>
    <cellStyle name="Porcentagem 4 2 2 6" xfId="16337" xr:uid="{00000000-0005-0000-0000-0000C5470000}"/>
    <cellStyle name="Porcentagem 4 2 2 7" xfId="16338" xr:uid="{00000000-0005-0000-0000-0000C6470000}"/>
    <cellStyle name="Porcentagem 4 2 2 8" xfId="16339" xr:uid="{00000000-0005-0000-0000-0000C7470000}"/>
    <cellStyle name="Porcentagem 4 2 2 9" xfId="16340" xr:uid="{00000000-0005-0000-0000-0000C8470000}"/>
    <cellStyle name="Porcentagem 4 2 3" xfId="582" xr:uid="{00000000-0005-0000-0000-0000C9470000}"/>
    <cellStyle name="Porcentagem 4 2 3 10" xfId="16341" xr:uid="{00000000-0005-0000-0000-0000CA470000}"/>
    <cellStyle name="Porcentagem 4 2 3 2" xfId="583" xr:uid="{00000000-0005-0000-0000-0000CB470000}"/>
    <cellStyle name="Porcentagem 4 2 3 3" xfId="16342" xr:uid="{00000000-0005-0000-0000-0000CC470000}"/>
    <cellStyle name="Porcentagem 4 2 3 4" xfId="16343" xr:uid="{00000000-0005-0000-0000-0000CD470000}"/>
    <cellStyle name="Porcentagem 4 2 3 5" xfId="16344" xr:uid="{00000000-0005-0000-0000-0000CE470000}"/>
    <cellStyle name="Porcentagem 4 2 3 6" xfId="16345" xr:uid="{00000000-0005-0000-0000-0000CF470000}"/>
    <cellStyle name="Porcentagem 4 2 3 7" xfId="16346" xr:uid="{00000000-0005-0000-0000-0000D0470000}"/>
    <cellStyle name="Porcentagem 4 2 3 8" xfId="16347" xr:uid="{00000000-0005-0000-0000-0000D1470000}"/>
    <cellStyle name="Porcentagem 4 2 3 9" xfId="16348" xr:uid="{00000000-0005-0000-0000-0000D2470000}"/>
    <cellStyle name="Porcentagem 4 2 4" xfId="584" xr:uid="{00000000-0005-0000-0000-0000D3470000}"/>
    <cellStyle name="Porcentagem 4 2 5" xfId="16349" xr:uid="{00000000-0005-0000-0000-0000D4470000}"/>
    <cellStyle name="Porcentagem 4 2 6" xfId="16350" xr:uid="{00000000-0005-0000-0000-0000D5470000}"/>
    <cellStyle name="Porcentagem 4 2 7" xfId="16351" xr:uid="{00000000-0005-0000-0000-0000D6470000}"/>
    <cellStyle name="Porcentagem 4 2 8" xfId="16352" xr:uid="{00000000-0005-0000-0000-0000D7470000}"/>
    <cellStyle name="Porcentagem 4 2 9" xfId="16353" xr:uid="{00000000-0005-0000-0000-0000D8470000}"/>
    <cellStyle name="Porcentagem 4 20" xfId="16354" xr:uid="{00000000-0005-0000-0000-0000D9470000}"/>
    <cellStyle name="Porcentagem 4 21" xfId="16355" xr:uid="{00000000-0005-0000-0000-0000DA470000}"/>
    <cellStyle name="Porcentagem 4 22" xfId="16356" xr:uid="{00000000-0005-0000-0000-0000DB470000}"/>
    <cellStyle name="Porcentagem 4 23" xfId="16357" xr:uid="{00000000-0005-0000-0000-0000DC470000}"/>
    <cellStyle name="Porcentagem 4 24" xfId="16358" xr:uid="{00000000-0005-0000-0000-0000DD470000}"/>
    <cellStyle name="Porcentagem 4 25" xfId="16359" xr:uid="{00000000-0005-0000-0000-0000DE470000}"/>
    <cellStyle name="Porcentagem 4 26" xfId="16360" xr:uid="{00000000-0005-0000-0000-0000DF470000}"/>
    <cellStyle name="Porcentagem 4 27" xfId="16361" xr:uid="{00000000-0005-0000-0000-0000E0470000}"/>
    <cellStyle name="Porcentagem 4 28" xfId="16362" xr:uid="{00000000-0005-0000-0000-0000E1470000}"/>
    <cellStyle name="Porcentagem 4 29" xfId="16363" xr:uid="{00000000-0005-0000-0000-0000E2470000}"/>
    <cellStyle name="Porcentagem 4 3" xfId="585" xr:uid="{00000000-0005-0000-0000-0000E3470000}"/>
    <cellStyle name="Porcentagem 4 3 10" xfId="16365" xr:uid="{00000000-0005-0000-0000-0000E4470000}"/>
    <cellStyle name="Porcentagem 4 3 11" xfId="16366" xr:uid="{00000000-0005-0000-0000-0000E5470000}"/>
    <cellStyle name="Porcentagem 4 3 12" xfId="16364" xr:uid="{00000000-0005-0000-0000-0000E6470000}"/>
    <cellStyle name="Porcentagem 4 3 2" xfId="16367" xr:uid="{00000000-0005-0000-0000-0000E7470000}"/>
    <cellStyle name="Porcentagem 4 3 3" xfId="16368" xr:uid="{00000000-0005-0000-0000-0000E8470000}"/>
    <cellStyle name="Porcentagem 4 3 4" xfId="16369" xr:uid="{00000000-0005-0000-0000-0000E9470000}"/>
    <cellStyle name="Porcentagem 4 3 5" xfId="16370" xr:uid="{00000000-0005-0000-0000-0000EA470000}"/>
    <cellStyle name="Porcentagem 4 3 6" xfId="16371" xr:uid="{00000000-0005-0000-0000-0000EB470000}"/>
    <cellStyle name="Porcentagem 4 3 7" xfId="16372" xr:uid="{00000000-0005-0000-0000-0000EC470000}"/>
    <cellStyle name="Porcentagem 4 3 8" xfId="16373" xr:uid="{00000000-0005-0000-0000-0000ED470000}"/>
    <cellStyle name="Porcentagem 4 3 9" xfId="16374" xr:uid="{00000000-0005-0000-0000-0000EE470000}"/>
    <cellStyle name="Porcentagem 4 30" xfId="16375" xr:uid="{00000000-0005-0000-0000-0000EF470000}"/>
    <cellStyle name="Porcentagem 4 31" xfId="16376" xr:uid="{00000000-0005-0000-0000-0000F0470000}"/>
    <cellStyle name="Porcentagem 4 32" xfId="16377" xr:uid="{00000000-0005-0000-0000-0000F1470000}"/>
    <cellStyle name="Porcentagem 4 33" xfId="16378" xr:uid="{00000000-0005-0000-0000-0000F2470000}"/>
    <cellStyle name="Porcentagem 4 34" xfId="16379" xr:uid="{00000000-0005-0000-0000-0000F3470000}"/>
    <cellStyle name="Porcentagem 4 35" xfId="16380" xr:uid="{00000000-0005-0000-0000-0000F4470000}"/>
    <cellStyle name="Porcentagem 4 36" xfId="16381" xr:uid="{00000000-0005-0000-0000-0000F5470000}"/>
    <cellStyle name="Porcentagem 4 37" xfId="16382" xr:uid="{00000000-0005-0000-0000-0000F6470000}"/>
    <cellStyle name="Porcentagem 4 38" xfId="16383" xr:uid="{00000000-0005-0000-0000-0000F7470000}"/>
    <cellStyle name="Porcentagem 4 39" xfId="16384" xr:uid="{00000000-0005-0000-0000-0000F8470000}"/>
    <cellStyle name="Porcentagem 4 4" xfId="586" xr:uid="{00000000-0005-0000-0000-0000F9470000}"/>
    <cellStyle name="Porcentagem 4 4 10" xfId="16385" xr:uid="{00000000-0005-0000-0000-0000FA470000}"/>
    <cellStyle name="Porcentagem 4 4 2" xfId="587" xr:uid="{00000000-0005-0000-0000-0000FB470000}"/>
    <cellStyle name="Porcentagem 4 4 2 2" xfId="588" xr:uid="{00000000-0005-0000-0000-0000FC470000}"/>
    <cellStyle name="Porcentagem 4 4 3" xfId="589" xr:uid="{00000000-0005-0000-0000-0000FD470000}"/>
    <cellStyle name="Porcentagem 4 4 4" xfId="16386" xr:uid="{00000000-0005-0000-0000-0000FE470000}"/>
    <cellStyle name="Porcentagem 4 4 5" xfId="16387" xr:uid="{00000000-0005-0000-0000-0000FF470000}"/>
    <cellStyle name="Porcentagem 4 4 6" xfId="16388" xr:uid="{00000000-0005-0000-0000-000000480000}"/>
    <cellStyle name="Porcentagem 4 4 7" xfId="16389" xr:uid="{00000000-0005-0000-0000-000001480000}"/>
    <cellStyle name="Porcentagem 4 4 8" xfId="16390" xr:uid="{00000000-0005-0000-0000-000002480000}"/>
    <cellStyle name="Porcentagem 4 4 9" xfId="16391" xr:uid="{00000000-0005-0000-0000-000003480000}"/>
    <cellStyle name="Porcentagem 4 40" xfId="16392" xr:uid="{00000000-0005-0000-0000-000004480000}"/>
    <cellStyle name="Porcentagem 4 41" xfId="16393" xr:uid="{00000000-0005-0000-0000-000005480000}"/>
    <cellStyle name="Porcentagem 4 42" xfId="16394" xr:uid="{00000000-0005-0000-0000-000006480000}"/>
    <cellStyle name="Porcentagem 4 43" xfId="16395" xr:uid="{00000000-0005-0000-0000-000007480000}"/>
    <cellStyle name="Porcentagem 4 44" xfId="16396" xr:uid="{00000000-0005-0000-0000-000008480000}"/>
    <cellStyle name="Porcentagem 4 45" xfId="16397" xr:uid="{00000000-0005-0000-0000-000009480000}"/>
    <cellStyle name="Porcentagem 4 46" xfId="16398" xr:uid="{00000000-0005-0000-0000-00000A480000}"/>
    <cellStyle name="Porcentagem 4 47" xfId="16399" xr:uid="{00000000-0005-0000-0000-00000B480000}"/>
    <cellStyle name="Porcentagem 4 48" xfId="16400" xr:uid="{00000000-0005-0000-0000-00000C480000}"/>
    <cellStyle name="Porcentagem 4 49" xfId="16401" xr:uid="{00000000-0005-0000-0000-00000D480000}"/>
    <cellStyle name="Porcentagem 4 5" xfId="590" xr:uid="{00000000-0005-0000-0000-00000E480000}"/>
    <cellStyle name="Porcentagem 4 5 2" xfId="591" xr:uid="{00000000-0005-0000-0000-00000F480000}"/>
    <cellStyle name="Porcentagem 4 5 3" xfId="16402" xr:uid="{00000000-0005-0000-0000-000010480000}"/>
    <cellStyle name="Porcentagem 4 5 4" xfId="16403" xr:uid="{00000000-0005-0000-0000-000011480000}"/>
    <cellStyle name="Porcentagem 4 50" xfId="16404" xr:uid="{00000000-0005-0000-0000-000012480000}"/>
    <cellStyle name="Porcentagem 4 51" xfId="16405" xr:uid="{00000000-0005-0000-0000-000013480000}"/>
    <cellStyle name="Porcentagem 4 52" xfId="16406" xr:uid="{00000000-0005-0000-0000-000014480000}"/>
    <cellStyle name="Porcentagem 4 53" xfId="16407" xr:uid="{00000000-0005-0000-0000-000015480000}"/>
    <cellStyle name="Porcentagem 4 54" xfId="16408" xr:uid="{00000000-0005-0000-0000-000016480000}"/>
    <cellStyle name="Porcentagem 4 6" xfId="592" xr:uid="{00000000-0005-0000-0000-000017480000}"/>
    <cellStyle name="Porcentagem 4 6 2" xfId="16410" xr:uid="{00000000-0005-0000-0000-000018480000}"/>
    <cellStyle name="Porcentagem 4 6 3" xfId="16411" xr:uid="{00000000-0005-0000-0000-000019480000}"/>
    <cellStyle name="Porcentagem 4 6 4" xfId="16412" xr:uid="{00000000-0005-0000-0000-00001A480000}"/>
    <cellStyle name="Porcentagem 4 6 5" xfId="16409" xr:uid="{00000000-0005-0000-0000-00001B480000}"/>
    <cellStyle name="Porcentagem 4 7" xfId="593" xr:uid="{00000000-0005-0000-0000-00001C480000}"/>
    <cellStyle name="Porcentagem 4 7 2" xfId="16413" xr:uid="{00000000-0005-0000-0000-00001D480000}"/>
    <cellStyle name="Porcentagem 4 7 3" xfId="16414" xr:uid="{00000000-0005-0000-0000-00001E480000}"/>
    <cellStyle name="Porcentagem 4 7 4" xfId="16415" xr:uid="{00000000-0005-0000-0000-00001F480000}"/>
    <cellStyle name="Porcentagem 4 8" xfId="16416" xr:uid="{00000000-0005-0000-0000-000020480000}"/>
    <cellStyle name="Porcentagem 4 8 2" xfId="16417" xr:uid="{00000000-0005-0000-0000-000021480000}"/>
    <cellStyle name="Porcentagem 4 8 3" xfId="16418" xr:uid="{00000000-0005-0000-0000-000022480000}"/>
    <cellStyle name="Porcentagem 4 8 4" xfId="16419" xr:uid="{00000000-0005-0000-0000-000023480000}"/>
    <cellStyle name="Porcentagem 4 9" xfId="16420" xr:uid="{00000000-0005-0000-0000-000024480000}"/>
    <cellStyle name="Porcentagem 4 9 2" xfId="16421" xr:uid="{00000000-0005-0000-0000-000025480000}"/>
    <cellStyle name="Porcentagem 4 9 3" xfId="16422" xr:uid="{00000000-0005-0000-0000-000026480000}"/>
    <cellStyle name="Porcentagem 4 9 4" xfId="16423" xr:uid="{00000000-0005-0000-0000-000027480000}"/>
    <cellStyle name="Porcentagem 45" xfId="16424" xr:uid="{00000000-0005-0000-0000-000028480000}"/>
    <cellStyle name="Porcentagem 45 2" xfId="16425" xr:uid="{00000000-0005-0000-0000-000029480000}"/>
    <cellStyle name="Porcentagem 5" xfId="594" xr:uid="{00000000-0005-0000-0000-00002A480000}"/>
    <cellStyle name="Porcentagem 5 10" xfId="16426" xr:uid="{00000000-0005-0000-0000-00002B480000}"/>
    <cellStyle name="Porcentagem 5 10 10" xfId="16427" xr:uid="{00000000-0005-0000-0000-00002C480000}"/>
    <cellStyle name="Porcentagem 5 10 11" xfId="16428" xr:uid="{00000000-0005-0000-0000-00002D480000}"/>
    <cellStyle name="Porcentagem 5 10 12" xfId="16429" xr:uid="{00000000-0005-0000-0000-00002E480000}"/>
    <cellStyle name="Porcentagem 5 10 13" xfId="16430" xr:uid="{00000000-0005-0000-0000-00002F480000}"/>
    <cellStyle name="Porcentagem 5 10 14" xfId="16431" xr:uid="{00000000-0005-0000-0000-000030480000}"/>
    <cellStyle name="Porcentagem 5 10 15" xfId="16432" xr:uid="{00000000-0005-0000-0000-000031480000}"/>
    <cellStyle name="Porcentagem 5 10 16" xfId="16433" xr:uid="{00000000-0005-0000-0000-000032480000}"/>
    <cellStyle name="Porcentagem 5 10 17" xfId="16434" xr:uid="{00000000-0005-0000-0000-000033480000}"/>
    <cellStyle name="Porcentagem 5 10 18" xfId="16435" xr:uid="{00000000-0005-0000-0000-000034480000}"/>
    <cellStyle name="Porcentagem 5 10 19" xfId="16436" xr:uid="{00000000-0005-0000-0000-000035480000}"/>
    <cellStyle name="Porcentagem 5 10 2" xfId="16437" xr:uid="{00000000-0005-0000-0000-000036480000}"/>
    <cellStyle name="Porcentagem 5 10 2 10" xfId="16438" xr:uid="{00000000-0005-0000-0000-000037480000}"/>
    <cellStyle name="Porcentagem 5 10 2 10 2" xfId="16439" xr:uid="{00000000-0005-0000-0000-000038480000}"/>
    <cellStyle name="Porcentagem 5 10 2 10 3" xfId="16440" xr:uid="{00000000-0005-0000-0000-000039480000}"/>
    <cellStyle name="Porcentagem 5 10 2 10 4" xfId="16441" xr:uid="{00000000-0005-0000-0000-00003A480000}"/>
    <cellStyle name="Porcentagem 5 10 2 11" xfId="16442" xr:uid="{00000000-0005-0000-0000-00003B480000}"/>
    <cellStyle name="Porcentagem 5 10 2 11 2" xfId="16443" xr:uid="{00000000-0005-0000-0000-00003C480000}"/>
    <cellStyle name="Porcentagem 5 10 2 11 3" xfId="16444" xr:uid="{00000000-0005-0000-0000-00003D480000}"/>
    <cellStyle name="Porcentagem 5 10 2 11 4" xfId="16445" xr:uid="{00000000-0005-0000-0000-00003E480000}"/>
    <cellStyle name="Porcentagem 5 10 2 12" xfId="16446" xr:uid="{00000000-0005-0000-0000-00003F480000}"/>
    <cellStyle name="Porcentagem 5 10 2 12 2" xfId="16447" xr:uid="{00000000-0005-0000-0000-000040480000}"/>
    <cellStyle name="Porcentagem 5 10 2 12 3" xfId="16448" xr:uid="{00000000-0005-0000-0000-000041480000}"/>
    <cellStyle name="Porcentagem 5 10 2 12 4" xfId="16449" xr:uid="{00000000-0005-0000-0000-000042480000}"/>
    <cellStyle name="Porcentagem 5 10 2 13" xfId="16450" xr:uid="{00000000-0005-0000-0000-000043480000}"/>
    <cellStyle name="Porcentagem 5 10 2 13 2" xfId="16451" xr:uid="{00000000-0005-0000-0000-000044480000}"/>
    <cellStyle name="Porcentagem 5 10 2 13 3" xfId="16452" xr:uid="{00000000-0005-0000-0000-000045480000}"/>
    <cellStyle name="Porcentagem 5 10 2 13 4" xfId="16453" xr:uid="{00000000-0005-0000-0000-000046480000}"/>
    <cellStyle name="Porcentagem 5 10 2 14" xfId="16454" xr:uid="{00000000-0005-0000-0000-000047480000}"/>
    <cellStyle name="Porcentagem 5 10 2 14 2" xfId="16455" xr:uid="{00000000-0005-0000-0000-000048480000}"/>
    <cellStyle name="Porcentagem 5 10 2 14 3" xfId="16456" xr:uid="{00000000-0005-0000-0000-000049480000}"/>
    <cellStyle name="Porcentagem 5 10 2 14 4" xfId="16457" xr:uid="{00000000-0005-0000-0000-00004A480000}"/>
    <cellStyle name="Porcentagem 5 10 2 15" xfId="16458" xr:uid="{00000000-0005-0000-0000-00004B480000}"/>
    <cellStyle name="Porcentagem 5 10 2 15 2" xfId="16459" xr:uid="{00000000-0005-0000-0000-00004C480000}"/>
    <cellStyle name="Porcentagem 5 10 2 15 3" xfId="16460" xr:uid="{00000000-0005-0000-0000-00004D480000}"/>
    <cellStyle name="Porcentagem 5 10 2 15 4" xfId="16461" xr:uid="{00000000-0005-0000-0000-00004E480000}"/>
    <cellStyle name="Porcentagem 5 10 2 16" xfId="16462" xr:uid="{00000000-0005-0000-0000-00004F480000}"/>
    <cellStyle name="Porcentagem 5 10 2 17" xfId="16463" xr:uid="{00000000-0005-0000-0000-000050480000}"/>
    <cellStyle name="Porcentagem 5 10 2 18" xfId="16464" xr:uid="{00000000-0005-0000-0000-000051480000}"/>
    <cellStyle name="Porcentagem 5 10 2 19" xfId="16465" xr:uid="{00000000-0005-0000-0000-000052480000}"/>
    <cellStyle name="Porcentagem 5 10 2 2" xfId="16466" xr:uid="{00000000-0005-0000-0000-000053480000}"/>
    <cellStyle name="Porcentagem 5 10 2 2 2" xfId="16467" xr:uid="{00000000-0005-0000-0000-000054480000}"/>
    <cellStyle name="Porcentagem 5 10 2 2 3" xfId="16468" xr:uid="{00000000-0005-0000-0000-000055480000}"/>
    <cellStyle name="Porcentagem 5 10 2 2 4" xfId="16469" xr:uid="{00000000-0005-0000-0000-000056480000}"/>
    <cellStyle name="Porcentagem 5 10 2 20" xfId="16470" xr:uid="{00000000-0005-0000-0000-000057480000}"/>
    <cellStyle name="Porcentagem 5 10 2 21" xfId="16471" xr:uid="{00000000-0005-0000-0000-000058480000}"/>
    <cellStyle name="Porcentagem 5 10 2 3" xfId="16472" xr:uid="{00000000-0005-0000-0000-000059480000}"/>
    <cellStyle name="Porcentagem 5 10 2 3 2" xfId="16473" xr:uid="{00000000-0005-0000-0000-00005A480000}"/>
    <cellStyle name="Porcentagem 5 10 2 3 3" xfId="16474" xr:uid="{00000000-0005-0000-0000-00005B480000}"/>
    <cellStyle name="Porcentagem 5 10 2 3 4" xfId="16475" xr:uid="{00000000-0005-0000-0000-00005C480000}"/>
    <cellStyle name="Porcentagem 5 10 2 4" xfId="16476" xr:uid="{00000000-0005-0000-0000-00005D480000}"/>
    <cellStyle name="Porcentagem 5 10 2 4 2" xfId="16477" xr:uid="{00000000-0005-0000-0000-00005E480000}"/>
    <cellStyle name="Porcentagem 5 10 2 4 3" xfId="16478" xr:uid="{00000000-0005-0000-0000-00005F480000}"/>
    <cellStyle name="Porcentagem 5 10 2 4 4" xfId="16479" xr:uid="{00000000-0005-0000-0000-000060480000}"/>
    <cellStyle name="Porcentagem 5 10 2 5" xfId="16480" xr:uid="{00000000-0005-0000-0000-000061480000}"/>
    <cellStyle name="Porcentagem 5 10 2 5 2" xfId="16481" xr:uid="{00000000-0005-0000-0000-000062480000}"/>
    <cellStyle name="Porcentagem 5 10 2 5 3" xfId="16482" xr:uid="{00000000-0005-0000-0000-000063480000}"/>
    <cellStyle name="Porcentagem 5 10 2 5 4" xfId="16483" xr:uid="{00000000-0005-0000-0000-000064480000}"/>
    <cellStyle name="Porcentagem 5 10 2 6" xfId="16484" xr:uid="{00000000-0005-0000-0000-000065480000}"/>
    <cellStyle name="Porcentagem 5 10 2 6 2" xfId="16485" xr:uid="{00000000-0005-0000-0000-000066480000}"/>
    <cellStyle name="Porcentagem 5 10 2 6 3" xfId="16486" xr:uid="{00000000-0005-0000-0000-000067480000}"/>
    <cellStyle name="Porcentagem 5 10 2 6 4" xfId="16487" xr:uid="{00000000-0005-0000-0000-000068480000}"/>
    <cellStyle name="Porcentagem 5 10 2 7" xfId="16488" xr:uid="{00000000-0005-0000-0000-000069480000}"/>
    <cellStyle name="Porcentagem 5 10 2 7 2" xfId="16489" xr:uid="{00000000-0005-0000-0000-00006A480000}"/>
    <cellStyle name="Porcentagem 5 10 2 7 3" xfId="16490" xr:uid="{00000000-0005-0000-0000-00006B480000}"/>
    <cellStyle name="Porcentagem 5 10 2 7 4" xfId="16491" xr:uid="{00000000-0005-0000-0000-00006C480000}"/>
    <cellStyle name="Porcentagem 5 10 2 8" xfId="16492" xr:uid="{00000000-0005-0000-0000-00006D480000}"/>
    <cellStyle name="Porcentagem 5 10 2 8 2" xfId="16493" xr:uid="{00000000-0005-0000-0000-00006E480000}"/>
    <cellStyle name="Porcentagem 5 10 2 8 3" xfId="16494" xr:uid="{00000000-0005-0000-0000-00006F480000}"/>
    <cellStyle name="Porcentagem 5 10 2 8 4" xfId="16495" xr:uid="{00000000-0005-0000-0000-000070480000}"/>
    <cellStyle name="Porcentagem 5 10 2 9" xfId="16496" xr:uid="{00000000-0005-0000-0000-000071480000}"/>
    <cellStyle name="Porcentagem 5 10 2 9 2" xfId="16497" xr:uid="{00000000-0005-0000-0000-000072480000}"/>
    <cellStyle name="Porcentagem 5 10 2 9 3" xfId="16498" xr:uid="{00000000-0005-0000-0000-000073480000}"/>
    <cellStyle name="Porcentagem 5 10 2 9 4" xfId="16499" xr:uid="{00000000-0005-0000-0000-000074480000}"/>
    <cellStyle name="Porcentagem 5 10 20" xfId="16500" xr:uid="{00000000-0005-0000-0000-000075480000}"/>
    <cellStyle name="Porcentagem 5 10 21" xfId="16501" xr:uid="{00000000-0005-0000-0000-000076480000}"/>
    <cellStyle name="Porcentagem 5 10 22" xfId="16502" xr:uid="{00000000-0005-0000-0000-000077480000}"/>
    <cellStyle name="Porcentagem 5 10 23" xfId="16503" xr:uid="{00000000-0005-0000-0000-000078480000}"/>
    <cellStyle name="Porcentagem 5 10 24" xfId="16504" xr:uid="{00000000-0005-0000-0000-000079480000}"/>
    <cellStyle name="Porcentagem 5 10 25" xfId="16505" xr:uid="{00000000-0005-0000-0000-00007A480000}"/>
    <cellStyle name="Porcentagem 5 10 26" xfId="16506" xr:uid="{00000000-0005-0000-0000-00007B480000}"/>
    <cellStyle name="Porcentagem 5 10 26 2" xfId="16507" xr:uid="{00000000-0005-0000-0000-00007C480000}"/>
    <cellStyle name="Porcentagem 5 10 26 3" xfId="16508" xr:uid="{00000000-0005-0000-0000-00007D480000}"/>
    <cellStyle name="Porcentagem 5 10 26 4" xfId="16509" xr:uid="{00000000-0005-0000-0000-00007E480000}"/>
    <cellStyle name="Porcentagem 5 10 27" xfId="16510" xr:uid="{00000000-0005-0000-0000-00007F480000}"/>
    <cellStyle name="Porcentagem 5 10 28" xfId="16511" xr:uid="{00000000-0005-0000-0000-000080480000}"/>
    <cellStyle name="Porcentagem 5 10 29" xfId="16512" xr:uid="{00000000-0005-0000-0000-000081480000}"/>
    <cellStyle name="Porcentagem 5 10 3" xfId="16513" xr:uid="{00000000-0005-0000-0000-000082480000}"/>
    <cellStyle name="Porcentagem 5 10 3 2" xfId="16514" xr:uid="{00000000-0005-0000-0000-000083480000}"/>
    <cellStyle name="Porcentagem 5 10 3 3" xfId="16515" xr:uid="{00000000-0005-0000-0000-000084480000}"/>
    <cellStyle name="Porcentagem 5 10 3 4" xfId="16516" xr:uid="{00000000-0005-0000-0000-000085480000}"/>
    <cellStyle name="Porcentagem 5 10 30" xfId="16517" xr:uid="{00000000-0005-0000-0000-000086480000}"/>
    <cellStyle name="Porcentagem 5 10 31" xfId="16518" xr:uid="{00000000-0005-0000-0000-000087480000}"/>
    <cellStyle name="Porcentagem 5 10 32" xfId="16519" xr:uid="{00000000-0005-0000-0000-000088480000}"/>
    <cellStyle name="Porcentagem 5 10 33" xfId="16520" xr:uid="{00000000-0005-0000-0000-000089480000}"/>
    <cellStyle name="Porcentagem 5 10 34" xfId="16521" xr:uid="{00000000-0005-0000-0000-00008A480000}"/>
    <cellStyle name="Porcentagem 5 10 35" xfId="16522" xr:uid="{00000000-0005-0000-0000-00008B480000}"/>
    <cellStyle name="Porcentagem 5 10 36" xfId="16523" xr:uid="{00000000-0005-0000-0000-00008C480000}"/>
    <cellStyle name="Porcentagem 5 10 4" xfId="16524" xr:uid="{00000000-0005-0000-0000-00008D480000}"/>
    <cellStyle name="Porcentagem 5 10 4 2" xfId="16525" xr:uid="{00000000-0005-0000-0000-00008E480000}"/>
    <cellStyle name="Porcentagem 5 10 4 3" xfId="16526" xr:uid="{00000000-0005-0000-0000-00008F480000}"/>
    <cellStyle name="Porcentagem 5 10 4 4" xfId="16527" xr:uid="{00000000-0005-0000-0000-000090480000}"/>
    <cellStyle name="Porcentagem 5 10 5" xfId="16528" xr:uid="{00000000-0005-0000-0000-000091480000}"/>
    <cellStyle name="Porcentagem 5 10 6" xfId="16529" xr:uid="{00000000-0005-0000-0000-000092480000}"/>
    <cellStyle name="Porcentagem 5 10 7" xfId="16530" xr:uid="{00000000-0005-0000-0000-000093480000}"/>
    <cellStyle name="Porcentagem 5 10 8" xfId="16531" xr:uid="{00000000-0005-0000-0000-000094480000}"/>
    <cellStyle name="Porcentagem 5 10 9" xfId="16532" xr:uid="{00000000-0005-0000-0000-000095480000}"/>
    <cellStyle name="Porcentagem 5 11" xfId="16533" xr:uid="{00000000-0005-0000-0000-000096480000}"/>
    <cellStyle name="Porcentagem 5 12" xfId="16534" xr:uid="{00000000-0005-0000-0000-000097480000}"/>
    <cellStyle name="Porcentagem 5 13" xfId="16535" xr:uid="{00000000-0005-0000-0000-000098480000}"/>
    <cellStyle name="Porcentagem 5 14" xfId="16536" xr:uid="{00000000-0005-0000-0000-000099480000}"/>
    <cellStyle name="Porcentagem 5 15" xfId="16537" xr:uid="{00000000-0005-0000-0000-00009A480000}"/>
    <cellStyle name="Porcentagem 5 16" xfId="16538" xr:uid="{00000000-0005-0000-0000-00009B480000}"/>
    <cellStyle name="Porcentagem 5 17" xfId="16539" xr:uid="{00000000-0005-0000-0000-00009C480000}"/>
    <cellStyle name="Porcentagem 5 18" xfId="16540" xr:uid="{00000000-0005-0000-0000-00009D480000}"/>
    <cellStyle name="Porcentagem 5 19" xfId="16541" xr:uid="{00000000-0005-0000-0000-00009E480000}"/>
    <cellStyle name="Porcentagem 5 2" xfId="595" xr:uid="{00000000-0005-0000-0000-00009F480000}"/>
    <cellStyle name="Porcentagem 5 2 10" xfId="16543" xr:uid="{00000000-0005-0000-0000-0000A0480000}"/>
    <cellStyle name="Porcentagem 5 2 11" xfId="16544" xr:uid="{00000000-0005-0000-0000-0000A1480000}"/>
    <cellStyle name="Porcentagem 5 2 12" xfId="16545" xr:uid="{00000000-0005-0000-0000-0000A2480000}"/>
    <cellStyle name="Porcentagem 5 2 13" xfId="16546" xr:uid="{00000000-0005-0000-0000-0000A3480000}"/>
    <cellStyle name="Porcentagem 5 2 14" xfId="16547" xr:uid="{00000000-0005-0000-0000-0000A4480000}"/>
    <cellStyle name="Porcentagem 5 2 15" xfId="16548" xr:uid="{00000000-0005-0000-0000-0000A5480000}"/>
    <cellStyle name="Porcentagem 5 2 16" xfId="16549" xr:uid="{00000000-0005-0000-0000-0000A6480000}"/>
    <cellStyle name="Porcentagem 5 2 17" xfId="16550" xr:uid="{00000000-0005-0000-0000-0000A7480000}"/>
    <cellStyle name="Porcentagem 5 2 18" xfId="16542" xr:uid="{00000000-0005-0000-0000-0000A8480000}"/>
    <cellStyle name="Porcentagem 5 2 2" xfId="596" xr:uid="{00000000-0005-0000-0000-0000A9480000}"/>
    <cellStyle name="Porcentagem 5 2 2 2" xfId="597" xr:uid="{00000000-0005-0000-0000-0000AA480000}"/>
    <cellStyle name="Porcentagem 5 2 2 2 2" xfId="16551" xr:uid="{00000000-0005-0000-0000-0000AB480000}"/>
    <cellStyle name="Porcentagem 5 2 2 3" xfId="16552" xr:uid="{00000000-0005-0000-0000-0000AC480000}"/>
    <cellStyle name="Porcentagem 5 2 3" xfId="598" xr:uid="{00000000-0005-0000-0000-0000AD480000}"/>
    <cellStyle name="Porcentagem 5 2 3 2" xfId="16553" xr:uid="{00000000-0005-0000-0000-0000AE480000}"/>
    <cellStyle name="Porcentagem 5 2 4" xfId="16554" xr:uid="{00000000-0005-0000-0000-0000AF480000}"/>
    <cellStyle name="Porcentagem 5 2 5" xfId="16555" xr:uid="{00000000-0005-0000-0000-0000B0480000}"/>
    <cellStyle name="Porcentagem 5 2 6" xfId="16556" xr:uid="{00000000-0005-0000-0000-0000B1480000}"/>
    <cellStyle name="Porcentagem 5 2 7" xfId="16557" xr:uid="{00000000-0005-0000-0000-0000B2480000}"/>
    <cellStyle name="Porcentagem 5 2 8" xfId="16558" xr:uid="{00000000-0005-0000-0000-0000B3480000}"/>
    <cellStyle name="Porcentagem 5 2 9" xfId="16559" xr:uid="{00000000-0005-0000-0000-0000B4480000}"/>
    <cellStyle name="Porcentagem 5 20" xfId="16560" xr:uid="{00000000-0005-0000-0000-0000B5480000}"/>
    <cellStyle name="Porcentagem 5 21" xfId="16561" xr:uid="{00000000-0005-0000-0000-0000B6480000}"/>
    <cellStyle name="Porcentagem 5 22" xfId="16562" xr:uid="{00000000-0005-0000-0000-0000B7480000}"/>
    <cellStyle name="Porcentagem 5 23" xfId="16563" xr:uid="{00000000-0005-0000-0000-0000B8480000}"/>
    <cellStyle name="Porcentagem 5 24" xfId="16564" xr:uid="{00000000-0005-0000-0000-0000B9480000}"/>
    <cellStyle name="Porcentagem 5 25" xfId="16565" xr:uid="{00000000-0005-0000-0000-0000BA480000}"/>
    <cellStyle name="Porcentagem 5 3" xfId="599" xr:uid="{00000000-0005-0000-0000-0000BB480000}"/>
    <cellStyle name="Porcentagem 5 3 10" xfId="16567" xr:uid="{00000000-0005-0000-0000-0000BC480000}"/>
    <cellStyle name="Porcentagem 5 3 11" xfId="16568" xr:uid="{00000000-0005-0000-0000-0000BD480000}"/>
    <cellStyle name="Porcentagem 5 3 12" xfId="16569" xr:uid="{00000000-0005-0000-0000-0000BE480000}"/>
    <cellStyle name="Porcentagem 5 3 13" xfId="16566" xr:uid="{00000000-0005-0000-0000-0000BF480000}"/>
    <cellStyle name="Porcentagem 5 3 2" xfId="600" xr:uid="{00000000-0005-0000-0000-0000C0480000}"/>
    <cellStyle name="Porcentagem 5 3 2 2" xfId="16570" xr:uid="{00000000-0005-0000-0000-0000C1480000}"/>
    <cellStyle name="Porcentagem 5 3 2 3" xfId="16571" xr:uid="{00000000-0005-0000-0000-0000C2480000}"/>
    <cellStyle name="Porcentagem 5 3 3" xfId="16572" xr:uid="{00000000-0005-0000-0000-0000C3480000}"/>
    <cellStyle name="Porcentagem 5 3 4" xfId="16573" xr:uid="{00000000-0005-0000-0000-0000C4480000}"/>
    <cellStyle name="Porcentagem 5 3 5" xfId="16574" xr:uid="{00000000-0005-0000-0000-0000C5480000}"/>
    <cellStyle name="Porcentagem 5 3 6" xfId="16575" xr:uid="{00000000-0005-0000-0000-0000C6480000}"/>
    <cellStyle name="Porcentagem 5 3 7" xfId="16576" xr:uid="{00000000-0005-0000-0000-0000C7480000}"/>
    <cellStyle name="Porcentagem 5 3 8" xfId="16577" xr:uid="{00000000-0005-0000-0000-0000C8480000}"/>
    <cellStyle name="Porcentagem 5 3 9" xfId="16578" xr:uid="{00000000-0005-0000-0000-0000C9480000}"/>
    <cellStyle name="Porcentagem 5 4" xfId="601" xr:uid="{00000000-0005-0000-0000-0000CA480000}"/>
    <cellStyle name="Porcentagem 5 4 10" xfId="16579" xr:uid="{00000000-0005-0000-0000-0000CB480000}"/>
    <cellStyle name="Porcentagem 5 4 2" xfId="16580" xr:uid="{00000000-0005-0000-0000-0000CC480000}"/>
    <cellStyle name="Porcentagem 5 4 3" xfId="16581" xr:uid="{00000000-0005-0000-0000-0000CD480000}"/>
    <cellStyle name="Porcentagem 5 4 4" xfId="16582" xr:uid="{00000000-0005-0000-0000-0000CE480000}"/>
    <cellStyle name="Porcentagem 5 4 5" xfId="16583" xr:uid="{00000000-0005-0000-0000-0000CF480000}"/>
    <cellStyle name="Porcentagem 5 4 6" xfId="16584" xr:uid="{00000000-0005-0000-0000-0000D0480000}"/>
    <cellStyle name="Porcentagem 5 4 7" xfId="16585" xr:uid="{00000000-0005-0000-0000-0000D1480000}"/>
    <cellStyle name="Porcentagem 5 4 8" xfId="16586" xr:uid="{00000000-0005-0000-0000-0000D2480000}"/>
    <cellStyle name="Porcentagem 5 4 9" xfId="16587" xr:uid="{00000000-0005-0000-0000-0000D3480000}"/>
    <cellStyle name="Porcentagem 5 5" xfId="16588" xr:uid="{00000000-0005-0000-0000-0000D4480000}"/>
    <cellStyle name="Porcentagem 5 5 2" xfId="16589" xr:uid="{00000000-0005-0000-0000-0000D5480000}"/>
    <cellStyle name="Porcentagem 5 5 3" xfId="16590" xr:uid="{00000000-0005-0000-0000-0000D6480000}"/>
    <cellStyle name="Porcentagem 5 5 4" xfId="16591" xr:uid="{00000000-0005-0000-0000-0000D7480000}"/>
    <cellStyle name="Porcentagem 5 6" xfId="16592" xr:uid="{00000000-0005-0000-0000-0000D8480000}"/>
    <cellStyle name="Porcentagem 5 6 2" xfId="16593" xr:uid="{00000000-0005-0000-0000-0000D9480000}"/>
    <cellStyle name="Porcentagem 5 6 3" xfId="16594" xr:uid="{00000000-0005-0000-0000-0000DA480000}"/>
    <cellStyle name="Porcentagem 5 6 4" xfId="16595" xr:uid="{00000000-0005-0000-0000-0000DB480000}"/>
    <cellStyle name="Porcentagem 5 7" xfId="16596" xr:uid="{00000000-0005-0000-0000-0000DC480000}"/>
    <cellStyle name="Porcentagem 5 7 2" xfId="16597" xr:uid="{00000000-0005-0000-0000-0000DD480000}"/>
    <cellStyle name="Porcentagem 5 7 3" xfId="16598" xr:uid="{00000000-0005-0000-0000-0000DE480000}"/>
    <cellStyle name="Porcentagem 5 7 4" xfId="16599" xr:uid="{00000000-0005-0000-0000-0000DF480000}"/>
    <cellStyle name="Porcentagem 5 8" xfId="16600" xr:uid="{00000000-0005-0000-0000-0000E0480000}"/>
    <cellStyle name="Porcentagem 5 8 2" xfId="16601" xr:uid="{00000000-0005-0000-0000-0000E1480000}"/>
    <cellStyle name="Porcentagem 5 8 3" xfId="16602" xr:uid="{00000000-0005-0000-0000-0000E2480000}"/>
    <cellStyle name="Porcentagem 5 8 4" xfId="16603" xr:uid="{00000000-0005-0000-0000-0000E3480000}"/>
    <cellStyle name="Porcentagem 5 9" xfId="16604" xr:uid="{00000000-0005-0000-0000-0000E4480000}"/>
    <cellStyle name="Porcentagem 5 9 2" xfId="16605" xr:uid="{00000000-0005-0000-0000-0000E5480000}"/>
    <cellStyle name="Porcentagem 5 9 2 2" xfId="16606" xr:uid="{00000000-0005-0000-0000-0000E6480000}"/>
    <cellStyle name="Porcentagem 5 9 2 3" xfId="16607" xr:uid="{00000000-0005-0000-0000-0000E7480000}"/>
    <cellStyle name="Porcentagem 5 9 2 4" xfId="16608" xr:uid="{00000000-0005-0000-0000-0000E8480000}"/>
    <cellStyle name="Porcentagem 5 9 3" xfId="16609" xr:uid="{00000000-0005-0000-0000-0000E9480000}"/>
    <cellStyle name="Porcentagem 5 9 3 2" xfId="16610" xr:uid="{00000000-0005-0000-0000-0000EA480000}"/>
    <cellStyle name="Porcentagem 5 9 3 3" xfId="16611" xr:uid="{00000000-0005-0000-0000-0000EB480000}"/>
    <cellStyle name="Porcentagem 5 9 3 4" xfId="16612" xr:uid="{00000000-0005-0000-0000-0000EC480000}"/>
    <cellStyle name="Porcentagem 5 9 4" xfId="16613" xr:uid="{00000000-0005-0000-0000-0000ED480000}"/>
    <cellStyle name="Porcentagem 6" xfId="602" xr:uid="{00000000-0005-0000-0000-0000EE480000}"/>
    <cellStyle name="Porcentagem 6 10" xfId="16614" xr:uid="{00000000-0005-0000-0000-0000EF480000}"/>
    <cellStyle name="Porcentagem 6 10 10" xfId="16615" xr:uid="{00000000-0005-0000-0000-0000F0480000}"/>
    <cellStyle name="Porcentagem 6 10 11" xfId="16616" xr:uid="{00000000-0005-0000-0000-0000F1480000}"/>
    <cellStyle name="Porcentagem 6 10 12" xfId="16617" xr:uid="{00000000-0005-0000-0000-0000F2480000}"/>
    <cellStyle name="Porcentagem 6 10 13" xfId="16618" xr:uid="{00000000-0005-0000-0000-0000F3480000}"/>
    <cellStyle name="Porcentagem 6 10 14" xfId="16619" xr:uid="{00000000-0005-0000-0000-0000F4480000}"/>
    <cellStyle name="Porcentagem 6 10 15" xfId="16620" xr:uid="{00000000-0005-0000-0000-0000F5480000}"/>
    <cellStyle name="Porcentagem 6 10 16" xfId="16621" xr:uid="{00000000-0005-0000-0000-0000F6480000}"/>
    <cellStyle name="Porcentagem 6 10 17" xfId="16622" xr:uid="{00000000-0005-0000-0000-0000F7480000}"/>
    <cellStyle name="Porcentagem 6 10 18" xfId="16623" xr:uid="{00000000-0005-0000-0000-0000F8480000}"/>
    <cellStyle name="Porcentagem 6 10 19" xfId="16624" xr:uid="{00000000-0005-0000-0000-0000F9480000}"/>
    <cellStyle name="Porcentagem 6 10 2" xfId="16625" xr:uid="{00000000-0005-0000-0000-0000FA480000}"/>
    <cellStyle name="Porcentagem 6 10 2 10" xfId="16626" xr:uid="{00000000-0005-0000-0000-0000FB480000}"/>
    <cellStyle name="Porcentagem 6 10 2 10 2" xfId="16627" xr:uid="{00000000-0005-0000-0000-0000FC480000}"/>
    <cellStyle name="Porcentagem 6 10 2 10 3" xfId="16628" xr:uid="{00000000-0005-0000-0000-0000FD480000}"/>
    <cellStyle name="Porcentagem 6 10 2 10 4" xfId="16629" xr:uid="{00000000-0005-0000-0000-0000FE480000}"/>
    <cellStyle name="Porcentagem 6 10 2 11" xfId="16630" xr:uid="{00000000-0005-0000-0000-0000FF480000}"/>
    <cellStyle name="Porcentagem 6 10 2 11 2" xfId="16631" xr:uid="{00000000-0005-0000-0000-000000490000}"/>
    <cellStyle name="Porcentagem 6 10 2 11 3" xfId="16632" xr:uid="{00000000-0005-0000-0000-000001490000}"/>
    <cellStyle name="Porcentagem 6 10 2 11 4" xfId="16633" xr:uid="{00000000-0005-0000-0000-000002490000}"/>
    <cellStyle name="Porcentagem 6 10 2 12" xfId="16634" xr:uid="{00000000-0005-0000-0000-000003490000}"/>
    <cellStyle name="Porcentagem 6 10 2 12 2" xfId="16635" xr:uid="{00000000-0005-0000-0000-000004490000}"/>
    <cellStyle name="Porcentagem 6 10 2 12 3" xfId="16636" xr:uid="{00000000-0005-0000-0000-000005490000}"/>
    <cellStyle name="Porcentagem 6 10 2 12 4" xfId="16637" xr:uid="{00000000-0005-0000-0000-000006490000}"/>
    <cellStyle name="Porcentagem 6 10 2 13" xfId="16638" xr:uid="{00000000-0005-0000-0000-000007490000}"/>
    <cellStyle name="Porcentagem 6 10 2 13 2" xfId="16639" xr:uid="{00000000-0005-0000-0000-000008490000}"/>
    <cellStyle name="Porcentagem 6 10 2 13 3" xfId="16640" xr:uid="{00000000-0005-0000-0000-000009490000}"/>
    <cellStyle name="Porcentagem 6 10 2 13 4" xfId="16641" xr:uid="{00000000-0005-0000-0000-00000A490000}"/>
    <cellStyle name="Porcentagem 6 10 2 14" xfId="16642" xr:uid="{00000000-0005-0000-0000-00000B490000}"/>
    <cellStyle name="Porcentagem 6 10 2 14 2" xfId="16643" xr:uid="{00000000-0005-0000-0000-00000C490000}"/>
    <cellStyle name="Porcentagem 6 10 2 14 3" xfId="16644" xr:uid="{00000000-0005-0000-0000-00000D490000}"/>
    <cellStyle name="Porcentagem 6 10 2 14 4" xfId="16645" xr:uid="{00000000-0005-0000-0000-00000E490000}"/>
    <cellStyle name="Porcentagem 6 10 2 15" xfId="16646" xr:uid="{00000000-0005-0000-0000-00000F490000}"/>
    <cellStyle name="Porcentagem 6 10 2 15 2" xfId="16647" xr:uid="{00000000-0005-0000-0000-000010490000}"/>
    <cellStyle name="Porcentagem 6 10 2 15 3" xfId="16648" xr:uid="{00000000-0005-0000-0000-000011490000}"/>
    <cellStyle name="Porcentagem 6 10 2 15 4" xfId="16649" xr:uid="{00000000-0005-0000-0000-000012490000}"/>
    <cellStyle name="Porcentagem 6 10 2 16" xfId="16650" xr:uid="{00000000-0005-0000-0000-000013490000}"/>
    <cellStyle name="Porcentagem 6 10 2 17" xfId="16651" xr:uid="{00000000-0005-0000-0000-000014490000}"/>
    <cellStyle name="Porcentagem 6 10 2 18" xfId="16652" xr:uid="{00000000-0005-0000-0000-000015490000}"/>
    <cellStyle name="Porcentagem 6 10 2 19" xfId="16653" xr:uid="{00000000-0005-0000-0000-000016490000}"/>
    <cellStyle name="Porcentagem 6 10 2 2" xfId="16654" xr:uid="{00000000-0005-0000-0000-000017490000}"/>
    <cellStyle name="Porcentagem 6 10 2 2 2" xfId="16655" xr:uid="{00000000-0005-0000-0000-000018490000}"/>
    <cellStyle name="Porcentagem 6 10 2 2 3" xfId="16656" xr:uid="{00000000-0005-0000-0000-000019490000}"/>
    <cellStyle name="Porcentagem 6 10 2 2 4" xfId="16657" xr:uid="{00000000-0005-0000-0000-00001A490000}"/>
    <cellStyle name="Porcentagem 6 10 2 20" xfId="16658" xr:uid="{00000000-0005-0000-0000-00001B490000}"/>
    <cellStyle name="Porcentagem 6 10 2 21" xfId="16659" xr:uid="{00000000-0005-0000-0000-00001C490000}"/>
    <cellStyle name="Porcentagem 6 10 2 3" xfId="16660" xr:uid="{00000000-0005-0000-0000-00001D490000}"/>
    <cellStyle name="Porcentagem 6 10 2 3 2" xfId="16661" xr:uid="{00000000-0005-0000-0000-00001E490000}"/>
    <cellStyle name="Porcentagem 6 10 2 3 3" xfId="16662" xr:uid="{00000000-0005-0000-0000-00001F490000}"/>
    <cellStyle name="Porcentagem 6 10 2 3 4" xfId="16663" xr:uid="{00000000-0005-0000-0000-000020490000}"/>
    <cellStyle name="Porcentagem 6 10 2 4" xfId="16664" xr:uid="{00000000-0005-0000-0000-000021490000}"/>
    <cellStyle name="Porcentagem 6 10 2 4 2" xfId="16665" xr:uid="{00000000-0005-0000-0000-000022490000}"/>
    <cellStyle name="Porcentagem 6 10 2 4 3" xfId="16666" xr:uid="{00000000-0005-0000-0000-000023490000}"/>
    <cellStyle name="Porcentagem 6 10 2 4 4" xfId="16667" xr:uid="{00000000-0005-0000-0000-000024490000}"/>
    <cellStyle name="Porcentagem 6 10 2 5" xfId="16668" xr:uid="{00000000-0005-0000-0000-000025490000}"/>
    <cellStyle name="Porcentagem 6 10 2 5 2" xfId="16669" xr:uid="{00000000-0005-0000-0000-000026490000}"/>
    <cellStyle name="Porcentagem 6 10 2 5 3" xfId="16670" xr:uid="{00000000-0005-0000-0000-000027490000}"/>
    <cellStyle name="Porcentagem 6 10 2 5 4" xfId="16671" xr:uid="{00000000-0005-0000-0000-000028490000}"/>
    <cellStyle name="Porcentagem 6 10 2 6" xfId="16672" xr:uid="{00000000-0005-0000-0000-000029490000}"/>
    <cellStyle name="Porcentagem 6 10 2 6 2" xfId="16673" xr:uid="{00000000-0005-0000-0000-00002A490000}"/>
    <cellStyle name="Porcentagem 6 10 2 6 3" xfId="16674" xr:uid="{00000000-0005-0000-0000-00002B490000}"/>
    <cellStyle name="Porcentagem 6 10 2 6 4" xfId="16675" xr:uid="{00000000-0005-0000-0000-00002C490000}"/>
    <cellStyle name="Porcentagem 6 10 2 7" xfId="16676" xr:uid="{00000000-0005-0000-0000-00002D490000}"/>
    <cellStyle name="Porcentagem 6 10 2 7 2" xfId="16677" xr:uid="{00000000-0005-0000-0000-00002E490000}"/>
    <cellStyle name="Porcentagem 6 10 2 7 3" xfId="16678" xr:uid="{00000000-0005-0000-0000-00002F490000}"/>
    <cellStyle name="Porcentagem 6 10 2 7 4" xfId="16679" xr:uid="{00000000-0005-0000-0000-000030490000}"/>
    <cellStyle name="Porcentagem 6 10 2 8" xfId="16680" xr:uid="{00000000-0005-0000-0000-000031490000}"/>
    <cellStyle name="Porcentagem 6 10 2 8 2" xfId="16681" xr:uid="{00000000-0005-0000-0000-000032490000}"/>
    <cellStyle name="Porcentagem 6 10 2 8 3" xfId="16682" xr:uid="{00000000-0005-0000-0000-000033490000}"/>
    <cellStyle name="Porcentagem 6 10 2 8 4" xfId="16683" xr:uid="{00000000-0005-0000-0000-000034490000}"/>
    <cellStyle name="Porcentagem 6 10 2 9" xfId="16684" xr:uid="{00000000-0005-0000-0000-000035490000}"/>
    <cellStyle name="Porcentagem 6 10 2 9 2" xfId="16685" xr:uid="{00000000-0005-0000-0000-000036490000}"/>
    <cellStyle name="Porcentagem 6 10 2 9 3" xfId="16686" xr:uid="{00000000-0005-0000-0000-000037490000}"/>
    <cellStyle name="Porcentagem 6 10 2 9 4" xfId="16687" xr:uid="{00000000-0005-0000-0000-000038490000}"/>
    <cellStyle name="Porcentagem 6 10 20" xfId="16688" xr:uid="{00000000-0005-0000-0000-000039490000}"/>
    <cellStyle name="Porcentagem 6 10 21" xfId="16689" xr:uid="{00000000-0005-0000-0000-00003A490000}"/>
    <cellStyle name="Porcentagem 6 10 22" xfId="16690" xr:uid="{00000000-0005-0000-0000-00003B490000}"/>
    <cellStyle name="Porcentagem 6 10 23" xfId="16691" xr:uid="{00000000-0005-0000-0000-00003C490000}"/>
    <cellStyle name="Porcentagem 6 10 24" xfId="16692" xr:uid="{00000000-0005-0000-0000-00003D490000}"/>
    <cellStyle name="Porcentagem 6 10 25" xfId="16693" xr:uid="{00000000-0005-0000-0000-00003E490000}"/>
    <cellStyle name="Porcentagem 6 10 26" xfId="16694" xr:uid="{00000000-0005-0000-0000-00003F490000}"/>
    <cellStyle name="Porcentagem 6 10 26 2" xfId="16695" xr:uid="{00000000-0005-0000-0000-000040490000}"/>
    <cellStyle name="Porcentagem 6 10 26 3" xfId="16696" xr:uid="{00000000-0005-0000-0000-000041490000}"/>
    <cellStyle name="Porcentagem 6 10 26 4" xfId="16697" xr:uid="{00000000-0005-0000-0000-000042490000}"/>
    <cellStyle name="Porcentagem 6 10 27" xfId="16698" xr:uid="{00000000-0005-0000-0000-000043490000}"/>
    <cellStyle name="Porcentagem 6 10 28" xfId="16699" xr:uid="{00000000-0005-0000-0000-000044490000}"/>
    <cellStyle name="Porcentagem 6 10 29" xfId="16700" xr:uid="{00000000-0005-0000-0000-000045490000}"/>
    <cellStyle name="Porcentagem 6 10 3" xfId="16701" xr:uid="{00000000-0005-0000-0000-000046490000}"/>
    <cellStyle name="Porcentagem 6 10 3 2" xfId="16702" xr:uid="{00000000-0005-0000-0000-000047490000}"/>
    <cellStyle name="Porcentagem 6 10 3 3" xfId="16703" xr:uid="{00000000-0005-0000-0000-000048490000}"/>
    <cellStyle name="Porcentagem 6 10 3 4" xfId="16704" xr:uid="{00000000-0005-0000-0000-000049490000}"/>
    <cellStyle name="Porcentagem 6 10 30" xfId="16705" xr:uid="{00000000-0005-0000-0000-00004A490000}"/>
    <cellStyle name="Porcentagem 6 10 31" xfId="16706" xr:uid="{00000000-0005-0000-0000-00004B490000}"/>
    <cellStyle name="Porcentagem 6 10 32" xfId="16707" xr:uid="{00000000-0005-0000-0000-00004C490000}"/>
    <cellStyle name="Porcentagem 6 10 33" xfId="16708" xr:uid="{00000000-0005-0000-0000-00004D490000}"/>
    <cellStyle name="Porcentagem 6 10 34" xfId="16709" xr:uid="{00000000-0005-0000-0000-00004E490000}"/>
    <cellStyle name="Porcentagem 6 10 35" xfId="16710" xr:uid="{00000000-0005-0000-0000-00004F490000}"/>
    <cellStyle name="Porcentagem 6 10 36" xfId="16711" xr:uid="{00000000-0005-0000-0000-000050490000}"/>
    <cellStyle name="Porcentagem 6 10 4" xfId="16712" xr:uid="{00000000-0005-0000-0000-000051490000}"/>
    <cellStyle name="Porcentagem 6 10 4 2" xfId="16713" xr:uid="{00000000-0005-0000-0000-000052490000}"/>
    <cellStyle name="Porcentagem 6 10 4 3" xfId="16714" xr:uid="{00000000-0005-0000-0000-000053490000}"/>
    <cellStyle name="Porcentagem 6 10 4 4" xfId="16715" xr:uid="{00000000-0005-0000-0000-000054490000}"/>
    <cellStyle name="Porcentagem 6 10 5" xfId="16716" xr:uid="{00000000-0005-0000-0000-000055490000}"/>
    <cellStyle name="Porcentagem 6 10 6" xfId="16717" xr:uid="{00000000-0005-0000-0000-000056490000}"/>
    <cellStyle name="Porcentagem 6 10 7" xfId="16718" xr:uid="{00000000-0005-0000-0000-000057490000}"/>
    <cellStyle name="Porcentagem 6 10 8" xfId="16719" xr:uid="{00000000-0005-0000-0000-000058490000}"/>
    <cellStyle name="Porcentagem 6 10 9" xfId="16720" xr:uid="{00000000-0005-0000-0000-000059490000}"/>
    <cellStyle name="Porcentagem 6 11" xfId="16721" xr:uid="{00000000-0005-0000-0000-00005A490000}"/>
    <cellStyle name="Porcentagem 6 12" xfId="16722" xr:uid="{00000000-0005-0000-0000-00005B490000}"/>
    <cellStyle name="Porcentagem 6 13" xfId="16723" xr:uid="{00000000-0005-0000-0000-00005C490000}"/>
    <cellStyle name="Porcentagem 6 14" xfId="16724" xr:uid="{00000000-0005-0000-0000-00005D490000}"/>
    <cellStyle name="Porcentagem 6 15" xfId="16725" xr:uid="{00000000-0005-0000-0000-00005E490000}"/>
    <cellStyle name="Porcentagem 6 16" xfId="16726" xr:uid="{00000000-0005-0000-0000-00005F490000}"/>
    <cellStyle name="Porcentagem 6 17" xfId="16727" xr:uid="{00000000-0005-0000-0000-000060490000}"/>
    <cellStyle name="Porcentagem 6 18" xfId="16728" xr:uid="{00000000-0005-0000-0000-000061490000}"/>
    <cellStyle name="Porcentagem 6 19" xfId="16729" xr:uid="{00000000-0005-0000-0000-000062490000}"/>
    <cellStyle name="Porcentagem 6 2" xfId="603" xr:uid="{00000000-0005-0000-0000-000063490000}"/>
    <cellStyle name="Porcentagem 6 2 10" xfId="16731" xr:uid="{00000000-0005-0000-0000-000064490000}"/>
    <cellStyle name="Porcentagem 6 2 11" xfId="16732" xr:uid="{00000000-0005-0000-0000-000065490000}"/>
    <cellStyle name="Porcentagem 6 2 12" xfId="16733" xr:uid="{00000000-0005-0000-0000-000066490000}"/>
    <cellStyle name="Porcentagem 6 2 13" xfId="16734" xr:uid="{00000000-0005-0000-0000-000067490000}"/>
    <cellStyle name="Porcentagem 6 2 14" xfId="16735" xr:uid="{00000000-0005-0000-0000-000068490000}"/>
    <cellStyle name="Porcentagem 6 2 15" xfId="16730" xr:uid="{00000000-0005-0000-0000-000069490000}"/>
    <cellStyle name="Porcentagem 6 2 2" xfId="604" xr:uid="{00000000-0005-0000-0000-00006A490000}"/>
    <cellStyle name="Porcentagem 6 2 2 10" xfId="16736" xr:uid="{00000000-0005-0000-0000-00006B490000}"/>
    <cellStyle name="Porcentagem 6 2 2 2" xfId="605" xr:uid="{00000000-0005-0000-0000-00006C490000}"/>
    <cellStyle name="Porcentagem 6 2 2 3" xfId="16737" xr:uid="{00000000-0005-0000-0000-00006D490000}"/>
    <cellStyle name="Porcentagem 6 2 2 4" xfId="16738" xr:uid="{00000000-0005-0000-0000-00006E490000}"/>
    <cellStyle name="Porcentagem 6 2 2 5" xfId="16739" xr:uid="{00000000-0005-0000-0000-00006F490000}"/>
    <cellStyle name="Porcentagem 6 2 2 6" xfId="16740" xr:uid="{00000000-0005-0000-0000-000070490000}"/>
    <cellStyle name="Porcentagem 6 2 2 7" xfId="16741" xr:uid="{00000000-0005-0000-0000-000071490000}"/>
    <cellStyle name="Porcentagem 6 2 2 8" xfId="16742" xr:uid="{00000000-0005-0000-0000-000072490000}"/>
    <cellStyle name="Porcentagem 6 2 2 9" xfId="16743" xr:uid="{00000000-0005-0000-0000-000073490000}"/>
    <cellStyle name="Porcentagem 6 2 3" xfId="606" xr:uid="{00000000-0005-0000-0000-000074490000}"/>
    <cellStyle name="Porcentagem 6 2 3 10" xfId="16744" xr:uid="{00000000-0005-0000-0000-000075490000}"/>
    <cellStyle name="Porcentagem 6 2 3 2" xfId="16745" xr:uid="{00000000-0005-0000-0000-000076490000}"/>
    <cellStyle name="Porcentagem 6 2 3 3" xfId="16746" xr:uid="{00000000-0005-0000-0000-000077490000}"/>
    <cellStyle name="Porcentagem 6 2 3 4" xfId="16747" xr:uid="{00000000-0005-0000-0000-000078490000}"/>
    <cellStyle name="Porcentagem 6 2 3 5" xfId="16748" xr:uid="{00000000-0005-0000-0000-000079490000}"/>
    <cellStyle name="Porcentagem 6 2 3 6" xfId="16749" xr:uid="{00000000-0005-0000-0000-00007A490000}"/>
    <cellStyle name="Porcentagem 6 2 3 7" xfId="16750" xr:uid="{00000000-0005-0000-0000-00007B490000}"/>
    <cellStyle name="Porcentagem 6 2 3 8" xfId="16751" xr:uid="{00000000-0005-0000-0000-00007C490000}"/>
    <cellStyle name="Porcentagem 6 2 3 9" xfId="16752" xr:uid="{00000000-0005-0000-0000-00007D490000}"/>
    <cellStyle name="Porcentagem 6 2 4" xfId="16753" xr:uid="{00000000-0005-0000-0000-00007E490000}"/>
    <cellStyle name="Porcentagem 6 2 5" xfId="16754" xr:uid="{00000000-0005-0000-0000-00007F490000}"/>
    <cellStyle name="Porcentagem 6 2 6" xfId="16755" xr:uid="{00000000-0005-0000-0000-000080490000}"/>
    <cellStyle name="Porcentagem 6 2 7" xfId="16756" xr:uid="{00000000-0005-0000-0000-000081490000}"/>
    <cellStyle name="Porcentagem 6 2 8" xfId="16757" xr:uid="{00000000-0005-0000-0000-000082490000}"/>
    <cellStyle name="Porcentagem 6 2 9" xfId="16758" xr:uid="{00000000-0005-0000-0000-000083490000}"/>
    <cellStyle name="Porcentagem 6 20" xfId="16759" xr:uid="{00000000-0005-0000-0000-000084490000}"/>
    <cellStyle name="Porcentagem 6 21" xfId="16760" xr:uid="{00000000-0005-0000-0000-000085490000}"/>
    <cellStyle name="Porcentagem 6 22" xfId="16761" xr:uid="{00000000-0005-0000-0000-000086490000}"/>
    <cellStyle name="Porcentagem 6 23" xfId="16762" xr:uid="{00000000-0005-0000-0000-000087490000}"/>
    <cellStyle name="Porcentagem 6 24" xfId="16763" xr:uid="{00000000-0005-0000-0000-000088490000}"/>
    <cellStyle name="Porcentagem 6 3" xfId="607" xr:uid="{00000000-0005-0000-0000-000089490000}"/>
    <cellStyle name="Porcentagem 6 3 10" xfId="16765" xr:uid="{00000000-0005-0000-0000-00008A490000}"/>
    <cellStyle name="Porcentagem 6 3 11" xfId="16766" xr:uid="{00000000-0005-0000-0000-00008B490000}"/>
    <cellStyle name="Porcentagem 6 3 12" xfId="16764" xr:uid="{00000000-0005-0000-0000-00008C490000}"/>
    <cellStyle name="Porcentagem 6 3 2" xfId="608" xr:uid="{00000000-0005-0000-0000-00008D490000}"/>
    <cellStyle name="Porcentagem 6 3 3" xfId="16767" xr:uid="{00000000-0005-0000-0000-00008E490000}"/>
    <cellStyle name="Porcentagem 6 3 4" xfId="16768" xr:uid="{00000000-0005-0000-0000-00008F490000}"/>
    <cellStyle name="Porcentagem 6 3 5" xfId="16769" xr:uid="{00000000-0005-0000-0000-000090490000}"/>
    <cellStyle name="Porcentagem 6 3 6" xfId="16770" xr:uid="{00000000-0005-0000-0000-000091490000}"/>
    <cellStyle name="Porcentagem 6 3 7" xfId="16771" xr:uid="{00000000-0005-0000-0000-000092490000}"/>
    <cellStyle name="Porcentagem 6 3 8" xfId="16772" xr:uid="{00000000-0005-0000-0000-000093490000}"/>
    <cellStyle name="Porcentagem 6 3 9" xfId="16773" xr:uid="{00000000-0005-0000-0000-000094490000}"/>
    <cellStyle name="Porcentagem 6 4" xfId="609" xr:uid="{00000000-0005-0000-0000-000095490000}"/>
    <cellStyle name="Porcentagem 6 4 10" xfId="16775" xr:uid="{00000000-0005-0000-0000-000096490000}"/>
    <cellStyle name="Porcentagem 6 4 11" xfId="16774" xr:uid="{00000000-0005-0000-0000-000097490000}"/>
    <cellStyle name="Porcentagem 6 4 2" xfId="16776" xr:uid="{00000000-0005-0000-0000-000098490000}"/>
    <cellStyle name="Porcentagem 6 4 3" xfId="16777" xr:uid="{00000000-0005-0000-0000-000099490000}"/>
    <cellStyle name="Porcentagem 6 4 4" xfId="16778" xr:uid="{00000000-0005-0000-0000-00009A490000}"/>
    <cellStyle name="Porcentagem 6 4 5" xfId="16779" xr:uid="{00000000-0005-0000-0000-00009B490000}"/>
    <cellStyle name="Porcentagem 6 4 6" xfId="16780" xr:uid="{00000000-0005-0000-0000-00009C490000}"/>
    <cellStyle name="Porcentagem 6 4 7" xfId="16781" xr:uid="{00000000-0005-0000-0000-00009D490000}"/>
    <cellStyle name="Porcentagem 6 4 8" xfId="16782" xr:uid="{00000000-0005-0000-0000-00009E490000}"/>
    <cellStyle name="Porcentagem 6 4 9" xfId="16783" xr:uid="{00000000-0005-0000-0000-00009F490000}"/>
    <cellStyle name="Porcentagem 6 5" xfId="610" xr:uid="{00000000-0005-0000-0000-0000A0490000}"/>
    <cellStyle name="Porcentagem 6 5 2" xfId="16784" xr:uid="{00000000-0005-0000-0000-0000A1490000}"/>
    <cellStyle name="Porcentagem 6 5 3" xfId="16785" xr:uid="{00000000-0005-0000-0000-0000A2490000}"/>
    <cellStyle name="Porcentagem 6 5 4" xfId="16786" xr:uid="{00000000-0005-0000-0000-0000A3490000}"/>
    <cellStyle name="Porcentagem 6 6" xfId="16787" xr:uid="{00000000-0005-0000-0000-0000A4490000}"/>
    <cellStyle name="Porcentagem 6 6 2" xfId="16788" xr:uid="{00000000-0005-0000-0000-0000A5490000}"/>
    <cellStyle name="Porcentagem 6 6 3" xfId="16789" xr:uid="{00000000-0005-0000-0000-0000A6490000}"/>
    <cellStyle name="Porcentagem 6 6 4" xfId="16790" xr:uid="{00000000-0005-0000-0000-0000A7490000}"/>
    <cellStyle name="Porcentagem 6 7" xfId="16791" xr:uid="{00000000-0005-0000-0000-0000A8490000}"/>
    <cellStyle name="Porcentagem 6 7 2" xfId="16792" xr:uid="{00000000-0005-0000-0000-0000A9490000}"/>
    <cellStyle name="Porcentagem 6 7 3" xfId="16793" xr:uid="{00000000-0005-0000-0000-0000AA490000}"/>
    <cellStyle name="Porcentagem 6 7 4" xfId="16794" xr:uid="{00000000-0005-0000-0000-0000AB490000}"/>
    <cellStyle name="Porcentagem 6 8" xfId="16795" xr:uid="{00000000-0005-0000-0000-0000AC490000}"/>
    <cellStyle name="Porcentagem 6 8 2" xfId="16796" xr:uid="{00000000-0005-0000-0000-0000AD490000}"/>
    <cellStyle name="Porcentagem 6 8 3" xfId="16797" xr:uid="{00000000-0005-0000-0000-0000AE490000}"/>
    <cellStyle name="Porcentagem 6 8 4" xfId="16798" xr:uid="{00000000-0005-0000-0000-0000AF490000}"/>
    <cellStyle name="Porcentagem 6 9" xfId="16799" xr:uid="{00000000-0005-0000-0000-0000B0490000}"/>
    <cellStyle name="Porcentagem 6 9 2" xfId="16800" xr:uid="{00000000-0005-0000-0000-0000B1490000}"/>
    <cellStyle name="Porcentagem 6 9 2 2" xfId="16801" xr:uid="{00000000-0005-0000-0000-0000B2490000}"/>
    <cellStyle name="Porcentagem 6 9 2 3" xfId="16802" xr:uid="{00000000-0005-0000-0000-0000B3490000}"/>
    <cellStyle name="Porcentagem 6 9 2 4" xfId="16803" xr:uid="{00000000-0005-0000-0000-0000B4490000}"/>
    <cellStyle name="Porcentagem 6 9 3" xfId="16804" xr:uid="{00000000-0005-0000-0000-0000B5490000}"/>
    <cellStyle name="Porcentagem 6 9 3 2" xfId="16805" xr:uid="{00000000-0005-0000-0000-0000B6490000}"/>
    <cellStyle name="Porcentagem 6 9 3 3" xfId="16806" xr:uid="{00000000-0005-0000-0000-0000B7490000}"/>
    <cellStyle name="Porcentagem 6 9 3 4" xfId="16807" xr:uid="{00000000-0005-0000-0000-0000B8490000}"/>
    <cellStyle name="Porcentagem 6 9 4" xfId="16808" xr:uid="{00000000-0005-0000-0000-0000B9490000}"/>
    <cellStyle name="Porcentagem 7" xfId="611" xr:uid="{00000000-0005-0000-0000-0000BA490000}"/>
    <cellStyle name="Porcentagem 7 10" xfId="16809" xr:uid="{00000000-0005-0000-0000-0000BB490000}"/>
    <cellStyle name="Porcentagem 7 10 10" xfId="16810" xr:uid="{00000000-0005-0000-0000-0000BC490000}"/>
    <cellStyle name="Porcentagem 7 10 11" xfId="16811" xr:uid="{00000000-0005-0000-0000-0000BD490000}"/>
    <cellStyle name="Porcentagem 7 10 12" xfId="16812" xr:uid="{00000000-0005-0000-0000-0000BE490000}"/>
    <cellStyle name="Porcentagem 7 10 13" xfId="16813" xr:uid="{00000000-0005-0000-0000-0000BF490000}"/>
    <cellStyle name="Porcentagem 7 10 14" xfId="16814" xr:uid="{00000000-0005-0000-0000-0000C0490000}"/>
    <cellStyle name="Porcentagem 7 10 15" xfId="16815" xr:uid="{00000000-0005-0000-0000-0000C1490000}"/>
    <cellStyle name="Porcentagem 7 10 16" xfId="16816" xr:uid="{00000000-0005-0000-0000-0000C2490000}"/>
    <cellStyle name="Porcentagem 7 10 17" xfId="16817" xr:uid="{00000000-0005-0000-0000-0000C3490000}"/>
    <cellStyle name="Porcentagem 7 10 18" xfId="16818" xr:uid="{00000000-0005-0000-0000-0000C4490000}"/>
    <cellStyle name="Porcentagem 7 10 19" xfId="16819" xr:uid="{00000000-0005-0000-0000-0000C5490000}"/>
    <cellStyle name="Porcentagem 7 10 2" xfId="16820" xr:uid="{00000000-0005-0000-0000-0000C6490000}"/>
    <cellStyle name="Porcentagem 7 10 2 10" xfId="16821" xr:uid="{00000000-0005-0000-0000-0000C7490000}"/>
    <cellStyle name="Porcentagem 7 10 2 10 2" xfId="16822" xr:uid="{00000000-0005-0000-0000-0000C8490000}"/>
    <cellStyle name="Porcentagem 7 10 2 10 3" xfId="16823" xr:uid="{00000000-0005-0000-0000-0000C9490000}"/>
    <cellStyle name="Porcentagem 7 10 2 10 4" xfId="16824" xr:uid="{00000000-0005-0000-0000-0000CA490000}"/>
    <cellStyle name="Porcentagem 7 10 2 11" xfId="16825" xr:uid="{00000000-0005-0000-0000-0000CB490000}"/>
    <cellStyle name="Porcentagem 7 10 2 11 2" xfId="16826" xr:uid="{00000000-0005-0000-0000-0000CC490000}"/>
    <cellStyle name="Porcentagem 7 10 2 11 3" xfId="16827" xr:uid="{00000000-0005-0000-0000-0000CD490000}"/>
    <cellStyle name="Porcentagem 7 10 2 11 4" xfId="16828" xr:uid="{00000000-0005-0000-0000-0000CE490000}"/>
    <cellStyle name="Porcentagem 7 10 2 12" xfId="16829" xr:uid="{00000000-0005-0000-0000-0000CF490000}"/>
    <cellStyle name="Porcentagem 7 10 2 12 2" xfId="16830" xr:uid="{00000000-0005-0000-0000-0000D0490000}"/>
    <cellStyle name="Porcentagem 7 10 2 12 3" xfId="16831" xr:uid="{00000000-0005-0000-0000-0000D1490000}"/>
    <cellStyle name="Porcentagem 7 10 2 12 4" xfId="16832" xr:uid="{00000000-0005-0000-0000-0000D2490000}"/>
    <cellStyle name="Porcentagem 7 10 2 13" xfId="16833" xr:uid="{00000000-0005-0000-0000-0000D3490000}"/>
    <cellStyle name="Porcentagem 7 10 2 13 2" xfId="16834" xr:uid="{00000000-0005-0000-0000-0000D4490000}"/>
    <cellStyle name="Porcentagem 7 10 2 13 3" xfId="16835" xr:uid="{00000000-0005-0000-0000-0000D5490000}"/>
    <cellStyle name="Porcentagem 7 10 2 13 4" xfId="16836" xr:uid="{00000000-0005-0000-0000-0000D6490000}"/>
    <cellStyle name="Porcentagem 7 10 2 14" xfId="16837" xr:uid="{00000000-0005-0000-0000-0000D7490000}"/>
    <cellStyle name="Porcentagem 7 10 2 14 2" xfId="16838" xr:uid="{00000000-0005-0000-0000-0000D8490000}"/>
    <cellStyle name="Porcentagem 7 10 2 14 3" xfId="16839" xr:uid="{00000000-0005-0000-0000-0000D9490000}"/>
    <cellStyle name="Porcentagem 7 10 2 14 4" xfId="16840" xr:uid="{00000000-0005-0000-0000-0000DA490000}"/>
    <cellStyle name="Porcentagem 7 10 2 15" xfId="16841" xr:uid="{00000000-0005-0000-0000-0000DB490000}"/>
    <cellStyle name="Porcentagem 7 10 2 15 2" xfId="16842" xr:uid="{00000000-0005-0000-0000-0000DC490000}"/>
    <cellStyle name="Porcentagem 7 10 2 15 3" xfId="16843" xr:uid="{00000000-0005-0000-0000-0000DD490000}"/>
    <cellStyle name="Porcentagem 7 10 2 15 4" xfId="16844" xr:uid="{00000000-0005-0000-0000-0000DE490000}"/>
    <cellStyle name="Porcentagem 7 10 2 16" xfId="16845" xr:uid="{00000000-0005-0000-0000-0000DF490000}"/>
    <cellStyle name="Porcentagem 7 10 2 17" xfId="16846" xr:uid="{00000000-0005-0000-0000-0000E0490000}"/>
    <cellStyle name="Porcentagem 7 10 2 18" xfId="16847" xr:uid="{00000000-0005-0000-0000-0000E1490000}"/>
    <cellStyle name="Porcentagem 7 10 2 19" xfId="16848" xr:uid="{00000000-0005-0000-0000-0000E2490000}"/>
    <cellStyle name="Porcentagem 7 10 2 2" xfId="16849" xr:uid="{00000000-0005-0000-0000-0000E3490000}"/>
    <cellStyle name="Porcentagem 7 10 2 2 2" xfId="16850" xr:uid="{00000000-0005-0000-0000-0000E4490000}"/>
    <cellStyle name="Porcentagem 7 10 2 2 3" xfId="16851" xr:uid="{00000000-0005-0000-0000-0000E5490000}"/>
    <cellStyle name="Porcentagem 7 10 2 2 4" xfId="16852" xr:uid="{00000000-0005-0000-0000-0000E6490000}"/>
    <cellStyle name="Porcentagem 7 10 2 20" xfId="16853" xr:uid="{00000000-0005-0000-0000-0000E7490000}"/>
    <cellStyle name="Porcentagem 7 10 2 21" xfId="16854" xr:uid="{00000000-0005-0000-0000-0000E8490000}"/>
    <cellStyle name="Porcentagem 7 10 2 3" xfId="16855" xr:uid="{00000000-0005-0000-0000-0000E9490000}"/>
    <cellStyle name="Porcentagem 7 10 2 3 2" xfId="16856" xr:uid="{00000000-0005-0000-0000-0000EA490000}"/>
    <cellStyle name="Porcentagem 7 10 2 3 3" xfId="16857" xr:uid="{00000000-0005-0000-0000-0000EB490000}"/>
    <cellStyle name="Porcentagem 7 10 2 3 4" xfId="16858" xr:uid="{00000000-0005-0000-0000-0000EC490000}"/>
    <cellStyle name="Porcentagem 7 10 2 4" xfId="16859" xr:uid="{00000000-0005-0000-0000-0000ED490000}"/>
    <cellStyle name="Porcentagem 7 10 2 4 2" xfId="16860" xr:uid="{00000000-0005-0000-0000-0000EE490000}"/>
    <cellStyle name="Porcentagem 7 10 2 4 3" xfId="16861" xr:uid="{00000000-0005-0000-0000-0000EF490000}"/>
    <cellStyle name="Porcentagem 7 10 2 4 4" xfId="16862" xr:uid="{00000000-0005-0000-0000-0000F0490000}"/>
    <cellStyle name="Porcentagem 7 10 2 5" xfId="16863" xr:uid="{00000000-0005-0000-0000-0000F1490000}"/>
    <cellStyle name="Porcentagem 7 10 2 5 2" xfId="16864" xr:uid="{00000000-0005-0000-0000-0000F2490000}"/>
    <cellStyle name="Porcentagem 7 10 2 5 3" xfId="16865" xr:uid="{00000000-0005-0000-0000-0000F3490000}"/>
    <cellStyle name="Porcentagem 7 10 2 5 4" xfId="16866" xr:uid="{00000000-0005-0000-0000-0000F4490000}"/>
    <cellStyle name="Porcentagem 7 10 2 6" xfId="16867" xr:uid="{00000000-0005-0000-0000-0000F5490000}"/>
    <cellStyle name="Porcentagem 7 10 2 6 2" xfId="16868" xr:uid="{00000000-0005-0000-0000-0000F6490000}"/>
    <cellStyle name="Porcentagem 7 10 2 6 3" xfId="16869" xr:uid="{00000000-0005-0000-0000-0000F7490000}"/>
    <cellStyle name="Porcentagem 7 10 2 6 4" xfId="16870" xr:uid="{00000000-0005-0000-0000-0000F8490000}"/>
    <cellStyle name="Porcentagem 7 10 2 7" xfId="16871" xr:uid="{00000000-0005-0000-0000-0000F9490000}"/>
    <cellStyle name="Porcentagem 7 10 2 7 2" xfId="16872" xr:uid="{00000000-0005-0000-0000-0000FA490000}"/>
    <cellStyle name="Porcentagem 7 10 2 7 3" xfId="16873" xr:uid="{00000000-0005-0000-0000-0000FB490000}"/>
    <cellStyle name="Porcentagem 7 10 2 7 4" xfId="16874" xr:uid="{00000000-0005-0000-0000-0000FC490000}"/>
    <cellStyle name="Porcentagem 7 10 2 8" xfId="16875" xr:uid="{00000000-0005-0000-0000-0000FD490000}"/>
    <cellStyle name="Porcentagem 7 10 2 8 2" xfId="16876" xr:uid="{00000000-0005-0000-0000-0000FE490000}"/>
    <cellStyle name="Porcentagem 7 10 2 8 3" xfId="16877" xr:uid="{00000000-0005-0000-0000-0000FF490000}"/>
    <cellStyle name="Porcentagem 7 10 2 8 4" xfId="16878" xr:uid="{00000000-0005-0000-0000-0000004A0000}"/>
    <cellStyle name="Porcentagem 7 10 2 9" xfId="16879" xr:uid="{00000000-0005-0000-0000-0000014A0000}"/>
    <cellStyle name="Porcentagem 7 10 2 9 2" xfId="16880" xr:uid="{00000000-0005-0000-0000-0000024A0000}"/>
    <cellStyle name="Porcentagem 7 10 2 9 3" xfId="16881" xr:uid="{00000000-0005-0000-0000-0000034A0000}"/>
    <cellStyle name="Porcentagem 7 10 2 9 4" xfId="16882" xr:uid="{00000000-0005-0000-0000-0000044A0000}"/>
    <cellStyle name="Porcentagem 7 10 20" xfId="16883" xr:uid="{00000000-0005-0000-0000-0000054A0000}"/>
    <cellStyle name="Porcentagem 7 10 21" xfId="16884" xr:uid="{00000000-0005-0000-0000-0000064A0000}"/>
    <cellStyle name="Porcentagem 7 10 22" xfId="16885" xr:uid="{00000000-0005-0000-0000-0000074A0000}"/>
    <cellStyle name="Porcentagem 7 10 23" xfId="16886" xr:uid="{00000000-0005-0000-0000-0000084A0000}"/>
    <cellStyle name="Porcentagem 7 10 24" xfId="16887" xr:uid="{00000000-0005-0000-0000-0000094A0000}"/>
    <cellStyle name="Porcentagem 7 10 25" xfId="16888" xr:uid="{00000000-0005-0000-0000-00000A4A0000}"/>
    <cellStyle name="Porcentagem 7 10 26" xfId="16889" xr:uid="{00000000-0005-0000-0000-00000B4A0000}"/>
    <cellStyle name="Porcentagem 7 10 26 2" xfId="16890" xr:uid="{00000000-0005-0000-0000-00000C4A0000}"/>
    <cellStyle name="Porcentagem 7 10 26 3" xfId="16891" xr:uid="{00000000-0005-0000-0000-00000D4A0000}"/>
    <cellStyle name="Porcentagem 7 10 26 4" xfId="16892" xr:uid="{00000000-0005-0000-0000-00000E4A0000}"/>
    <cellStyle name="Porcentagem 7 10 27" xfId="16893" xr:uid="{00000000-0005-0000-0000-00000F4A0000}"/>
    <cellStyle name="Porcentagem 7 10 28" xfId="16894" xr:uid="{00000000-0005-0000-0000-0000104A0000}"/>
    <cellStyle name="Porcentagem 7 10 29" xfId="16895" xr:uid="{00000000-0005-0000-0000-0000114A0000}"/>
    <cellStyle name="Porcentagem 7 10 3" xfId="16896" xr:uid="{00000000-0005-0000-0000-0000124A0000}"/>
    <cellStyle name="Porcentagem 7 10 3 2" xfId="16897" xr:uid="{00000000-0005-0000-0000-0000134A0000}"/>
    <cellStyle name="Porcentagem 7 10 3 3" xfId="16898" xr:uid="{00000000-0005-0000-0000-0000144A0000}"/>
    <cellStyle name="Porcentagem 7 10 3 4" xfId="16899" xr:uid="{00000000-0005-0000-0000-0000154A0000}"/>
    <cellStyle name="Porcentagem 7 10 30" xfId="16900" xr:uid="{00000000-0005-0000-0000-0000164A0000}"/>
    <cellStyle name="Porcentagem 7 10 31" xfId="16901" xr:uid="{00000000-0005-0000-0000-0000174A0000}"/>
    <cellStyle name="Porcentagem 7 10 32" xfId="16902" xr:uid="{00000000-0005-0000-0000-0000184A0000}"/>
    <cellStyle name="Porcentagem 7 10 33" xfId="16903" xr:uid="{00000000-0005-0000-0000-0000194A0000}"/>
    <cellStyle name="Porcentagem 7 10 34" xfId="16904" xr:uid="{00000000-0005-0000-0000-00001A4A0000}"/>
    <cellStyle name="Porcentagem 7 10 35" xfId="16905" xr:uid="{00000000-0005-0000-0000-00001B4A0000}"/>
    <cellStyle name="Porcentagem 7 10 36" xfId="16906" xr:uid="{00000000-0005-0000-0000-00001C4A0000}"/>
    <cellStyle name="Porcentagem 7 10 4" xfId="16907" xr:uid="{00000000-0005-0000-0000-00001D4A0000}"/>
    <cellStyle name="Porcentagem 7 10 4 2" xfId="16908" xr:uid="{00000000-0005-0000-0000-00001E4A0000}"/>
    <cellStyle name="Porcentagem 7 10 4 3" xfId="16909" xr:uid="{00000000-0005-0000-0000-00001F4A0000}"/>
    <cellStyle name="Porcentagem 7 10 4 4" xfId="16910" xr:uid="{00000000-0005-0000-0000-0000204A0000}"/>
    <cellStyle name="Porcentagem 7 10 5" xfId="16911" xr:uid="{00000000-0005-0000-0000-0000214A0000}"/>
    <cellStyle name="Porcentagem 7 10 6" xfId="16912" xr:uid="{00000000-0005-0000-0000-0000224A0000}"/>
    <cellStyle name="Porcentagem 7 10 7" xfId="16913" xr:uid="{00000000-0005-0000-0000-0000234A0000}"/>
    <cellStyle name="Porcentagem 7 10 8" xfId="16914" xr:uid="{00000000-0005-0000-0000-0000244A0000}"/>
    <cellStyle name="Porcentagem 7 10 9" xfId="16915" xr:uid="{00000000-0005-0000-0000-0000254A0000}"/>
    <cellStyle name="Porcentagem 7 11" xfId="16916" xr:uid="{00000000-0005-0000-0000-0000264A0000}"/>
    <cellStyle name="Porcentagem 7 12" xfId="16917" xr:uid="{00000000-0005-0000-0000-0000274A0000}"/>
    <cellStyle name="Porcentagem 7 13" xfId="16918" xr:uid="{00000000-0005-0000-0000-0000284A0000}"/>
    <cellStyle name="Porcentagem 7 14" xfId="16919" xr:uid="{00000000-0005-0000-0000-0000294A0000}"/>
    <cellStyle name="Porcentagem 7 15" xfId="16920" xr:uid="{00000000-0005-0000-0000-00002A4A0000}"/>
    <cellStyle name="Porcentagem 7 16" xfId="16921" xr:uid="{00000000-0005-0000-0000-00002B4A0000}"/>
    <cellStyle name="Porcentagem 7 17" xfId="16922" xr:uid="{00000000-0005-0000-0000-00002C4A0000}"/>
    <cellStyle name="Porcentagem 7 18" xfId="16923" xr:uid="{00000000-0005-0000-0000-00002D4A0000}"/>
    <cellStyle name="Porcentagem 7 19" xfId="16924" xr:uid="{00000000-0005-0000-0000-00002E4A0000}"/>
    <cellStyle name="Porcentagem 7 2" xfId="612" xr:uid="{00000000-0005-0000-0000-00002F4A0000}"/>
    <cellStyle name="Porcentagem 7 2 10" xfId="16925" xr:uid="{00000000-0005-0000-0000-0000304A0000}"/>
    <cellStyle name="Porcentagem 7 2 11" xfId="16926" xr:uid="{00000000-0005-0000-0000-0000314A0000}"/>
    <cellStyle name="Porcentagem 7 2 12" xfId="16927" xr:uid="{00000000-0005-0000-0000-0000324A0000}"/>
    <cellStyle name="Porcentagem 7 2 13" xfId="16928" xr:uid="{00000000-0005-0000-0000-0000334A0000}"/>
    <cellStyle name="Porcentagem 7 2 14" xfId="16929" xr:uid="{00000000-0005-0000-0000-0000344A0000}"/>
    <cellStyle name="Porcentagem 7 2 15" xfId="27125" xr:uid="{00000000-0005-0000-0000-0000354A0000}"/>
    <cellStyle name="Porcentagem 7 2 2" xfId="613" xr:uid="{00000000-0005-0000-0000-0000364A0000}"/>
    <cellStyle name="Porcentagem 7 2 2 10" xfId="16930" xr:uid="{00000000-0005-0000-0000-0000374A0000}"/>
    <cellStyle name="Porcentagem 7 2 2 2" xfId="614" xr:uid="{00000000-0005-0000-0000-0000384A0000}"/>
    <cellStyle name="Porcentagem 7 2 2 3" xfId="16931" xr:uid="{00000000-0005-0000-0000-0000394A0000}"/>
    <cellStyle name="Porcentagem 7 2 2 4" xfId="16932" xr:uid="{00000000-0005-0000-0000-00003A4A0000}"/>
    <cellStyle name="Porcentagem 7 2 2 5" xfId="16933" xr:uid="{00000000-0005-0000-0000-00003B4A0000}"/>
    <cellStyle name="Porcentagem 7 2 2 6" xfId="16934" xr:uid="{00000000-0005-0000-0000-00003C4A0000}"/>
    <cellStyle name="Porcentagem 7 2 2 7" xfId="16935" xr:uid="{00000000-0005-0000-0000-00003D4A0000}"/>
    <cellStyle name="Porcentagem 7 2 2 8" xfId="16936" xr:uid="{00000000-0005-0000-0000-00003E4A0000}"/>
    <cellStyle name="Porcentagem 7 2 2 9" xfId="16937" xr:uid="{00000000-0005-0000-0000-00003F4A0000}"/>
    <cellStyle name="Porcentagem 7 2 3" xfId="615" xr:uid="{00000000-0005-0000-0000-0000404A0000}"/>
    <cellStyle name="Porcentagem 7 2 3 10" xfId="16938" xr:uid="{00000000-0005-0000-0000-0000414A0000}"/>
    <cellStyle name="Porcentagem 7 2 3 2" xfId="16939" xr:uid="{00000000-0005-0000-0000-0000424A0000}"/>
    <cellStyle name="Porcentagem 7 2 3 3" xfId="16940" xr:uid="{00000000-0005-0000-0000-0000434A0000}"/>
    <cellStyle name="Porcentagem 7 2 3 4" xfId="16941" xr:uid="{00000000-0005-0000-0000-0000444A0000}"/>
    <cellStyle name="Porcentagem 7 2 3 5" xfId="16942" xr:uid="{00000000-0005-0000-0000-0000454A0000}"/>
    <cellStyle name="Porcentagem 7 2 3 6" xfId="16943" xr:uid="{00000000-0005-0000-0000-0000464A0000}"/>
    <cellStyle name="Porcentagem 7 2 3 7" xfId="16944" xr:uid="{00000000-0005-0000-0000-0000474A0000}"/>
    <cellStyle name="Porcentagem 7 2 3 8" xfId="16945" xr:uid="{00000000-0005-0000-0000-0000484A0000}"/>
    <cellStyle name="Porcentagem 7 2 3 9" xfId="16946" xr:uid="{00000000-0005-0000-0000-0000494A0000}"/>
    <cellStyle name="Porcentagem 7 2 4" xfId="16947" xr:uid="{00000000-0005-0000-0000-00004A4A0000}"/>
    <cellStyle name="Porcentagem 7 2 5" xfId="16948" xr:uid="{00000000-0005-0000-0000-00004B4A0000}"/>
    <cellStyle name="Porcentagem 7 2 6" xfId="16949" xr:uid="{00000000-0005-0000-0000-00004C4A0000}"/>
    <cellStyle name="Porcentagem 7 2 7" xfId="16950" xr:uid="{00000000-0005-0000-0000-00004D4A0000}"/>
    <cellStyle name="Porcentagem 7 2 8" xfId="16951" xr:uid="{00000000-0005-0000-0000-00004E4A0000}"/>
    <cellStyle name="Porcentagem 7 2 9" xfId="16952" xr:uid="{00000000-0005-0000-0000-00004F4A0000}"/>
    <cellStyle name="Porcentagem 7 20" xfId="16953" xr:uid="{00000000-0005-0000-0000-0000504A0000}"/>
    <cellStyle name="Porcentagem 7 21" xfId="16954" xr:uid="{00000000-0005-0000-0000-0000514A0000}"/>
    <cellStyle name="Porcentagem 7 22" xfId="16955" xr:uid="{00000000-0005-0000-0000-0000524A0000}"/>
    <cellStyle name="Porcentagem 7 23" xfId="16956" xr:uid="{00000000-0005-0000-0000-0000534A0000}"/>
    <cellStyle name="Porcentagem 7 24" xfId="16957" xr:uid="{00000000-0005-0000-0000-0000544A0000}"/>
    <cellStyle name="Porcentagem 7 3" xfId="616" xr:uid="{00000000-0005-0000-0000-0000554A0000}"/>
    <cellStyle name="Porcentagem 7 3 10" xfId="16959" xr:uid="{00000000-0005-0000-0000-0000564A0000}"/>
    <cellStyle name="Porcentagem 7 3 11" xfId="16960" xr:uid="{00000000-0005-0000-0000-0000574A0000}"/>
    <cellStyle name="Porcentagem 7 3 12" xfId="16958" xr:uid="{00000000-0005-0000-0000-0000584A0000}"/>
    <cellStyle name="Porcentagem 7 3 2" xfId="617" xr:uid="{00000000-0005-0000-0000-0000594A0000}"/>
    <cellStyle name="Porcentagem 7 3 3" xfId="16961" xr:uid="{00000000-0005-0000-0000-00005A4A0000}"/>
    <cellStyle name="Porcentagem 7 3 4" xfId="16962" xr:uid="{00000000-0005-0000-0000-00005B4A0000}"/>
    <cellStyle name="Porcentagem 7 3 5" xfId="16963" xr:uid="{00000000-0005-0000-0000-00005C4A0000}"/>
    <cellStyle name="Porcentagem 7 3 6" xfId="16964" xr:uid="{00000000-0005-0000-0000-00005D4A0000}"/>
    <cellStyle name="Porcentagem 7 3 7" xfId="16965" xr:uid="{00000000-0005-0000-0000-00005E4A0000}"/>
    <cellStyle name="Porcentagem 7 3 8" xfId="16966" xr:uid="{00000000-0005-0000-0000-00005F4A0000}"/>
    <cellStyle name="Porcentagem 7 3 9" xfId="16967" xr:uid="{00000000-0005-0000-0000-0000604A0000}"/>
    <cellStyle name="Porcentagem 7 4" xfId="618" xr:uid="{00000000-0005-0000-0000-0000614A0000}"/>
    <cellStyle name="Porcentagem 7 4 10" xfId="16969" xr:uid="{00000000-0005-0000-0000-0000624A0000}"/>
    <cellStyle name="Porcentagem 7 4 11" xfId="16968" xr:uid="{00000000-0005-0000-0000-0000634A0000}"/>
    <cellStyle name="Porcentagem 7 4 2" xfId="16970" xr:uid="{00000000-0005-0000-0000-0000644A0000}"/>
    <cellStyle name="Porcentagem 7 4 3" xfId="16971" xr:uid="{00000000-0005-0000-0000-0000654A0000}"/>
    <cellStyle name="Porcentagem 7 4 4" xfId="16972" xr:uid="{00000000-0005-0000-0000-0000664A0000}"/>
    <cellStyle name="Porcentagem 7 4 5" xfId="16973" xr:uid="{00000000-0005-0000-0000-0000674A0000}"/>
    <cellStyle name="Porcentagem 7 4 6" xfId="16974" xr:uid="{00000000-0005-0000-0000-0000684A0000}"/>
    <cellStyle name="Porcentagem 7 4 7" xfId="16975" xr:uid="{00000000-0005-0000-0000-0000694A0000}"/>
    <cellStyle name="Porcentagem 7 4 8" xfId="16976" xr:uid="{00000000-0005-0000-0000-00006A4A0000}"/>
    <cellStyle name="Porcentagem 7 4 9" xfId="16977" xr:uid="{00000000-0005-0000-0000-00006B4A0000}"/>
    <cellStyle name="Porcentagem 7 5" xfId="619" xr:uid="{00000000-0005-0000-0000-00006C4A0000}"/>
    <cellStyle name="Porcentagem 7 5 2" xfId="16978" xr:uid="{00000000-0005-0000-0000-00006D4A0000}"/>
    <cellStyle name="Porcentagem 7 5 3" xfId="16979" xr:uid="{00000000-0005-0000-0000-00006E4A0000}"/>
    <cellStyle name="Porcentagem 7 5 4" xfId="16980" xr:uid="{00000000-0005-0000-0000-00006F4A0000}"/>
    <cellStyle name="Porcentagem 7 6" xfId="16981" xr:uid="{00000000-0005-0000-0000-0000704A0000}"/>
    <cellStyle name="Porcentagem 7 6 2" xfId="16982" xr:uid="{00000000-0005-0000-0000-0000714A0000}"/>
    <cellStyle name="Porcentagem 7 6 3" xfId="16983" xr:uid="{00000000-0005-0000-0000-0000724A0000}"/>
    <cellStyle name="Porcentagem 7 6 4" xfId="16984" xr:uid="{00000000-0005-0000-0000-0000734A0000}"/>
    <cellStyle name="Porcentagem 7 7" xfId="16985" xr:uid="{00000000-0005-0000-0000-0000744A0000}"/>
    <cellStyle name="Porcentagem 7 7 2" xfId="16986" xr:uid="{00000000-0005-0000-0000-0000754A0000}"/>
    <cellStyle name="Porcentagem 7 7 3" xfId="16987" xr:uid="{00000000-0005-0000-0000-0000764A0000}"/>
    <cellStyle name="Porcentagem 7 7 4" xfId="16988" xr:uid="{00000000-0005-0000-0000-0000774A0000}"/>
    <cellStyle name="Porcentagem 7 8" xfId="16989" xr:uid="{00000000-0005-0000-0000-0000784A0000}"/>
    <cellStyle name="Porcentagem 7 8 2" xfId="16990" xr:uid="{00000000-0005-0000-0000-0000794A0000}"/>
    <cellStyle name="Porcentagem 7 8 3" xfId="16991" xr:uid="{00000000-0005-0000-0000-00007A4A0000}"/>
    <cellStyle name="Porcentagem 7 8 4" xfId="16992" xr:uid="{00000000-0005-0000-0000-00007B4A0000}"/>
    <cellStyle name="Porcentagem 7 9" xfId="16993" xr:uid="{00000000-0005-0000-0000-00007C4A0000}"/>
    <cellStyle name="Porcentagem 7 9 2" xfId="16994" xr:uid="{00000000-0005-0000-0000-00007D4A0000}"/>
    <cellStyle name="Porcentagem 7 9 2 2" xfId="16995" xr:uid="{00000000-0005-0000-0000-00007E4A0000}"/>
    <cellStyle name="Porcentagem 7 9 2 3" xfId="16996" xr:uid="{00000000-0005-0000-0000-00007F4A0000}"/>
    <cellStyle name="Porcentagem 7 9 2 4" xfId="16997" xr:uid="{00000000-0005-0000-0000-0000804A0000}"/>
    <cellStyle name="Porcentagem 7 9 3" xfId="16998" xr:uid="{00000000-0005-0000-0000-0000814A0000}"/>
    <cellStyle name="Porcentagem 7 9 3 2" xfId="16999" xr:uid="{00000000-0005-0000-0000-0000824A0000}"/>
    <cellStyle name="Porcentagem 7 9 3 3" xfId="17000" xr:uid="{00000000-0005-0000-0000-0000834A0000}"/>
    <cellStyle name="Porcentagem 7 9 3 4" xfId="17001" xr:uid="{00000000-0005-0000-0000-0000844A0000}"/>
    <cellStyle name="Porcentagem 7 9 4" xfId="17002" xr:uid="{00000000-0005-0000-0000-0000854A0000}"/>
    <cellStyle name="Porcentagem 8" xfId="620" xr:uid="{00000000-0005-0000-0000-0000864A0000}"/>
    <cellStyle name="Porcentagem 8 10" xfId="17003" xr:uid="{00000000-0005-0000-0000-0000874A0000}"/>
    <cellStyle name="Porcentagem 8 10 10" xfId="17004" xr:uid="{00000000-0005-0000-0000-0000884A0000}"/>
    <cellStyle name="Porcentagem 8 10 11" xfId="17005" xr:uid="{00000000-0005-0000-0000-0000894A0000}"/>
    <cellStyle name="Porcentagem 8 10 12" xfId="17006" xr:uid="{00000000-0005-0000-0000-00008A4A0000}"/>
    <cellStyle name="Porcentagem 8 10 13" xfId="17007" xr:uid="{00000000-0005-0000-0000-00008B4A0000}"/>
    <cellStyle name="Porcentagem 8 10 14" xfId="17008" xr:uid="{00000000-0005-0000-0000-00008C4A0000}"/>
    <cellStyle name="Porcentagem 8 10 15" xfId="17009" xr:uid="{00000000-0005-0000-0000-00008D4A0000}"/>
    <cellStyle name="Porcentagem 8 10 16" xfId="17010" xr:uid="{00000000-0005-0000-0000-00008E4A0000}"/>
    <cellStyle name="Porcentagem 8 10 17" xfId="17011" xr:uid="{00000000-0005-0000-0000-00008F4A0000}"/>
    <cellStyle name="Porcentagem 8 10 18" xfId="17012" xr:uid="{00000000-0005-0000-0000-0000904A0000}"/>
    <cellStyle name="Porcentagem 8 10 19" xfId="17013" xr:uid="{00000000-0005-0000-0000-0000914A0000}"/>
    <cellStyle name="Porcentagem 8 10 2" xfId="17014" xr:uid="{00000000-0005-0000-0000-0000924A0000}"/>
    <cellStyle name="Porcentagem 8 10 2 10" xfId="17015" xr:uid="{00000000-0005-0000-0000-0000934A0000}"/>
    <cellStyle name="Porcentagem 8 10 2 10 2" xfId="17016" xr:uid="{00000000-0005-0000-0000-0000944A0000}"/>
    <cellStyle name="Porcentagem 8 10 2 10 3" xfId="17017" xr:uid="{00000000-0005-0000-0000-0000954A0000}"/>
    <cellStyle name="Porcentagem 8 10 2 10 4" xfId="17018" xr:uid="{00000000-0005-0000-0000-0000964A0000}"/>
    <cellStyle name="Porcentagem 8 10 2 11" xfId="17019" xr:uid="{00000000-0005-0000-0000-0000974A0000}"/>
    <cellStyle name="Porcentagem 8 10 2 11 2" xfId="17020" xr:uid="{00000000-0005-0000-0000-0000984A0000}"/>
    <cellStyle name="Porcentagem 8 10 2 11 3" xfId="17021" xr:uid="{00000000-0005-0000-0000-0000994A0000}"/>
    <cellStyle name="Porcentagem 8 10 2 11 4" xfId="17022" xr:uid="{00000000-0005-0000-0000-00009A4A0000}"/>
    <cellStyle name="Porcentagem 8 10 2 12" xfId="17023" xr:uid="{00000000-0005-0000-0000-00009B4A0000}"/>
    <cellStyle name="Porcentagem 8 10 2 12 2" xfId="17024" xr:uid="{00000000-0005-0000-0000-00009C4A0000}"/>
    <cellStyle name="Porcentagem 8 10 2 12 3" xfId="17025" xr:uid="{00000000-0005-0000-0000-00009D4A0000}"/>
    <cellStyle name="Porcentagem 8 10 2 12 4" xfId="17026" xr:uid="{00000000-0005-0000-0000-00009E4A0000}"/>
    <cellStyle name="Porcentagem 8 10 2 13" xfId="17027" xr:uid="{00000000-0005-0000-0000-00009F4A0000}"/>
    <cellStyle name="Porcentagem 8 10 2 13 2" xfId="17028" xr:uid="{00000000-0005-0000-0000-0000A04A0000}"/>
    <cellStyle name="Porcentagem 8 10 2 13 3" xfId="17029" xr:uid="{00000000-0005-0000-0000-0000A14A0000}"/>
    <cellStyle name="Porcentagem 8 10 2 13 4" xfId="17030" xr:uid="{00000000-0005-0000-0000-0000A24A0000}"/>
    <cellStyle name="Porcentagem 8 10 2 14" xfId="17031" xr:uid="{00000000-0005-0000-0000-0000A34A0000}"/>
    <cellStyle name="Porcentagem 8 10 2 14 2" xfId="17032" xr:uid="{00000000-0005-0000-0000-0000A44A0000}"/>
    <cellStyle name="Porcentagem 8 10 2 14 3" xfId="17033" xr:uid="{00000000-0005-0000-0000-0000A54A0000}"/>
    <cellStyle name="Porcentagem 8 10 2 14 4" xfId="17034" xr:uid="{00000000-0005-0000-0000-0000A64A0000}"/>
    <cellStyle name="Porcentagem 8 10 2 15" xfId="17035" xr:uid="{00000000-0005-0000-0000-0000A74A0000}"/>
    <cellStyle name="Porcentagem 8 10 2 15 2" xfId="17036" xr:uid="{00000000-0005-0000-0000-0000A84A0000}"/>
    <cellStyle name="Porcentagem 8 10 2 15 3" xfId="17037" xr:uid="{00000000-0005-0000-0000-0000A94A0000}"/>
    <cellStyle name="Porcentagem 8 10 2 15 4" xfId="17038" xr:uid="{00000000-0005-0000-0000-0000AA4A0000}"/>
    <cellStyle name="Porcentagem 8 10 2 16" xfId="17039" xr:uid="{00000000-0005-0000-0000-0000AB4A0000}"/>
    <cellStyle name="Porcentagem 8 10 2 17" xfId="17040" xr:uid="{00000000-0005-0000-0000-0000AC4A0000}"/>
    <cellStyle name="Porcentagem 8 10 2 18" xfId="17041" xr:uid="{00000000-0005-0000-0000-0000AD4A0000}"/>
    <cellStyle name="Porcentagem 8 10 2 19" xfId="17042" xr:uid="{00000000-0005-0000-0000-0000AE4A0000}"/>
    <cellStyle name="Porcentagem 8 10 2 2" xfId="17043" xr:uid="{00000000-0005-0000-0000-0000AF4A0000}"/>
    <cellStyle name="Porcentagem 8 10 2 2 2" xfId="17044" xr:uid="{00000000-0005-0000-0000-0000B04A0000}"/>
    <cellStyle name="Porcentagem 8 10 2 2 3" xfId="17045" xr:uid="{00000000-0005-0000-0000-0000B14A0000}"/>
    <cellStyle name="Porcentagem 8 10 2 2 4" xfId="17046" xr:uid="{00000000-0005-0000-0000-0000B24A0000}"/>
    <cellStyle name="Porcentagem 8 10 2 20" xfId="17047" xr:uid="{00000000-0005-0000-0000-0000B34A0000}"/>
    <cellStyle name="Porcentagem 8 10 2 21" xfId="17048" xr:uid="{00000000-0005-0000-0000-0000B44A0000}"/>
    <cellStyle name="Porcentagem 8 10 2 3" xfId="17049" xr:uid="{00000000-0005-0000-0000-0000B54A0000}"/>
    <cellStyle name="Porcentagem 8 10 2 3 2" xfId="17050" xr:uid="{00000000-0005-0000-0000-0000B64A0000}"/>
    <cellStyle name="Porcentagem 8 10 2 3 3" xfId="17051" xr:uid="{00000000-0005-0000-0000-0000B74A0000}"/>
    <cellStyle name="Porcentagem 8 10 2 3 4" xfId="17052" xr:uid="{00000000-0005-0000-0000-0000B84A0000}"/>
    <cellStyle name="Porcentagem 8 10 2 4" xfId="17053" xr:uid="{00000000-0005-0000-0000-0000B94A0000}"/>
    <cellStyle name="Porcentagem 8 10 2 4 2" xfId="17054" xr:uid="{00000000-0005-0000-0000-0000BA4A0000}"/>
    <cellStyle name="Porcentagem 8 10 2 4 3" xfId="17055" xr:uid="{00000000-0005-0000-0000-0000BB4A0000}"/>
    <cellStyle name="Porcentagem 8 10 2 4 4" xfId="17056" xr:uid="{00000000-0005-0000-0000-0000BC4A0000}"/>
    <cellStyle name="Porcentagem 8 10 2 5" xfId="17057" xr:uid="{00000000-0005-0000-0000-0000BD4A0000}"/>
    <cellStyle name="Porcentagem 8 10 2 5 2" xfId="17058" xr:uid="{00000000-0005-0000-0000-0000BE4A0000}"/>
    <cellStyle name="Porcentagem 8 10 2 5 3" xfId="17059" xr:uid="{00000000-0005-0000-0000-0000BF4A0000}"/>
    <cellStyle name="Porcentagem 8 10 2 5 4" xfId="17060" xr:uid="{00000000-0005-0000-0000-0000C04A0000}"/>
    <cellStyle name="Porcentagem 8 10 2 6" xfId="17061" xr:uid="{00000000-0005-0000-0000-0000C14A0000}"/>
    <cellStyle name="Porcentagem 8 10 2 6 2" xfId="17062" xr:uid="{00000000-0005-0000-0000-0000C24A0000}"/>
    <cellStyle name="Porcentagem 8 10 2 6 3" xfId="17063" xr:uid="{00000000-0005-0000-0000-0000C34A0000}"/>
    <cellStyle name="Porcentagem 8 10 2 6 4" xfId="17064" xr:uid="{00000000-0005-0000-0000-0000C44A0000}"/>
    <cellStyle name="Porcentagem 8 10 2 7" xfId="17065" xr:uid="{00000000-0005-0000-0000-0000C54A0000}"/>
    <cellStyle name="Porcentagem 8 10 2 7 2" xfId="17066" xr:uid="{00000000-0005-0000-0000-0000C64A0000}"/>
    <cellStyle name="Porcentagem 8 10 2 7 3" xfId="17067" xr:uid="{00000000-0005-0000-0000-0000C74A0000}"/>
    <cellStyle name="Porcentagem 8 10 2 7 4" xfId="17068" xr:uid="{00000000-0005-0000-0000-0000C84A0000}"/>
    <cellStyle name="Porcentagem 8 10 2 8" xfId="17069" xr:uid="{00000000-0005-0000-0000-0000C94A0000}"/>
    <cellStyle name="Porcentagem 8 10 2 8 2" xfId="17070" xr:uid="{00000000-0005-0000-0000-0000CA4A0000}"/>
    <cellStyle name="Porcentagem 8 10 2 8 3" xfId="17071" xr:uid="{00000000-0005-0000-0000-0000CB4A0000}"/>
    <cellStyle name="Porcentagem 8 10 2 8 4" xfId="17072" xr:uid="{00000000-0005-0000-0000-0000CC4A0000}"/>
    <cellStyle name="Porcentagem 8 10 2 9" xfId="17073" xr:uid="{00000000-0005-0000-0000-0000CD4A0000}"/>
    <cellStyle name="Porcentagem 8 10 2 9 2" xfId="17074" xr:uid="{00000000-0005-0000-0000-0000CE4A0000}"/>
    <cellStyle name="Porcentagem 8 10 2 9 3" xfId="17075" xr:uid="{00000000-0005-0000-0000-0000CF4A0000}"/>
    <cellStyle name="Porcentagem 8 10 2 9 4" xfId="17076" xr:uid="{00000000-0005-0000-0000-0000D04A0000}"/>
    <cellStyle name="Porcentagem 8 10 20" xfId="17077" xr:uid="{00000000-0005-0000-0000-0000D14A0000}"/>
    <cellStyle name="Porcentagem 8 10 21" xfId="17078" xr:uid="{00000000-0005-0000-0000-0000D24A0000}"/>
    <cellStyle name="Porcentagem 8 10 22" xfId="17079" xr:uid="{00000000-0005-0000-0000-0000D34A0000}"/>
    <cellStyle name="Porcentagem 8 10 23" xfId="17080" xr:uid="{00000000-0005-0000-0000-0000D44A0000}"/>
    <cellStyle name="Porcentagem 8 10 24" xfId="17081" xr:uid="{00000000-0005-0000-0000-0000D54A0000}"/>
    <cellStyle name="Porcentagem 8 10 25" xfId="17082" xr:uid="{00000000-0005-0000-0000-0000D64A0000}"/>
    <cellStyle name="Porcentagem 8 10 26" xfId="17083" xr:uid="{00000000-0005-0000-0000-0000D74A0000}"/>
    <cellStyle name="Porcentagem 8 10 26 2" xfId="17084" xr:uid="{00000000-0005-0000-0000-0000D84A0000}"/>
    <cellStyle name="Porcentagem 8 10 26 3" xfId="17085" xr:uid="{00000000-0005-0000-0000-0000D94A0000}"/>
    <cellStyle name="Porcentagem 8 10 26 4" xfId="17086" xr:uid="{00000000-0005-0000-0000-0000DA4A0000}"/>
    <cellStyle name="Porcentagem 8 10 27" xfId="17087" xr:uid="{00000000-0005-0000-0000-0000DB4A0000}"/>
    <cellStyle name="Porcentagem 8 10 28" xfId="17088" xr:uid="{00000000-0005-0000-0000-0000DC4A0000}"/>
    <cellStyle name="Porcentagem 8 10 29" xfId="17089" xr:uid="{00000000-0005-0000-0000-0000DD4A0000}"/>
    <cellStyle name="Porcentagem 8 10 3" xfId="17090" xr:uid="{00000000-0005-0000-0000-0000DE4A0000}"/>
    <cellStyle name="Porcentagem 8 10 3 2" xfId="17091" xr:uid="{00000000-0005-0000-0000-0000DF4A0000}"/>
    <cellStyle name="Porcentagem 8 10 3 3" xfId="17092" xr:uid="{00000000-0005-0000-0000-0000E04A0000}"/>
    <cellStyle name="Porcentagem 8 10 3 4" xfId="17093" xr:uid="{00000000-0005-0000-0000-0000E14A0000}"/>
    <cellStyle name="Porcentagem 8 10 30" xfId="17094" xr:uid="{00000000-0005-0000-0000-0000E24A0000}"/>
    <cellStyle name="Porcentagem 8 10 31" xfId="17095" xr:uid="{00000000-0005-0000-0000-0000E34A0000}"/>
    <cellStyle name="Porcentagem 8 10 32" xfId="17096" xr:uid="{00000000-0005-0000-0000-0000E44A0000}"/>
    <cellStyle name="Porcentagem 8 10 33" xfId="17097" xr:uid="{00000000-0005-0000-0000-0000E54A0000}"/>
    <cellStyle name="Porcentagem 8 10 34" xfId="17098" xr:uid="{00000000-0005-0000-0000-0000E64A0000}"/>
    <cellStyle name="Porcentagem 8 10 35" xfId="17099" xr:uid="{00000000-0005-0000-0000-0000E74A0000}"/>
    <cellStyle name="Porcentagem 8 10 36" xfId="17100" xr:uid="{00000000-0005-0000-0000-0000E84A0000}"/>
    <cellStyle name="Porcentagem 8 10 4" xfId="17101" xr:uid="{00000000-0005-0000-0000-0000E94A0000}"/>
    <cellStyle name="Porcentagem 8 10 4 2" xfId="17102" xr:uid="{00000000-0005-0000-0000-0000EA4A0000}"/>
    <cellStyle name="Porcentagem 8 10 4 3" xfId="17103" xr:uid="{00000000-0005-0000-0000-0000EB4A0000}"/>
    <cellStyle name="Porcentagem 8 10 4 4" xfId="17104" xr:uid="{00000000-0005-0000-0000-0000EC4A0000}"/>
    <cellStyle name="Porcentagem 8 10 5" xfId="17105" xr:uid="{00000000-0005-0000-0000-0000ED4A0000}"/>
    <cellStyle name="Porcentagem 8 10 6" xfId="17106" xr:uid="{00000000-0005-0000-0000-0000EE4A0000}"/>
    <cellStyle name="Porcentagem 8 10 7" xfId="17107" xr:uid="{00000000-0005-0000-0000-0000EF4A0000}"/>
    <cellStyle name="Porcentagem 8 10 8" xfId="17108" xr:uid="{00000000-0005-0000-0000-0000F04A0000}"/>
    <cellStyle name="Porcentagem 8 10 9" xfId="17109" xr:uid="{00000000-0005-0000-0000-0000F14A0000}"/>
    <cellStyle name="Porcentagem 8 11" xfId="17110" xr:uid="{00000000-0005-0000-0000-0000F24A0000}"/>
    <cellStyle name="Porcentagem 8 12" xfId="17111" xr:uid="{00000000-0005-0000-0000-0000F34A0000}"/>
    <cellStyle name="Porcentagem 8 13" xfId="17112" xr:uid="{00000000-0005-0000-0000-0000F44A0000}"/>
    <cellStyle name="Porcentagem 8 14" xfId="17113" xr:uid="{00000000-0005-0000-0000-0000F54A0000}"/>
    <cellStyle name="Porcentagem 8 15" xfId="17114" xr:uid="{00000000-0005-0000-0000-0000F64A0000}"/>
    <cellStyle name="Porcentagem 8 16" xfId="17115" xr:uid="{00000000-0005-0000-0000-0000F74A0000}"/>
    <cellStyle name="Porcentagem 8 17" xfId="17116" xr:uid="{00000000-0005-0000-0000-0000F84A0000}"/>
    <cellStyle name="Porcentagem 8 18" xfId="17117" xr:uid="{00000000-0005-0000-0000-0000F94A0000}"/>
    <cellStyle name="Porcentagem 8 19" xfId="17118" xr:uid="{00000000-0005-0000-0000-0000FA4A0000}"/>
    <cellStyle name="Porcentagem 8 2" xfId="621" xr:uid="{00000000-0005-0000-0000-0000FB4A0000}"/>
    <cellStyle name="Porcentagem 8 2 10" xfId="17119" xr:uid="{00000000-0005-0000-0000-0000FC4A0000}"/>
    <cellStyle name="Porcentagem 8 2 11" xfId="17120" xr:uid="{00000000-0005-0000-0000-0000FD4A0000}"/>
    <cellStyle name="Porcentagem 8 2 12" xfId="17121" xr:uid="{00000000-0005-0000-0000-0000FE4A0000}"/>
    <cellStyle name="Porcentagem 8 2 13" xfId="17122" xr:uid="{00000000-0005-0000-0000-0000FF4A0000}"/>
    <cellStyle name="Porcentagem 8 2 2" xfId="622" xr:uid="{00000000-0005-0000-0000-0000004B0000}"/>
    <cellStyle name="Porcentagem 8 2 2 10" xfId="17123" xr:uid="{00000000-0005-0000-0000-0000014B0000}"/>
    <cellStyle name="Porcentagem 8 2 2 11" xfId="17124" xr:uid="{00000000-0005-0000-0000-0000024B0000}"/>
    <cellStyle name="Porcentagem 8 2 2 12" xfId="17125" xr:uid="{00000000-0005-0000-0000-0000034B0000}"/>
    <cellStyle name="Porcentagem 8 2 2 13" xfId="17126" xr:uid="{00000000-0005-0000-0000-0000044B0000}"/>
    <cellStyle name="Porcentagem 8 2 2 14" xfId="17127" xr:uid="{00000000-0005-0000-0000-0000054B0000}"/>
    <cellStyle name="Porcentagem 8 2 2 15" xfId="17128" xr:uid="{00000000-0005-0000-0000-0000064B0000}"/>
    <cellStyle name="Porcentagem 8 2 2 16" xfId="17129" xr:uid="{00000000-0005-0000-0000-0000074B0000}"/>
    <cellStyle name="Porcentagem 8 2 2 17" xfId="17130" xr:uid="{00000000-0005-0000-0000-0000084B0000}"/>
    <cellStyle name="Porcentagem 8 2 2 2" xfId="17131" xr:uid="{00000000-0005-0000-0000-0000094B0000}"/>
    <cellStyle name="Porcentagem 8 2 2 2 10" xfId="17132" xr:uid="{00000000-0005-0000-0000-00000A4B0000}"/>
    <cellStyle name="Porcentagem 8 2 2 2 11" xfId="17133" xr:uid="{00000000-0005-0000-0000-00000B4B0000}"/>
    <cellStyle name="Porcentagem 8 2 2 2 12" xfId="17134" xr:uid="{00000000-0005-0000-0000-00000C4B0000}"/>
    <cellStyle name="Porcentagem 8 2 2 2 13" xfId="17135" xr:uid="{00000000-0005-0000-0000-00000D4B0000}"/>
    <cellStyle name="Porcentagem 8 2 2 2 14" xfId="17136" xr:uid="{00000000-0005-0000-0000-00000E4B0000}"/>
    <cellStyle name="Porcentagem 8 2 2 2 2" xfId="17137" xr:uid="{00000000-0005-0000-0000-00000F4B0000}"/>
    <cellStyle name="Porcentagem 8 2 2 2 2 10" xfId="17138" xr:uid="{00000000-0005-0000-0000-0000104B0000}"/>
    <cellStyle name="Porcentagem 8 2 2 2 2 2" xfId="17139" xr:uid="{00000000-0005-0000-0000-0000114B0000}"/>
    <cellStyle name="Porcentagem 8 2 2 2 2 3" xfId="17140" xr:uid="{00000000-0005-0000-0000-0000124B0000}"/>
    <cellStyle name="Porcentagem 8 2 2 2 2 4" xfId="17141" xr:uid="{00000000-0005-0000-0000-0000134B0000}"/>
    <cellStyle name="Porcentagem 8 2 2 2 2 5" xfId="17142" xr:uid="{00000000-0005-0000-0000-0000144B0000}"/>
    <cellStyle name="Porcentagem 8 2 2 2 2 6" xfId="17143" xr:uid="{00000000-0005-0000-0000-0000154B0000}"/>
    <cellStyle name="Porcentagem 8 2 2 2 2 7" xfId="17144" xr:uid="{00000000-0005-0000-0000-0000164B0000}"/>
    <cellStyle name="Porcentagem 8 2 2 2 2 8" xfId="17145" xr:uid="{00000000-0005-0000-0000-0000174B0000}"/>
    <cellStyle name="Porcentagem 8 2 2 2 2 9" xfId="17146" xr:uid="{00000000-0005-0000-0000-0000184B0000}"/>
    <cellStyle name="Porcentagem 8 2 2 2 3" xfId="17147" xr:uid="{00000000-0005-0000-0000-0000194B0000}"/>
    <cellStyle name="Porcentagem 8 2 2 2 3 10" xfId="17148" xr:uid="{00000000-0005-0000-0000-00001A4B0000}"/>
    <cellStyle name="Porcentagem 8 2 2 2 3 2" xfId="17149" xr:uid="{00000000-0005-0000-0000-00001B4B0000}"/>
    <cellStyle name="Porcentagem 8 2 2 2 3 3" xfId="17150" xr:uid="{00000000-0005-0000-0000-00001C4B0000}"/>
    <cellStyle name="Porcentagem 8 2 2 2 3 4" xfId="17151" xr:uid="{00000000-0005-0000-0000-00001D4B0000}"/>
    <cellStyle name="Porcentagem 8 2 2 2 3 5" xfId="17152" xr:uid="{00000000-0005-0000-0000-00001E4B0000}"/>
    <cellStyle name="Porcentagem 8 2 2 2 3 6" xfId="17153" xr:uid="{00000000-0005-0000-0000-00001F4B0000}"/>
    <cellStyle name="Porcentagem 8 2 2 2 3 7" xfId="17154" xr:uid="{00000000-0005-0000-0000-0000204B0000}"/>
    <cellStyle name="Porcentagem 8 2 2 2 3 8" xfId="17155" xr:uid="{00000000-0005-0000-0000-0000214B0000}"/>
    <cellStyle name="Porcentagem 8 2 2 2 3 9" xfId="17156" xr:uid="{00000000-0005-0000-0000-0000224B0000}"/>
    <cellStyle name="Porcentagem 8 2 2 2 4" xfId="17157" xr:uid="{00000000-0005-0000-0000-0000234B0000}"/>
    <cellStyle name="Porcentagem 8 2 2 2 5" xfId="17158" xr:uid="{00000000-0005-0000-0000-0000244B0000}"/>
    <cellStyle name="Porcentagem 8 2 2 2 6" xfId="17159" xr:uid="{00000000-0005-0000-0000-0000254B0000}"/>
    <cellStyle name="Porcentagem 8 2 2 2 7" xfId="17160" xr:uid="{00000000-0005-0000-0000-0000264B0000}"/>
    <cellStyle name="Porcentagem 8 2 2 2 8" xfId="17161" xr:uid="{00000000-0005-0000-0000-0000274B0000}"/>
    <cellStyle name="Porcentagem 8 2 2 2 9" xfId="17162" xr:uid="{00000000-0005-0000-0000-0000284B0000}"/>
    <cellStyle name="Porcentagem 8 2 2 3" xfId="17163" xr:uid="{00000000-0005-0000-0000-0000294B0000}"/>
    <cellStyle name="Porcentagem 8 2 2 3 10" xfId="17164" xr:uid="{00000000-0005-0000-0000-00002A4B0000}"/>
    <cellStyle name="Porcentagem 8 2 2 3 2" xfId="17165" xr:uid="{00000000-0005-0000-0000-00002B4B0000}"/>
    <cellStyle name="Porcentagem 8 2 2 3 3" xfId="17166" xr:uid="{00000000-0005-0000-0000-00002C4B0000}"/>
    <cellStyle name="Porcentagem 8 2 2 3 4" xfId="17167" xr:uid="{00000000-0005-0000-0000-00002D4B0000}"/>
    <cellStyle name="Porcentagem 8 2 2 3 5" xfId="17168" xr:uid="{00000000-0005-0000-0000-00002E4B0000}"/>
    <cellStyle name="Porcentagem 8 2 2 3 6" xfId="17169" xr:uid="{00000000-0005-0000-0000-00002F4B0000}"/>
    <cellStyle name="Porcentagem 8 2 2 3 7" xfId="17170" xr:uid="{00000000-0005-0000-0000-0000304B0000}"/>
    <cellStyle name="Porcentagem 8 2 2 3 8" xfId="17171" xr:uid="{00000000-0005-0000-0000-0000314B0000}"/>
    <cellStyle name="Porcentagem 8 2 2 3 9" xfId="17172" xr:uid="{00000000-0005-0000-0000-0000324B0000}"/>
    <cellStyle name="Porcentagem 8 2 2 4" xfId="17173" xr:uid="{00000000-0005-0000-0000-0000334B0000}"/>
    <cellStyle name="Porcentagem 8 2 2 4 10" xfId="17174" xr:uid="{00000000-0005-0000-0000-0000344B0000}"/>
    <cellStyle name="Porcentagem 8 2 2 4 2" xfId="17175" xr:uid="{00000000-0005-0000-0000-0000354B0000}"/>
    <cellStyle name="Porcentagem 8 2 2 4 3" xfId="17176" xr:uid="{00000000-0005-0000-0000-0000364B0000}"/>
    <cellStyle name="Porcentagem 8 2 2 4 4" xfId="17177" xr:uid="{00000000-0005-0000-0000-0000374B0000}"/>
    <cellStyle name="Porcentagem 8 2 2 4 5" xfId="17178" xr:uid="{00000000-0005-0000-0000-0000384B0000}"/>
    <cellStyle name="Porcentagem 8 2 2 4 6" xfId="17179" xr:uid="{00000000-0005-0000-0000-0000394B0000}"/>
    <cellStyle name="Porcentagem 8 2 2 4 7" xfId="17180" xr:uid="{00000000-0005-0000-0000-00003A4B0000}"/>
    <cellStyle name="Porcentagem 8 2 2 4 8" xfId="17181" xr:uid="{00000000-0005-0000-0000-00003B4B0000}"/>
    <cellStyle name="Porcentagem 8 2 2 4 9" xfId="17182" xr:uid="{00000000-0005-0000-0000-00003C4B0000}"/>
    <cellStyle name="Porcentagem 8 2 2 5" xfId="17183" xr:uid="{00000000-0005-0000-0000-00003D4B0000}"/>
    <cellStyle name="Porcentagem 8 2 2 5 2" xfId="17184" xr:uid="{00000000-0005-0000-0000-00003E4B0000}"/>
    <cellStyle name="Porcentagem 8 2 2 5 3" xfId="17185" xr:uid="{00000000-0005-0000-0000-00003F4B0000}"/>
    <cellStyle name="Porcentagem 8 2 2 5 4" xfId="17186" xr:uid="{00000000-0005-0000-0000-0000404B0000}"/>
    <cellStyle name="Porcentagem 8 2 2 6" xfId="17187" xr:uid="{00000000-0005-0000-0000-0000414B0000}"/>
    <cellStyle name="Porcentagem 8 2 2 6 2" xfId="17188" xr:uid="{00000000-0005-0000-0000-0000424B0000}"/>
    <cellStyle name="Porcentagem 8 2 2 6 3" xfId="17189" xr:uid="{00000000-0005-0000-0000-0000434B0000}"/>
    <cellStyle name="Porcentagem 8 2 2 6 4" xfId="17190" xr:uid="{00000000-0005-0000-0000-0000444B0000}"/>
    <cellStyle name="Porcentagem 8 2 2 7" xfId="17191" xr:uid="{00000000-0005-0000-0000-0000454B0000}"/>
    <cellStyle name="Porcentagem 8 2 2 7 2" xfId="17192" xr:uid="{00000000-0005-0000-0000-0000464B0000}"/>
    <cellStyle name="Porcentagem 8 2 2 7 3" xfId="17193" xr:uid="{00000000-0005-0000-0000-0000474B0000}"/>
    <cellStyle name="Porcentagem 8 2 2 7 4" xfId="17194" xr:uid="{00000000-0005-0000-0000-0000484B0000}"/>
    <cellStyle name="Porcentagem 8 2 2 8" xfId="17195" xr:uid="{00000000-0005-0000-0000-0000494B0000}"/>
    <cellStyle name="Porcentagem 8 2 2 8 2" xfId="17196" xr:uid="{00000000-0005-0000-0000-00004A4B0000}"/>
    <cellStyle name="Porcentagem 8 2 2 8 3" xfId="17197" xr:uid="{00000000-0005-0000-0000-00004B4B0000}"/>
    <cellStyle name="Porcentagem 8 2 2 8 4" xfId="17198" xr:uid="{00000000-0005-0000-0000-00004C4B0000}"/>
    <cellStyle name="Porcentagem 8 2 2 9" xfId="17199" xr:uid="{00000000-0005-0000-0000-00004D4B0000}"/>
    <cellStyle name="Porcentagem 8 2 2 9 2" xfId="17200" xr:uid="{00000000-0005-0000-0000-00004E4B0000}"/>
    <cellStyle name="Porcentagem 8 2 2 9 3" xfId="17201" xr:uid="{00000000-0005-0000-0000-00004F4B0000}"/>
    <cellStyle name="Porcentagem 8 2 2 9 4" xfId="17202" xr:uid="{00000000-0005-0000-0000-0000504B0000}"/>
    <cellStyle name="Porcentagem 8 2 3" xfId="17203" xr:uid="{00000000-0005-0000-0000-0000514B0000}"/>
    <cellStyle name="Porcentagem 8 2 3 10" xfId="17204" xr:uid="{00000000-0005-0000-0000-0000524B0000}"/>
    <cellStyle name="Porcentagem 8 2 3 2" xfId="17205" xr:uid="{00000000-0005-0000-0000-0000534B0000}"/>
    <cellStyle name="Porcentagem 8 2 3 3" xfId="17206" xr:uid="{00000000-0005-0000-0000-0000544B0000}"/>
    <cellStyle name="Porcentagem 8 2 3 4" xfId="17207" xr:uid="{00000000-0005-0000-0000-0000554B0000}"/>
    <cellStyle name="Porcentagem 8 2 3 5" xfId="17208" xr:uid="{00000000-0005-0000-0000-0000564B0000}"/>
    <cellStyle name="Porcentagem 8 2 3 6" xfId="17209" xr:uid="{00000000-0005-0000-0000-0000574B0000}"/>
    <cellStyle name="Porcentagem 8 2 3 7" xfId="17210" xr:uid="{00000000-0005-0000-0000-0000584B0000}"/>
    <cellStyle name="Porcentagem 8 2 3 8" xfId="17211" xr:uid="{00000000-0005-0000-0000-0000594B0000}"/>
    <cellStyle name="Porcentagem 8 2 3 9" xfId="17212" xr:uid="{00000000-0005-0000-0000-00005A4B0000}"/>
    <cellStyle name="Porcentagem 8 2 4" xfId="17213" xr:uid="{00000000-0005-0000-0000-00005B4B0000}"/>
    <cellStyle name="Porcentagem 8 2 5" xfId="17214" xr:uid="{00000000-0005-0000-0000-00005C4B0000}"/>
    <cellStyle name="Porcentagem 8 2 6" xfId="17215" xr:uid="{00000000-0005-0000-0000-00005D4B0000}"/>
    <cellStyle name="Porcentagem 8 2 7" xfId="17216" xr:uid="{00000000-0005-0000-0000-00005E4B0000}"/>
    <cellStyle name="Porcentagem 8 2 8" xfId="17217" xr:uid="{00000000-0005-0000-0000-00005F4B0000}"/>
    <cellStyle name="Porcentagem 8 2 9" xfId="17218" xr:uid="{00000000-0005-0000-0000-0000604B0000}"/>
    <cellStyle name="Porcentagem 8 20" xfId="17219" xr:uid="{00000000-0005-0000-0000-0000614B0000}"/>
    <cellStyle name="Porcentagem 8 21" xfId="17220" xr:uid="{00000000-0005-0000-0000-0000624B0000}"/>
    <cellStyle name="Porcentagem 8 22" xfId="17221" xr:uid="{00000000-0005-0000-0000-0000634B0000}"/>
    <cellStyle name="Porcentagem 8 23" xfId="17222" xr:uid="{00000000-0005-0000-0000-0000644B0000}"/>
    <cellStyle name="Porcentagem 8 24" xfId="17223" xr:uid="{00000000-0005-0000-0000-0000654B0000}"/>
    <cellStyle name="Porcentagem 8 25" xfId="17224" xr:uid="{00000000-0005-0000-0000-0000664B0000}"/>
    <cellStyle name="Porcentagem 8 3" xfId="623" xr:uid="{00000000-0005-0000-0000-0000674B0000}"/>
    <cellStyle name="Porcentagem 8 3 10" xfId="17226" xr:uid="{00000000-0005-0000-0000-0000684B0000}"/>
    <cellStyle name="Porcentagem 8 3 11" xfId="17227" xr:uid="{00000000-0005-0000-0000-0000694B0000}"/>
    <cellStyle name="Porcentagem 8 3 12" xfId="17225" xr:uid="{00000000-0005-0000-0000-00006A4B0000}"/>
    <cellStyle name="Porcentagem 8 3 2" xfId="17228" xr:uid="{00000000-0005-0000-0000-00006B4B0000}"/>
    <cellStyle name="Porcentagem 8 3 3" xfId="17229" xr:uid="{00000000-0005-0000-0000-00006C4B0000}"/>
    <cellStyle name="Porcentagem 8 3 4" xfId="17230" xr:uid="{00000000-0005-0000-0000-00006D4B0000}"/>
    <cellStyle name="Porcentagem 8 3 5" xfId="17231" xr:uid="{00000000-0005-0000-0000-00006E4B0000}"/>
    <cellStyle name="Porcentagem 8 3 6" xfId="17232" xr:uid="{00000000-0005-0000-0000-00006F4B0000}"/>
    <cellStyle name="Porcentagem 8 3 7" xfId="17233" xr:uid="{00000000-0005-0000-0000-0000704B0000}"/>
    <cellStyle name="Porcentagem 8 3 8" xfId="17234" xr:uid="{00000000-0005-0000-0000-0000714B0000}"/>
    <cellStyle name="Porcentagem 8 3 9" xfId="17235" xr:uid="{00000000-0005-0000-0000-0000724B0000}"/>
    <cellStyle name="Porcentagem 8 4" xfId="624" xr:uid="{00000000-0005-0000-0000-0000734B0000}"/>
    <cellStyle name="Porcentagem 8 4 10" xfId="17237" xr:uid="{00000000-0005-0000-0000-0000744B0000}"/>
    <cellStyle name="Porcentagem 8 4 11" xfId="17236" xr:uid="{00000000-0005-0000-0000-0000754B0000}"/>
    <cellStyle name="Porcentagem 8 4 2" xfId="17238" xr:uid="{00000000-0005-0000-0000-0000764B0000}"/>
    <cellStyle name="Porcentagem 8 4 3" xfId="17239" xr:uid="{00000000-0005-0000-0000-0000774B0000}"/>
    <cellStyle name="Porcentagem 8 4 4" xfId="17240" xr:uid="{00000000-0005-0000-0000-0000784B0000}"/>
    <cellStyle name="Porcentagem 8 4 5" xfId="17241" xr:uid="{00000000-0005-0000-0000-0000794B0000}"/>
    <cellStyle name="Porcentagem 8 4 6" xfId="17242" xr:uid="{00000000-0005-0000-0000-00007A4B0000}"/>
    <cellStyle name="Porcentagem 8 4 7" xfId="17243" xr:uid="{00000000-0005-0000-0000-00007B4B0000}"/>
    <cellStyle name="Porcentagem 8 4 8" xfId="17244" xr:uid="{00000000-0005-0000-0000-00007C4B0000}"/>
    <cellStyle name="Porcentagem 8 4 9" xfId="17245" xr:uid="{00000000-0005-0000-0000-00007D4B0000}"/>
    <cellStyle name="Porcentagem 8 5" xfId="17246" xr:uid="{00000000-0005-0000-0000-00007E4B0000}"/>
    <cellStyle name="Porcentagem 8 5 2" xfId="17247" xr:uid="{00000000-0005-0000-0000-00007F4B0000}"/>
    <cellStyle name="Porcentagem 8 5 3" xfId="17248" xr:uid="{00000000-0005-0000-0000-0000804B0000}"/>
    <cellStyle name="Porcentagem 8 5 4" xfId="17249" xr:uid="{00000000-0005-0000-0000-0000814B0000}"/>
    <cellStyle name="Porcentagem 8 6" xfId="17250" xr:uid="{00000000-0005-0000-0000-0000824B0000}"/>
    <cellStyle name="Porcentagem 8 6 2" xfId="17251" xr:uid="{00000000-0005-0000-0000-0000834B0000}"/>
    <cellStyle name="Porcentagem 8 6 3" xfId="17252" xr:uid="{00000000-0005-0000-0000-0000844B0000}"/>
    <cellStyle name="Porcentagem 8 6 4" xfId="17253" xr:uid="{00000000-0005-0000-0000-0000854B0000}"/>
    <cellStyle name="Porcentagem 8 7" xfId="17254" xr:uid="{00000000-0005-0000-0000-0000864B0000}"/>
    <cellStyle name="Porcentagem 8 7 2" xfId="17255" xr:uid="{00000000-0005-0000-0000-0000874B0000}"/>
    <cellStyle name="Porcentagem 8 7 3" xfId="17256" xr:uid="{00000000-0005-0000-0000-0000884B0000}"/>
    <cellStyle name="Porcentagem 8 7 4" xfId="17257" xr:uid="{00000000-0005-0000-0000-0000894B0000}"/>
    <cellStyle name="Porcentagem 8 8" xfId="17258" xr:uid="{00000000-0005-0000-0000-00008A4B0000}"/>
    <cellStyle name="Porcentagem 8 8 2" xfId="17259" xr:uid="{00000000-0005-0000-0000-00008B4B0000}"/>
    <cellStyle name="Porcentagem 8 8 3" xfId="17260" xr:uid="{00000000-0005-0000-0000-00008C4B0000}"/>
    <cellStyle name="Porcentagem 8 8 4" xfId="17261" xr:uid="{00000000-0005-0000-0000-00008D4B0000}"/>
    <cellStyle name="Porcentagem 8 9" xfId="17262" xr:uid="{00000000-0005-0000-0000-00008E4B0000}"/>
    <cellStyle name="Porcentagem 8 9 2" xfId="17263" xr:uid="{00000000-0005-0000-0000-00008F4B0000}"/>
    <cellStyle name="Porcentagem 8 9 2 2" xfId="17264" xr:uid="{00000000-0005-0000-0000-0000904B0000}"/>
    <cellStyle name="Porcentagem 8 9 2 3" xfId="17265" xr:uid="{00000000-0005-0000-0000-0000914B0000}"/>
    <cellStyle name="Porcentagem 8 9 2 4" xfId="17266" xr:uid="{00000000-0005-0000-0000-0000924B0000}"/>
    <cellStyle name="Porcentagem 8 9 3" xfId="17267" xr:uid="{00000000-0005-0000-0000-0000934B0000}"/>
    <cellStyle name="Porcentagem 8 9 3 2" xfId="17268" xr:uid="{00000000-0005-0000-0000-0000944B0000}"/>
    <cellStyle name="Porcentagem 8 9 3 3" xfId="17269" xr:uid="{00000000-0005-0000-0000-0000954B0000}"/>
    <cellStyle name="Porcentagem 8 9 3 4" xfId="17270" xr:uid="{00000000-0005-0000-0000-0000964B0000}"/>
    <cellStyle name="Porcentagem 8 9 4" xfId="17271" xr:uid="{00000000-0005-0000-0000-0000974B0000}"/>
    <cellStyle name="Porcentagem 9" xfId="625" xr:uid="{00000000-0005-0000-0000-0000984B0000}"/>
    <cellStyle name="Porcentagem 9 10" xfId="17272" xr:uid="{00000000-0005-0000-0000-0000994B0000}"/>
    <cellStyle name="Porcentagem 9 11" xfId="17273" xr:uid="{00000000-0005-0000-0000-00009A4B0000}"/>
    <cellStyle name="Porcentagem 9 12" xfId="17274" xr:uid="{00000000-0005-0000-0000-00009B4B0000}"/>
    <cellStyle name="Porcentagem 9 13" xfId="17275" xr:uid="{00000000-0005-0000-0000-00009C4B0000}"/>
    <cellStyle name="Porcentagem 9 14" xfId="17276" xr:uid="{00000000-0005-0000-0000-00009D4B0000}"/>
    <cellStyle name="Porcentagem 9 15" xfId="17277" xr:uid="{00000000-0005-0000-0000-00009E4B0000}"/>
    <cellStyle name="Porcentagem 9 16" xfId="17278" xr:uid="{00000000-0005-0000-0000-00009F4B0000}"/>
    <cellStyle name="Porcentagem 9 17" xfId="17279" xr:uid="{00000000-0005-0000-0000-0000A04B0000}"/>
    <cellStyle name="Porcentagem 9 18" xfId="17280" xr:uid="{00000000-0005-0000-0000-0000A14B0000}"/>
    <cellStyle name="Porcentagem 9 2" xfId="626" xr:uid="{00000000-0005-0000-0000-0000A24B0000}"/>
    <cellStyle name="Porcentagem 9 2 10" xfId="17282" xr:uid="{00000000-0005-0000-0000-0000A34B0000}"/>
    <cellStyle name="Porcentagem 9 2 11" xfId="17283" xr:uid="{00000000-0005-0000-0000-0000A44B0000}"/>
    <cellStyle name="Porcentagem 9 2 12" xfId="17284" xr:uid="{00000000-0005-0000-0000-0000A54B0000}"/>
    <cellStyle name="Porcentagem 9 2 13" xfId="17285" xr:uid="{00000000-0005-0000-0000-0000A64B0000}"/>
    <cellStyle name="Porcentagem 9 2 14" xfId="17286" xr:uid="{00000000-0005-0000-0000-0000A74B0000}"/>
    <cellStyle name="Porcentagem 9 2 15" xfId="17287" xr:uid="{00000000-0005-0000-0000-0000A84B0000}"/>
    <cellStyle name="Porcentagem 9 2 16" xfId="17288" xr:uid="{00000000-0005-0000-0000-0000A94B0000}"/>
    <cellStyle name="Porcentagem 9 2 17" xfId="17281" xr:uid="{00000000-0005-0000-0000-0000AA4B0000}"/>
    <cellStyle name="Porcentagem 9 2 2" xfId="17289" xr:uid="{00000000-0005-0000-0000-0000AB4B0000}"/>
    <cellStyle name="Porcentagem 9 2 2 10" xfId="17290" xr:uid="{00000000-0005-0000-0000-0000AC4B0000}"/>
    <cellStyle name="Porcentagem 9 2 2 11" xfId="17291" xr:uid="{00000000-0005-0000-0000-0000AD4B0000}"/>
    <cellStyle name="Porcentagem 9 2 2 2" xfId="17292" xr:uid="{00000000-0005-0000-0000-0000AE4B0000}"/>
    <cellStyle name="Porcentagem 9 2 2 3" xfId="17293" xr:uid="{00000000-0005-0000-0000-0000AF4B0000}"/>
    <cellStyle name="Porcentagem 9 2 2 4" xfId="17294" xr:uid="{00000000-0005-0000-0000-0000B04B0000}"/>
    <cellStyle name="Porcentagem 9 2 2 5" xfId="17295" xr:uid="{00000000-0005-0000-0000-0000B14B0000}"/>
    <cellStyle name="Porcentagem 9 2 2 6" xfId="17296" xr:uid="{00000000-0005-0000-0000-0000B24B0000}"/>
    <cellStyle name="Porcentagem 9 2 2 7" xfId="17297" xr:uid="{00000000-0005-0000-0000-0000B34B0000}"/>
    <cellStyle name="Porcentagem 9 2 2 8" xfId="17298" xr:uid="{00000000-0005-0000-0000-0000B44B0000}"/>
    <cellStyle name="Porcentagem 9 2 2 9" xfId="17299" xr:uid="{00000000-0005-0000-0000-0000B54B0000}"/>
    <cellStyle name="Porcentagem 9 2 3" xfId="17300" xr:uid="{00000000-0005-0000-0000-0000B64B0000}"/>
    <cellStyle name="Porcentagem 9 2 3 10" xfId="17301" xr:uid="{00000000-0005-0000-0000-0000B74B0000}"/>
    <cellStyle name="Porcentagem 9 2 3 2" xfId="17302" xr:uid="{00000000-0005-0000-0000-0000B84B0000}"/>
    <cellStyle name="Porcentagem 9 2 3 3" xfId="17303" xr:uid="{00000000-0005-0000-0000-0000B94B0000}"/>
    <cellStyle name="Porcentagem 9 2 3 4" xfId="17304" xr:uid="{00000000-0005-0000-0000-0000BA4B0000}"/>
    <cellStyle name="Porcentagem 9 2 3 5" xfId="17305" xr:uid="{00000000-0005-0000-0000-0000BB4B0000}"/>
    <cellStyle name="Porcentagem 9 2 3 6" xfId="17306" xr:uid="{00000000-0005-0000-0000-0000BC4B0000}"/>
    <cellStyle name="Porcentagem 9 2 3 7" xfId="17307" xr:uid="{00000000-0005-0000-0000-0000BD4B0000}"/>
    <cellStyle name="Porcentagem 9 2 3 8" xfId="17308" xr:uid="{00000000-0005-0000-0000-0000BE4B0000}"/>
    <cellStyle name="Porcentagem 9 2 3 9" xfId="17309" xr:uid="{00000000-0005-0000-0000-0000BF4B0000}"/>
    <cellStyle name="Porcentagem 9 2 4" xfId="17310" xr:uid="{00000000-0005-0000-0000-0000C04B0000}"/>
    <cellStyle name="Porcentagem 9 2 4 2" xfId="17311" xr:uid="{00000000-0005-0000-0000-0000C14B0000}"/>
    <cellStyle name="Porcentagem 9 2 4 3" xfId="17312" xr:uid="{00000000-0005-0000-0000-0000C24B0000}"/>
    <cellStyle name="Porcentagem 9 2 4 4" xfId="17313" xr:uid="{00000000-0005-0000-0000-0000C34B0000}"/>
    <cellStyle name="Porcentagem 9 2 5" xfId="17314" xr:uid="{00000000-0005-0000-0000-0000C44B0000}"/>
    <cellStyle name="Porcentagem 9 2 5 2" xfId="17315" xr:uid="{00000000-0005-0000-0000-0000C54B0000}"/>
    <cellStyle name="Porcentagem 9 2 5 3" xfId="17316" xr:uid="{00000000-0005-0000-0000-0000C64B0000}"/>
    <cellStyle name="Porcentagem 9 2 5 4" xfId="17317" xr:uid="{00000000-0005-0000-0000-0000C74B0000}"/>
    <cellStyle name="Porcentagem 9 2 6" xfId="17318" xr:uid="{00000000-0005-0000-0000-0000C84B0000}"/>
    <cellStyle name="Porcentagem 9 2 6 2" xfId="17319" xr:uid="{00000000-0005-0000-0000-0000C94B0000}"/>
    <cellStyle name="Porcentagem 9 2 6 3" xfId="17320" xr:uid="{00000000-0005-0000-0000-0000CA4B0000}"/>
    <cellStyle name="Porcentagem 9 2 6 4" xfId="17321" xr:uid="{00000000-0005-0000-0000-0000CB4B0000}"/>
    <cellStyle name="Porcentagem 9 2 7" xfId="17322" xr:uid="{00000000-0005-0000-0000-0000CC4B0000}"/>
    <cellStyle name="Porcentagem 9 2 7 2" xfId="17323" xr:uid="{00000000-0005-0000-0000-0000CD4B0000}"/>
    <cellStyle name="Porcentagem 9 2 7 3" xfId="17324" xr:uid="{00000000-0005-0000-0000-0000CE4B0000}"/>
    <cellStyle name="Porcentagem 9 2 7 4" xfId="17325" xr:uid="{00000000-0005-0000-0000-0000CF4B0000}"/>
    <cellStyle name="Porcentagem 9 2 8" xfId="17326" xr:uid="{00000000-0005-0000-0000-0000D04B0000}"/>
    <cellStyle name="Porcentagem 9 2 8 2" xfId="17327" xr:uid="{00000000-0005-0000-0000-0000D14B0000}"/>
    <cellStyle name="Porcentagem 9 2 8 3" xfId="17328" xr:uid="{00000000-0005-0000-0000-0000D24B0000}"/>
    <cellStyle name="Porcentagem 9 2 8 4" xfId="17329" xr:uid="{00000000-0005-0000-0000-0000D34B0000}"/>
    <cellStyle name="Porcentagem 9 2 9" xfId="17330" xr:uid="{00000000-0005-0000-0000-0000D44B0000}"/>
    <cellStyle name="Porcentagem 9 3" xfId="627" xr:uid="{00000000-0005-0000-0000-0000D54B0000}"/>
    <cellStyle name="Porcentagem 9 3 10" xfId="17332" xr:uid="{00000000-0005-0000-0000-0000D64B0000}"/>
    <cellStyle name="Porcentagem 9 3 11" xfId="17333" xr:uid="{00000000-0005-0000-0000-0000D74B0000}"/>
    <cellStyle name="Porcentagem 9 3 12" xfId="17331" xr:uid="{00000000-0005-0000-0000-0000D84B0000}"/>
    <cellStyle name="Porcentagem 9 3 2" xfId="17334" xr:uid="{00000000-0005-0000-0000-0000D94B0000}"/>
    <cellStyle name="Porcentagem 9 3 3" xfId="17335" xr:uid="{00000000-0005-0000-0000-0000DA4B0000}"/>
    <cellStyle name="Porcentagem 9 3 4" xfId="17336" xr:uid="{00000000-0005-0000-0000-0000DB4B0000}"/>
    <cellStyle name="Porcentagem 9 3 5" xfId="17337" xr:uid="{00000000-0005-0000-0000-0000DC4B0000}"/>
    <cellStyle name="Porcentagem 9 3 6" xfId="17338" xr:uid="{00000000-0005-0000-0000-0000DD4B0000}"/>
    <cellStyle name="Porcentagem 9 3 7" xfId="17339" xr:uid="{00000000-0005-0000-0000-0000DE4B0000}"/>
    <cellStyle name="Porcentagem 9 3 8" xfId="17340" xr:uid="{00000000-0005-0000-0000-0000DF4B0000}"/>
    <cellStyle name="Porcentagem 9 3 9" xfId="17341" xr:uid="{00000000-0005-0000-0000-0000E04B0000}"/>
    <cellStyle name="Porcentagem 9 4" xfId="628" xr:uid="{00000000-0005-0000-0000-0000E14B0000}"/>
    <cellStyle name="Porcentagem 9 4 2" xfId="17342" xr:uid="{00000000-0005-0000-0000-0000E24B0000}"/>
    <cellStyle name="Porcentagem 9 5" xfId="17343" xr:uid="{00000000-0005-0000-0000-0000E34B0000}"/>
    <cellStyle name="Porcentagem 9 6" xfId="17344" xr:uid="{00000000-0005-0000-0000-0000E44B0000}"/>
    <cellStyle name="Porcentagem 9 7" xfId="17345" xr:uid="{00000000-0005-0000-0000-0000E54B0000}"/>
    <cellStyle name="Porcentagem 9 8" xfId="17346" xr:uid="{00000000-0005-0000-0000-0000E64B0000}"/>
    <cellStyle name="Porcentagem 9 9" xfId="17347" xr:uid="{00000000-0005-0000-0000-0000E74B0000}"/>
    <cellStyle name="Price" xfId="629" xr:uid="{00000000-0005-0000-0000-0000E84B0000}"/>
    <cellStyle name="Red" xfId="17348" xr:uid="{00000000-0005-0000-0000-0000E94B0000}"/>
    <cellStyle name="Red Text" xfId="17349" xr:uid="{00000000-0005-0000-0000-0000EA4B0000}"/>
    <cellStyle name="Ruim" xfId="154" builtinId="27" customBuiltin="1"/>
    <cellStyle name="S0" xfId="17350" xr:uid="{00000000-0005-0000-0000-0000EB4B0000}"/>
    <cellStyle name="S3" xfId="17351" xr:uid="{00000000-0005-0000-0000-0000EC4B0000}"/>
    <cellStyle name="S5" xfId="17352" xr:uid="{00000000-0005-0000-0000-0000ED4B0000}"/>
    <cellStyle name="S6" xfId="17353" xr:uid="{00000000-0005-0000-0000-0000EE4B0000}"/>
    <cellStyle name="Saída" xfId="630" builtinId="21" customBuiltin="1"/>
    <cellStyle name="Saída 2" xfId="17354" xr:uid="{00000000-0005-0000-0000-0000F04B0000}"/>
    <cellStyle name="Saída 2 10" xfId="25997" xr:uid="{00000000-0005-0000-0000-0000F14B0000}"/>
    <cellStyle name="Saída 2 2" xfId="17355" xr:uid="{00000000-0005-0000-0000-0000F24B0000}"/>
    <cellStyle name="Saída 2 2 2" xfId="17356" xr:uid="{00000000-0005-0000-0000-0000F34B0000}"/>
    <cellStyle name="Saída 2 2 3" xfId="24856" xr:uid="{00000000-0005-0000-0000-0000F44B0000}"/>
    <cellStyle name="Saída 2 2 4" xfId="25998" xr:uid="{00000000-0005-0000-0000-0000F54B0000}"/>
    <cellStyle name="Saída 2 2 5" xfId="27293" xr:uid="{00000000-0005-0000-0000-0000F64B0000}"/>
    <cellStyle name="Saída 2 2 5 2" xfId="33132" xr:uid="{78B1AE08-A979-4EA5-BB62-C4F42C5150DD}"/>
    <cellStyle name="Saída 2 3" xfId="17357" xr:uid="{00000000-0005-0000-0000-0000F74B0000}"/>
    <cellStyle name="Saída 2 3 2" xfId="17358" xr:uid="{00000000-0005-0000-0000-0000F84B0000}"/>
    <cellStyle name="Saída 2 3 2 2" xfId="24858" xr:uid="{00000000-0005-0000-0000-0000F94B0000}"/>
    <cellStyle name="Saída 2 3 2 2 2" xfId="32864" xr:uid="{433330D2-637A-4AB4-82A3-CDD23805EE2E}"/>
    <cellStyle name="Saída 2 3 3" xfId="24857" xr:uid="{00000000-0005-0000-0000-0000FA4B0000}"/>
    <cellStyle name="Saída 2 4" xfId="17359" xr:uid="{00000000-0005-0000-0000-0000FB4B0000}"/>
    <cellStyle name="Saída 2 4 2" xfId="17360" xr:uid="{00000000-0005-0000-0000-0000FC4B0000}"/>
    <cellStyle name="Saída 2 4 2 2" xfId="24860" xr:uid="{00000000-0005-0000-0000-0000FD4B0000}"/>
    <cellStyle name="Saída 2 4 2 2 2" xfId="32866" xr:uid="{60E2DAD1-C7AF-4444-88B2-A1EDF19E4AFE}"/>
    <cellStyle name="Saída 2 4 3" xfId="24859" xr:uid="{00000000-0005-0000-0000-0000FE4B0000}"/>
    <cellStyle name="Saída 2 4 3 2" xfId="32865" xr:uid="{1B3BD531-4AF2-47BD-A6A1-1BE3D6134462}"/>
    <cellStyle name="Saída 2 5" xfId="17361" xr:uid="{00000000-0005-0000-0000-0000FF4B0000}"/>
    <cellStyle name="Saída 2 5 2" xfId="17362" xr:uid="{00000000-0005-0000-0000-0000004C0000}"/>
    <cellStyle name="Saída 2 5 2 2" xfId="24862" xr:uid="{00000000-0005-0000-0000-0000014C0000}"/>
    <cellStyle name="Saída 2 5 2 2 2" xfId="32868" xr:uid="{D1AE2C75-93DD-47EF-BC25-ACF5EA90B02A}"/>
    <cellStyle name="Saída 2 5 3" xfId="24861" xr:uid="{00000000-0005-0000-0000-0000024C0000}"/>
    <cellStyle name="Saída 2 5 3 2" xfId="32867" xr:uid="{0A0DBA34-0408-4560-B083-DCE4B35F8BF1}"/>
    <cellStyle name="Saída 2 6" xfId="17363" xr:uid="{00000000-0005-0000-0000-0000034C0000}"/>
    <cellStyle name="Saída 2 6 2" xfId="17364" xr:uid="{00000000-0005-0000-0000-0000044C0000}"/>
    <cellStyle name="Saída 2 6 2 2" xfId="24864" xr:uid="{00000000-0005-0000-0000-0000054C0000}"/>
    <cellStyle name="Saída 2 6 2 2 2" xfId="32870" xr:uid="{2188E92E-1A05-4F37-968C-78DF99D5FF3C}"/>
    <cellStyle name="Saída 2 6 3" xfId="24863" xr:uid="{00000000-0005-0000-0000-0000064C0000}"/>
    <cellStyle name="Saída 2 6 3 2" xfId="32869" xr:uid="{E43D8413-B3AE-42E7-B569-4382B9011E73}"/>
    <cellStyle name="Saída 2 7" xfId="17365" xr:uid="{00000000-0005-0000-0000-0000074C0000}"/>
    <cellStyle name="Saída 2 7 2" xfId="17366" xr:uid="{00000000-0005-0000-0000-0000084C0000}"/>
    <cellStyle name="Saída 2 7 2 2" xfId="24866" xr:uid="{00000000-0005-0000-0000-0000094C0000}"/>
    <cellStyle name="Saída 2 7 2 2 2" xfId="32872" xr:uid="{DFB55416-F165-489F-B777-D8E0F6ECB855}"/>
    <cellStyle name="Saída 2 7 3" xfId="24865" xr:uid="{00000000-0005-0000-0000-00000A4C0000}"/>
    <cellStyle name="Saída 2 7 3 2" xfId="32871" xr:uid="{301A9C1B-5C6A-4115-BA9C-9DBA5BA5997A}"/>
    <cellStyle name="Saída 2 8" xfId="17367" xr:uid="{00000000-0005-0000-0000-00000B4C0000}"/>
    <cellStyle name="Saída 2 8 2" xfId="24867" xr:uid="{00000000-0005-0000-0000-00000C4C0000}"/>
    <cellStyle name="Saída 2 8 2 2" xfId="32873" xr:uid="{FD976F8C-54A7-4075-80E4-05689AB03B34}"/>
    <cellStyle name="Saída 2 9" xfId="24855" xr:uid="{00000000-0005-0000-0000-00000D4C0000}"/>
    <cellStyle name="Saída 3" xfId="17368" xr:uid="{00000000-0005-0000-0000-00000E4C0000}"/>
    <cellStyle name="Saída 3 2" xfId="17369" xr:uid="{00000000-0005-0000-0000-00000F4C0000}"/>
    <cellStyle name="Saída 3 2 2" xfId="17370" xr:uid="{00000000-0005-0000-0000-0000104C0000}"/>
    <cellStyle name="Saída 3 2 3" xfId="24869" xr:uid="{00000000-0005-0000-0000-0000114C0000}"/>
    <cellStyle name="Saída 3 2 3 2" xfId="32875" xr:uid="{A7F477CE-9732-4D64-9DA5-0B5B8852B33D}"/>
    <cellStyle name="Saída 3 2 4" xfId="26000" xr:uid="{00000000-0005-0000-0000-0000124C0000}"/>
    <cellStyle name="Saída 3 3" xfId="17371" xr:uid="{00000000-0005-0000-0000-0000134C0000}"/>
    <cellStyle name="Saída 3 3 2" xfId="17372" xr:uid="{00000000-0005-0000-0000-0000144C0000}"/>
    <cellStyle name="Saída 3 3 2 2" xfId="24870" xr:uid="{00000000-0005-0000-0000-0000154C0000}"/>
    <cellStyle name="Saída 3 3 2 2 2" xfId="32876" xr:uid="{BB02DD71-D720-48D1-93AF-6DDC2015E6AA}"/>
    <cellStyle name="Saída 3 4" xfId="17373" xr:uid="{00000000-0005-0000-0000-0000164C0000}"/>
    <cellStyle name="Saída 3 4 2" xfId="17374" xr:uid="{00000000-0005-0000-0000-0000174C0000}"/>
    <cellStyle name="Saída 3 4 2 2" xfId="24872" xr:uid="{00000000-0005-0000-0000-0000184C0000}"/>
    <cellStyle name="Saída 3 4 2 2 2" xfId="32878" xr:uid="{C335AFCC-39D2-4775-89EA-04398BAB05E7}"/>
    <cellStyle name="Saída 3 4 3" xfId="24871" xr:uid="{00000000-0005-0000-0000-0000194C0000}"/>
    <cellStyle name="Saída 3 4 3 2" xfId="32877" xr:uid="{5EF254EA-6874-43DF-A165-4913902B6040}"/>
    <cellStyle name="Saída 3 5" xfId="17375" xr:uid="{00000000-0005-0000-0000-00001A4C0000}"/>
    <cellStyle name="Saída 3 5 2" xfId="17376" xr:uid="{00000000-0005-0000-0000-00001B4C0000}"/>
    <cellStyle name="Saída 3 5 2 2" xfId="24874" xr:uid="{00000000-0005-0000-0000-00001C4C0000}"/>
    <cellStyle name="Saída 3 5 2 2 2" xfId="32880" xr:uid="{9F37B72F-DBEE-42AA-930E-A17D3C30AAC7}"/>
    <cellStyle name="Saída 3 5 3" xfId="24873" xr:uid="{00000000-0005-0000-0000-00001D4C0000}"/>
    <cellStyle name="Saída 3 5 3 2" xfId="32879" xr:uid="{2A02F8D0-153B-4AF9-AC3D-BB8C874A204A}"/>
    <cellStyle name="Saída 3 6" xfId="17377" xr:uid="{00000000-0005-0000-0000-00001E4C0000}"/>
    <cellStyle name="Saída 3 6 2" xfId="24875" xr:uid="{00000000-0005-0000-0000-00001F4C0000}"/>
    <cellStyle name="Saída 3 6 2 2" xfId="32881" xr:uid="{D5D8AFFE-B215-42F3-8111-8A5C36398464}"/>
    <cellStyle name="Saída 3 7" xfId="24868" xr:uid="{00000000-0005-0000-0000-0000204C0000}"/>
    <cellStyle name="Saída 3 7 2" xfId="32874" xr:uid="{F91BBD19-D8FF-44ED-9CD8-93017BDF4F87}"/>
    <cellStyle name="Saída 3 8" xfId="25999" xr:uid="{00000000-0005-0000-0000-0000214C0000}"/>
    <cellStyle name="Saída 4" xfId="17378" xr:uid="{00000000-0005-0000-0000-0000224C0000}"/>
    <cellStyle name="Saída 4 2" xfId="17379" xr:uid="{00000000-0005-0000-0000-0000234C0000}"/>
    <cellStyle name="Saída 4 2 2" xfId="17380" xr:uid="{00000000-0005-0000-0000-0000244C0000}"/>
    <cellStyle name="Saída 4 2 2 2" xfId="24878" xr:uid="{00000000-0005-0000-0000-0000254C0000}"/>
    <cellStyle name="Saída 4 2 2 2 2" xfId="32884" xr:uid="{052DE5E7-94C0-4821-921C-5655454FE3B5}"/>
    <cellStyle name="Saída 4 2 3" xfId="24877" xr:uid="{00000000-0005-0000-0000-0000264C0000}"/>
    <cellStyle name="Saída 4 2 3 2" xfId="32883" xr:uid="{18C0A934-D980-4262-BCA2-D26A799A73C0}"/>
    <cellStyle name="Saída 4 3" xfId="17381" xr:uid="{00000000-0005-0000-0000-0000274C0000}"/>
    <cellStyle name="Saída 4 3 2" xfId="17382" xr:uid="{00000000-0005-0000-0000-0000284C0000}"/>
    <cellStyle name="Saída 4 3 2 2" xfId="24880" xr:uid="{00000000-0005-0000-0000-0000294C0000}"/>
    <cellStyle name="Saída 4 3 2 2 2" xfId="32886" xr:uid="{053A8086-57D6-4FFC-AC2C-9DDBC19D66FF}"/>
    <cellStyle name="Saída 4 3 3" xfId="24879" xr:uid="{00000000-0005-0000-0000-00002A4C0000}"/>
    <cellStyle name="Saída 4 3 3 2" xfId="32885" xr:uid="{5494B2FA-F44F-468D-8D2C-270E54A854BC}"/>
    <cellStyle name="Saída 4 4" xfId="17383" xr:uid="{00000000-0005-0000-0000-00002B4C0000}"/>
    <cellStyle name="Saída 4 4 2" xfId="17384" xr:uid="{00000000-0005-0000-0000-00002C4C0000}"/>
    <cellStyle name="Saída 4 4 2 2" xfId="24882" xr:uid="{00000000-0005-0000-0000-00002D4C0000}"/>
    <cellStyle name="Saída 4 4 2 2 2" xfId="32888" xr:uid="{2ACD65A7-6575-40AA-8D5B-33E0B9474678}"/>
    <cellStyle name="Saída 4 4 3" xfId="24881" xr:uid="{00000000-0005-0000-0000-00002E4C0000}"/>
    <cellStyle name="Saída 4 4 3 2" xfId="32887" xr:uid="{B852A741-5D74-414D-A902-44DEFDDC30FF}"/>
    <cellStyle name="Saída 4 5" xfId="17385" xr:uid="{00000000-0005-0000-0000-00002F4C0000}"/>
    <cellStyle name="Saída 4 5 2" xfId="17386" xr:uid="{00000000-0005-0000-0000-0000304C0000}"/>
    <cellStyle name="Saída 4 5 2 2" xfId="24884" xr:uid="{00000000-0005-0000-0000-0000314C0000}"/>
    <cellStyle name="Saída 4 5 2 2 2" xfId="32890" xr:uid="{4775560F-2F3E-41F6-9BEB-B4944D8C7124}"/>
    <cellStyle name="Saída 4 5 3" xfId="24883" xr:uid="{00000000-0005-0000-0000-0000324C0000}"/>
    <cellStyle name="Saída 4 5 3 2" xfId="32889" xr:uid="{27E25EB0-5CDC-4AE0-BF0A-27AB29D5369C}"/>
    <cellStyle name="Saída 4 6" xfId="17387" xr:uid="{00000000-0005-0000-0000-0000334C0000}"/>
    <cellStyle name="Saída 4 6 2" xfId="24885" xr:uid="{00000000-0005-0000-0000-0000344C0000}"/>
    <cellStyle name="Saída 4 6 2 2" xfId="32891" xr:uid="{42AD5364-8341-42EC-826B-62EAB9BA8659}"/>
    <cellStyle name="Saída 4 7" xfId="24876" xr:uid="{00000000-0005-0000-0000-0000354C0000}"/>
    <cellStyle name="Saída 4 7 2" xfId="32882" xr:uid="{86DED511-A515-4A13-B3BB-B8E19DE655C5}"/>
    <cellStyle name="Saída 5" xfId="17388" xr:uid="{00000000-0005-0000-0000-0000364C0000}"/>
    <cellStyle name="Saída 5 2" xfId="17389" xr:uid="{00000000-0005-0000-0000-0000374C0000}"/>
    <cellStyle name="Saída 5 2 2" xfId="24887" xr:uid="{00000000-0005-0000-0000-0000384C0000}"/>
    <cellStyle name="Saída 5 2 2 2" xfId="32893" xr:uid="{435250AD-CF5F-49BB-8ED5-E31E5A3042CA}"/>
    <cellStyle name="Saída 5 2 3" xfId="26001" xr:uid="{00000000-0005-0000-0000-0000394C0000}"/>
    <cellStyle name="Saída 5 3" xfId="24886" xr:uid="{00000000-0005-0000-0000-00003A4C0000}"/>
    <cellStyle name="Saída 5 3 2" xfId="32892" xr:uid="{74944C88-F455-43FC-8BD0-1B0437465FF6}"/>
    <cellStyle name="Saída 6" xfId="17390" xr:uid="{00000000-0005-0000-0000-00003B4C0000}"/>
    <cellStyle name="Saída 6 2" xfId="17391" xr:uid="{00000000-0005-0000-0000-00003C4C0000}"/>
    <cellStyle name="Saída 6 2 2" xfId="24889" xr:uid="{00000000-0005-0000-0000-00003D4C0000}"/>
    <cellStyle name="Saída 6 2 2 2" xfId="32895" xr:uid="{639EDC54-3115-4DCD-B0CB-4E86B40A210E}"/>
    <cellStyle name="Saída 6 3" xfId="24888" xr:uid="{00000000-0005-0000-0000-00003E4C0000}"/>
    <cellStyle name="Saída 6 3 2" xfId="32894" xr:uid="{DBCC8B11-FFDA-435A-AFC3-940F6441F448}"/>
    <cellStyle name="Saída 7" xfId="17392" xr:uid="{00000000-0005-0000-0000-00003F4C0000}"/>
    <cellStyle name="Saída 7 2" xfId="17393" xr:uid="{00000000-0005-0000-0000-0000404C0000}"/>
    <cellStyle name="Saída 7 2 2" xfId="24891" xr:uid="{00000000-0005-0000-0000-0000414C0000}"/>
    <cellStyle name="Saída 7 2 2 2" xfId="32897" xr:uid="{A3EFCDE9-8044-4431-B56E-901644CF00E6}"/>
    <cellStyle name="Saída 7 3" xfId="24890" xr:uid="{00000000-0005-0000-0000-0000424C0000}"/>
    <cellStyle name="Saída 7 3 2" xfId="32896" xr:uid="{C0669762-74D4-49D7-A27A-E2E3103D188F}"/>
    <cellStyle name="Salida" xfId="17394" xr:uid="{00000000-0005-0000-0000-0000434C0000}"/>
    <cellStyle name="Salida 2" xfId="24892" xr:uid="{00000000-0005-0000-0000-0000444C0000}"/>
    <cellStyle name="Salida 2 2" xfId="32898" xr:uid="{258EF8CC-BF8E-45CF-B35F-2B2AED117A1F}"/>
    <cellStyle name="SAPBEXaggData" xfId="17395" xr:uid="{00000000-0005-0000-0000-0000454C0000}"/>
    <cellStyle name="SAPBEXaggData 2" xfId="24893" xr:uid="{00000000-0005-0000-0000-0000464C0000}"/>
    <cellStyle name="SAPBEXaggDataEmph" xfId="17396" xr:uid="{00000000-0005-0000-0000-0000474C0000}"/>
    <cellStyle name="SAPBEXaggDataEmph 2" xfId="24894" xr:uid="{00000000-0005-0000-0000-0000484C0000}"/>
    <cellStyle name="SAPBEXaggItem" xfId="17397" xr:uid="{00000000-0005-0000-0000-0000494C0000}"/>
    <cellStyle name="SAPBEXaggItem 2" xfId="24895" xr:uid="{00000000-0005-0000-0000-00004A4C0000}"/>
    <cellStyle name="SAPBEXaggItemX" xfId="17398" xr:uid="{00000000-0005-0000-0000-00004B4C0000}"/>
    <cellStyle name="SAPBEXaggItemX 2" xfId="24896" xr:uid="{00000000-0005-0000-0000-00004C4C0000}"/>
    <cellStyle name="SAPBEXchaText" xfId="17399" xr:uid="{00000000-0005-0000-0000-00004D4C0000}"/>
    <cellStyle name="SAPBEXexcBad7" xfId="17400" xr:uid="{00000000-0005-0000-0000-00004E4C0000}"/>
    <cellStyle name="SAPBEXexcBad7 2" xfId="24897" xr:uid="{00000000-0005-0000-0000-00004F4C0000}"/>
    <cellStyle name="SAPBEXexcBad8" xfId="17401" xr:uid="{00000000-0005-0000-0000-0000504C0000}"/>
    <cellStyle name="SAPBEXexcBad8 2" xfId="24898" xr:uid="{00000000-0005-0000-0000-0000514C0000}"/>
    <cellStyle name="SAPBEXexcBad9" xfId="17402" xr:uid="{00000000-0005-0000-0000-0000524C0000}"/>
    <cellStyle name="SAPBEXexcBad9 2" xfId="24899" xr:uid="{00000000-0005-0000-0000-0000534C0000}"/>
    <cellStyle name="SAPBEXexcCritical4" xfId="17403" xr:uid="{00000000-0005-0000-0000-0000544C0000}"/>
    <cellStyle name="SAPBEXexcCritical4 2" xfId="17404" xr:uid="{00000000-0005-0000-0000-0000554C0000}"/>
    <cellStyle name="SAPBEXexcCritical4 2 2" xfId="24901" xr:uid="{00000000-0005-0000-0000-0000564C0000}"/>
    <cellStyle name="SAPBEXexcCritical4 3" xfId="24900" xr:uid="{00000000-0005-0000-0000-0000574C0000}"/>
    <cellStyle name="SAPBEXexcCritical5" xfId="17405" xr:uid="{00000000-0005-0000-0000-0000584C0000}"/>
    <cellStyle name="SAPBEXexcCritical5 2" xfId="24902" xr:uid="{00000000-0005-0000-0000-0000594C0000}"/>
    <cellStyle name="SAPBEXexcCritical6" xfId="17406" xr:uid="{00000000-0005-0000-0000-00005A4C0000}"/>
    <cellStyle name="SAPBEXexcCritical6 2" xfId="24903" xr:uid="{00000000-0005-0000-0000-00005B4C0000}"/>
    <cellStyle name="SAPBEXexcGood1" xfId="17407" xr:uid="{00000000-0005-0000-0000-00005C4C0000}"/>
    <cellStyle name="SAPBEXexcGood1 2" xfId="24904" xr:uid="{00000000-0005-0000-0000-00005D4C0000}"/>
    <cellStyle name="SAPBEXexcGood2" xfId="17408" xr:uid="{00000000-0005-0000-0000-00005E4C0000}"/>
    <cellStyle name="SAPBEXexcGood2 2" xfId="24905" xr:uid="{00000000-0005-0000-0000-00005F4C0000}"/>
    <cellStyle name="SAPBEXexcGood3" xfId="17409" xr:uid="{00000000-0005-0000-0000-0000604C0000}"/>
    <cellStyle name="SAPBEXexcGood3 2" xfId="24906" xr:uid="{00000000-0005-0000-0000-0000614C0000}"/>
    <cellStyle name="SAPBEXfilterDrill" xfId="17410" xr:uid="{00000000-0005-0000-0000-0000624C0000}"/>
    <cellStyle name="SAPBEXfilterItem" xfId="17411" xr:uid="{00000000-0005-0000-0000-0000634C0000}"/>
    <cellStyle name="SAPBEXfilterText" xfId="17412" xr:uid="{00000000-0005-0000-0000-0000644C0000}"/>
    <cellStyle name="SAPBEXformats" xfId="17413" xr:uid="{00000000-0005-0000-0000-0000654C0000}"/>
    <cellStyle name="SAPBEXformats 2" xfId="24907" xr:uid="{00000000-0005-0000-0000-0000664C0000}"/>
    <cellStyle name="SAPBEXheaderItem" xfId="17414" xr:uid="{00000000-0005-0000-0000-0000674C0000}"/>
    <cellStyle name="SAPBEXheaderText" xfId="17415" xr:uid="{00000000-0005-0000-0000-0000684C0000}"/>
    <cellStyle name="SAPBEXHLevel0" xfId="17416" xr:uid="{00000000-0005-0000-0000-0000694C0000}"/>
    <cellStyle name="SAPBEXHLevel0 2" xfId="17417" xr:uid="{00000000-0005-0000-0000-00006A4C0000}"/>
    <cellStyle name="SAPBEXHLevel0 2 2" xfId="24909" xr:uid="{00000000-0005-0000-0000-00006B4C0000}"/>
    <cellStyle name="SAPBEXHLevel0 3" xfId="17418" xr:uid="{00000000-0005-0000-0000-00006C4C0000}"/>
    <cellStyle name="SAPBEXHLevel0 3 2" xfId="24910" xr:uid="{00000000-0005-0000-0000-00006D4C0000}"/>
    <cellStyle name="SAPBEXHLevel0 4" xfId="17419" xr:uid="{00000000-0005-0000-0000-00006E4C0000}"/>
    <cellStyle name="SAPBEXHLevel0 4 2" xfId="24911" xr:uid="{00000000-0005-0000-0000-00006F4C0000}"/>
    <cellStyle name="SAPBEXHLevel0 5" xfId="17420" xr:uid="{00000000-0005-0000-0000-0000704C0000}"/>
    <cellStyle name="SAPBEXHLevel0 5 2" xfId="24912" xr:uid="{00000000-0005-0000-0000-0000714C0000}"/>
    <cellStyle name="SAPBEXHLevel0 6" xfId="24908" xr:uid="{00000000-0005-0000-0000-0000724C0000}"/>
    <cellStyle name="SAPBEXHLevel0X" xfId="17421" xr:uid="{00000000-0005-0000-0000-0000734C0000}"/>
    <cellStyle name="SAPBEXHLevel0X 2" xfId="17422" xr:uid="{00000000-0005-0000-0000-0000744C0000}"/>
    <cellStyle name="SAPBEXHLevel0X 2 2" xfId="24914" xr:uid="{00000000-0005-0000-0000-0000754C0000}"/>
    <cellStyle name="SAPBEXHLevel0X 3" xfId="17423" xr:uid="{00000000-0005-0000-0000-0000764C0000}"/>
    <cellStyle name="SAPBEXHLevel0X 3 2" xfId="24915" xr:uid="{00000000-0005-0000-0000-0000774C0000}"/>
    <cellStyle name="SAPBEXHLevel0X 4" xfId="17424" xr:uid="{00000000-0005-0000-0000-0000784C0000}"/>
    <cellStyle name="SAPBEXHLevel0X 4 2" xfId="24916" xr:uid="{00000000-0005-0000-0000-0000794C0000}"/>
    <cellStyle name="SAPBEXHLevel0X 5" xfId="17425" xr:uid="{00000000-0005-0000-0000-00007A4C0000}"/>
    <cellStyle name="SAPBEXHLevel0X 5 2" xfId="24917" xr:uid="{00000000-0005-0000-0000-00007B4C0000}"/>
    <cellStyle name="SAPBEXHLevel0X 6" xfId="24913" xr:uid="{00000000-0005-0000-0000-00007C4C0000}"/>
    <cellStyle name="SAPBEXHLevel1" xfId="17426" xr:uid="{00000000-0005-0000-0000-00007D4C0000}"/>
    <cellStyle name="SAPBEXHLevel1 2" xfId="17427" xr:uid="{00000000-0005-0000-0000-00007E4C0000}"/>
    <cellStyle name="SAPBEXHLevel1 2 2" xfId="24919" xr:uid="{00000000-0005-0000-0000-00007F4C0000}"/>
    <cellStyle name="SAPBEXHLevel1 3" xfId="17428" xr:uid="{00000000-0005-0000-0000-0000804C0000}"/>
    <cellStyle name="SAPBEXHLevel1 3 2" xfId="24920" xr:uid="{00000000-0005-0000-0000-0000814C0000}"/>
    <cellStyle name="SAPBEXHLevel1 4" xfId="17429" xr:uid="{00000000-0005-0000-0000-0000824C0000}"/>
    <cellStyle name="SAPBEXHLevel1 4 2" xfId="24921" xr:uid="{00000000-0005-0000-0000-0000834C0000}"/>
    <cellStyle name="SAPBEXHLevel1 5" xfId="17430" xr:uid="{00000000-0005-0000-0000-0000844C0000}"/>
    <cellStyle name="SAPBEXHLevel1 5 2" xfId="24922" xr:uid="{00000000-0005-0000-0000-0000854C0000}"/>
    <cellStyle name="SAPBEXHLevel1 6" xfId="24918" xr:uid="{00000000-0005-0000-0000-0000864C0000}"/>
    <cellStyle name="SAPBEXHLevel1X" xfId="17431" xr:uid="{00000000-0005-0000-0000-0000874C0000}"/>
    <cellStyle name="SAPBEXHLevel1X 2" xfId="17432" xr:uid="{00000000-0005-0000-0000-0000884C0000}"/>
    <cellStyle name="SAPBEXHLevel1X 2 2" xfId="24924" xr:uid="{00000000-0005-0000-0000-0000894C0000}"/>
    <cellStyle name="SAPBEXHLevel1X 3" xfId="17433" xr:uid="{00000000-0005-0000-0000-00008A4C0000}"/>
    <cellStyle name="SAPBEXHLevel1X 3 2" xfId="24925" xr:uid="{00000000-0005-0000-0000-00008B4C0000}"/>
    <cellStyle name="SAPBEXHLevel1X 4" xfId="17434" xr:uid="{00000000-0005-0000-0000-00008C4C0000}"/>
    <cellStyle name="SAPBEXHLevel1X 4 2" xfId="24926" xr:uid="{00000000-0005-0000-0000-00008D4C0000}"/>
    <cellStyle name="SAPBEXHLevel1X 5" xfId="17435" xr:uid="{00000000-0005-0000-0000-00008E4C0000}"/>
    <cellStyle name="SAPBEXHLevel1X 5 2" xfId="24927" xr:uid="{00000000-0005-0000-0000-00008F4C0000}"/>
    <cellStyle name="SAPBEXHLevel1X 6" xfId="24923" xr:uid="{00000000-0005-0000-0000-0000904C0000}"/>
    <cellStyle name="SAPBEXHLevel2" xfId="17436" xr:uid="{00000000-0005-0000-0000-0000914C0000}"/>
    <cellStyle name="SAPBEXHLevel2 2" xfId="17437" xr:uid="{00000000-0005-0000-0000-0000924C0000}"/>
    <cellStyle name="SAPBEXHLevel2 2 2" xfId="24929" xr:uid="{00000000-0005-0000-0000-0000934C0000}"/>
    <cellStyle name="SAPBEXHLevel2 3" xfId="17438" xr:uid="{00000000-0005-0000-0000-0000944C0000}"/>
    <cellStyle name="SAPBEXHLevel2 3 2" xfId="24930" xr:uid="{00000000-0005-0000-0000-0000954C0000}"/>
    <cellStyle name="SAPBEXHLevel2 4" xfId="17439" xr:uid="{00000000-0005-0000-0000-0000964C0000}"/>
    <cellStyle name="SAPBEXHLevel2 4 2" xfId="24931" xr:uid="{00000000-0005-0000-0000-0000974C0000}"/>
    <cellStyle name="SAPBEXHLevel2 5" xfId="17440" xr:uid="{00000000-0005-0000-0000-0000984C0000}"/>
    <cellStyle name="SAPBEXHLevel2 5 2" xfId="24932" xr:uid="{00000000-0005-0000-0000-0000994C0000}"/>
    <cellStyle name="SAPBEXHLevel2 6" xfId="24928" xr:uid="{00000000-0005-0000-0000-00009A4C0000}"/>
    <cellStyle name="SAPBEXHLevel2X" xfId="17441" xr:uid="{00000000-0005-0000-0000-00009B4C0000}"/>
    <cellStyle name="SAPBEXHLevel2X 2" xfId="17442" xr:uid="{00000000-0005-0000-0000-00009C4C0000}"/>
    <cellStyle name="SAPBEXHLevel2X 2 2" xfId="24934" xr:uid="{00000000-0005-0000-0000-00009D4C0000}"/>
    <cellStyle name="SAPBEXHLevel2X 3" xfId="17443" xr:uid="{00000000-0005-0000-0000-00009E4C0000}"/>
    <cellStyle name="SAPBEXHLevel2X 3 2" xfId="24935" xr:uid="{00000000-0005-0000-0000-00009F4C0000}"/>
    <cellStyle name="SAPBEXHLevel2X 4" xfId="17444" xr:uid="{00000000-0005-0000-0000-0000A04C0000}"/>
    <cellStyle name="SAPBEXHLevel2X 4 2" xfId="24936" xr:uid="{00000000-0005-0000-0000-0000A14C0000}"/>
    <cellStyle name="SAPBEXHLevel2X 5" xfId="17445" xr:uid="{00000000-0005-0000-0000-0000A24C0000}"/>
    <cellStyle name="SAPBEXHLevel2X 5 2" xfId="24937" xr:uid="{00000000-0005-0000-0000-0000A34C0000}"/>
    <cellStyle name="SAPBEXHLevel2X 6" xfId="24933" xr:uid="{00000000-0005-0000-0000-0000A44C0000}"/>
    <cellStyle name="SAPBEXHLevel3" xfId="17446" xr:uid="{00000000-0005-0000-0000-0000A54C0000}"/>
    <cellStyle name="SAPBEXHLevel3 2" xfId="17447" xr:uid="{00000000-0005-0000-0000-0000A64C0000}"/>
    <cellStyle name="SAPBEXHLevel3 2 2" xfId="24939" xr:uid="{00000000-0005-0000-0000-0000A74C0000}"/>
    <cellStyle name="SAPBEXHLevel3 3" xfId="17448" xr:uid="{00000000-0005-0000-0000-0000A84C0000}"/>
    <cellStyle name="SAPBEXHLevel3 3 2" xfId="24940" xr:uid="{00000000-0005-0000-0000-0000A94C0000}"/>
    <cellStyle name="SAPBEXHLevel3 4" xfId="17449" xr:uid="{00000000-0005-0000-0000-0000AA4C0000}"/>
    <cellStyle name="SAPBEXHLevel3 4 2" xfId="24941" xr:uid="{00000000-0005-0000-0000-0000AB4C0000}"/>
    <cellStyle name="SAPBEXHLevel3 5" xfId="17450" xr:uid="{00000000-0005-0000-0000-0000AC4C0000}"/>
    <cellStyle name="SAPBEXHLevel3 5 2" xfId="24942" xr:uid="{00000000-0005-0000-0000-0000AD4C0000}"/>
    <cellStyle name="SAPBEXHLevel3 6" xfId="24938" xr:uid="{00000000-0005-0000-0000-0000AE4C0000}"/>
    <cellStyle name="SAPBEXHLevel3X" xfId="17451" xr:uid="{00000000-0005-0000-0000-0000AF4C0000}"/>
    <cellStyle name="SAPBEXHLevel3X 2" xfId="17452" xr:uid="{00000000-0005-0000-0000-0000B04C0000}"/>
    <cellStyle name="SAPBEXHLevel3X 2 2" xfId="24944" xr:uid="{00000000-0005-0000-0000-0000B14C0000}"/>
    <cellStyle name="SAPBEXHLevel3X 3" xfId="17453" xr:uid="{00000000-0005-0000-0000-0000B24C0000}"/>
    <cellStyle name="SAPBEXHLevel3X 3 2" xfId="24945" xr:uid="{00000000-0005-0000-0000-0000B34C0000}"/>
    <cellStyle name="SAPBEXHLevel3X 4" xfId="17454" xr:uid="{00000000-0005-0000-0000-0000B44C0000}"/>
    <cellStyle name="SAPBEXHLevel3X 4 2" xfId="24946" xr:uid="{00000000-0005-0000-0000-0000B54C0000}"/>
    <cellStyle name="SAPBEXHLevel3X 5" xfId="17455" xr:uid="{00000000-0005-0000-0000-0000B64C0000}"/>
    <cellStyle name="SAPBEXHLevel3X 5 2" xfId="24947" xr:uid="{00000000-0005-0000-0000-0000B74C0000}"/>
    <cellStyle name="SAPBEXHLevel3X 6" xfId="24943" xr:uid="{00000000-0005-0000-0000-0000B84C0000}"/>
    <cellStyle name="SAPBEXresData" xfId="17456" xr:uid="{00000000-0005-0000-0000-0000B94C0000}"/>
    <cellStyle name="SAPBEXresData 2" xfId="24948" xr:uid="{00000000-0005-0000-0000-0000BA4C0000}"/>
    <cellStyle name="SAPBEXresDataEmph" xfId="17457" xr:uid="{00000000-0005-0000-0000-0000BB4C0000}"/>
    <cellStyle name="SAPBEXresDataEmph 2" xfId="24949" xr:uid="{00000000-0005-0000-0000-0000BC4C0000}"/>
    <cellStyle name="SAPBEXresItem" xfId="17458" xr:uid="{00000000-0005-0000-0000-0000BD4C0000}"/>
    <cellStyle name="SAPBEXresItem 2" xfId="24950" xr:uid="{00000000-0005-0000-0000-0000BE4C0000}"/>
    <cellStyle name="SAPBEXresItemX" xfId="17459" xr:uid="{00000000-0005-0000-0000-0000BF4C0000}"/>
    <cellStyle name="SAPBEXresItemX 2" xfId="24951" xr:uid="{00000000-0005-0000-0000-0000C04C0000}"/>
    <cellStyle name="SAPBEXstdData" xfId="17460" xr:uid="{00000000-0005-0000-0000-0000C14C0000}"/>
    <cellStyle name="SAPBEXstdData 2" xfId="24952" xr:uid="{00000000-0005-0000-0000-0000C24C0000}"/>
    <cellStyle name="SAPBEXstdDataEmph" xfId="17461" xr:uid="{00000000-0005-0000-0000-0000C34C0000}"/>
    <cellStyle name="SAPBEXstdDataEmph 2" xfId="24953" xr:uid="{00000000-0005-0000-0000-0000C44C0000}"/>
    <cellStyle name="SAPBEXstdItem" xfId="17462" xr:uid="{00000000-0005-0000-0000-0000C54C0000}"/>
    <cellStyle name="SAPBEXstdItem 2" xfId="24954" xr:uid="{00000000-0005-0000-0000-0000C64C0000}"/>
    <cellStyle name="SAPBEXstdItemX" xfId="17463" xr:uid="{00000000-0005-0000-0000-0000C74C0000}"/>
    <cellStyle name="SAPBEXstdItemX 2" xfId="24955" xr:uid="{00000000-0005-0000-0000-0000C84C0000}"/>
    <cellStyle name="SAPBEXtitle" xfId="17464" xr:uid="{00000000-0005-0000-0000-0000C94C0000}"/>
    <cellStyle name="SAPBEXundefined" xfId="17465" xr:uid="{00000000-0005-0000-0000-0000CA4C0000}"/>
    <cellStyle name="SAPBEXundefined 2" xfId="24956" xr:uid="{00000000-0005-0000-0000-0000CB4C0000}"/>
    <cellStyle name="SAPError" xfId="17466" xr:uid="{00000000-0005-0000-0000-0000CC4C0000}"/>
    <cellStyle name="SAPKey" xfId="17467" xr:uid="{00000000-0005-0000-0000-0000CD4C0000}"/>
    <cellStyle name="SAPLocked" xfId="17468" xr:uid="{00000000-0005-0000-0000-0000CE4C0000}"/>
    <cellStyle name="SAPOutput" xfId="17469" xr:uid="{00000000-0005-0000-0000-0000CF4C0000}"/>
    <cellStyle name="SAPSpace" xfId="17470" xr:uid="{00000000-0005-0000-0000-0000D04C0000}"/>
    <cellStyle name="SAPText" xfId="17471" xr:uid="{00000000-0005-0000-0000-0000D14C0000}"/>
    <cellStyle name="SAPUnLocked" xfId="17472" xr:uid="{00000000-0005-0000-0000-0000D24C0000}"/>
    <cellStyle name="Sep. milhar [0]" xfId="631" xr:uid="{00000000-0005-0000-0000-0000D34C0000}"/>
    <cellStyle name="Separador de m" xfId="17473" xr:uid="{00000000-0005-0000-0000-0000D44C0000}"/>
    <cellStyle name="Separador de milhares [0] 2" xfId="17474" xr:uid="{00000000-0005-0000-0000-0000D54C0000}"/>
    <cellStyle name="Separador de milhares [0] 2 2" xfId="28299" xr:uid="{7639D6D2-6F93-47CD-9056-1CA302C39611}"/>
    <cellStyle name="Separador de milhares 10" xfId="632" xr:uid="{00000000-0005-0000-0000-0000D64C0000}"/>
    <cellStyle name="Separador de milhares 10 10" xfId="17476" xr:uid="{00000000-0005-0000-0000-0000D74C0000}"/>
    <cellStyle name="Separador de milhares 10 10 10" xfId="17477" xr:uid="{00000000-0005-0000-0000-0000D84C0000}"/>
    <cellStyle name="Separador de milhares 10 10 11" xfId="17478" xr:uid="{00000000-0005-0000-0000-0000D94C0000}"/>
    <cellStyle name="Separador de milhares 10 10 12" xfId="17479" xr:uid="{00000000-0005-0000-0000-0000DA4C0000}"/>
    <cellStyle name="Separador de milhares 10 10 13" xfId="17480" xr:uid="{00000000-0005-0000-0000-0000DB4C0000}"/>
    <cellStyle name="Separador de milhares 10 10 14" xfId="17481" xr:uid="{00000000-0005-0000-0000-0000DC4C0000}"/>
    <cellStyle name="Separador de milhares 10 10 15" xfId="17482" xr:uid="{00000000-0005-0000-0000-0000DD4C0000}"/>
    <cellStyle name="Separador de milhares 10 10 16" xfId="17483" xr:uid="{00000000-0005-0000-0000-0000DE4C0000}"/>
    <cellStyle name="Separador de milhares 10 10 17" xfId="17484" xr:uid="{00000000-0005-0000-0000-0000DF4C0000}"/>
    <cellStyle name="Separador de milhares 10 10 18" xfId="17485" xr:uid="{00000000-0005-0000-0000-0000E04C0000}"/>
    <cellStyle name="Separador de milhares 10 10 19" xfId="17486" xr:uid="{00000000-0005-0000-0000-0000E14C0000}"/>
    <cellStyle name="Separador de milhares 10 10 2" xfId="17487" xr:uid="{00000000-0005-0000-0000-0000E24C0000}"/>
    <cellStyle name="Separador de milhares 10 10 2 10" xfId="17488" xr:uid="{00000000-0005-0000-0000-0000E34C0000}"/>
    <cellStyle name="Separador de milhares 10 10 2 10 2" xfId="17489" xr:uid="{00000000-0005-0000-0000-0000E44C0000}"/>
    <cellStyle name="Separador de milhares 10 10 2 10 3" xfId="17490" xr:uid="{00000000-0005-0000-0000-0000E54C0000}"/>
    <cellStyle name="Separador de milhares 10 10 2 10 4" xfId="17491" xr:uid="{00000000-0005-0000-0000-0000E64C0000}"/>
    <cellStyle name="Separador de milhares 10 10 2 11" xfId="17492" xr:uid="{00000000-0005-0000-0000-0000E74C0000}"/>
    <cellStyle name="Separador de milhares 10 10 2 11 2" xfId="17493" xr:uid="{00000000-0005-0000-0000-0000E84C0000}"/>
    <cellStyle name="Separador de milhares 10 10 2 11 3" xfId="17494" xr:uid="{00000000-0005-0000-0000-0000E94C0000}"/>
    <cellStyle name="Separador de milhares 10 10 2 11 4" xfId="17495" xr:uid="{00000000-0005-0000-0000-0000EA4C0000}"/>
    <cellStyle name="Separador de milhares 10 10 2 12" xfId="17496" xr:uid="{00000000-0005-0000-0000-0000EB4C0000}"/>
    <cellStyle name="Separador de milhares 10 10 2 12 2" xfId="17497" xr:uid="{00000000-0005-0000-0000-0000EC4C0000}"/>
    <cellStyle name="Separador de milhares 10 10 2 12 3" xfId="17498" xr:uid="{00000000-0005-0000-0000-0000ED4C0000}"/>
    <cellStyle name="Separador de milhares 10 10 2 12 4" xfId="17499" xr:uid="{00000000-0005-0000-0000-0000EE4C0000}"/>
    <cellStyle name="Separador de milhares 10 10 2 13" xfId="17500" xr:uid="{00000000-0005-0000-0000-0000EF4C0000}"/>
    <cellStyle name="Separador de milhares 10 10 2 13 2" xfId="17501" xr:uid="{00000000-0005-0000-0000-0000F04C0000}"/>
    <cellStyle name="Separador de milhares 10 10 2 13 3" xfId="17502" xr:uid="{00000000-0005-0000-0000-0000F14C0000}"/>
    <cellStyle name="Separador de milhares 10 10 2 13 4" xfId="17503" xr:uid="{00000000-0005-0000-0000-0000F24C0000}"/>
    <cellStyle name="Separador de milhares 10 10 2 14" xfId="17504" xr:uid="{00000000-0005-0000-0000-0000F34C0000}"/>
    <cellStyle name="Separador de milhares 10 10 2 14 2" xfId="17505" xr:uid="{00000000-0005-0000-0000-0000F44C0000}"/>
    <cellStyle name="Separador de milhares 10 10 2 14 3" xfId="17506" xr:uid="{00000000-0005-0000-0000-0000F54C0000}"/>
    <cellStyle name="Separador de milhares 10 10 2 14 4" xfId="17507" xr:uid="{00000000-0005-0000-0000-0000F64C0000}"/>
    <cellStyle name="Separador de milhares 10 10 2 15" xfId="17508" xr:uid="{00000000-0005-0000-0000-0000F74C0000}"/>
    <cellStyle name="Separador de milhares 10 10 2 15 2" xfId="17509" xr:uid="{00000000-0005-0000-0000-0000F84C0000}"/>
    <cellStyle name="Separador de milhares 10 10 2 15 3" xfId="17510" xr:uid="{00000000-0005-0000-0000-0000F94C0000}"/>
    <cellStyle name="Separador de milhares 10 10 2 15 4" xfId="17511" xr:uid="{00000000-0005-0000-0000-0000FA4C0000}"/>
    <cellStyle name="Separador de milhares 10 10 2 16" xfId="17512" xr:uid="{00000000-0005-0000-0000-0000FB4C0000}"/>
    <cellStyle name="Separador de milhares 10 10 2 17" xfId="17513" xr:uid="{00000000-0005-0000-0000-0000FC4C0000}"/>
    <cellStyle name="Separador de milhares 10 10 2 18" xfId="17514" xr:uid="{00000000-0005-0000-0000-0000FD4C0000}"/>
    <cellStyle name="Separador de milhares 10 10 2 19" xfId="17515" xr:uid="{00000000-0005-0000-0000-0000FE4C0000}"/>
    <cellStyle name="Separador de milhares 10 10 2 2" xfId="17516" xr:uid="{00000000-0005-0000-0000-0000FF4C0000}"/>
    <cellStyle name="Separador de milhares 10 10 2 2 2" xfId="17517" xr:uid="{00000000-0005-0000-0000-0000004D0000}"/>
    <cellStyle name="Separador de milhares 10 10 2 2 3" xfId="17518" xr:uid="{00000000-0005-0000-0000-0000014D0000}"/>
    <cellStyle name="Separador de milhares 10 10 2 2 4" xfId="17519" xr:uid="{00000000-0005-0000-0000-0000024D0000}"/>
    <cellStyle name="Separador de milhares 10 10 2 20" xfId="17520" xr:uid="{00000000-0005-0000-0000-0000034D0000}"/>
    <cellStyle name="Separador de milhares 10 10 2 21" xfId="17521" xr:uid="{00000000-0005-0000-0000-0000044D0000}"/>
    <cellStyle name="Separador de milhares 10 10 2 3" xfId="17522" xr:uid="{00000000-0005-0000-0000-0000054D0000}"/>
    <cellStyle name="Separador de milhares 10 10 2 3 2" xfId="17523" xr:uid="{00000000-0005-0000-0000-0000064D0000}"/>
    <cellStyle name="Separador de milhares 10 10 2 3 3" xfId="17524" xr:uid="{00000000-0005-0000-0000-0000074D0000}"/>
    <cellStyle name="Separador de milhares 10 10 2 3 4" xfId="17525" xr:uid="{00000000-0005-0000-0000-0000084D0000}"/>
    <cellStyle name="Separador de milhares 10 10 2 4" xfId="17526" xr:uid="{00000000-0005-0000-0000-0000094D0000}"/>
    <cellStyle name="Separador de milhares 10 10 2 4 2" xfId="17527" xr:uid="{00000000-0005-0000-0000-00000A4D0000}"/>
    <cellStyle name="Separador de milhares 10 10 2 4 3" xfId="17528" xr:uid="{00000000-0005-0000-0000-00000B4D0000}"/>
    <cellStyle name="Separador de milhares 10 10 2 4 4" xfId="17529" xr:uid="{00000000-0005-0000-0000-00000C4D0000}"/>
    <cellStyle name="Separador de milhares 10 10 2 5" xfId="17530" xr:uid="{00000000-0005-0000-0000-00000D4D0000}"/>
    <cellStyle name="Separador de milhares 10 10 2 5 2" xfId="17531" xr:uid="{00000000-0005-0000-0000-00000E4D0000}"/>
    <cellStyle name="Separador de milhares 10 10 2 5 3" xfId="17532" xr:uid="{00000000-0005-0000-0000-00000F4D0000}"/>
    <cellStyle name="Separador de milhares 10 10 2 5 4" xfId="17533" xr:uid="{00000000-0005-0000-0000-0000104D0000}"/>
    <cellStyle name="Separador de milhares 10 10 2 6" xfId="17534" xr:uid="{00000000-0005-0000-0000-0000114D0000}"/>
    <cellStyle name="Separador de milhares 10 10 2 6 2" xfId="17535" xr:uid="{00000000-0005-0000-0000-0000124D0000}"/>
    <cellStyle name="Separador de milhares 10 10 2 6 3" xfId="17536" xr:uid="{00000000-0005-0000-0000-0000134D0000}"/>
    <cellStyle name="Separador de milhares 10 10 2 6 4" xfId="17537" xr:uid="{00000000-0005-0000-0000-0000144D0000}"/>
    <cellStyle name="Separador de milhares 10 10 2 7" xfId="17538" xr:uid="{00000000-0005-0000-0000-0000154D0000}"/>
    <cellStyle name="Separador de milhares 10 10 2 7 2" xfId="17539" xr:uid="{00000000-0005-0000-0000-0000164D0000}"/>
    <cellStyle name="Separador de milhares 10 10 2 7 3" xfId="17540" xr:uid="{00000000-0005-0000-0000-0000174D0000}"/>
    <cellStyle name="Separador de milhares 10 10 2 7 4" xfId="17541" xr:uid="{00000000-0005-0000-0000-0000184D0000}"/>
    <cellStyle name="Separador de milhares 10 10 2 8" xfId="17542" xr:uid="{00000000-0005-0000-0000-0000194D0000}"/>
    <cellStyle name="Separador de milhares 10 10 2 8 2" xfId="17543" xr:uid="{00000000-0005-0000-0000-00001A4D0000}"/>
    <cellStyle name="Separador de milhares 10 10 2 8 3" xfId="17544" xr:uid="{00000000-0005-0000-0000-00001B4D0000}"/>
    <cellStyle name="Separador de milhares 10 10 2 8 4" xfId="17545" xr:uid="{00000000-0005-0000-0000-00001C4D0000}"/>
    <cellStyle name="Separador de milhares 10 10 2 9" xfId="17546" xr:uid="{00000000-0005-0000-0000-00001D4D0000}"/>
    <cellStyle name="Separador de milhares 10 10 2 9 2" xfId="17547" xr:uid="{00000000-0005-0000-0000-00001E4D0000}"/>
    <cellStyle name="Separador de milhares 10 10 2 9 3" xfId="17548" xr:uid="{00000000-0005-0000-0000-00001F4D0000}"/>
    <cellStyle name="Separador de milhares 10 10 2 9 4" xfId="17549" xr:uid="{00000000-0005-0000-0000-0000204D0000}"/>
    <cellStyle name="Separador de milhares 10 10 20" xfId="17550" xr:uid="{00000000-0005-0000-0000-0000214D0000}"/>
    <cellStyle name="Separador de milhares 10 10 21" xfId="17551" xr:uid="{00000000-0005-0000-0000-0000224D0000}"/>
    <cellStyle name="Separador de milhares 10 10 22" xfId="17552" xr:uid="{00000000-0005-0000-0000-0000234D0000}"/>
    <cellStyle name="Separador de milhares 10 10 23" xfId="17553" xr:uid="{00000000-0005-0000-0000-0000244D0000}"/>
    <cellStyle name="Separador de milhares 10 10 24" xfId="17554" xr:uid="{00000000-0005-0000-0000-0000254D0000}"/>
    <cellStyle name="Separador de milhares 10 10 25" xfId="17555" xr:uid="{00000000-0005-0000-0000-0000264D0000}"/>
    <cellStyle name="Separador de milhares 10 10 26" xfId="17556" xr:uid="{00000000-0005-0000-0000-0000274D0000}"/>
    <cellStyle name="Separador de milhares 10 10 26 2" xfId="17557" xr:uid="{00000000-0005-0000-0000-0000284D0000}"/>
    <cellStyle name="Separador de milhares 10 10 26 3" xfId="17558" xr:uid="{00000000-0005-0000-0000-0000294D0000}"/>
    <cellStyle name="Separador de milhares 10 10 26 4" xfId="17559" xr:uid="{00000000-0005-0000-0000-00002A4D0000}"/>
    <cellStyle name="Separador de milhares 10 10 27" xfId="17560" xr:uid="{00000000-0005-0000-0000-00002B4D0000}"/>
    <cellStyle name="Separador de milhares 10 10 28" xfId="17561" xr:uid="{00000000-0005-0000-0000-00002C4D0000}"/>
    <cellStyle name="Separador de milhares 10 10 29" xfId="17562" xr:uid="{00000000-0005-0000-0000-00002D4D0000}"/>
    <cellStyle name="Separador de milhares 10 10 3" xfId="17563" xr:uid="{00000000-0005-0000-0000-00002E4D0000}"/>
    <cellStyle name="Separador de milhares 10 10 3 2" xfId="17564" xr:uid="{00000000-0005-0000-0000-00002F4D0000}"/>
    <cellStyle name="Separador de milhares 10 10 3 3" xfId="17565" xr:uid="{00000000-0005-0000-0000-0000304D0000}"/>
    <cellStyle name="Separador de milhares 10 10 3 4" xfId="17566" xr:uid="{00000000-0005-0000-0000-0000314D0000}"/>
    <cellStyle name="Separador de milhares 10 10 30" xfId="17567" xr:uid="{00000000-0005-0000-0000-0000324D0000}"/>
    <cellStyle name="Separador de milhares 10 10 31" xfId="17568" xr:uid="{00000000-0005-0000-0000-0000334D0000}"/>
    <cellStyle name="Separador de milhares 10 10 32" xfId="17569" xr:uid="{00000000-0005-0000-0000-0000344D0000}"/>
    <cellStyle name="Separador de milhares 10 10 33" xfId="17570" xr:uid="{00000000-0005-0000-0000-0000354D0000}"/>
    <cellStyle name="Separador de milhares 10 10 34" xfId="17571" xr:uid="{00000000-0005-0000-0000-0000364D0000}"/>
    <cellStyle name="Separador de milhares 10 10 35" xfId="17572" xr:uid="{00000000-0005-0000-0000-0000374D0000}"/>
    <cellStyle name="Separador de milhares 10 10 36" xfId="17573" xr:uid="{00000000-0005-0000-0000-0000384D0000}"/>
    <cellStyle name="Separador de milhares 10 10 4" xfId="17574" xr:uid="{00000000-0005-0000-0000-0000394D0000}"/>
    <cellStyle name="Separador de milhares 10 10 4 2" xfId="17575" xr:uid="{00000000-0005-0000-0000-00003A4D0000}"/>
    <cellStyle name="Separador de milhares 10 10 4 3" xfId="17576" xr:uid="{00000000-0005-0000-0000-00003B4D0000}"/>
    <cellStyle name="Separador de milhares 10 10 4 4" xfId="17577" xr:uid="{00000000-0005-0000-0000-00003C4D0000}"/>
    <cellStyle name="Separador de milhares 10 10 5" xfId="17578" xr:uid="{00000000-0005-0000-0000-00003D4D0000}"/>
    <cellStyle name="Separador de milhares 10 10 6" xfId="17579" xr:uid="{00000000-0005-0000-0000-00003E4D0000}"/>
    <cellStyle name="Separador de milhares 10 10 7" xfId="17580" xr:uid="{00000000-0005-0000-0000-00003F4D0000}"/>
    <cellStyle name="Separador de milhares 10 10 8" xfId="17581" xr:uid="{00000000-0005-0000-0000-0000404D0000}"/>
    <cellStyle name="Separador de milhares 10 10 9" xfId="17582" xr:uid="{00000000-0005-0000-0000-0000414D0000}"/>
    <cellStyle name="Separador de milhares 10 11" xfId="17583" xr:uid="{00000000-0005-0000-0000-0000424D0000}"/>
    <cellStyle name="Separador de milhares 10 11 2" xfId="17584" xr:uid="{00000000-0005-0000-0000-0000434D0000}"/>
    <cellStyle name="Separador de milhares 10 11 2 2" xfId="28301" xr:uid="{7BC8FC48-2996-4887-B056-CAE02E79BF47}"/>
    <cellStyle name="Separador de milhares 10 12" xfId="17585" xr:uid="{00000000-0005-0000-0000-0000444D0000}"/>
    <cellStyle name="Separador de milhares 10 12 2" xfId="17586" xr:uid="{00000000-0005-0000-0000-0000454D0000}"/>
    <cellStyle name="Separador de milhares 10 12 2 2" xfId="28302" xr:uid="{FD1DC568-FE89-4422-9B3A-B77DA5E50F97}"/>
    <cellStyle name="Separador de milhares 10 13" xfId="17587" xr:uid="{00000000-0005-0000-0000-0000464D0000}"/>
    <cellStyle name="Separador de milhares 10 13 2" xfId="17588" xr:uid="{00000000-0005-0000-0000-0000474D0000}"/>
    <cellStyle name="Separador de milhares 10 13 2 2" xfId="28303" xr:uid="{6E3775DB-D4E1-4817-A109-DA556774CB05}"/>
    <cellStyle name="Separador de milhares 10 14" xfId="17589" xr:uid="{00000000-0005-0000-0000-0000484D0000}"/>
    <cellStyle name="Separador de milhares 10 14 2" xfId="17590" xr:uid="{00000000-0005-0000-0000-0000494D0000}"/>
    <cellStyle name="Separador de milhares 10 14 2 2" xfId="28304" xr:uid="{F2773402-9D4E-445C-9AB6-C0C00CD89986}"/>
    <cellStyle name="Separador de milhares 10 15" xfId="17591" xr:uid="{00000000-0005-0000-0000-00004A4D0000}"/>
    <cellStyle name="Separador de milhares 10 15 2" xfId="17592" xr:uid="{00000000-0005-0000-0000-00004B4D0000}"/>
    <cellStyle name="Separador de milhares 10 15 2 2" xfId="28305" xr:uid="{FBA8B3F9-F085-4491-95E4-0EF32EAC09F3}"/>
    <cellStyle name="Separador de milhares 10 16" xfId="17593" xr:uid="{00000000-0005-0000-0000-00004C4D0000}"/>
    <cellStyle name="Separador de milhares 10 16 2" xfId="17594" xr:uid="{00000000-0005-0000-0000-00004D4D0000}"/>
    <cellStyle name="Separador de milhares 10 16 2 2" xfId="28306" xr:uid="{A224906C-39B0-4091-95BB-803C332AF596}"/>
    <cellStyle name="Separador de milhares 10 17" xfId="17595" xr:uid="{00000000-0005-0000-0000-00004E4D0000}"/>
    <cellStyle name="Separador de milhares 10 17 2" xfId="17596" xr:uid="{00000000-0005-0000-0000-00004F4D0000}"/>
    <cellStyle name="Separador de milhares 10 17 2 2" xfId="28307" xr:uid="{B68E4BC9-4981-49CF-8198-AF2ACA0B1C37}"/>
    <cellStyle name="Separador de milhares 10 18" xfId="17597" xr:uid="{00000000-0005-0000-0000-0000504D0000}"/>
    <cellStyle name="Separador de milhares 10 18 2" xfId="17598" xr:uid="{00000000-0005-0000-0000-0000514D0000}"/>
    <cellStyle name="Separador de milhares 10 18 2 2" xfId="28308" xr:uid="{5625EEEF-AE02-4CAD-A755-6FC770EDFAA0}"/>
    <cellStyle name="Separador de milhares 10 19" xfId="17599" xr:uid="{00000000-0005-0000-0000-0000524D0000}"/>
    <cellStyle name="Separador de milhares 10 19 2" xfId="17600" xr:uid="{00000000-0005-0000-0000-0000534D0000}"/>
    <cellStyle name="Separador de milhares 10 19 2 2" xfId="28309" xr:uid="{1D6C8259-83E4-4A8A-8D51-453673C70C2E}"/>
    <cellStyle name="Separador de milhares 10 2" xfId="633" xr:uid="{00000000-0005-0000-0000-0000544D0000}"/>
    <cellStyle name="Separador de milhares 10 2 10" xfId="17602" xr:uid="{00000000-0005-0000-0000-0000554D0000}"/>
    <cellStyle name="Separador de milhares 10 2 10 2" xfId="17603" xr:uid="{00000000-0005-0000-0000-0000564D0000}"/>
    <cellStyle name="Separador de milhares 10 2 10 2 2" xfId="28311" xr:uid="{E28C2158-BFF0-485A-9EBB-BE55132863EC}"/>
    <cellStyle name="Separador de milhares 10 2 11" xfId="17604" xr:uid="{00000000-0005-0000-0000-0000574D0000}"/>
    <cellStyle name="Separador de milhares 10 2 11 2" xfId="17605" xr:uid="{00000000-0005-0000-0000-0000584D0000}"/>
    <cellStyle name="Separador de milhares 10 2 11 2 2" xfId="28312" xr:uid="{C5F83FAF-0074-4A1E-B956-BF0CD4530EC0}"/>
    <cellStyle name="Separador de milhares 10 2 12" xfId="17606" xr:uid="{00000000-0005-0000-0000-0000594D0000}"/>
    <cellStyle name="Separador de milhares 10 2 12 2" xfId="17607" xr:uid="{00000000-0005-0000-0000-00005A4D0000}"/>
    <cellStyle name="Separador de milhares 10 2 12 2 2" xfId="28313" xr:uid="{D640CDBE-4521-4A6A-AAD6-C80619555E84}"/>
    <cellStyle name="Separador de milhares 10 2 13" xfId="17608" xr:uid="{00000000-0005-0000-0000-00005B4D0000}"/>
    <cellStyle name="Separador de milhares 10 2 13 2" xfId="17609" xr:uid="{00000000-0005-0000-0000-00005C4D0000}"/>
    <cellStyle name="Separador de milhares 10 2 13 2 2" xfId="28314" xr:uid="{6E49B16A-FDDD-45B9-B6C8-0AE0BBF812C3}"/>
    <cellStyle name="Separador de milhares 10 2 14" xfId="17610" xr:uid="{00000000-0005-0000-0000-00005D4D0000}"/>
    <cellStyle name="Separador de milhares 10 2 14 2" xfId="17611" xr:uid="{00000000-0005-0000-0000-00005E4D0000}"/>
    <cellStyle name="Separador de milhares 10 2 14 2 2" xfId="28316" xr:uid="{1FFAEAC9-F259-4FDE-858D-3EBD6AE46949}"/>
    <cellStyle name="Separador de milhares 10 2 14 3" xfId="28315" xr:uid="{57AE4F1F-7833-4BD4-8E2E-47A26262B9C6}"/>
    <cellStyle name="Separador de milhares 10 2 15" xfId="17612" xr:uid="{00000000-0005-0000-0000-00005F4D0000}"/>
    <cellStyle name="Separador de milhares 10 2 15 2" xfId="17613" xr:uid="{00000000-0005-0000-0000-0000604D0000}"/>
    <cellStyle name="Separador de milhares 10 2 15 2 2" xfId="28318" xr:uid="{3B3941BA-D705-4BEC-8B70-1D8B8CF870A2}"/>
    <cellStyle name="Separador de milhares 10 2 15 3" xfId="28317" xr:uid="{ED555B93-9440-4541-AE68-35ADC8103BDA}"/>
    <cellStyle name="Separador de milhares 10 2 16" xfId="17614" xr:uid="{00000000-0005-0000-0000-0000614D0000}"/>
    <cellStyle name="Separador de milhares 10 2 16 2" xfId="17615" xr:uid="{00000000-0005-0000-0000-0000624D0000}"/>
    <cellStyle name="Separador de milhares 10 2 16 2 2" xfId="28320" xr:uid="{3ED11CAF-D599-42B4-922E-90431FFB8038}"/>
    <cellStyle name="Separador de milhares 10 2 16 3" xfId="28319" xr:uid="{DB3BD9F3-F186-4B4A-97EF-BB720FF74576}"/>
    <cellStyle name="Separador de milhares 10 2 17" xfId="17616" xr:uid="{00000000-0005-0000-0000-0000634D0000}"/>
    <cellStyle name="Separador de milhares 10 2 17 2" xfId="17617" xr:uid="{00000000-0005-0000-0000-0000644D0000}"/>
    <cellStyle name="Separador de milhares 10 2 17 2 2" xfId="28322" xr:uid="{BFBDEDF4-7721-4850-BD41-10A8D4CE2E04}"/>
    <cellStyle name="Separador de milhares 10 2 17 3" xfId="28321" xr:uid="{39DB7DFC-A27D-4949-8B99-00A3408059C7}"/>
    <cellStyle name="Separador de milhares 10 2 18" xfId="17618" xr:uid="{00000000-0005-0000-0000-0000654D0000}"/>
    <cellStyle name="Separador de milhares 10 2 18 2" xfId="17619" xr:uid="{00000000-0005-0000-0000-0000664D0000}"/>
    <cellStyle name="Separador de milhares 10 2 18 2 2" xfId="28324" xr:uid="{FD5BE0EF-91D8-4837-91B0-2024886190B8}"/>
    <cellStyle name="Separador de milhares 10 2 18 3" xfId="28323" xr:uid="{10A5289D-08DC-404B-B329-20A7272A9553}"/>
    <cellStyle name="Separador de milhares 10 2 19" xfId="17620" xr:uid="{00000000-0005-0000-0000-0000674D0000}"/>
    <cellStyle name="Separador de milhares 10 2 19 2" xfId="17621" xr:uid="{00000000-0005-0000-0000-0000684D0000}"/>
    <cellStyle name="Separador de milhares 10 2 19 2 2" xfId="28326" xr:uid="{0622C004-035C-4145-AB83-36B152DB799D}"/>
    <cellStyle name="Separador de milhares 10 2 19 3" xfId="28325" xr:uid="{FC9AE2CD-879D-4D46-97DF-4AC0A3E7B0A8}"/>
    <cellStyle name="Separador de milhares 10 2 2" xfId="634" xr:uid="{00000000-0005-0000-0000-0000694D0000}"/>
    <cellStyle name="Separador de milhares 10 2 2 10" xfId="17623" xr:uid="{00000000-0005-0000-0000-00006A4D0000}"/>
    <cellStyle name="Separador de milhares 10 2 2 11" xfId="17622" xr:uid="{00000000-0005-0000-0000-00006B4D0000}"/>
    <cellStyle name="Separador de milhares 10 2 2 12" xfId="27880" xr:uid="{345FD031-15D2-4C52-92B7-6F9647004A15}"/>
    <cellStyle name="Separador de milhares 10 2 2 2" xfId="635" xr:uid="{00000000-0005-0000-0000-00006C4D0000}"/>
    <cellStyle name="Separador de milhares 10 2 2 2 2" xfId="636" xr:uid="{00000000-0005-0000-0000-00006D4D0000}"/>
    <cellStyle name="Separador de milhares 10 2 2 2 2 2" xfId="17625" xr:uid="{00000000-0005-0000-0000-00006E4D0000}"/>
    <cellStyle name="Separador de milhares 10 2 2 2 2 2 2" xfId="28327" xr:uid="{3F0BE231-0897-4525-8BFB-5F15AA7F3E42}"/>
    <cellStyle name="Separador de milhares 10 2 2 2 2 3" xfId="27882" xr:uid="{507AE1AB-E0F4-4AB5-8B52-629D2CBA84BF}"/>
    <cellStyle name="Separador de milhares 10 2 2 2 3" xfId="17624" xr:uid="{00000000-0005-0000-0000-00006F4D0000}"/>
    <cellStyle name="Separador de milhares 10 2 2 2 4" xfId="27881" xr:uid="{CCB5B8FB-8B53-4DFB-9830-CB0D81132A2D}"/>
    <cellStyle name="Separador de milhares 10 2 2 3" xfId="637" xr:uid="{00000000-0005-0000-0000-0000704D0000}"/>
    <cellStyle name="Separador de milhares 10 2 2 3 2" xfId="17627" xr:uid="{00000000-0005-0000-0000-0000714D0000}"/>
    <cellStyle name="Separador de milhares 10 2 2 3 2 2" xfId="28328" xr:uid="{574C1DD9-972D-4563-9770-7E9EDD4F9B25}"/>
    <cellStyle name="Separador de milhares 10 2 2 3 3" xfId="17626" xr:uid="{00000000-0005-0000-0000-0000724D0000}"/>
    <cellStyle name="Separador de milhares 10 2 2 3 4" xfId="27883" xr:uid="{0A035E66-260B-4330-814D-EBF805C7CCAF}"/>
    <cellStyle name="Separador de milhares 10 2 2 4" xfId="17628" xr:uid="{00000000-0005-0000-0000-0000734D0000}"/>
    <cellStyle name="Separador de milhares 10 2 2 4 2" xfId="17629" xr:uid="{00000000-0005-0000-0000-0000744D0000}"/>
    <cellStyle name="Separador de milhares 10 2 2 4 2 2" xfId="28329" xr:uid="{9FBC184C-4A51-4FE4-A533-984CE24DCE8C}"/>
    <cellStyle name="Separador de milhares 10 2 2 5" xfId="17630" xr:uid="{00000000-0005-0000-0000-0000754D0000}"/>
    <cellStyle name="Separador de milhares 10 2 2 5 2" xfId="17631" xr:uid="{00000000-0005-0000-0000-0000764D0000}"/>
    <cellStyle name="Separador de milhares 10 2 2 5 2 2" xfId="28330" xr:uid="{40DB2F17-56F7-4B58-938C-52F5E5778838}"/>
    <cellStyle name="Separador de milhares 10 2 2 6" xfId="17632" xr:uid="{00000000-0005-0000-0000-0000774D0000}"/>
    <cellStyle name="Separador de milhares 10 2 2 7" xfId="17633" xr:uid="{00000000-0005-0000-0000-0000784D0000}"/>
    <cellStyle name="Separador de milhares 10 2 2 8" xfId="17634" xr:uid="{00000000-0005-0000-0000-0000794D0000}"/>
    <cellStyle name="Separador de milhares 10 2 2 9" xfId="17635" xr:uid="{00000000-0005-0000-0000-00007A4D0000}"/>
    <cellStyle name="Separador de milhares 10 2 20" xfId="17636" xr:uid="{00000000-0005-0000-0000-00007B4D0000}"/>
    <cellStyle name="Separador de milhares 10 2 20 2" xfId="17637" xr:uid="{00000000-0005-0000-0000-00007C4D0000}"/>
    <cellStyle name="Separador de milhares 10 2 20 2 2" xfId="28332" xr:uid="{5A77D792-BFFC-44F1-BD3F-E98AAC954866}"/>
    <cellStyle name="Separador de milhares 10 2 20 3" xfId="28331" xr:uid="{0F5099E5-6DB5-443D-95D7-25000397603F}"/>
    <cellStyle name="Separador de milhares 10 2 21" xfId="17638" xr:uid="{00000000-0005-0000-0000-00007D4D0000}"/>
    <cellStyle name="Separador de milhares 10 2 21 2" xfId="17639" xr:uid="{00000000-0005-0000-0000-00007E4D0000}"/>
    <cellStyle name="Separador de milhares 10 2 21 2 2" xfId="28334" xr:uid="{AF9252C4-A40C-4680-89A2-28A85F3ADE0F}"/>
    <cellStyle name="Separador de milhares 10 2 21 3" xfId="28333" xr:uid="{3E80D2D3-2F79-48E9-BBE8-9E51115E63FC}"/>
    <cellStyle name="Separador de milhares 10 2 22" xfId="17640" xr:uid="{00000000-0005-0000-0000-00007F4D0000}"/>
    <cellStyle name="Separador de milhares 10 2 22 2" xfId="17641" xr:uid="{00000000-0005-0000-0000-0000804D0000}"/>
    <cellStyle name="Separador de milhares 10 2 22 2 2" xfId="28336" xr:uid="{0478CC58-48B9-4CBE-B5B0-3EF60C2C26CA}"/>
    <cellStyle name="Separador de milhares 10 2 22 3" xfId="28335" xr:uid="{11D1F202-E354-4D9D-9106-422B3153C180}"/>
    <cellStyle name="Separador de milhares 10 2 23" xfId="17642" xr:uid="{00000000-0005-0000-0000-0000814D0000}"/>
    <cellStyle name="Separador de milhares 10 2 23 2" xfId="17643" xr:uid="{00000000-0005-0000-0000-0000824D0000}"/>
    <cellStyle name="Separador de milhares 10 2 23 2 2" xfId="28338" xr:uid="{916E69D3-1C38-4EA3-ACDF-9BCD9C85BB78}"/>
    <cellStyle name="Separador de milhares 10 2 23 3" xfId="28337" xr:uid="{CD5092AB-6AC5-427B-B9F1-D7BA0B144B9E}"/>
    <cellStyle name="Separador de milhares 10 2 24" xfId="17644" xr:uid="{00000000-0005-0000-0000-0000834D0000}"/>
    <cellStyle name="Separador de milhares 10 2 24 2" xfId="17645" xr:uid="{00000000-0005-0000-0000-0000844D0000}"/>
    <cellStyle name="Separador de milhares 10 2 24 2 2" xfId="28340" xr:uid="{BF4895D9-7559-489B-9030-279B7596A307}"/>
    <cellStyle name="Separador de milhares 10 2 24 3" xfId="28339" xr:uid="{6428B091-0A72-42CE-956D-EF742BE710F8}"/>
    <cellStyle name="Separador de milhares 10 2 25" xfId="17646" xr:uid="{00000000-0005-0000-0000-0000854D0000}"/>
    <cellStyle name="Separador de milhares 10 2 25 2" xfId="17647" xr:uid="{00000000-0005-0000-0000-0000864D0000}"/>
    <cellStyle name="Separador de milhares 10 2 25 2 2" xfId="28342" xr:uid="{C79E39BA-24E2-45E0-A948-768493BD796C}"/>
    <cellStyle name="Separador de milhares 10 2 25 3" xfId="28341" xr:uid="{F5B1BFB4-2BA8-4C67-BBF2-F5EDD6AA663A}"/>
    <cellStyle name="Separador de milhares 10 2 26" xfId="17648" xr:uid="{00000000-0005-0000-0000-0000874D0000}"/>
    <cellStyle name="Separador de milhares 10 2 26 2" xfId="17649" xr:uid="{00000000-0005-0000-0000-0000884D0000}"/>
    <cellStyle name="Separador de milhares 10 2 26 2 2" xfId="28344" xr:uid="{73AFA2D3-B268-4AA9-80A4-F458EB40F57A}"/>
    <cellStyle name="Separador de milhares 10 2 26 3" xfId="28343" xr:uid="{D2D666D0-A239-4B8E-B71D-D8842BB968DB}"/>
    <cellStyle name="Separador de milhares 10 2 27" xfId="17650" xr:uid="{00000000-0005-0000-0000-0000894D0000}"/>
    <cellStyle name="Separador de milhares 10 2 27 2" xfId="17651" xr:uid="{00000000-0005-0000-0000-00008A4D0000}"/>
    <cellStyle name="Separador de milhares 10 2 27 2 2" xfId="28346" xr:uid="{DBF558CB-9401-4DAF-B0BC-157E5D503CCC}"/>
    <cellStyle name="Separador de milhares 10 2 27 3" xfId="28345" xr:uid="{7D9B488B-54B8-4EE3-A3A6-FCB01219066F}"/>
    <cellStyle name="Separador de milhares 10 2 28" xfId="17652" xr:uid="{00000000-0005-0000-0000-00008B4D0000}"/>
    <cellStyle name="Separador de milhares 10 2 28 2" xfId="17653" xr:uid="{00000000-0005-0000-0000-00008C4D0000}"/>
    <cellStyle name="Separador de milhares 10 2 28 2 2" xfId="28348" xr:uid="{A21A0228-DD48-49FA-9A33-4E2C4B5DDB2D}"/>
    <cellStyle name="Separador de milhares 10 2 28 3" xfId="28347" xr:uid="{0F59CB26-B908-492A-BEC6-4C7BC22ECB16}"/>
    <cellStyle name="Separador de milhares 10 2 29" xfId="17654" xr:uid="{00000000-0005-0000-0000-00008D4D0000}"/>
    <cellStyle name="Separador de milhares 10 2 29 2" xfId="17655" xr:uid="{00000000-0005-0000-0000-00008E4D0000}"/>
    <cellStyle name="Separador de milhares 10 2 29 2 2" xfId="28350" xr:uid="{7CE2C95A-3EC6-4680-8A2F-A052ECC0E527}"/>
    <cellStyle name="Separador de milhares 10 2 29 3" xfId="28349" xr:uid="{4A5C965B-CB2F-4E25-AA7E-BF743EC2A868}"/>
    <cellStyle name="Separador de milhares 10 2 3" xfId="638" xr:uid="{00000000-0005-0000-0000-00008F4D0000}"/>
    <cellStyle name="Separador de milhares 10 2 3 10" xfId="17657" xr:uid="{00000000-0005-0000-0000-0000904D0000}"/>
    <cellStyle name="Separador de milhares 10 2 3 11" xfId="17656" xr:uid="{00000000-0005-0000-0000-0000914D0000}"/>
    <cellStyle name="Separador de milhares 10 2 3 11 2" xfId="28351" xr:uid="{5B415F73-2431-4900-A03E-66D94238876E}"/>
    <cellStyle name="Separador de milhares 10 2 3 12" xfId="27884" xr:uid="{730899C2-42B6-4116-990C-689677E3534C}"/>
    <cellStyle name="Separador de milhares 10 2 3 2" xfId="639" xr:uid="{00000000-0005-0000-0000-0000924D0000}"/>
    <cellStyle name="Separador de milhares 10 2 3 2 2" xfId="17659" xr:uid="{00000000-0005-0000-0000-0000934D0000}"/>
    <cellStyle name="Separador de milhares 10 2 3 2 2 2" xfId="28352" xr:uid="{BEAF4959-B7ED-474B-BD91-35B51775E3E6}"/>
    <cellStyle name="Separador de milhares 10 2 3 2 3" xfId="17658" xr:uid="{00000000-0005-0000-0000-0000944D0000}"/>
    <cellStyle name="Separador de milhares 10 2 3 2 4" xfId="27885" xr:uid="{205B6D27-A3A0-4840-9266-D12293CB6831}"/>
    <cellStyle name="Separador de milhares 10 2 3 3" xfId="17660" xr:uid="{00000000-0005-0000-0000-0000954D0000}"/>
    <cellStyle name="Separador de milhares 10 2 3 3 2" xfId="17661" xr:uid="{00000000-0005-0000-0000-0000964D0000}"/>
    <cellStyle name="Separador de milhares 10 2 3 3 2 2" xfId="28353" xr:uid="{9BCB413A-23EB-4E6C-A9FB-999C270C2561}"/>
    <cellStyle name="Separador de milhares 10 2 3 4" xfId="17662" xr:uid="{00000000-0005-0000-0000-0000974D0000}"/>
    <cellStyle name="Separador de milhares 10 2 3 4 2" xfId="17663" xr:uid="{00000000-0005-0000-0000-0000984D0000}"/>
    <cellStyle name="Separador de milhares 10 2 3 4 2 2" xfId="28354" xr:uid="{41DD01C2-EDA3-4CAB-A8EC-593B2CB91611}"/>
    <cellStyle name="Separador de milhares 10 2 3 5" xfId="17664" xr:uid="{00000000-0005-0000-0000-0000994D0000}"/>
    <cellStyle name="Separador de milhares 10 2 3 5 2" xfId="17665" xr:uid="{00000000-0005-0000-0000-00009A4D0000}"/>
    <cellStyle name="Separador de milhares 10 2 3 5 2 2" xfId="28355" xr:uid="{423E986D-6CD0-4AC9-8B5E-5CB926F88038}"/>
    <cellStyle name="Separador de milhares 10 2 3 6" xfId="17666" xr:uid="{00000000-0005-0000-0000-00009B4D0000}"/>
    <cellStyle name="Separador de milhares 10 2 3 7" xfId="17667" xr:uid="{00000000-0005-0000-0000-00009C4D0000}"/>
    <cellStyle name="Separador de milhares 10 2 3 8" xfId="17668" xr:uid="{00000000-0005-0000-0000-00009D4D0000}"/>
    <cellStyle name="Separador de milhares 10 2 3 9" xfId="17669" xr:uid="{00000000-0005-0000-0000-00009E4D0000}"/>
    <cellStyle name="Separador de milhares 10 2 30" xfId="17670" xr:uid="{00000000-0005-0000-0000-00009F4D0000}"/>
    <cellStyle name="Separador de milhares 10 2 30 2" xfId="17671" xr:uid="{00000000-0005-0000-0000-0000A04D0000}"/>
    <cellStyle name="Separador de milhares 10 2 30 2 2" xfId="28357" xr:uid="{429EF569-EE2A-410C-9A57-7FFA2C05D3CA}"/>
    <cellStyle name="Separador de milhares 10 2 30 3" xfId="28356" xr:uid="{6D32E603-516E-44EC-9B2D-D6441AAA620A}"/>
    <cellStyle name="Separador de milhares 10 2 31" xfId="17672" xr:uid="{00000000-0005-0000-0000-0000A14D0000}"/>
    <cellStyle name="Separador de milhares 10 2 31 2" xfId="17673" xr:uid="{00000000-0005-0000-0000-0000A24D0000}"/>
    <cellStyle name="Separador de milhares 10 2 31 2 2" xfId="28359" xr:uid="{BDD6516B-CE30-4250-97DB-24CD8EA29AA6}"/>
    <cellStyle name="Separador de milhares 10 2 31 3" xfId="28358" xr:uid="{E8A8D2D1-A7E5-4F92-8477-AB51C441BE31}"/>
    <cellStyle name="Separador de milhares 10 2 32" xfId="17674" xr:uid="{00000000-0005-0000-0000-0000A34D0000}"/>
    <cellStyle name="Separador de milhares 10 2 32 2" xfId="17675" xr:uid="{00000000-0005-0000-0000-0000A44D0000}"/>
    <cellStyle name="Separador de milhares 10 2 32 2 2" xfId="28361" xr:uid="{71BAE979-230C-4E8C-9B12-7324D43FBE29}"/>
    <cellStyle name="Separador de milhares 10 2 32 3" xfId="28360" xr:uid="{198386F4-323E-488D-8196-71C694739A12}"/>
    <cellStyle name="Separador de milhares 10 2 33" xfId="17676" xr:uid="{00000000-0005-0000-0000-0000A54D0000}"/>
    <cellStyle name="Separador de milhares 10 2 33 2" xfId="17677" xr:uid="{00000000-0005-0000-0000-0000A64D0000}"/>
    <cellStyle name="Separador de milhares 10 2 33 2 2" xfId="28363" xr:uid="{CB9DB328-4703-4897-95DC-68FC944AF632}"/>
    <cellStyle name="Separador de milhares 10 2 33 3" xfId="28362" xr:uid="{8F98A999-A3F2-4A7A-94C7-FE8B192722B1}"/>
    <cellStyle name="Separador de milhares 10 2 34" xfId="17678" xr:uid="{00000000-0005-0000-0000-0000A74D0000}"/>
    <cellStyle name="Separador de milhares 10 2 34 2" xfId="17679" xr:uid="{00000000-0005-0000-0000-0000A84D0000}"/>
    <cellStyle name="Separador de milhares 10 2 34 2 2" xfId="28365" xr:uid="{6C096F22-521A-4621-9C75-EBAFC49D6223}"/>
    <cellStyle name="Separador de milhares 10 2 34 3" xfId="28364" xr:uid="{A129CB58-7452-46C3-9E9F-B2F842509AF1}"/>
    <cellStyle name="Separador de milhares 10 2 35" xfId="17680" xr:uid="{00000000-0005-0000-0000-0000A94D0000}"/>
    <cellStyle name="Separador de milhares 10 2 35 2" xfId="17681" xr:uid="{00000000-0005-0000-0000-0000AA4D0000}"/>
    <cellStyle name="Separador de milhares 10 2 35 2 2" xfId="28367" xr:uid="{6E483F9A-BEDC-47D5-BF30-D439019F7D56}"/>
    <cellStyle name="Separador de milhares 10 2 35 3" xfId="28366" xr:uid="{A7F885A3-280B-48B4-9228-34C7B7B6B65A}"/>
    <cellStyle name="Separador de milhares 10 2 36" xfId="17682" xr:uid="{00000000-0005-0000-0000-0000AB4D0000}"/>
    <cellStyle name="Separador de milhares 10 2 36 2" xfId="17683" xr:uid="{00000000-0005-0000-0000-0000AC4D0000}"/>
    <cellStyle name="Separador de milhares 10 2 36 2 2" xfId="28369" xr:uid="{DF4648F9-36CB-49A0-8925-FD7950FB35C9}"/>
    <cellStyle name="Separador de milhares 10 2 36 3" xfId="28368" xr:uid="{E58FA87B-7D5D-436E-B096-12BB47861C20}"/>
    <cellStyle name="Separador de milhares 10 2 37" xfId="17684" xr:uid="{00000000-0005-0000-0000-0000AD4D0000}"/>
    <cellStyle name="Separador de milhares 10 2 37 2" xfId="28370" xr:uid="{7C6FF373-B636-4E29-A106-340BFC666780}"/>
    <cellStyle name="Separador de milhares 10 2 38" xfId="17601" xr:uid="{00000000-0005-0000-0000-0000AE4D0000}"/>
    <cellStyle name="Separador de milhares 10 2 38 2" xfId="28310" xr:uid="{5B4F3C1F-AFFA-4ED8-BC49-B653560E44E4}"/>
    <cellStyle name="Separador de milhares 10 2 39" xfId="27310" xr:uid="{00000000-0005-0000-0000-0000AF4D0000}"/>
    <cellStyle name="Separador de milhares 10 2 39 2" xfId="33147" xr:uid="{5FAEC648-4FB9-4A16-B2A7-E6204AFFA7DD}"/>
    <cellStyle name="Separador de milhares 10 2 4" xfId="640" xr:uid="{00000000-0005-0000-0000-0000B04D0000}"/>
    <cellStyle name="Separador de milhares 10 2 4 2" xfId="17686" xr:uid="{00000000-0005-0000-0000-0000B14D0000}"/>
    <cellStyle name="Separador de milhares 10 2 4 2 2" xfId="17687" xr:uid="{00000000-0005-0000-0000-0000B24D0000}"/>
    <cellStyle name="Separador de milhares 10 2 4 2 2 2" xfId="28372" xr:uid="{B235001B-83D2-4715-925A-E0ABFB546BCB}"/>
    <cellStyle name="Separador de milhares 10 2 4 2 3" xfId="28371" xr:uid="{579BB6A3-B6CC-4421-A36F-CB615D611A15}"/>
    <cellStyle name="Separador de milhares 10 2 4 3" xfId="17688" xr:uid="{00000000-0005-0000-0000-0000B34D0000}"/>
    <cellStyle name="Separador de milhares 10 2 4 3 2" xfId="17689" xr:uid="{00000000-0005-0000-0000-0000B44D0000}"/>
    <cellStyle name="Separador de milhares 10 2 4 3 2 2" xfId="28374" xr:uid="{6795EEFD-5A32-47E6-BE26-4502BFCBA0BF}"/>
    <cellStyle name="Separador de milhares 10 2 4 3 3" xfId="28373" xr:uid="{16791137-E414-47D2-8856-E52E643DA7A6}"/>
    <cellStyle name="Separador de milhares 10 2 4 4" xfId="17690" xr:uid="{00000000-0005-0000-0000-0000B54D0000}"/>
    <cellStyle name="Separador de milhares 10 2 4 4 2" xfId="17691" xr:uid="{00000000-0005-0000-0000-0000B64D0000}"/>
    <cellStyle name="Separador de milhares 10 2 4 4 2 2" xfId="28376" xr:uid="{2642F5A3-C2A0-4959-A296-3E4062885B82}"/>
    <cellStyle name="Separador de milhares 10 2 4 4 3" xfId="28375" xr:uid="{DB3FA2CE-36D9-4A22-BB4A-227F84C97CE4}"/>
    <cellStyle name="Separador de milhares 10 2 4 5" xfId="17692" xr:uid="{00000000-0005-0000-0000-0000B74D0000}"/>
    <cellStyle name="Separador de milhares 10 2 4 5 2" xfId="17693" xr:uid="{00000000-0005-0000-0000-0000B84D0000}"/>
    <cellStyle name="Separador de milhares 10 2 4 5 2 2" xfId="28378" xr:uid="{0F0E1D2B-43F4-4E9B-B2DD-3DE2EA5F3266}"/>
    <cellStyle name="Separador de milhares 10 2 4 5 3" xfId="28377" xr:uid="{3B224B9D-1F1D-464F-BBC0-9C6458E3F7D6}"/>
    <cellStyle name="Separador de milhares 10 2 4 6" xfId="17694" xr:uid="{00000000-0005-0000-0000-0000B94D0000}"/>
    <cellStyle name="Separador de milhares 10 2 4 6 2" xfId="28379" xr:uid="{39D00A01-3F75-4797-88C4-BD5E2C74C742}"/>
    <cellStyle name="Separador de milhares 10 2 4 7" xfId="17685" xr:uid="{00000000-0005-0000-0000-0000BA4D0000}"/>
    <cellStyle name="Separador de milhares 10 2 4 8" xfId="27886" xr:uid="{56390B63-7DF4-444F-98B4-007EF7B91CF0}"/>
    <cellStyle name="Separador de milhares 10 2 40" xfId="27481" xr:uid="{00000000-0005-0000-0000-0000BB4D0000}"/>
    <cellStyle name="Separador de milhares 10 2 40 2" xfId="33318" xr:uid="{B6150C09-C03A-467B-8073-E437FB13BEFD}"/>
    <cellStyle name="Separador de milhares 10 2 41" xfId="27650" xr:uid="{00000000-0005-0000-0000-0000BC4D0000}"/>
    <cellStyle name="Separador de milhares 10 2 41 2" xfId="33461" xr:uid="{A329BDDA-E067-4BC2-AE7E-C30D4675AFFF}"/>
    <cellStyle name="Separador de milhares 10 2 42" xfId="27807" xr:uid="{00000000-0005-0000-0000-0000BD4D0000}"/>
    <cellStyle name="Separador de milhares 10 2 42 2" xfId="33618" xr:uid="{4A46F3F8-3D11-4E54-AAD7-E0E483954C48}"/>
    <cellStyle name="Separador de milhares 10 2 43" xfId="27879" xr:uid="{E86ED968-3CB8-49D0-8BB5-FC2507F2F935}"/>
    <cellStyle name="Separador de milhares 10 2 5" xfId="17695" xr:uid="{00000000-0005-0000-0000-0000BE4D0000}"/>
    <cellStyle name="Separador de milhares 10 2 5 2" xfId="17696" xr:uid="{00000000-0005-0000-0000-0000BF4D0000}"/>
    <cellStyle name="Separador de milhares 10 2 5 2 2" xfId="28380" xr:uid="{516577DB-9E39-458C-9FB4-49A2396C2A6F}"/>
    <cellStyle name="Separador de milhares 10 2 6" xfId="17697" xr:uid="{00000000-0005-0000-0000-0000C04D0000}"/>
    <cellStyle name="Separador de milhares 10 2 6 2" xfId="17698" xr:uid="{00000000-0005-0000-0000-0000C14D0000}"/>
    <cellStyle name="Separador de milhares 10 2 6 2 2" xfId="28381" xr:uid="{D5763E2C-2A07-401C-87DD-3D5774A2A077}"/>
    <cellStyle name="Separador de milhares 10 2 7" xfId="17699" xr:uid="{00000000-0005-0000-0000-0000C24D0000}"/>
    <cellStyle name="Separador de milhares 10 2 7 2" xfId="17700" xr:uid="{00000000-0005-0000-0000-0000C34D0000}"/>
    <cellStyle name="Separador de milhares 10 2 7 2 2" xfId="28382" xr:uid="{F42E361C-A0EF-4D11-B38A-8EFA89B3D319}"/>
    <cellStyle name="Separador de milhares 10 2 8" xfId="17701" xr:uid="{00000000-0005-0000-0000-0000C44D0000}"/>
    <cellStyle name="Separador de milhares 10 2 8 2" xfId="17702" xr:uid="{00000000-0005-0000-0000-0000C54D0000}"/>
    <cellStyle name="Separador de milhares 10 2 8 2 2" xfId="28383" xr:uid="{626C439C-EC26-4459-94D5-CAAC1542D28A}"/>
    <cellStyle name="Separador de milhares 10 2 9" xfId="17703" xr:uid="{00000000-0005-0000-0000-0000C64D0000}"/>
    <cellStyle name="Separador de milhares 10 2 9 2" xfId="17704" xr:uid="{00000000-0005-0000-0000-0000C74D0000}"/>
    <cellStyle name="Separador de milhares 10 2 9 2 2" xfId="28384" xr:uid="{DD1B0959-FEAA-49C2-BFBB-CDB6B7D3310C}"/>
    <cellStyle name="Separador de milhares 10 20" xfId="17705" xr:uid="{00000000-0005-0000-0000-0000C84D0000}"/>
    <cellStyle name="Separador de milhares 10 20 2" xfId="17706" xr:uid="{00000000-0005-0000-0000-0000C94D0000}"/>
    <cellStyle name="Separador de milhares 10 20 2 2" xfId="28385" xr:uid="{976053AC-7666-4C1C-9CD7-A8A83FAA4374}"/>
    <cellStyle name="Separador de milhares 10 21" xfId="17707" xr:uid="{00000000-0005-0000-0000-0000CA4D0000}"/>
    <cellStyle name="Separador de milhares 10 21 2" xfId="17708" xr:uid="{00000000-0005-0000-0000-0000CB4D0000}"/>
    <cellStyle name="Separador de milhares 10 21 2 2" xfId="28386" xr:uid="{367BE3BA-EDDA-4AFA-8AF8-508910463CF1}"/>
    <cellStyle name="Separador de milhares 10 22" xfId="17709" xr:uid="{00000000-0005-0000-0000-0000CC4D0000}"/>
    <cellStyle name="Separador de milhares 10 22 2" xfId="17710" xr:uid="{00000000-0005-0000-0000-0000CD4D0000}"/>
    <cellStyle name="Separador de milhares 10 22 2 2" xfId="28387" xr:uid="{46A28575-C844-4F81-94E8-943526ADD95D}"/>
    <cellStyle name="Separador de milhares 10 23" xfId="17711" xr:uid="{00000000-0005-0000-0000-0000CE4D0000}"/>
    <cellStyle name="Separador de milhares 10 23 2" xfId="17712" xr:uid="{00000000-0005-0000-0000-0000CF4D0000}"/>
    <cellStyle name="Separador de milhares 10 23 2 2" xfId="28388" xr:uid="{F3FC6485-58A5-4D3D-A42B-613F1E1EA712}"/>
    <cellStyle name="Separador de milhares 10 24" xfId="17713" xr:uid="{00000000-0005-0000-0000-0000D04D0000}"/>
    <cellStyle name="Separador de milhares 10 24 2" xfId="17714" xr:uid="{00000000-0005-0000-0000-0000D14D0000}"/>
    <cellStyle name="Separador de milhares 10 24 2 2" xfId="28390" xr:uid="{DA739F7E-66CA-47A4-ABEA-2B50F179583E}"/>
    <cellStyle name="Separador de milhares 10 24 3" xfId="28389" xr:uid="{C267ED6D-0CB1-403F-AA9E-542AEFF4812A}"/>
    <cellStyle name="Separador de milhares 10 25" xfId="17715" xr:uid="{00000000-0005-0000-0000-0000D24D0000}"/>
    <cellStyle name="Separador de milhares 10 25 2" xfId="17716" xr:uid="{00000000-0005-0000-0000-0000D34D0000}"/>
    <cellStyle name="Separador de milhares 10 25 2 2" xfId="28392" xr:uid="{E9D037D6-5AD2-4E13-AFAA-C173BB1D89C8}"/>
    <cellStyle name="Separador de milhares 10 25 3" xfId="28391" xr:uid="{612A5761-DD14-4F18-A456-9B6F5BC31F5E}"/>
    <cellStyle name="Separador de milhares 10 26" xfId="17717" xr:uid="{00000000-0005-0000-0000-0000D44D0000}"/>
    <cellStyle name="Separador de milhares 10 26 2" xfId="17718" xr:uid="{00000000-0005-0000-0000-0000D54D0000}"/>
    <cellStyle name="Separador de milhares 10 26 2 2" xfId="28394" xr:uid="{3B473E59-3B34-4BB7-8346-D3AE8985A579}"/>
    <cellStyle name="Separador de milhares 10 26 3" xfId="28393" xr:uid="{65755DC8-C6C1-485C-B0EB-6DAFEF1AFB3E}"/>
    <cellStyle name="Separador de milhares 10 27" xfId="17719" xr:uid="{00000000-0005-0000-0000-0000D64D0000}"/>
    <cellStyle name="Separador de milhares 10 27 2" xfId="17720" xr:uid="{00000000-0005-0000-0000-0000D74D0000}"/>
    <cellStyle name="Separador de milhares 10 27 2 2" xfId="28396" xr:uid="{C5B43138-7933-47C7-8115-4CF2DD464E00}"/>
    <cellStyle name="Separador de milhares 10 27 3" xfId="28395" xr:uid="{52CE138D-5769-4382-855D-513D8C7017F9}"/>
    <cellStyle name="Separador de milhares 10 28" xfId="17721" xr:uid="{00000000-0005-0000-0000-0000D84D0000}"/>
    <cellStyle name="Separador de milhares 10 28 2" xfId="17722" xr:uid="{00000000-0005-0000-0000-0000D94D0000}"/>
    <cellStyle name="Separador de milhares 10 28 2 2" xfId="28398" xr:uid="{4B634704-FF3F-481C-95F5-D140EA62261C}"/>
    <cellStyle name="Separador de milhares 10 28 3" xfId="28397" xr:uid="{5250C8F9-649E-4CC4-9EAB-76E698AE973B}"/>
    <cellStyle name="Separador de milhares 10 29" xfId="17723" xr:uid="{00000000-0005-0000-0000-0000DA4D0000}"/>
    <cellStyle name="Separador de milhares 10 29 2" xfId="17724" xr:uid="{00000000-0005-0000-0000-0000DB4D0000}"/>
    <cellStyle name="Separador de milhares 10 29 2 2" xfId="28400" xr:uid="{F1C89553-583F-45CC-A456-3E7832349E38}"/>
    <cellStyle name="Separador de milhares 10 29 3" xfId="28399" xr:uid="{28CB0DBE-CA28-40BE-A18E-7B8BF34B026F}"/>
    <cellStyle name="Separador de milhares 10 3" xfId="641" xr:uid="{00000000-0005-0000-0000-0000DC4D0000}"/>
    <cellStyle name="Separador de milhares 10 3 10" xfId="17726" xr:uid="{00000000-0005-0000-0000-0000DD4D0000}"/>
    <cellStyle name="Separador de milhares 10 3 10 2" xfId="17727" xr:uid="{00000000-0005-0000-0000-0000DE4D0000}"/>
    <cellStyle name="Separador de milhares 10 3 10 2 2" xfId="28402" xr:uid="{566E7AE6-F2D2-4355-AB51-2844E8835D93}"/>
    <cellStyle name="Separador de milhares 10 3 11" xfId="17728" xr:uid="{00000000-0005-0000-0000-0000DF4D0000}"/>
    <cellStyle name="Separador de milhares 10 3 11 2" xfId="17729" xr:uid="{00000000-0005-0000-0000-0000E04D0000}"/>
    <cellStyle name="Separador de milhares 10 3 11 2 2" xfId="28404" xr:uid="{270C9E79-CE0D-4183-9294-EFAB4872633A}"/>
    <cellStyle name="Separador de milhares 10 3 11 3" xfId="28403" xr:uid="{F0F3E06B-5674-4643-AF66-41E84857A98F}"/>
    <cellStyle name="Separador de milhares 10 3 12" xfId="17730" xr:uid="{00000000-0005-0000-0000-0000E14D0000}"/>
    <cellStyle name="Separador de milhares 10 3 12 2" xfId="17731" xr:uid="{00000000-0005-0000-0000-0000E24D0000}"/>
    <cellStyle name="Separador de milhares 10 3 12 2 2" xfId="28406" xr:uid="{2D2EE9F8-6E0C-4E9A-A358-C032137DC180}"/>
    <cellStyle name="Separador de milhares 10 3 12 3" xfId="28405" xr:uid="{688B895D-7BA8-43C9-8B2A-9ADB9ACD5F24}"/>
    <cellStyle name="Separador de milhares 10 3 13" xfId="17732" xr:uid="{00000000-0005-0000-0000-0000E34D0000}"/>
    <cellStyle name="Separador de milhares 10 3 13 2" xfId="17733" xr:uid="{00000000-0005-0000-0000-0000E44D0000}"/>
    <cellStyle name="Separador de milhares 10 3 13 2 2" xfId="28408" xr:uid="{3A7C9C7C-7B8B-4BE9-ADB4-14C3C887B2FE}"/>
    <cellStyle name="Separador de milhares 10 3 13 3" xfId="28407" xr:uid="{582CD7C8-7679-42F3-AC43-859B23CF402D}"/>
    <cellStyle name="Separador de milhares 10 3 14" xfId="17734" xr:uid="{00000000-0005-0000-0000-0000E54D0000}"/>
    <cellStyle name="Separador de milhares 10 3 14 2" xfId="17735" xr:uid="{00000000-0005-0000-0000-0000E64D0000}"/>
    <cellStyle name="Separador de milhares 10 3 14 2 2" xfId="28410" xr:uid="{BE81CE66-EBFB-4217-8719-2E9BDAB02EC9}"/>
    <cellStyle name="Separador de milhares 10 3 14 3" xfId="28409" xr:uid="{B9B5968F-1D86-49D5-8FAA-93DB7E408E99}"/>
    <cellStyle name="Separador de milhares 10 3 15" xfId="17736" xr:uid="{00000000-0005-0000-0000-0000E74D0000}"/>
    <cellStyle name="Separador de milhares 10 3 15 2" xfId="17737" xr:uid="{00000000-0005-0000-0000-0000E84D0000}"/>
    <cellStyle name="Separador de milhares 10 3 15 2 2" xfId="28412" xr:uid="{B785DEBA-7406-43F1-B37C-E9A420F158FB}"/>
    <cellStyle name="Separador de milhares 10 3 15 3" xfId="28411" xr:uid="{4A03717A-F514-4E81-950E-95F0AC529B25}"/>
    <cellStyle name="Separador de milhares 10 3 16" xfId="17738" xr:uid="{00000000-0005-0000-0000-0000E94D0000}"/>
    <cellStyle name="Separador de milhares 10 3 16 2" xfId="17739" xr:uid="{00000000-0005-0000-0000-0000EA4D0000}"/>
    <cellStyle name="Separador de milhares 10 3 16 2 2" xfId="28414" xr:uid="{8CE3B9B4-6C20-4134-B4B8-34152A326622}"/>
    <cellStyle name="Separador de milhares 10 3 16 3" xfId="28413" xr:uid="{710FB652-1396-4A5A-811A-F0DABAE57424}"/>
    <cellStyle name="Separador de milhares 10 3 17" xfId="17740" xr:uid="{00000000-0005-0000-0000-0000EB4D0000}"/>
    <cellStyle name="Separador de milhares 10 3 17 2" xfId="17741" xr:uid="{00000000-0005-0000-0000-0000EC4D0000}"/>
    <cellStyle name="Separador de milhares 10 3 17 2 2" xfId="28416" xr:uid="{D53BE8EA-5E27-4A4B-9EF4-35B5E9140606}"/>
    <cellStyle name="Separador de milhares 10 3 17 3" xfId="28415" xr:uid="{3FC051D7-881C-4F22-B7E0-43A56C5B152C}"/>
    <cellStyle name="Separador de milhares 10 3 18" xfId="17742" xr:uid="{00000000-0005-0000-0000-0000ED4D0000}"/>
    <cellStyle name="Separador de milhares 10 3 18 2" xfId="17743" xr:uid="{00000000-0005-0000-0000-0000EE4D0000}"/>
    <cellStyle name="Separador de milhares 10 3 18 2 2" xfId="28418" xr:uid="{2C4E25B4-54B8-4F29-B722-6A18B118E6A2}"/>
    <cellStyle name="Separador de milhares 10 3 18 3" xfId="28417" xr:uid="{F8C73801-09DF-4D5D-B7AA-9C4B32D4F602}"/>
    <cellStyle name="Separador de milhares 10 3 19" xfId="17744" xr:uid="{00000000-0005-0000-0000-0000EF4D0000}"/>
    <cellStyle name="Separador de milhares 10 3 19 2" xfId="17745" xr:uid="{00000000-0005-0000-0000-0000F04D0000}"/>
    <cellStyle name="Separador de milhares 10 3 19 2 2" xfId="28420" xr:uid="{37DBC28F-1A1C-4DEC-B451-3D48025ABC18}"/>
    <cellStyle name="Separador de milhares 10 3 19 3" xfId="28419" xr:uid="{D94DC79E-1201-403F-9123-2A55099443FD}"/>
    <cellStyle name="Separador de milhares 10 3 2" xfId="642" xr:uid="{00000000-0005-0000-0000-0000F14D0000}"/>
    <cellStyle name="Separador de milhares 10 3 2 2" xfId="643" xr:uid="{00000000-0005-0000-0000-0000F24D0000}"/>
    <cellStyle name="Separador de milhares 10 3 2 2 2" xfId="644" xr:uid="{00000000-0005-0000-0000-0000F34D0000}"/>
    <cellStyle name="Separador de milhares 10 3 2 2 2 2" xfId="27890" xr:uid="{0FBD3B83-5C55-4DA0-8069-C6C2DDEEC32F}"/>
    <cellStyle name="Separador de milhares 10 3 2 2 3" xfId="17747" xr:uid="{00000000-0005-0000-0000-0000F44D0000}"/>
    <cellStyle name="Separador de milhares 10 3 2 2 3 2" xfId="28421" xr:uid="{685B38A3-3537-49C6-B623-9269A0222F53}"/>
    <cellStyle name="Separador de milhares 10 3 2 2 4" xfId="27889" xr:uid="{15A7AE9B-B279-45B2-8608-0FF9C7B2DD2C}"/>
    <cellStyle name="Separador de milhares 10 3 2 3" xfId="645" xr:uid="{00000000-0005-0000-0000-0000F54D0000}"/>
    <cellStyle name="Separador de milhares 10 3 2 3 2" xfId="27891" xr:uid="{7B76271A-EF75-4C43-BA68-554036644C9B}"/>
    <cellStyle name="Separador de milhares 10 3 2 4" xfId="17746" xr:uid="{00000000-0005-0000-0000-0000F64D0000}"/>
    <cellStyle name="Separador de milhares 10 3 2 5" xfId="27888" xr:uid="{5E8B5AB8-EC91-422E-8140-E67027D0B3DC}"/>
    <cellStyle name="Separador de milhares 10 3 20" xfId="17748" xr:uid="{00000000-0005-0000-0000-0000F74D0000}"/>
    <cellStyle name="Separador de milhares 10 3 20 2" xfId="17749" xr:uid="{00000000-0005-0000-0000-0000F84D0000}"/>
    <cellStyle name="Separador de milhares 10 3 20 2 2" xfId="28423" xr:uid="{CDA76A90-1C0C-4655-B0FC-BCE49B87B701}"/>
    <cellStyle name="Separador de milhares 10 3 20 3" xfId="28422" xr:uid="{695CA88C-FD36-4027-8CDB-45BAF45F0A24}"/>
    <cellStyle name="Separador de milhares 10 3 21" xfId="17750" xr:uid="{00000000-0005-0000-0000-0000F94D0000}"/>
    <cellStyle name="Separador de milhares 10 3 21 2" xfId="17751" xr:uid="{00000000-0005-0000-0000-0000FA4D0000}"/>
    <cellStyle name="Separador de milhares 10 3 21 2 2" xfId="28425" xr:uid="{8EFE62CB-EA29-4528-8BA4-ED605ABD2555}"/>
    <cellStyle name="Separador de milhares 10 3 21 3" xfId="28424" xr:uid="{9D1714ED-300A-4246-8384-8ADCE76DD62A}"/>
    <cellStyle name="Separador de milhares 10 3 22" xfId="17752" xr:uid="{00000000-0005-0000-0000-0000FB4D0000}"/>
    <cellStyle name="Separador de milhares 10 3 22 2" xfId="17753" xr:uid="{00000000-0005-0000-0000-0000FC4D0000}"/>
    <cellStyle name="Separador de milhares 10 3 22 2 2" xfId="28427" xr:uid="{921CA17A-FA3B-4533-B9D2-B230AC5F15F9}"/>
    <cellStyle name="Separador de milhares 10 3 22 3" xfId="28426" xr:uid="{A247C685-391A-4199-97BE-AF07360AE60F}"/>
    <cellStyle name="Separador de milhares 10 3 23" xfId="17754" xr:uid="{00000000-0005-0000-0000-0000FD4D0000}"/>
    <cellStyle name="Separador de milhares 10 3 23 2" xfId="17755" xr:uid="{00000000-0005-0000-0000-0000FE4D0000}"/>
    <cellStyle name="Separador de milhares 10 3 23 2 2" xfId="28429" xr:uid="{6360B204-35C9-45D5-AA3F-633FFFA1E233}"/>
    <cellStyle name="Separador de milhares 10 3 23 3" xfId="28428" xr:uid="{4E397541-444F-4D8D-A0F1-3C179008D744}"/>
    <cellStyle name="Separador de milhares 10 3 24" xfId="17756" xr:uid="{00000000-0005-0000-0000-0000FF4D0000}"/>
    <cellStyle name="Separador de milhares 10 3 24 2" xfId="17757" xr:uid="{00000000-0005-0000-0000-0000004E0000}"/>
    <cellStyle name="Separador de milhares 10 3 24 2 2" xfId="28431" xr:uid="{1B071255-9EC8-4B4C-9D3D-B6FE22863A03}"/>
    <cellStyle name="Separador de milhares 10 3 24 3" xfId="28430" xr:uid="{1F7B1CFF-BDA2-4B03-B1F6-5BD7B09B1F55}"/>
    <cellStyle name="Separador de milhares 10 3 25" xfId="17758" xr:uid="{00000000-0005-0000-0000-0000014E0000}"/>
    <cellStyle name="Separador de milhares 10 3 25 2" xfId="17759" xr:uid="{00000000-0005-0000-0000-0000024E0000}"/>
    <cellStyle name="Separador de milhares 10 3 25 2 2" xfId="28433" xr:uid="{6EC0556C-7043-4C46-BB61-985DF05C1824}"/>
    <cellStyle name="Separador de milhares 10 3 25 3" xfId="28432" xr:uid="{36DC6D07-0B08-4C3B-9F9A-417165D4C6A2}"/>
    <cellStyle name="Separador de milhares 10 3 26" xfId="17760" xr:uid="{00000000-0005-0000-0000-0000034E0000}"/>
    <cellStyle name="Separador de milhares 10 3 26 2" xfId="17761" xr:uid="{00000000-0005-0000-0000-0000044E0000}"/>
    <cellStyle name="Separador de milhares 10 3 26 2 2" xfId="28435" xr:uid="{E7EC02C0-2EBE-4F0A-ADD3-CFB1F060A668}"/>
    <cellStyle name="Separador de milhares 10 3 26 3" xfId="28434" xr:uid="{376EED24-F952-4910-BFCF-8AAD51E5AA8D}"/>
    <cellStyle name="Separador de milhares 10 3 27" xfId="17762" xr:uid="{00000000-0005-0000-0000-0000054E0000}"/>
    <cellStyle name="Separador de milhares 10 3 27 2" xfId="17763" xr:uid="{00000000-0005-0000-0000-0000064E0000}"/>
    <cellStyle name="Separador de milhares 10 3 27 2 2" xfId="28437" xr:uid="{AED0E2E0-50A5-49BA-8049-DF7C6D3260F5}"/>
    <cellStyle name="Separador de milhares 10 3 27 3" xfId="28436" xr:uid="{06EC8CC5-B903-43B0-8D85-7AED34E34D1E}"/>
    <cellStyle name="Separador de milhares 10 3 28" xfId="17764" xr:uid="{00000000-0005-0000-0000-0000074E0000}"/>
    <cellStyle name="Separador de milhares 10 3 28 2" xfId="17765" xr:uid="{00000000-0005-0000-0000-0000084E0000}"/>
    <cellStyle name="Separador de milhares 10 3 28 2 2" xfId="28439" xr:uid="{9BF1B296-BA26-41DB-A968-716C42EBA02A}"/>
    <cellStyle name="Separador de milhares 10 3 28 3" xfId="28438" xr:uid="{709FB808-C2E1-4FB5-BF3A-C8C2DF258123}"/>
    <cellStyle name="Separador de milhares 10 3 29" xfId="17766" xr:uid="{00000000-0005-0000-0000-0000094E0000}"/>
    <cellStyle name="Separador de milhares 10 3 29 2" xfId="17767" xr:uid="{00000000-0005-0000-0000-00000A4E0000}"/>
    <cellStyle name="Separador de milhares 10 3 29 2 2" xfId="28441" xr:uid="{96453584-1568-45B2-A85C-37B808D9045B}"/>
    <cellStyle name="Separador de milhares 10 3 29 3" xfId="28440" xr:uid="{9F45FC46-6CB4-45B6-94C2-90EFCA54AD72}"/>
    <cellStyle name="Separador de milhares 10 3 3" xfId="646" xr:uid="{00000000-0005-0000-0000-00000B4E0000}"/>
    <cellStyle name="Separador de milhares 10 3 3 2" xfId="647" xr:uid="{00000000-0005-0000-0000-00000C4E0000}"/>
    <cellStyle name="Separador de milhares 10 3 3 2 2" xfId="17769" xr:uid="{00000000-0005-0000-0000-00000D4E0000}"/>
    <cellStyle name="Separador de milhares 10 3 3 2 2 2" xfId="28442" xr:uid="{2FCE9D89-705C-4D5B-97F9-65B845BAD967}"/>
    <cellStyle name="Separador de milhares 10 3 3 2 3" xfId="27893" xr:uid="{65B662B0-CCE8-483F-AAFA-4E29D55DED72}"/>
    <cellStyle name="Separador de milhares 10 3 3 3" xfId="17768" xr:uid="{00000000-0005-0000-0000-00000E4E0000}"/>
    <cellStyle name="Separador de milhares 10 3 3 4" xfId="27892" xr:uid="{229F6AD5-93DE-4500-8C23-47EA2E7C05CB}"/>
    <cellStyle name="Separador de milhares 10 3 30" xfId="17770" xr:uid="{00000000-0005-0000-0000-00000F4E0000}"/>
    <cellStyle name="Separador de milhares 10 3 30 2" xfId="17771" xr:uid="{00000000-0005-0000-0000-0000104E0000}"/>
    <cellStyle name="Separador de milhares 10 3 30 2 2" xfId="28444" xr:uid="{8712AD04-B930-4E55-AFAD-0C2B4C1A603B}"/>
    <cellStyle name="Separador de milhares 10 3 30 3" xfId="28443" xr:uid="{DE93B7EB-6CED-4084-A56B-12C8356552D9}"/>
    <cellStyle name="Separador de milhares 10 3 31" xfId="17772" xr:uid="{00000000-0005-0000-0000-0000114E0000}"/>
    <cellStyle name="Separador de milhares 10 3 31 2" xfId="17773" xr:uid="{00000000-0005-0000-0000-0000124E0000}"/>
    <cellStyle name="Separador de milhares 10 3 31 2 2" xfId="28446" xr:uid="{F1FCF0C0-07FA-4CBF-A89B-2147B0D17CFF}"/>
    <cellStyle name="Separador de milhares 10 3 31 3" xfId="28445" xr:uid="{EFB125E3-C2FD-4E18-98B3-C5A16309EBE0}"/>
    <cellStyle name="Separador de milhares 10 3 32" xfId="17774" xr:uid="{00000000-0005-0000-0000-0000134E0000}"/>
    <cellStyle name="Separador de milhares 10 3 32 2" xfId="17775" xr:uid="{00000000-0005-0000-0000-0000144E0000}"/>
    <cellStyle name="Separador de milhares 10 3 32 2 2" xfId="28448" xr:uid="{6C2D7A7E-659E-461A-9A2A-77718B9601B2}"/>
    <cellStyle name="Separador de milhares 10 3 32 3" xfId="28447" xr:uid="{833A4D9B-5A9F-49E5-9334-0637294165F4}"/>
    <cellStyle name="Separador de milhares 10 3 33" xfId="17776" xr:uid="{00000000-0005-0000-0000-0000154E0000}"/>
    <cellStyle name="Separador de milhares 10 3 33 2" xfId="17777" xr:uid="{00000000-0005-0000-0000-0000164E0000}"/>
    <cellStyle name="Separador de milhares 10 3 33 2 2" xfId="28450" xr:uid="{D1D2305E-D814-4698-A457-A32642F5365A}"/>
    <cellStyle name="Separador de milhares 10 3 33 3" xfId="28449" xr:uid="{958450BD-02C2-4E90-99BE-3353BB5A3166}"/>
    <cellStyle name="Separador de milhares 10 3 34" xfId="17778" xr:uid="{00000000-0005-0000-0000-0000174E0000}"/>
    <cellStyle name="Separador de milhares 10 3 34 2" xfId="17779" xr:uid="{00000000-0005-0000-0000-0000184E0000}"/>
    <cellStyle name="Separador de milhares 10 3 34 2 2" xfId="28452" xr:uid="{FCCF6918-54A9-4693-893D-6E56BA1B640F}"/>
    <cellStyle name="Separador de milhares 10 3 34 3" xfId="28451" xr:uid="{ACE6F554-F4D2-4737-A9E5-FD0258C3C30E}"/>
    <cellStyle name="Separador de milhares 10 3 35" xfId="17780" xr:uid="{00000000-0005-0000-0000-0000194E0000}"/>
    <cellStyle name="Separador de milhares 10 3 35 2" xfId="28453" xr:uid="{32397C58-5FA7-47F1-A516-7117C775E551}"/>
    <cellStyle name="Separador de milhares 10 3 36" xfId="17725" xr:uid="{00000000-0005-0000-0000-00001A4E0000}"/>
    <cellStyle name="Separador de milhares 10 3 36 2" xfId="28401" xr:uid="{3600DEF3-3298-4F1C-BB82-60EAC8A2F55F}"/>
    <cellStyle name="Separador de milhares 10 3 37" xfId="27887" xr:uid="{3737C26F-2499-481B-AB9B-7B4B1471332E}"/>
    <cellStyle name="Separador de milhares 10 3 4" xfId="648" xr:uid="{00000000-0005-0000-0000-00001B4E0000}"/>
    <cellStyle name="Separador de milhares 10 3 4 2" xfId="17782" xr:uid="{00000000-0005-0000-0000-00001C4E0000}"/>
    <cellStyle name="Separador de milhares 10 3 4 2 2" xfId="28454" xr:uid="{1B132A8E-7E86-4DB9-A612-7E39A630EC22}"/>
    <cellStyle name="Separador de milhares 10 3 4 3" xfId="17781" xr:uid="{00000000-0005-0000-0000-00001D4E0000}"/>
    <cellStyle name="Separador de milhares 10 3 4 4" xfId="27894" xr:uid="{5631ADDC-2FB0-4074-B6FA-DB36E08EE271}"/>
    <cellStyle name="Separador de milhares 10 3 5" xfId="17783" xr:uid="{00000000-0005-0000-0000-00001E4E0000}"/>
    <cellStyle name="Separador de milhares 10 3 5 2" xfId="17784" xr:uid="{00000000-0005-0000-0000-00001F4E0000}"/>
    <cellStyle name="Separador de milhares 10 3 5 2 2" xfId="28455" xr:uid="{559AF0F6-C522-42D5-A8BA-7F003D607B05}"/>
    <cellStyle name="Separador de milhares 10 3 6" xfId="17785" xr:uid="{00000000-0005-0000-0000-0000204E0000}"/>
    <cellStyle name="Separador de milhares 10 3 6 2" xfId="17786" xr:uid="{00000000-0005-0000-0000-0000214E0000}"/>
    <cellStyle name="Separador de milhares 10 3 6 2 2" xfId="28456" xr:uid="{FE50CAB1-BE14-4616-8312-5A3BF1B0D2D9}"/>
    <cellStyle name="Separador de milhares 10 3 7" xfId="17787" xr:uid="{00000000-0005-0000-0000-0000224E0000}"/>
    <cellStyle name="Separador de milhares 10 3 7 2" xfId="17788" xr:uid="{00000000-0005-0000-0000-0000234E0000}"/>
    <cellStyle name="Separador de milhares 10 3 7 2 2" xfId="28457" xr:uid="{C45EAADE-ED94-4644-ACA2-10C3D03FE490}"/>
    <cellStyle name="Separador de milhares 10 3 8" xfId="17789" xr:uid="{00000000-0005-0000-0000-0000244E0000}"/>
    <cellStyle name="Separador de milhares 10 3 8 2" xfId="17790" xr:uid="{00000000-0005-0000-0000-0000254E0000}"/>
    <cellStyle name="Separador de milhares 10 3 8 2 2" xfId="28458" xr:uid="{A2C2DAE5-307C-4F08-B4E7-780D8F0BE98E}"/>
    <cellStyle name="Separador de milhares 10 3 9" xfId="17791" xr:uid="{00000000-0005-0000-0000-0000264E0000}"/>
    <cellStyle name="Separador de milhares 10 3 9 2" xfId="17792" xr:uid="{00000000-0005-0000-0000-0000274E0000}"/>
    <cellStyle name="Separador de milhares 10 3 9 2 2" xfId="28459" xr:uid="{0304434D-6691-475A-8343-F305EC62214D}"/>
    <cellStyle name="Separador de milhares 10 30" xfId="17793" xr:uid="{00000000-0005-0000-0000-0000284E0000}"/>
    <cellStyle name="Separador de milhares 10 30 2" xfId="17794" xr:uid="{00000000-0005-0000-0000-0000294E0000}"/>
    <cellStyle name="Separador de milhares 10 30 2 2" xfId="28461" xr:uid="{0AD07095-863E-46B5-A09A-6A3C5EEA0FF2}"/>
    <cellStyle name="Separador de milhares 10 30 3" xfId="28460" xr:uid="{5F19577E-7184-41B7-978B-81728F8C3A09}"/>
    <cellStyle name="Separador de milhares 10 31" xfId="17795" xr:uid="{00000000-0005-0000-0000-00002A4E0000}"/>
    <cellStyle name="Separador de milhares 10 31 2" xfId="17796" xr:uid="{00000000-0005-0000-0000-00002B4E0000}"/>
    <cellStyle name="Separador de milhares 10 31 2 2" xfId="28463" xr:uid="{36FC6255-2FA5-4B6F-B5FC-42ADB07BD1A9}"/>
    <cellStyle name="Separador de milhares 10 31 3" xfId="28462" xr:uid="{B7BEFA44-DB79-4761-91E2-40943EC868BA}"/>
    <cellStyle name="Separador de milhares 10 32" xfId="17797" xr:uid="{00000000-0005-0000-0000-00002C4E0000}"/>
    <cellStyle name="Separador de milhares 10 32 2" xfId="17798" xr:uid="{00000000-0005-0000-0000-00002D4E0000}"/>
    <cellStyle name="Separador de milhares 10 32 2 2" xfId="28465" xr:uid="{47303132-1473-4008-988F-12DFD02A01E3}"/>
    <cellStyle name="Separador de milhares 10 32 3" xfId="28464" xr:uid="{841D94F1-7E73-4BAC-B711-7121C579D483}"/>
    <cellStyle name="Separador de milhares 10 33" xfId="17799" xr:uid="{00000000-0005-0000-0000-00002E4E0000}"/>
    <cellStyle name="Separador de milhares 10 33 2" xfId="17800" xr:uid="{00000000-0005-0000-0000-00002F4E0000}"/>
    <cellStyle name="Separador de milhares 10 33 2 2" xfId="28467" xr:uid="{DA855E29-D0CA-4261-8A22-9D9E58D49F97}"/>
    <cellStyle name="Separador de milhares 10 33 3" xfId="28466" xr:uid="{08197918-A518-40EA-A432-31A9816B6977}"/>
    <cellStyle name="Separador de milhares 10 34" xfId="17801" xr:uid="{00000000-0005-0000-0000-0000304E0000}"/>
    <cellStyle name="Separador de milhares 10 34 2" xfId="17802" xr:uid="{00000000-0005-0000-0000-0000314E0000}"/>
    <cellStyle name="Separador de milhares 10 34 2 2" xfId="28469" xr:uid="{1BC18F67-6055-48A3-9D81-C4E1367166DF}"/>
    <cellStyle name="Separador de milhares 10 34 3" xfId="28468" xr:uid="{8B63D9D0-DE7D-43B8-99C3-5A081D179F46}"/>
    <cellStyle name="Separador de milhares 10 35" xfId="17803" xr:uid="{00000000-0005-0000-0000-0000324E0000}"/>
    <cellStyle name="Separador de milhares 10 35 2" xfId="17804" xr:uid="{00000000-0005-0000-0000-0000334E0000}"/>
    <cellStyle name="Separador de milhares 10 35 2 2" xfId="28471" xr:uid="{1DEFB9A3-8A90-452F-ADCD-6CE26EB2B031}"/>
    <cellStyle name="Separador de milhares 10 35 3" xfId="28470" xr:uid="{62FA280D-14AE-427D-B69E-7FBE7AB3274B}"/>
    <cellStyle name="Separador de milhares 10 36" xfId="17805" xr:uid="{00000000-0005-0000-0000-0000344E0000}"/>
    <cellStyle name="Separador de milhares 10 36 2" xfId="17806" xr:uid="{00000000-0005-0000-0000-0000354E0000}"/>
    <cellStyle name="Separador de milhares 10 36 2 2" xfId="28473" xr:uid="{6F017CB2-8398-4BF0-A3C5-994951DB0209}"/>
    <cellStyle name="Separador de milhares 10 36 3" xfId="28472" xr:uid="{BB15538F-1686-460B-92D4-7849F8C89ECA}"/>
    <cellStyle name="Separador de milhares 10 37" xfId="17807" xr:uid="{00000000-0005-0000-0000-0000364E0000}"/>
    <cellStyle name="Separador de milhares 10 37 2" xfId="17808" xr:uid="{00000000-0005-0000-0000-0000374E0000}"/>
    <cellStyle name="Separador de milhares 10 37 2 2" xfId="28475" xr:uid="{A9A7778E-D284-4F77-87CB-DEEC157211EC}"/>
    <cellStyle name="Separador de milhares 10 37 3" xfId="28474" xr:uid="{2928E911-F28F-4726-8DE9-B7315FAD853D}"/>
    <cellStyle name="Separador de milhares 10 38" xfId="17809" xr:uid="{00000000-0005-0000-0000-0000384E0000}"/>
    <cellStyle name="Separador de milhares 10 38 2" xfId="17810" xr:uid="{00000000-0005-0000-0000-0000394E0000}"/>
    <cellStyle name="Separador de milhares 10 38 2 2" xfId="28477" xr:uid="{D8532C0F-38C8-4487-85B0-CDE3BAE9D184}"/>
    <cellStyle name="Separador de milhares 10 38 3" xfId="28476" xr:uid="{D7220212-7C6F-4AAE-9003-6A87E96C5E88}"/>
    <cellStyle name="Separador de milhares 10 39" xfId="17811" xr:uid="{00000000-0005-0000-0000-00003A4E0000}"/>
    <cellStyle name="Separador de milhares 10 39 2" xfId="17812" xr:uid="{00000000-0005-0000-0000-00003B4E0000}"/>
    <cellStyle name="Separador de milhares 10 39 2 2" xfId="28479" xr:uid="{9378675D-CA49-4B38-A5DA-639475A2831E}"/>
    <cellStyle name="Separador de milhares 10 39 3" xfId="28478" xr:uid="{D83BB221-06F2-44CF-9148-FF21A8F770DF}"/>
    <cellStyle name="Separador de milhares 10 4" xfId="649" xr:uid="{00000000-0005-0000-0000-00003C4E0000}"/>
    <cellStyle name="Separador de milhares 10 4 10" xfId="17814" xr:uid="{00000000-0005-0000-0000-00003D4E0000}"/>
    <cellStyle name="Separador de milhares 10 4 11" xfId="17813" xr:uid="{00000000-0005-0000-0000-00003E4E0000}"/>
    <cellStyle name="Separador de milhares 10 4 12" xfId="27895" xr:uid="{A58AEF11-74CD-4C72-87AD-BCC0729FCFF6}"/>
    <cellStyle name="Separador de milhares 10 4 2" xfId="650" xr:uid="{00000000-0005-0000-0000-00003F4E0000}"/>
    <cellStyle name="Separador de milhares 10 4 2 2" xfId="651" xr:uid="{00000000-0005-0000-0000-0000404E0000}"/>
    <cellStyle name="Separador de milhares 10 4 2 2 2" xfId="17816" xr:uid="{00000000-0005-0000-0000-0000414E0000}"/>
    <cellStyle name="Separador de milhares 10 4 2 2 2 2" xfId="28480" xr:uid="{A98BEFA1-E53B-42AF-B29B-C25D5FE36F25}"/>
    <cellStyle name="Separador de milhares 10 4 2 2 3" xfId="27897" xr:uid="{AB56E5FD-6B15-421D-AF83-0E797C53D3BB}"/>
    <cellStyle name="Separador de milhares 10 4 2 3" xfId="17815" xr:uid="{00000000-0005-0000-0000-0000424E0000}"/>
    <cellStyle name="Separador de milhares 10 4 2 4" xfId="27896" xr:uid="{7BCCEA68-21C0-4E5E-AA2E-D246528B348A}"/>
    <cellStyle name="Separador de milhares 10 4 3" xfId="652" xr:uid="{00000000-0005-0000-0000-0000434E0000}"/>
    <cellStyle name="Separador de milhares 10 4 3 2" xfId="17818" xr:uid="{00000000-0005-0000-0000-0000444E0000}"/>
    <cellStyle name="Separador de milhares 10 4 3 2 2" xfId="28481" xr:uid="{94211FB0-BC15-4A19-BCD4-DD4D777E2DED}"/>
    <cellStyle name="Separador de milhares 10 4 3 3" xfId="17817" xr:uid="{00000000-0005-0000-0000-0000454E0000}"/>
    <cellStyle name="Separador de milhares 10 4 3 4" xfId="27898" xr:uid="{3B92C67D-1DF9-4C3B-A58A-FFADD85DCFB8}"/>
    <cellStyle name="Separador de milhares 10 4 4" xfId="17819" xr:uid="{00000000-0005-0000-0000-0000464E0000}"/>
    <cellStyle name="Separador de milhares 10 4 4 2" xfId="17820" xr:uid="{00000000-0005-0000-0000-0000474E0000}"/>
    <cellStyle name="Separador de milhares 10 4 4 2 2" xfId="28482" xr:uid="{C850F4A7-C2E0-450A-98AB-1D4F08F362BB}"/>
    <cellStyle name="Separador de milhares 10 4 5" xfId="17821" xr:uid="{00000000-0005-0000-0000-0000484E0000}"/>
    <cellStyle name="Separador de milhares 10 4 5 2" xfId="17822" xr:uid="{00000000-0005-0000-0000-0000494E0000}"/>
    <cellStyle name="Separador de milhares 10 4 5 2 2" xfId="28483" xr:uid="{B1ED3500-9E17-4AAA-9306-4BE6103B2B17}"/>
    <cellStyle name="Separador de milhares 10 4 6" xfId="17823" xr:uid="{00000000-0005-0000-0000-00004A4E0000}"/>
    <cellStyle name="Separador de milhares 10 4 7" xfId="17824" xr:uid="{00000000-0005-0000-0000-00004B4E0000}"/>
    <cellStyle name="Separador de milhares 10 4 8" xfId="17825" xr:uid="{00000000-0005-0000-0000-00004C4E0000}"/>
    <cellStyle name="Separador de milhares 10 4 9" xfId="17826" xr:uid="{00000000-0005-0000-0000-00004D4E0000}"/>
    <cellStyle name="Separador de milhares 10 40" xfId="17827" xr:uid="{00000000-0005-0000-0000-00004E4E0000}"/>
    <cellStyle name="Separador de milhares 10 40 2" xfId="17828" xr:uid="{00000000-0005-0000-0000-00004F4E0000}"/>
    <cellStyle name="Separador de milhares 10 40 2 2" xfId="28485" xr:uid="{1C664B1E-A5C5-479D-94F2-A073E51E932A}"/>
    <cellStyle name="Separador de milhares 10 40 3" xfId="28484" xr:uid="{6EA70AEA-DD35-46F1-91A0-EC55AFBD5428}"/>
    <cellStyle name="Separador de milhares 10 41" xfId="17829" xr:uid="{00000000-0005-0000-0000-0000504E0000}"/>
    <cellStyle name="Separador de milhares 10 41 2" xfId="17830" xr:uid="{00000000-0005-0000-0000-0000514E0000}"/>
    <cellStyle name="Separador de milhares 10 41 2 2" xfId="28487" xr:uid="{FE1D901C-626D-4D48-B74A-0850E85AF786}"/>
    <cellStyle name="Separador de milhares 10 41 3" xfId="28486" xr:uid="{58D75712-9A97-47B6-8F92-3CFF875BACEA}"/>
    <cellStyle name="Separador de milhares 10 42" xfId="17831" xr:uid="{00000000-0005-0000-0000-0000524E0000}"/>
    <cellStyle name="Separador de milhares 10 42 2" xfId="17832" xr:uid="{00000000-0005-0000-0000-0000534E0000}"/>
    <cellStyle name="Separador de milhares 10 42 2 2" xfId="28489" xr:uid="{715A5595-7BB7-4D34-8724-D716C0761166}"/>
    <cellStyle name="Separador de milhares 10 42 3" xfId="28488" xr:uid="{9787B9C7-8EC2-4AF7-B36E-95574780D7D4}"/>
    <cellStyle name="Separador de milhares 10 43" xfId="17833" xr:uid="{00000000-0005-0000-0000-0000544E0000}"/>
    <cellStyle name="Separador de milhares 10 43 2" xfId="17834" xr:uid="{00000000-0005-0000-0000-0000554E0000}"/>
    <cellStyle name="Separador de milhares 10 43 2 2" xfId="28491" xr:uid="{17C000B5-06B0-4EEB-8F31-2B8B6136062C}"/>
    <cellStyle name="Separador de milhares 10 43 3" xfId="28490" xr:uid="{04B6A215-AF12-4B45-8F82-5DC7CC0C65AE}"/>
    <cellStyle name="Separador de milhares 10 44" xfId="17835" xr:uid="{00000000-0005-0000-0000-0000564E0000}"/>
    <cellStyle name="Separador de milhares 10 44 2" xfId="17836" xr:uid="{00000000-0005-0000-0000-0000574E0000}"/>
    <cellStyle name="Separador de milhares 10 44 2 2" xfId="28493" xr:uid="{94975A50-B737-4023-A150-4485AAB85A34}"/>
    <cellStyle name="Separador de milhares 10 44 3" xfId="28492" xr:uid="{C1C948C3-C55A-432D-99A3-90606C6CE42C}"/>
    <cellStyle name="Separador de milhares 10 45" xfId="17837" xr:uid="{00000000-0005-0000-0000-0000584E0000}"/>
    <cellStyle name="Separador de milhares 10 45 2" xfId="17838" xr:uid="{00000000-0005-0000-0000-0000594E0000}"/>
    <cellStyle name="Separador de milhares 10 45 2 2" xfId="28495" xr:uid="{CA31716A-CCFA-4548-B059-E9FABAE7B978}"/>
    <cellStyle name="Separador de milhares 10 45 3" xfId="28494" xr:uid="{D9106546-A788-457D-A55C-74A7F3A85187}"/>
    <cellStyle name="Separador de milhares 10 46" xfId="17839" xr:uid="{00000000-0005-0000-0000-00005A4E0000}"/>
    <cellStyle name="Separador de milhares 10 46 2" xfId="17840" xr:uid="{00000000-0005-0000-0000-00005B4E0000}"/>
    <cellStyle name="Separador de milhares 10 46 2 2" xfId="28497" xr:uid="{A406ACE6-51D6-4B6A-8B86-251B22BEB1E9}"/>
    <cellStyle name="Separador de milhares 10 46 3" xfId="28496" xr:uid="{AFA9C216-0CE3-4ADB-A5E0-07820025EABB}"/>
    <cellStyle name="Separador de milhares 10 47" xfId="17841" xr:uid="{00000000-0005-0000-0000-00005C4E0000}"/>
    <cellStyle name="Separador de milhares 10 47 2" xfId="17842" xr:uid="{00000000-0005-0000-0000-00005D4E0000}"/>
    <cellStyle name="Separador de milhares 10 47 2 2" xfId="28499" xr:uid="{ED68AC5B-DE94-4A05-81E7-1D7AB615ABEC}"/>
    <cellStyle name="Separador de milhares 10 47 3" xfId="28498" xr:uid="{FD8C16FE-8A1C-46CC-B3E3-5DB5E251EE85}"/>
    <cellStyle name="Separador de milhares 10 48" xfId="17843" xr:uid="{00000000-0005-0000-0000-00005E4E0000}"/>
    <cellStyle name="Separador de milhares 10 48 2" xfId="17844" xr:uid="{00000000-0005-0000-0000-00005F4E0000}"/>
    <cellStyle name="Separador de milhares 10 48 2 2" xfId="28501" xr:uid="{31E40C70-C4BF-49A2-A20E-C7118D8B6CE8}"/>
    <cellStyle name="Separador de milhares 10 48 3" xfId="28500" xr:uid="{6C29CFE5-4F71-4579-BC48-47C952C89280}"/>
    <cellStyle name="Separador de milhares 10 49" xfId="17845" xr:uid="{00000000-0005-0000-0000-0000604E0000}"/>
    <cellStyle name="Separador de milhares 10 49 2" xfId="28502" xr:uid="{CAA71F67-B7CC-4DBE-ABCC-E814E71A3236}"/>
    <cellStyle name="Separador de milhares 10 5" xfId="653" xr:uid="{00000000-0005-0000-0000-0000614E0000}"/>
    <cellStyle name="Separador de milhares 10 5 2" xfId="654" xr:uid="{00000000-0005-0000-0000-0000624E0000}"/>
    <cellStyle name="Separador de milhares 10 5 2 2" xfId="17848" xr:uid="{00000000-0005-0000-0000-0000634E0000}"/>
    <cellStyle name="Separador de milhares 10 5 2 2 2" xfId="28503" xr:uid="{7E9586A8-9FDB-44E6-AC2C-8F2DE7FF9E1A}"/>
    <cellStyle name="Separador de milhares 10 5 2 3" xfId="17847" xr:uid="{00000000-0005-0000-0000-0000644E0000}"/>
    <cellStyle name="Separador de milhares 10 5 2 4" xfId="27900" xr:uid="{F99A7FF3-F7EB-45C4-9B4D-A0F6CDD46F4F}"/>
    <cellStyle name="Separador de milhares 10 5 3" xfId="17849" xr:uid="{00000000-0005-0000-0000-0000654E0000}"/>
    <cellStyle name="Separador de milhares 10 5 3 2" xfId="17850" xr:uid="{00000000-0005-0000-0000-0000664E0000}"/>
    <cellStyle name="Separador de milhares 10 5 3 2 2" xfId="28504" xr:uid="{58152F98-D853-45DB-86AB-AAA078EE43F3}"/>
    <cellStyle name="Separador de milhares 10 5 4" xfId="17851" xr:uid="{00000000-0005-0000-0000-0000674E0000}"/>
    <cellStyle name="Separador de milhares 10 5 4 2" xfId="17852" xr:uid="{00000000-0005-0000-0000-0000684E0000}"/>
    <cellStyle name="Separador de milhares 10 5 4 2 2" xfId="28505" xr:uid="{8750D826-C64C-43C2-B3BC-7F5240492BB2}"/>
    <cellStyle name="Separador de milhares 10 5 5" xfId="17853" xr:uid="{00000000-0005-0000-0000-0000694E0000}"/>
    <cellStyle name="Separador de milhares 10 5 5 2" xfId="17854" xr:uid="{00000000-0005-0000-0000-00006A4E0000}"/>
    <cellStyle name="Separador de milhares 10 5 5 2 2" xfId="28507" xr:uid="{E79C6F2D-6A8A-4BCD-A38D-9751BCC7AE47}"/>
    <cellStyle name="Separador de milhares 10 5 5 3" xfId="28506" xr:uid="{4E866BF6-04D2-493F-8740-2CE0C104D60F}"/>
    <cellStyle name="Separador de milhares 10 5 6" xfId="17855" xr:uid="{00000000-0005-0000-0000-00006B4E0000}"/>
    <cellStyle name="Separador de milhares 10 5 6 2" xfId="28508" xr:uid="{41B92BD0-3FC9-47BC-A69C-2CD85AD3F326}"/>
    <cellStyle name="Separador de milhares 10 5 7" xfId="17846" xr:uid="{00000000-0005-0000-0000-00006C4E0000}"/>
    <cellStyle name="Separador de milhares 10 5 8" xfId="27899" xr:uid="{C70BB408-37D6-4C1D-A446-0D9E27185684}"/>
    <cellStyle name="Separador de milhares 10 50" xfId="17475" xr:uid="{00000000-0005-0000-0000-00006D4E0000}"/>
    <cellStyle name="Separador de milhares 10 50 2" xfId="28300" xr:uid="{2AC7B2D1-763C-4A9C-BF68-0DA036AC1E57}"/>
    <cellStyle name="Separador de milhares 10 51" xfId="27178" xr:uid="{00000000-0005-0000-0000-00006E4E0000}"/>
    <cellStyle name="Separador de milhares 10 51 2" xfId="33020" xr:uid="{B3799AE7-CA63-4EFB-A643-F75A62745D91}"/>
    <cellStyle name="Separador de milhares 10 52" xfId="27358" xr:uid="{00000000-0005-0000-0000-00006F4E0000}"/>
    <cellStyle name="Separador de milhares 10 52 2" xfId="33195" xr:uid="{31AFF33F-7C06-4123-A0C8-2953C66965AD}"/>
    <cellStyle name="Separador de milhares 10 53" xfId="27536" xr:uid="{00000000-0005-0000-0000-0000704E0000}"/>
    <cellStyle name="Separador de milhares 10 53 2" xfId="33348" xr:uid="{DE09ECCC-E8DE-4345-86EE-C78850BB0433}"/>
    <cellStyle name="Separador de milhares 10 54" xfId="27687" xr:uid="{00000000-0005-0000-0000-0000714E0000}"/>
    <cellStyle name="Separador de milhares 10 54 2" xfId="33498" xr:uid="{EA9E37F0-C28A-48F9-995C-402A44A903CE}"/>
    <cellStyle name="Separador de milhares 10 55" xfId="27878" xr:uid="{276792A8-0346-47CB-84E5-4AF179B44CAC}"/>
    <cellStyle name="Separador de milhares 10 6" xfId="655" xr:uid="{00000000-0005-0000-0000-0000724E0000}"/>
    <cellStyle name="Separador de milhares 10 6 2" xfId="656" xr:uid="{00000000-0005-0000-0000-0000734E0000}"/>
    <cellStyle name="Separador de milhares 10 6 2 2" xfId="17857" xr:uid="{00000000-0005-0000-0000-0000744E0000}"/>
    <cellStyle name="Separador de milhares 10 6 2 3" xfId="27902" xr:uid="{D3DB8B80-65A1-4320-8B2F-A2A258C16C97}"/>
    <cellStyle name="Separador de milhares 10 6 3" xfId="17858" xr:uid="{00000000-0005-0000-0000-0000754E0000}"/>
    <cellStyle name="Separador de milhares 10 6 4" xfId="17859" xr:uid="{00000000-0005-0000-0000-0000764E0000}"/>
    <cellStyle name="Separador de milhares 10 6 5" xfId="17856" xr:uid="{00000000-0005-0000-0000-0000774E0000}"/>
    <cellStyle name="Separador de milhares 10 6 6" xfId="27901" xr:uid="{21539426-505B-4E05-A76C-D4E868711790}"/>
    <cellStyle name="Separador de milhares 10 7" xfId="657" xr:uid="{00000000-0005-0000-0000-0000784E0000}"/>
    <cellStyle name="Separador de milhares 10 7 2" xfId="17861" xr:uid="{00000000-0005-0000-0000-0000794E0000}"/>
    <cellStyle name="Separador de milhares 10 7 3" xfId="17862" xr:uid="{00000000-0005-0000-0000-00007A4E0000}"/>
    <cellStyle name="Separador de milhares 10 7 4" xfId="17863" xr:uid="{00000000-0005-0000-0000-00007B4E0000}"/>
    <cellStyle name="Separador de milhares 10 7 5" xfId="17860" xr:uid="{00000000-0005-0000-0000-00007C4E0000}"/>
    <cellStyle name="Separador de milhares 10 7 6" xfId="27903" xr:uid="{B147C67E-2237-4C82-A4B4-EACA79BB9F1E}"/>
    <cellStyle name="Separador de milhares 10 8" xfId="17864" xr:uid="{00000000-0005-0000-0000-00007D4E0000}"/>
    <cellStyle name="Separador de milhares 10 8 2" xfId="17865" xr:uid="{00000000-0005-0000-0000-00007E4E0000}"/>
    <cellStyle name="Separador de milhares 10 8 3" xfId="17866" xr:uid="{00000000-0005-0000-0000-00007F4E0000}"/>
    <cellStyle name="Separador de milhares 10 8 4" xfId="17867" xr:uid="{00000000-0005-0000-0000-0000804E0000}"/>
    <cellStyle name="Separador de milhares 10 9" xfId="17868" xr:uid="{00000000-0005-0000-0000-0000814E0000}"/>
    <cellStyle name="Separador de milhares 10 9 2" xfId="17869" xr:uid="{00000000-0005-0000-0000-0000824E0000}"/>
    <cellStyle name="Separador de milhares 10 9 2 2" xfId="17870" xr:uid="{00000000-0005-0000-0000-0000834E0000}"/>
    <cellStyle name="Separador de milhares 10 9 2 3" xfId="17871" xr:uid="{00000000-0005-0000-0000-0000844E0000}"/>
    <cellStyle name="Separador de milhares 10 9 2 4" xfId="17872" xr:uid="{00000000-0005-0000-0000-0000854E0000}"/>
    <cellStyle name="Separador de milhares 10 9 3" xfId="17873" xr:uid="{00000000-0005-0000-0000-0000864E0000}"/>
    <cellStyle name="Separador de milhares 10 9 3 2" xfId="17874" xr:uid="{00000000-0005-0000-0000-0000874E0000}"/>
    <cellStyle name="Separador de milhares 10 9 3 3" xfId="17875" xr:uid="{00000000-0005-0000-0000-0000884E0000}"/>
    <cellStyle name="Separador de milhares 10 9 3 4" xfId="17876" xr:uid="{00000000-0005-0000-0000-0000894E0000}"/>
    <cellStyle name="Separador de milhares 10 9 4" xfId="17877" xr:uid="{00000000-0005-0000-0000-00008A4E0000}"/>
    <cellStyle name="Separador de milhares 11" xfId="658" xr:uid="{00000000-0005-0000-0000-00008B4E0000}"/>
    <cellStyle name="Separador de milhares 11 10" xfId="17879" xr:uid="{00000000-0005-0000-0000-00008C4E0000}"/>
    <cellStyle name="Separador de milhares 11 11" xfId="17880" xr:uid="{00000000-0005-0000-0000-00008D4E0000}"/>
    <cellStyle name="Separador de milhares 11 12" xfId="17881" xr:uid="{00000000-0005-0000-0000-00008E4E0000}"/>
    <cellStyle name="Separador de milhares 11 13" xfId="17882" xr:uid="{00000000-0005-0000-0000-00008F4E0000}"/>
    <cellStyle name="Separador de milhares 11 14" xfId="17883" xr:uid="{00000000-0005-0000-0000-0000904E0000}"/>
    <cellStyle name="Separador de milhares 11 15" xfId="17884" xr:uid="{00000000-0005-0000-0000-0000914E0000}"/>
    <cellStyle name="Separador de milhares 11 16" xfId="17878" xr:uid="{00000000-0005-0000-0000-0000924E0000}"/>
    <cellStyle name="Separador de milhares 11 16 2" xfId="28509" xr:uid="{6E035431-D6FD-4DE7-84A7-B7208688D008}"/>
    <cellStyle name="Separador de milhares 11 17" xfId="27179" xr:uid="{00000000-0005-0000-0000-0000934E0000}"/>
    <cellStyle name="Separador de milhares 11 17 2" xfId="33021" xr:uid="{8A660577-E855-4339-836B-DEB3368D064A}"/>
    <cellStyle name="Separador de milhares 11 18" xfId="27359" xr:uid="{00000000-0005-0000-0000-0000944E0000}"/>
    <cellStyle name="Separador de milhares 11 18 2" xfId="33196" xr:uid="{B8C9D5EF-9626-4B63-9B23-FC2A613356B3}"/>
    <cellStyle name="Separador de milhares 11 19" xfId="27537" xr:uid="{00000000-0005-0000-0000-0000954E0000}"/>
    <cellStyle name="Separador de milhares 11 19 2" xfId="33349" xr:uid="{FBC1BE2C-7A7A-4A42-A3A0-0B8FC774A0EE}"/>
    <cellStyle name="Separador de milhares 11 2" xfId="659" xr:uid="{00000000-0005-0000-0000-0000964E0000}"/>
    <cellStyle name="Separador de milhares 11 2 10" xfId="17886" xr:uid="{00000000-0005-0000-0000-0000974E0000}"/>
    <cellStyle name="Separador de milhares 11 2 11" xfId="17887" xr:uid="{00000000-0005-0000-0000-0000984E0000}"/>
    <cellStyle name="Separador de milhares 11 2 12" xfId="17888" xr:uid="{00000000-0005-0000-0000-0000994E0000}"/>
    <cellStyle name="Separador de milhares 11 2 13" xfId="17889" xr:uid="{00000000-0005-0000-0000-00009A4E0000}"/>
    <cellStyle name="Separador de milhares 11 2 14" xfId="17890" xr:uid="{00000000-0005-0000-0000-00009B4E0000}"/>
    <cellStyle name="Separador de milhares 11 2 15" xfId="17885" xr:uid="{00000000-0005-0000-0000-00009C4E0000}"/>
    <cellStyle name="Separador de milhares 11 2 15 2" xfId="28510" xr:uid="{CB7C73B0-AAEC-46BE-B71D-8D0273D1C649}"/>
    <cellStyle name="Separador de milhares 11 2 16" xfId="27905" xr:uid="{CF2F1F11-A56A-478D-BD79-F754758BF8AF}"/>
    <cellStyle name="Separador de milhares 11 2 2" xfId="660" xr:uid="{00000000-0005-0000-0000-00009D4E0000}"/>
    <cellStyle name="Separador de milhares 11 2 2 10" xfId="17892" xr:uid="{00000000-0005-0000-0000-00009E4E0000}"/>
    <cellStyle name="Separador de milhares 11 2 2 11" xfId="17891" xr:uid="{00000000-0005-0000-0000-00009F4E0000}"/>
    <cellStyle name="Separador de milhares 11 2 2 12" xfId="27906" xr:uid="{7B7ECBF7-3451-4340-B9C5-8B60A79A9F6B}"/>
    <cellStyle name="Separador de milhares 11 2 2 2" xfId="661" xr:uid="{00000000-0005-0000-0000-0000A04E0000}"/>
    <cellStyle name="Separador de milhares 11 2 2 2 2" xfId="662" xr:uid="{00000000-0005-0000-0000-0000A14E0000}"/>
    <cellStyle name="Separador de milhares 11 2 2 2 2 2" xfId="27908" xr:uid="{5407BE2A-499D-4527-BB29-52E7BA6B7E39}"/>
    <cellStyle name="Separador de milhares 11 2 2 2 3" xfId="17893" xr:uid="{00000000-0005-0000-0000-0000A24E0000}"/>
    <cellStyle name="Separador de milhares 11 2 2 2 4" xfId="27907" xr:uid="{A6AC88D8-DE60-4E01-B5D4-27228FAABBC9}"/>
    <cellStyle name="Separador de milhares 11 2 2 3" xfId="663" xr:uid="{00000000-0005-0000-0000-0000A34E0000}"/>
    <cellStyle name="Separador de milhares 11 2 2 3 2" xfId="17894" xr:uid="{00000000-0005-0000-0000-0000A44E0000}"/>
    <cellStyle name="Separador de milhares 11 2 2 3 3" xfId="27909" xr:uid="{6D1A5CE4-22EF-4165-A399-411C3DC68AA1}"/>
    <cellStyle name="Separador de milhares 11 2 2 4" xfId="17895" xr:uid="{00000000-0005-0000-0000-0000A54E0000}"/>
    <cellStyle name="Separador de milhares 11 2 2 5" xfId="17896" xr:uid="{00000000-0005-0000-0000-0000A64E0000}"/>
    <cellStyle name="Separador de milhares 11 2 2 6" xfId="17897" xr:uid="{00000000-0005-0000-0000-0000A74E0000}"/>
    <cellStyle name="Separador de milhares 11 2 2 7" xfId="17898" xr:uid="{00000000-0005-0000-0000-0000A84E0000}"/>
    <cellStyle name="Separador de milhares 11 2 2 8" xfId="17899" xr:uid="{00000000-0005-0000-0000-0000A94E0000}"/>
    <cellStyle name="Separador de milhares 11 2 2 9" xfId="17900" xr:uid="{00000000-0005-0000-0000-0000AA4E0000}"/>
    <cellStyle name="Separador de milhares 11 2 3" xfId="664" xr:uid="{00000000-0005-0000-0000-0000AB4E0000}"/>
    <cellStyle name="Separador de milhares 11 2 3 10" xfId="17902" xr:uid="{00000000-0005-0000-0000-0000AC4E0000}"/>
    <cellStyle name="Separador de milhares 11 2 3 11" xfId="17901" xr:uid="{00000000-0005-0000-0000-0000AD4E0000}"/>
    <cellStyle name="Separador de milhares 11 2 3 12" xfId="27910" xr:uid="{C113EF9D-DC96-4B63-95E1-2F06090D1013}"/>
    <cellStyle name="Separador de milhares 11 2 3 2" xfId="665" xr:uid="{00000000-0005-0000-0000-0000AE4E0000}"/>
    <cellStyle name="Separador de milhares 11 2 3 2 2" xfId="17903" xr:uid="{00000000-0005-0000-0000-0000AF4E0000}"/>
    <cellStyle name="Separador de milhares 11 2 3 2 3" xfId="27911" xr:uid="{495A182D-370C-4D61-A604-5609CA89175C}"/>
    <cellStyle name="Separador de milhares 11 2 3 3" xfId="17904" xr:uid="{00000000-0005-0000-0000-0000B04E0000}"/>
    <cellStyle name="Separador de milhares 11 2 3 4" xfId="17905" xr:uid="{00000000-0005-0000-0000-0000B14E0000}"/>
    <cellStyle name="Separador de milhares 11 2 3 5" xfId="17906" xr:uid="{00000000-0005-0000-0000-0000B24E0000}"/>
    <cellStyle name="Separador de milhares 11 2 3 6" xfId="17907" xr:uid="{00000000-0005-0000-0000-0000B34E0000}"/>
    <cellStyle name="Separador de milhares 11 2 3 7" xfId="17908" xr:uid="{00000000-0005-0000-0000-0000B44E0000}"/>
    <cellStyle name="Separador de milhares 11 2 3 8" xfId="17909" xr:uid="{00000000-0005-0000-0000-0000B54E0000}"/>
    <cellStyle name="Separador de milhares 11 2 3 9" xfId="17910" xr:uid="{00000000-0005-0000-0000-0000B64E0000}"/>
    <cellStyle name="Separador de milhares 11 2 4" xfId="666" xr:uid="{00000000-0005-0000-0000-0000B74E0000}"/>
    <cellStyle name="Separador de milhares 11 2 4 2" xfId="17912" xr:uid="{00000000-0005-0000-0000-0000B84E0000}"/>
    <cellStyle name="Separador de milhares 11 2 4 2 2" xfId="28511" xr:uid="{42902609-C8F7-4F4A-A55A-D9731D9ADF08}"/>
    <cellStyle name="Separador de milhares 11 2 4 3" xfId="17911" xr:uid="{00000000-0005-0000-0000-0000B94E0000}"/>
    <cellStyle name="Separador de milhares 11 2 4 4" xfId="27912" xr:uid="{5431EA34-E5C2-4A04-9474-1B2B372E24D5}"/>
    <cellStyle name="Separador de milhares 11 2 5" xfId="17913" xr:uid="{00000000-0005-0000-0000-0000BA4E0000}"/>
    <cellStyle name="Separador de milhares 11 2 5 2" xfId="17914" xr:uid="{00000000-0005-0000-0000-0000BB4E0000}"/>
    <cellStyle name="Separador de milhares 11 2 5 2 2" xfId="28512" xr:uid="{5D3821A3-E750-40B3-887E-42E071F05CBF}"/>
    <cellStyle name="Separador de milhares 11 2 6" xfId="17915" xr:uid="{00000000-0005-0000-0000-0000BC4E0000}"/>
    <cellStyle name="Separador de milhares 11 2 7" xfId="17916" xr:uid="{00000000-0005-0000-0000-0000BD4E0000}"/>
    <cellStyle name="Separador de milhares 11 2 8" xfId="17917" xr:uid="{00000000-0005-0000-0000-0000BE4E0000}"/>
    <cellStyle name="Separador de milhares 11 2 9" xfId="17918" xr:uid="{00000000-0005-0000-0000-0000BF4E0000}"/>
    <cellStyle name="Separador de milhares 11 20" xfId="27688" xr:uid="{00000000-0005-0000-0000-0000C04E0000}"/>
    <cellStyle name="Separador de milhares 11 20 2" xfId="33499" xr:uid="{1A61AD8F-76C4-4D65-A08E-C3FA90C85515}"/>
    <cellStyle name="Separador de milhares 11 21" xfId="27904" xr:uid="{5E1ACBE0-34CA-4C73-B710-7081C97BAB97}"/>
    <cellStyle name="Separador de milhares 11 3" xfId="667" xr:uid="{00000000-0005-0000-0000-0000C14E0000}"/>
    <cellStyle name="Separador de milhares 11 3 10" xfId="17920" xr:uid="{00000000-0005-0000-0000-0000C24E0000}"/>
    <cellStyle name="Separador de milhares 11 3 11" xfId="17919" xr:uid="{00000000-0005-0000-0000-0000C34E0000}"/>
    <cellStyle name="Separador de milhares 11 3 12" xfId="27913" xr:uid="{73BC2251-053B-46E3-AE48-E563937A17A0}"/>
    <cellStyle name="Separador de milhares 11 3 2" xfId="668" xr:uid="{00000000-0005-0000-0000-0000C44E0000}"/>
    <cellStyle name="Separador de milhares 11 3 2 2" xfId="669" xr:uid="{00000000-0005-0000-0000-0000C54E0000}"/>
    <cellStyle name="Separador de milhares 11 3 2 2 2" xfId="670" xr:uid="{00000000-0005-0000-0000-0000C64E0000}"/>
    <cellStyle name="Separador de milhares 11 3 2 2 2 2" xfId="27916" xr:uid="{627E3FCB-EE0C-4E65-9182-D829F1AF5216}"/>
    <cellStyle name="Separador de milhares 11 3 2 2 3" xfId="17922" xr:uid="{00000000-0005-0000-0000-0000C74E0000}"/>
    <cellStyle name="Separador de milhares 11 3 2 2 3 2" xfId="28513" xr:uid="{20296D1C-55FA-47D4-8A6E-B8DD24957C93}"/>
    <cellStyle name="Separador de milhares 11 3 2 2 4" xfId="27915" xr:uid="{245DC6A6-A993-47AD-A6BA-8B18CE029F28}"/>
    <cellStyle name="Separador de milhares 11 3 2 3" xfId="671" xr:uid="{00000000-0005-0000-0000-0000C84E0000}"/>
    <cellStyle name="Separador de milhares 11 3 2 3 2" xfId="27917" xr:uid="{A287A4C1-3852-4C59-B4AE-4BA366F86A3E}"/>
    <cellStyle name="Separador de milhares 11 3 2 4" xfId="17921" xr:uid="{00000000-0005-0000-0000-0000C94E0000}"/>
    <cellStyle name="Separador de milhares 11 3 2 5" xfId="27914" xr:uid="{6CC7E437-EDD6-4E99-9B0F-2EE2C5678D1E}"/>
    <cellStyle name="Separador de milhares 11 3 3" xfId="672" xr:uid="{00000000-0005-0000-0000-0000CA4E0000}"/>
    <cellStyle name="Separador de milhares 11 3 3 2" xfId="673" xr:uid="{00000000-0005-0000-0000-0000CB4E0000}"/>
    <cellStyle name="Separador de milhares 11 3 3 2 2" xfId="17924" xr:uid="{00000000-0005-0000-0000-0000CC4E0000}"/>
    <cellStyle name="Separador de milhares 11 3 3 2 2 2" xfId="28514" xr:uid="{EB4CBF6D-E17E-43BA-B3B4-426E5787B1E3}"/>
    <cellStyle name="Separador de milhares 11 3 3 2 3" xfId="27919" xr:uid="{32A99DB6-D50A-43F4-BD68-31AE12506FAE}"/>
    <cellStyle name="Separador de milhares 11 3 3 3" xfId="17923" xr:uid="{00000000-0005-0000-0000-0000CD4E0000}"/>
    <cellStyle name="Separador de milhares 11 3 3 4" xfId="27918" xr:uid="{46CB7056-9BD6-4628-8919-6B0AE830E2A7}"/>
    <cellStyle name="Separador de milhares 11 3 4" xfId="674" xr:uid="{00000000-0005-0000-0000-0000CE4E0000}"/>
    <cellStyle name="Separador de milhares 11 3 4 2" xfId="17926" xr:uid="{00000000-0005-0000-0000-0000CF4E0000}"/>
    <cellStyle name="Separador de milhares 11 3 4 2 2" xfId="28515" xr:uid="{5B51192F-C854-48AE-9C8D-9464C0D797FA}"/>
    <cellStyle name="Separador de milhares 11 3 4 3" xfId="17925" xr:uid="{00000000-0005-0000-0000-0000D04E0000}"/>
    <cellStyle name="Separador de milhares 11 3 4 4" xfId="27920" xr:uid="{09C4B27E-2926-4EAD-950F-F1CC95AA5660}"/>
    <cellStyle name="Separador de milhares 11 3 5" xfId="17927" xr:uid="{00000000-0005-0000-0000-0000D14E0000}"/>
    <cellStyle name="Separador de milhares 11 3 5 2" xfId="17928" xr:uid="{00000000-0005-0000-0000-0000D24E0000}"/>
    <cellStyle name="Separador de milhares 11 3 5 2 2" xfId="28516" xr:uid="{E03DC2D3-2EFE-43BB-9647-712DD95B35E1}"/>
    <cellStyle name="Separador de milhares 11 3 6" xfId="17929" xr:uid="{00000000-0005-0000-0000-0000D34E0000}"/>
    <cellStyle name="Separador de milhares 11 3 7" xfId="17930" xr:uid="{00000000-0005-0000-0000-0000D44E0000}"/>
    <cellStyle name="Separador de milhares 11 3 8" xfId="17931" xr:uid="{00000000-0005-0000-0000-0000D54E0000}"/>
    <cellStyle name="Separador de milhares 11 3 9" xfId="17932" xr:uid="{00000000-0005-0000-0000-0000D64E0000}"/>
    <cellStyle name="Separador de milhares 11 4" xfId="675" xr:uid="{00000000-0005-0000-0000-0000D74E0000}"/>
    <cellStyle name="Separador de milhares 11 4 10" xfId="17934" xr:uid="{00000000-0005-0000-0000-0000D84E0000}"/>
    <cellStyle name="Separador de milhares 11 4 11" xfId="17933" xr:uid="{00000000-0005-0000-0000-0000D94E0000}"/>
    <cellStyle name="Separador de milhares 11 4 12" xfId="27921" xr:uid="{93B649DA-9593-4D48-A2CE-E4060A920166}"/>
    <cellStyle name="Separador de milhares 11 4 2" xfId="676" xr:uid="{00000000-0005-0000-0000-0000DA4E0000}"/>
    <cellStyle name="Separador de milhares 11 4 2 2" xfId="677" xr:uid="{00000000-0005-0000-0000-0000DB4E0000}"/>
    <cellStyle name="Separador de milhares 11 4 2 2 2" xfId="17936" xr:uid="{00000000-0005-0000-0000-0000DC4E0000}"/>
    <cellStyle name="Separador de milhares 11 4 2 2 2 2" xfId="28517" xr:uid="{EFDE60A3-003D-47F4-B121-D565FA87CD95}"/>
    <cellStyle name="Separador de milhares 11 4 2 2 3" xfId="27923" xr:uid="{5FE09C37-9604-49C4-95DB-BBA7E2EACB31}"/>
    <cellStyle name="Separador de milhares 11 4 2 3" xfId="17935" xr:uid="{00000000-0005-0000-0000-0000DD4E0000}"/>
    <cellStyle name="Separador de milhares 11 4 2 4" xfId="27922" xr:uid="{5A3C0272-8BE5-42A4-BEC4-DD5300065243}"/>
    <cellStyle name="Separador de milhares 11 4 3" xfId="678" xr:uid="{00000000-0005-0000-0000-0000DE4E0000}"/>
    <cellStyle name="Separador de milhares 11 4 3 2" xfId="17938" xr:uid="{00000000-0005-0000-0000-0000DF4E0000}"/>
    <cellStyle name="Separador de milhares 11 4 3 2 2" xfId="28518" xr:uid="{98E40415-02EB-4E98-9E21-C567FB2D7DFB}"/>
    <cellStyle name="Separador de milhares 11 4 3 3" xfId="17937" xr:uid="{00000000-0005-0000-0000-0000E04E0000}"/>
    <cellStyle name="Separador de milhares 11 4 3 4" xfId="27924" xr:uid="{28E1E373-CB9C-4B9B-BD5A-71DD35CADB57}"/>
    <cellStyle name="Separador de milhares 11 4 4" xfId="17939" xr:uid="{00000000-0005-0000-0000-0000E14E0000}"/>
    <cellStyle name="Separador de milhares 11 4 4 2" xfId="17940" xr:uid="{00000000-0005-0000-0000-0000E24E0000}"/>
    <cellStyle name="Separador de milhares 11 4 4 2 2" xfId="28519" xr:uid="{4E9355A1-2ADF-498B-803C-DCA49C7E1587}"/>
    <cellStyle name="Separador de milhares 11 4 5" xfId="17941" xr:uid="{00000000-0005-0000-0000-0000E34E0000}"/>
    <cellStyle name="Separador de milhares 11 4 5 2" xfId="17942" xr:uid="{00000000-0005-0000-0000-0000E44E0000}"/>
    <cellStyle name="Separador de milhares 11 4 5 2 2" xfId="28520" xr:uid="{1F397829-E319-4C93-9A0A-0EA5EB044D55}"/>
    <cellStyle name="Separador de milhares 11 4 6" xfId="17943" xr:uid="{00000000-0005-0000-0000-0000E54E0000}"/>
    <cellStyle name="Separador de milhares 11 4 7" xfId="17944" xr:uid="{00000000-0005-0000-0000-0000E64E0000}"/>
    <cellStyle name="Separador de milhares 11 4 8" xfId="17945" xr:uid="{00000000-0005-0000-0000-0000E74E0000}"/>
    <cellStyle name="Separador de milhares 11 4 9" xfId="17946" xr:uid="{00000000-0005-0000-0000-0000E84E0000}"/>
    <cellStyle name="Separador de milhares 11 5" xfId="679" xr:uid="{00000000-0005-0000-0000-0000E94E0000}"/>
    <cellStyle name="Separador de milhares 11 5 2" xfId="680" xr:uid="{00000000-0005-0000-0000-0000EA4E0000}"/>
    <cellStyle name="Separador de milhares 11 5 2 2" xfId="17948" xr:uid="{00000000-0005-0000-0000-0000EB4E0000}"/>
    <cellStyle name="Separador de milhares 11 5 2 2 2" xfId="28521" xr:uid="{7894FDB2-2D5C-48F2-877A-523684A1FDE9}"/>
    <cellStyle name="Separador de milhares 11 5 2 3" xfId="27926" xr:uid="{1D5B05BB-89DF-4AAD-AAEB-9CE9BEFE7908}"/>
    <cellStyle name="Separador de milhares 11 5 3" xfId="17947" xr:uid="{00000000-0005-0000-0000-0000EC4E0000}"/>
    <cellStyle name="Separador de milhares 11 5 4" xfId="27925" xr:uid="{92ABC425-1100-4EBF-B06A-6505BB4BE931}"/>
    <cellStyle name="Separador de milhares 11 6" xfId="681" xr:uid="{00000000-0005-0000-0000-0000ED4E0000}"/>
    <cellStyle name="Separador de milhares 11 6 2" xfId="17950" xr:uid="{00000000-0005-0000-0000-0000EE4E0000}"/>
    <cellStyle name="Separador de milhares 11 6 2 2" xfId="28522" xr:uid="{EEE03F0B-47BE-4B73-8A09-3787453EB62B}"/>
    <cellStyle name="Separador de milhares 11 6 3" xfId="17949" xr:uid="{00000000-0005-0000-0000-0000EF4E0000}"/>
    <cellStyle name="Separador de milhares 11 6 4" xfId="27927" xr:uid="{4257FB2E-4901-4EC6-851B-F64061942612}"/>
    <cellStyle name="Separador de milhares 11 7" xfId="682" xr:uid="{00000000-0005-0000-0000-0000F04E0000}"/>
    <cellStyle name="Separador de milhares 11 7 2" xfId="17952" xr:uid="{00000000-0005-0000-0000-0000F14E0000}"/>
    <cellStyle name="Separador de milhares 11 7 2 2" xfId="28523" xr:uid="{DC9B4CF9-D81E-47CB-9A2C-0EBFF9DE3D44}"/>
    <cellStyle name="Separador de milhares 11 7 3" xfId="17951" xr:uid="{00000000-0005-0000-0000-0000F24E0000}"/>
    <cellStyle name="Separador de milhares 11 7 4" xfId="27928" xr:uid="{019D05A0-3104-4904-8510-48CAA85A95A7}"/>
    <cellStyle name="Separador de milhares 11 8" xfId="683" xr:uid="{00000000-0005-0000-0000-0000F34E0000}"/>
    <cellStyle name="Separador de milhares 11 8 2" xfId="17954" xr:uid="{00000000-0005-0000-0000-0000F44E0000}"/>
    <cellStyle name="Separador de milhares 11 8 2 2" xfId="28524" xr:uid="{0DFD2E15-84BD-4622-BE34-176F7B4E7214}"/>
    <cellStyle name="Separador de milhares 11 8 3" xfId="17953" xr:uid="{00000000-0005-0000-0000-0000F54E0000}"/>
    <cellStyle name="Separador de milhares 11 8 4" xfId="27929" xr:uid="{0D59B043-118F-4747-B620-35A0C2F1B790}"/>
    <cellStyle name="Separador de milhares 11 9" xfId="17955" xr:uid="{00000000-0005-0000-0000-0000F64E0000}"/>
    <cellStyle name="Separador de milhares 11_Recurso Jan a Mar 09 DEF" xfId="17956" xr:uid="{00000000-0005-0000-0000-0000F74E0000}"/>
    <cellStyle name="Separador de milhares 12" xfId="17957" xr:uid="{00000000-0005-0000-0000-0000F84E0000}"/>
    <cellStyle name="Separador de milhares 12 2" xfId="17958" xr:uid="{00000000-0005-0000-0000-0000F94E0000}"/>
    <cellStyle name="Separador de milhares 12 2 10" xfId="17959" xr:uid="{00000000-0005-0000-0000-0000FA4E0000}"/>
    <cellStyle name="Separador de milhares 12 2 11" xfId="17960" xr:uid="{00000000-0005-0000-0000-0000FB4E0000}"/>
    <cellStyle name="Separador de milhares 12 2 12" xfId="17961" xr:uid="{00000000-0005-0000-0000-0000FC4E0000}"/>
    <cellStyle name="Separador de milhares 12 2 13" xfId="17962" xr:uid="{00000000-0005-0000-0000-0000FD4E0000}"/>
    <cellStyle name="Separador de milhares 12 2 14" xfId="17963" xr:uid="{00000000-0005-0000-0000-0000FE4E0000}"/>
    <cellStyle name="Separador de milhares 12 2 15" xfId="17964" xr:uid="{00000000-0005-0000-0000-0000FF4E0000}"/>
    <cellStyle name="Separador de milhares 12 2 16" xfId="28526" xr:uid="{AC8F0540-ED1A-4B4F-9DD3-C688652957B9}"/>
    <cellStyle name="Separador de milhares 12 2 2" xfId="17965" xr:uid="{00000000-0005-0000-0000-0000004F0000}"/>
    <cellStyle name="Separador de milhares 12 2 2 10" xfId="17966" xr:uid="{00000000-0005-0000-0000-0000014F0000}"/>
    <cellStyle name="Separador de milhares 12 2 2 11" xfId="17967" xr:uid="{00000000-0005-0000-0000-0000024F0000}"/>
    <cellStyle name="Separador de milhares 12 2 2 12" xfId="17968" xr:uid="{00000000-0005-0000-0000-0000034F0000}"/>
    <cellStyle name="Separador de milhares 12 2 2 13" xfId="17969" xr:uid="{00000000-0005-0000-0000-0000044F0000}"/>
    <cellStyle name="Separador de milhares 12 2 2 14" xfId="17970" xr:uid="{00000000-0005-0000-0000-0000054F0000}"/>
    <cellStyle name="Separador de milhares 12 2 2 2" xfId="17971" xr:uid="{00000000-0005-0000-0000-0000064F0000}"/>
    <cellStyle name="Separador de milhares 12 2 2 2 10" xfId="17972" xr:uid="{00000000-0005-0000-0000-0000074F0000}"/>
    <cellStyle name="Separador de milhares 12 2 2 2 2" xfId="17973" xr:uid="{00000000-0005-0000-0000-0000084F0000}"/>
    <cellStyle name="Separador de milhares 12 2 2 2 3" xfId="17974" xr:uid="{00000000-0005-0000-0000-0000094F0000}"/>
    <cellStyle name="Separador de milhares 12 2 2 2 4" xfId="17975" xr:uid="{00000000-0005-0000-0000-00000A4F0000}"/>
    <cellStyle name="Separador de milhares 12 2 2 2 5" xfId="17976" xr:uid="{00000000-0005-0000-0000-00000B4F0000}"/>
    <cellStyle name="Separador de milhares 12 2 2 2 6" xfId="17977" xr:uid="{00000000-0005-0000-0000-00000C4F0000}"/>
    <cellStyle name="Separador de milhares 12 2 2 2 7" xfId="17978" xr:uid="{00000000-0005-0000-0000-00000D4F0000}"/>
    <cellStyle name="Separador de milhares 12 2 2 2 8" xfId="17979" xr:uid="{00000000-0005-0000-0000-00000E4F0000}"/>
    <cellStyle name="Separador de milhares 12 2 2 2 9" xfId="17980" xr:uid="{00000000-0005-0000-0000-00000F4F0000}"/>
    <cellStyle name="Separador de milhares 12 2 2 3" xfId="17981" xr:uid="{00000000-0005-0000-0000-0000104F0000}"/>
    <cellStyle name="Separador de milhares 12 2 2 3 10" xfId="17982" xr:uid="{00000000-0005-0000-0000-0000114F0000}"/>
    <cellStyle name="Separador de milhares 12 2 2 3 2" xfId="17983" xr:uid="{00000000-0005-0000-0000-0000124F0000}"/>
    <cellStyle name="Separador de milhares 12 2 2 3 3" xfId="17984" xr:uid="{00000000-0005-0000-0000-0000134F0000}"/>
    <cellStyle name="Separador de milhares 12 2 2 3 4" xfId="17985" xr:uid="{00000000-0005-0000-0000-0000144F0000}"/>
    <cellStyle name="Separador de milhares 12 2 2 3 5" xfId="17986" xr:uid="{00000000-0005-0000-0000-0000154F0000}"/>
    <cellStyle name="Separador de milhares 12 2 2 3 6" xfId="17987" xr:uid="{00000000-0005-0000-0000-0000164F0000}"/>
    <cellStyle name="Separador de milhares 12 2 2 3 7" xfId="17988" xr:uid="{00000000-0005-0000-0000-0000174F0000}"/>
    <cellStyle name="Separador de milhares 12 2 2 3 8" xfId="17989" xr:uid="{00000000-0005-0000-0000-0000184F0000}"/>
    <cellStyle name="Separador de milhares 12 2 2 3 9" xfId="17990" xr:uid="{00000000-0005-0000-0000-0000194F0000}"/>
    <cellStyle name="Separador de milhares 12 2 2 4" xfId="17991" xr:uid="{00000000-0005-0000-0000-00001A4F0000}"/>
    <cellStyle name="Separador de milhares 12 2 2 5" xfId="17992" xr:uid="{00000000-0005-0000-0000-00001B4F0000}"/>
    <cellStyle name="Separador de milhares 12 2 2 6" xfId="17993" xr:uid="{00000000-0005-0000-0000-00001C4F0000}"/>
    <cellStyle name="Separador de milhares 12 2 2 7" xfId="17994" xr:uid="{00000000-0005-0000-0000-00001D4F0000}"/>
    <cellStyle name="Separador de milhares 12 2 2 8" xfId="17995" xr:uid="{00000000-0005-0000-0000-00001E4F0000}"/>
    <cellStyle name="Separador de milhares 12 2 2 9" xfId="17996" xr:uid="{00000000-0005-0000-0000-00001F4F0000}"/>
    <cellStyle name="Separador de milhares 12 2 3" xfId="17997" xr:uid="{00000000-0005-0000-0000-0000204F0000}"/>
    <cellStyle name="Separador de milhares 12 2 3 10" xfId="17998" xr:uid="{00000000-0005-0000-0000-0000214F0000}"/>
    <cellStyle name="Separador de milhares 12 2 3 2" xfId="17999" xr:uid="{00000000-0005-0000-0000-0000224F0000}"/>
    <cellStyle name="Separador de milhares 12 2 3 3" xfId="18000" xr:uid="{00000000-0005-0000-0000-0000234F0000}"/>
    <cellStyle name="Separador de milhares 12 2 3 4" xfId="18001" xr:uid="{00000000-0005-0000-0000-0000244F0000}"/>
    <cellStyle name="Separador de milhares 12 2 3 5" xfId="18002" xr:uid="{00000000-0005-0000-0000-0000254F0000}"/>
    <cellStyle name="Separador de milhares 12 2 3 6" xfId="18003" xr:uid="{00000000-0005-0000-0000-0000264F0000}"/>
    <cellStyle name="Separador de milhares 12 2 3 7" xfId="18004" xr:uid="{00000000-0005-0000-0000-0000274F0000}"/>
    <cellStyle name="Separador de milhares 12 2 3 8" xfId="18005" xr:uid="{00000000-0005-0000-0000-0000284F0000}"/>
    <cellStyle name="Separador de milhares 12 2 3 9" xfId="18006" xr:uid="{00000000-0005-0000-0000-0000294F0000}"/>
    <cellStyle name="Separador de milhares 12 2 4" xfId="18007" xr:uid="{00000000-0005-0000-0000-00002A4F0000}"/>
    <cellStyle name="Separador de milhares 12 2 4 10" xfId="18008" xr:uid="{00000000-0005-0000-0000-00002B4F0000}"/>
    <cellStyle name="Separador de milhares 12 2 4 2" xfId="18009" xr:uid="{00000000-0005-0000-0000-00002C4F0000}"/>
    <cellStyle name="Separador de milhares 12 2 4 3" xfId="18010" xr:uid="{00000000-0005-0000-0000-00002D4F0000}"/>
    <cellStyle name="Separador de milhares 12 2 4 4" xfId="18011" xr:uid="{00000000-0005-0000-0000-00002E4F0000}"/>
    <cellStyle name="Separador de milhares 12 2 4 5" xfId="18012" xr:uid="{00000000-0005-0000-0000-00002F4F0000}"/>
    <cellStyle name="Separador de milhares 12 2 4 6" xfId="18013" xr:uid="{00000000-0005-0000-0000-0000304F0000}"/>
    <cellStyle name="Separador de milhares 12 2 4 7" xfId="18014" xr:uid="{00000000-0005-0000-0000-0000314F0000}"/>
    <cellStyle name="Separador de milhares 12 2 4 8" xfId="18015" xr:uid="{00000000-0005-0000-0000-0000324F0000}"/>
    <cellStyle name="Separador de milhares 12 2 4 9" xfId="18016" xr:uid="{00000000-0005-0000-0000-0000334F0000}"/>
    <cellStyle name="Separador de milhares 12 2 5" xfId="18017" xr:uid="{00000000-0005-0000-0000-0000344F0000}"/>
    <cellStyle name="Separador de milhares 12 2 6" xfId="18018" xr:uid="{00000000-0005-0000-0000-0000354F0000}"/>
    <cellStyle name="Separador de milhares 12 2 7" xfId="18019" xr:uid="{00000000-0005-0000-0000-0000364F0000}"/>
    <cellStyle name="Separador de milhares 12 2 8" xfId="18020" xr:uid="{00000000-0005-0000-0000-0000374F0000}"/>
    <cellStyle name="Separador de milhares 12 2 9" xfId="18021" xr:uid="{00000000-0005-0000-0000-0000384F0000}"/>
    <cellStyle name="Separador de milhares 12 3" xfId="18022" xr:uid="{00000000-0005-0000-0000-0000394F0000}"/>
    <cellStyle name="Separador de milhares 12 3 10" xfId="18023" xr:uid="{00000000-0005-0000-0000-00003A4F0000}"/>
    <cellStyle name="Separador de milhares 12 3 2" xfId="18024" xr:uid="{00000000-0005-0000-0000-00003B4F0000}"/>
    <cellStyle name="Separador de milhares 12 3 3" xfId="18025" xr:uid="{00000000-0005-0000-0000-00003C4F0000}"/>
    <cellStyle name="Separador de milhares 12 3 4" xfId="18026" xr:uid="{00000000-0005-0000-0000-00003D4F0000}"/>
    <cellStyle name="Separador de milhares 12 3 5" xfId="18027" xr:uid="{00000000-0005-0000-0000-00003E4F0000}"/>
    <cellStyle name="Separador de milhares 12 3 6" xfId="18028" xr:uid="{00000000-0005-0000-0000-00003F4F0000}"/>
    <cellStyle name="Separador de milhares 12 3 7" xfId="18029" xr:uid="{00000000-0005-0000-0000-0000404F0000}"/>
    <cellStyle name="Separador de milhares 12 3 8" xfId="18030" xr:uid="{00000000-0005-0000-0000-0000414F0000}"/>
    <cellStyle name="Separador de milhares 12 3 9" xfId="18031" xr:uid="{00000000-0005-0000-0000-0000424F0000}"/>
    <cellStyle name="Separador de milhares 12 4" xfId="28525" xr:uid="{73FB9535-A1C3-456C-AF5B-2D802AE9770A}"/>
    <cellStyle name="Separador de milhares 13" xfId="18032" xr:uid="{00000000-0005-0000-0000-0000434F0000}"/>
    <cellStyle name="Separador de milhares 13 10" xfId="18033" xr:uid="{00000000-0005-0000-0000-0000444F0000}"/>
    <cellStyle name="Separador de milhares 13 11" xfId="18034" xr:uid="{00000000-0005-0000-0000-0000454F0000}"/>
    <cellStyle name="Separador de milhares 13 12" xfId="18035" xr:uid="{00000000-0005-0000-0000-0000464F0000}"/>
    <cellStyle name="Separador de milhares 13 13" xfId="18036" xr:uid="{00000000-0005-0000-0000-0000474F0000}"/>
    <cellStyle name="Separador de milhares 13 14" xfId="18037" xr:uid="{00000000-0005-0000-0000-0000484F0000}"/>
    <cellStyle name="Separador de milhares 13 15" xfId="18038" xr:uid="{00000000-0005-0000-0000-0000494F0000}"/>
    <cellStyle name="Separador de milhares 13 16" xfId="18039" xr:uid="{00000000-0005-0000-0000-00004A4F0000}"/>
    <cellStyle name="Separador de milhares 13 17" xfId="28527" xr:uid="{9559A1BB-ED47-466C-B0B3-B8ED7DF2A2BF}"/>
    <cellStyle name="Separador de milhares 13 2" xfId="18040" xr:uid="{00000000-0005-0000-0000-00004B4F0000}"/>
    <cellStyle name="Separador de milhares 13 2 2" xfId="18041" xr:uid="{00000000-0005-0000-0000-00004C4F0000}"/>
    <cellStyle name="Separador de milhares 13 2 3" xfId="18042" xr:uid="{00000000-0005-0000-0000-00004D4F0000}"/>
    <cellStyle name="Separador de milhares 13 2 4" xfId="18043" xr:uid="{00000000-0005-0000-0000-00004E4F0000}"/>
    <cellStyle name="Separador de milhares 13 2 5" xfId="18044" xr:uid="{00000000-0005-0000-0000-00004F4F0000}"/>
    <cellStyle name="Separador de milhares 13 2 6" xfId="28528" xr:uid="{33762726-619D-41DE-8059-EE45490F6B7D}"/>
    <cellStyle name="Separador de milhares 13 3" xfId="18045" xr:uid="{00000000-0005-0000-0000-0000504F0000}"/>
    <cellStyle name="Separador de milhares 13 3 2" xfId="18046" xr:uid="{00000000-0005-0000-0000-0000514F0000}"/>
    <cellStyle name="Separador de milhares 13 3 3" xfId="18047" xr:uid="{00000000-0005-0000-0000-0000524F0000}"/>
    <cellStyle name="Separador de milhares 13 3 4" xfId="18048" xr:uid="{00000000-0005-0000-0000-0000534F0000}"/>
    <cellStyle name="Separador de milhares 13 3 5" xfId="18049" xr:uid="{00000000-0005-0000-0000-0000544F0000}"/>
    <cellStyle name="Separador de milhares 13 3_2008 - Planilha Medição EAS Casco-002 OUT08" xfId="18050" xr:uid="{00000000-0005-0000-0000-0000554F0000}"/>
    <cellStyle name="Separador de milhares 13 4" xfId="18051" xr:uid="{00000000-0005-0000-0000-0000564F0000}"/>
    <cellStyle name="Separador de milhares 13 4 10" xfId="18052" xr:uid="{00000000-0005-0000-0000-0000574F0000}"/>
    <cellStyle name="Separador de milhares 13 4 2" xfId="18053" xr:uid="{00000000-0005-0000-0000-0000584F0000}"/>
    <cellStyle name="Separador de milhares 13 4 3" xfId="18054" xr:uid="{00000000-0005-0000-0000-0000594F0000}"/>
    <cellStyle name="Separador de milhares 13 4 4" xfId="18055" xr:uid="{00000000-0005-0000-0000-00005A4F0000}"/>
    <cellStyle name="Separador de milhares 13 4 5" xfId="18056" xr:uid="{00000000-0005-0000-0000-00005B4F0000}"/>
    <cellStyle name="Separador de milhares 13 4 6" xfId="18057" xr:uid="{00000000-0005-0000-0000-00005C4F0000}"/>
    <cellStyle name="Separador de milhares 13 4 7" xfId="18058" xr:uid="{00000000-0005-0000-0000-00005D4F0000}"/>
    <cellStyle name="Separador de milhares 13 4 8" xfId="18059" xr:uid="{00000000-0005-0000-0000-00005E4F0000}"/>
    <cellStyle name="Separador de milhares 13 4 9" xfId="18060" xr:uid="{00000000-0005-0000-0000-00005F4F0000}"/>
    <cellStyle name="Separador de milhares 13 5" xfId="18061" xr:uid="{00000000-0005-0000-0000-0000604F0000}"/>
    <cellStyle name="Separador de milhares 13 5 10" xfId="18062" xr:uid="{00000000-0005-0000-0000-0000614F0000}"/>
    <cellStyle name="Separador de milhares 13 5 2" xfId="18063" xr:uid="{00000000-0005-0000-0000-0000624F0000}"/>
    <cellStyle name="Separador de milhares 13 5 3" xfId="18064" xr:uid="{00000000-0005-0000-0000-0000634F0000}"/>
    <cellStyle name="Separador de milhares 13 5 4" xfId="18065" xr:uid="{00000000-0005-0000-0000-0000644F0000}"/>
    <cellStyle name="Separador de milhares 13 5 5" xfId="18066" xr:uid="{00000000-0005-0000-0000-0000654F0000}"/>
    <cellStyle name="Separador de milhares 13 5 6" xfId="18067" xr:uid="{00000000-0005-0000-0000-0000664F0000}"/>
    <cellStyle name="Separador de milhares 13 5 7" xfId="18068" xr:uid="{00000000-0005-0000-0000-0000674F0000}"/>
    <cellStyle name="Separador de milhares 13 5 8" xfId="18069" xr:uid="{00000000-0005-0000-0000-0000684F0000}"/>
    <cellStyle name="Separador de milhares 13 5 9" xfId="18070" xr:uid="{00000000-0005-0000-0000-0000694F0000}"/>
    <cellStyle name="Separador de milhares 13 6" xfId="18071" xr:uid="{00000000-0005-0000-0000-00006A4F0000}"/>
    <cellStyle name="Separador de milhares 13 7" xfId="18072" xr:uid="{00000000-0005-0000-0000-00006B4F0000}"/>
    <cellStyle name="Separador de milhares 13 8" xfId="18073" xr:uid="{00000000-0005-0000-0000-00006C4F0000}"/>
    <cellStyle name="Separador de milhares 13 9" xfId="18074" xr:uid="{00000000-0005-0000-0000-00006D4F0000}"/>
    <cellStyle name="Separador de milhares 14" xfId="18075" xr:uid="{00000000-0005-0000-0000-00006E4F0000}"/>
    <cellStyle name="Separador de milhares 14 2" xfId="18076" xr:uid="{00000000-0005-0000-0000-00006F4F0000}"/>
    <cellStyle name="Separador de milhares 14 2 10" xfId="18077" xr:uid="{00000000-0005-0000-0000-0000704F0000}"/>
    <cellStyle name="Separador de milhares 14 2 11" xfId="28530" xr:uid="{4B54583F-C8DA-4D98-9699-2188447A6EA0}"/>
    <cellStyle name="Separador de milhares 14 2 2" xfId="18078" xr:uid="{00000000-0005-0000-0000-0000714F0000}"/>
    <cellStyle name="Separador de milhares 14 2 3" xfId="18079" xr:uid="{00000000-0005-0000-0000-0000724F0000}"/>
    <cellStyle name="Separador de milhares 14 2 4" xfId="18080" xr:uid="{00000000-0005-0000-0000-0000734F0000}"/>
    <cellStyle name="Separador de milhares 14 2 5" xfId="18081" xr:uid="{00000000-0005-0000-0000-0000744F0000}"/>
    <cellStyle name="Separador de milhares 14 2 6" xfId="18082" xr:uid="{00000000-0005-0000-0000-0000754F0000}"/>
    <cellStyle name="Separador de milhares 14 2 7" xfId="18083" xr:uid="{00000000-0005-0000-0000-0000764F0000}"/>
    <cellStyle name="Separador de milhares 14 2 8" xfId="18084" xr:uid="{00000000-0005-0000-0000-0000774F0000}"/>
    <cellStyle name="Separador de milhares 14 2 9" xfId="18085" xr:uid="{00000000-0005-0000-0000-0000784F0000}"/>
    <cellStyle name="Separador de milhares 14 3" xfId="18086" xr:uid="{00000000-0005-0000-0000-0000794F0000}"/>
    <cellStyle name="Separador de milhares 14 4" xfId="18087" xr:uid="{00000000-0005-0000-0000-00007A4F0000}"/>
    <cellStyle name="Separador de milhares 14 5" xfId="28529" xr:uid="{D0DAC273-06A0-480D-A029-7DB5DAD84553}"/>
    <cellStyle name="Separador de milhares 15" xfId="18088" xr:uid="{00000000-0005-0000-0000-00007B4F0000}"/>
    <cellStyle name="Separador de milhares 15 2" xfId="18089" xr:uid="{00000000-0005-0000-0000-00007C4F0000}"/>
    <cellStyle name="Separador de milhares 15 2 2" xfId="18090" xr:uid="{00000000-0005-0000-0000-00007D4F0000}"/>
    <cellStyle name="Separador de milhares 15 2 3" xfId="28532" xr:uid="{2659520B-6F24-47F1-A7E4-6290552AE882}"/>
    <cellStyle name="Separador de milhares 15 3" xfId="18091" xr:uid="{00000000-0005-0000-0000-00007E4F0000}"/>
    <cellStyle name="Separador de milhares 15 4" xfId="28531" xr:uid="{166D83C8-7A7A-4894-A043-0768FA4A489D}"/>
    <cellStyle name="Separador de milhares 16" xfId="18092" xr:uid="{00000000-0005-0000-0000-00007F4F0000}"/>
    <cellStyle name="Separador de milhares 16 10" xfId="18093" xr:uid="{00000000-0005-0000-0000-0000804F0000}"/>
    <cellStyle name="Separador de milhares 16 11" xfId="18094" xr:uid="{00000000-0005-0000-0000-0000814F0000}"/>
    <cellStyle name="Separador de milhares 16 2" xfId="18095" xr:uid="{00000000-0005-0000-0000-0000824F0000}"/>
    <cellStyle name="Separador de milhares 16 2 2" xfId="28533" xr:uid="{314DD8A1-2FCC-4906-BAF9-77CC4323E751}"/>
    <cellStyle name="Separador de milhares 16 3" xfId="18096" xr:uid="{00000000-0005-0000-0000-0000834F0000}"/>
    <cellStyle name="Separador de milhares 16 4" xfId="18097" xr:uid="{00000000-0005-0000-0000-0000844F0000}"/>
    <cellStyle name="Separador de milhares 16 5" xfId="18098" xr:uid="{00000000-0005-0000-0000-0000854F0000}"/>
    <cellStyle name="Separador de milhares 16 6" xfId="18099" xr:uid="{00000000-0005-0000-0000-0000864F0000}"/>
    <cellStyle name="Separador de milhares 16 7" xfId="18100" xr:uid="{00000000-0005-0000-0000-0000874F0000}"/>
    <cellStyle name="Separador de milhares 16 8" xfId="18101" xr:uid="{00000000-0005-0000-0000-0000884F0000}"/>
    <cellStyle name="Separador de milhares 16 9" xfId="18102" xr:uid="{00000000-0005-0000-0000-0000894F0000}"/>
    <cellStyle name="Separador de milhares 17" xfId="18103" xr:uid="{00000000-0005-0000-0000-00008A4F0000}"/>
    <cellStyle name="Separador de milhares 17 10" xfId="18104" xr:uid="{00000000-0005-0000-0000-00008B4F0000}"/>
    <cellStyle name="Separador de milhares 17 11" xfId="18105" xr:uid="{00000000-0005-0000-0000-00008C4F0000}"/>
    <cellStyle name="Separador de milhares 17 12" xfId="28534" xr:uid="{34AB04E8-75AA-4680-9B71-BC8C2C3D41A3}"/>
    <cellStyle name="Separador de milhares 17 2" xfId="18106" xr:uid="{00000000-0005-0000-0000-00008D4F0000}"/>
    <cellStyle name="Separador de milhares 17 2 2" xfId="28535" xr:uid="{87BF89FD-B196-4E2C-8504-C9EA73581FFB}"/>
    <cellStyle name="Separador de milhares 17 3" xfId="18107" xr:uid="{00000000-0005-0000-0000-00008E4F0000}"/>
    <cellStyle name="Separador de milhares 17 4" xfId="18108" xr:uid="{00000000-0005-0000-0000-00008F4F0000}"/>
    <cellStyle name="Separador de milhares 17 5" xfId="18109" xr:uid="{00000000-0005-0000-0000-0000904F0000}"/>
    <cellStyle name="Separador de milhares 17 6" xfId="18110" xr:uid="{00000000-0005-0000-0000-0000914F0000}"/>
    <cellStyle name="Separador de milhares 17 7" xfId="18111" xr:uid="{00000000-0005-0000-0000-0000924F0000}"/>
    <cellStyle name="Separador de milhares 17 8" xfId="18112" xr:uid="{00000000-0005-0000-0000-0000934F0000}"/>
    <cellStyle name="Separador de milhares 17 9" xfId="18113" xr:uid="{00000000-0005-0000-0000-0000944F0000}"/>
    <cellStyle name="Separador de milhares 18" xfId="18114" xr:uid="{00000000-0005-0000-0000-0000954F0000}"/>
    <cellStyle name="Separador de milhares 18 2" xfId="18115" xr:uid="{00000000-0005-0000-0000-0000964F0000}"/>
    <cellStyle name="Separador de milhares 18 2 2" xfId="28537" xr:uid="{AEC2499B-94B7-4767-818F-C727ECDB9F28}"/>
    <cellStyle name="Separador de milhares 18 3" xfId="18116" xr:uid="{00000000-0005-0000-0000-0000974F0000}"/>
    <cellStyle name="Separador de milhares 18 4" xfId="28536" xr:uid="{184B3A25-9890-4636-8170-ED0EF04DB70B}"/>
    <cellStyle name="Separador de milhares 19" xfId="18117" xr:uid="{00000000-0005-0000-0000-0000984F0000}"/>
    <cellStyle name="Separador de milhares 19 2" xfId="18118" xr:uid="{00000000-0005-0000-0000-0000994F0000}"/>
    <cellStyle name="Separador de milhares 19 2 2" xfId="28539" xr:uid="{60127471-6D05-41CF-8FA6-37957A231BA1}"/>
    <cellStyle name="Separador de milhares 19 3" xfId="18119" xr:uid="{00000000-0005-0000-0000-00009A4F0000}"/>
    <cellStyle name="Separador de milhares 19 4" xfId="28538" xr:uid="{AB916082-19D7-47A5-A6A4-D070A1B594A5}"/>
    <cellStyle name="Separador de milhares 2" xfId="684" xr:uid="{00000000-0005-0000-0000-00009B4F0000}"/>
    <cellStyle name="Separador de milhares 2 10" xfId="18121" xr:uid="{00000000-0005-0000-0000-00009C4F0000}"/>
    <cellStyle name="Separador de milhares 2 10 10" xfId="18122" xr:uid="{00000000-0005-0000-0000-00009D4F0000}"/>
    <cellStyle name="Separador de milhares 2 10 11" xfId="18123" xr:uid="{00000000-0005-0000-0000-00009E4F0000}"/>
    <cellStyle name="Separador de milhares 2 10 12" xfId="18124" xr:uid="{00000000-0005-0000-0000-00009F4F0000}"/>
    <cellStyle name="Separador de milhares 2 10 13" xfId="28540" xr:uid="{2CEC3A45-3EE5-4247-A923-A89C15D34753}"/>
    <cellStyle name="Separador de milhares 2 10 2" xfId="18125" xr:uid="{00000000-0005-0000-0000-0000A04F0000}"/>
    <cellStyle name="Separador de milhares 2 10 3" xfId="18126" xr:uid="{00000000-0005-0000-0000-0000A14F0000}"/>
    <cellStyle name="Separador de milhares 2 10 4" xfId="18127" xr:uid="{00000000-0005-0000-0000-0000A24F0000}"/>
    <cellStyle name="Separador de milhares 2 10 5" xfId="18128" xr:uid="{00000000-0005-0000-0000-0000A34F0000}"/>
    <cellStyle name="Separador de milhares 2 10 6" xfId="18129" xr:uid="{00000000-0005-0000-0000-0000A44F0000}"/>
    <cellStyle name="Separador de milhares 2 10 7" xfId="18130" xr:uid="{00000000-0005-0000-0000-0000A54F0000}"/>
    <cellStyle name="Separador de milhares 2 10 8" xfId="18131" xr:uid="{00000000-0005-0000-0000-0000A64F0000}"/>
    <cellStyle name="Separador de milhares 2 10 9" xfId="18132" xr:uid="{00000000-0005-0000-0000-0000A74F0000}"/>
    <cellStyle name="Separador de milhares 2 11" xfId="18133" xr:uid="{00000000-0005-0000-0000-0000A84F0000}"/>
    <cellStyle name="Separador de milhares 2 11 2" xfId="18134" xr:uid="{00000000-0005-0000-0000-0000A94F0000}"/>
    <cellStyle name="Separador de milhares 2 11 3" xfId="18135" xr:uid="{00000000-0005-0000-0000-0000AA4F0000}"/>
    <cellStyle name="Separador de milhares 2 11 4" xfId="18136" xr:uid="{00000000-0005-0000-0000-0000AB4F0000}"/>
    <cellStyle name="Separador de milhares 2 11 5" xfId="28541" xr:uid="{C5BD23A2-B42D-46E0-87D1-D25B22780E89}"/>
    <cellStyle name="Separador de milhares 2 12" xfId="18137" xr:uid="{00000000-0005-0000-0000-0000AC4F0000}"/>
    <cellStyle name="Separador de milhares 2 12 2" xfId="18138" xr:uid="{00000000-0005-0000-0000-0000AD4F0000}"/>
    <cellStyle name="Separador de milhares 2 12 3" xfId="18139" xr:uid="{00000000-0005-0000-0000-0000AE4F0000}"/>
    <cellStyle name="Separador de milhares 2 12 4" xfId="18140" xr:uid="{00000000-0005-0000-0000-0000AF4F0000}"/>
    <cellStyle name="Separador de milhares 2 12 5" xfId="28542" xr:uid="{A400C128-E12A-4CCF-B409-D4FBBBBA2E1D}"/>
    <cellStyle name="Separador de milhares 2 13" xfId="18141" xr:uid="{00000000-0005-0000-0000-0000B04F0000}"/>
    <cellStyle name="Separador de milhares 2 13 2" xfId="18142" xr:uid="{00000000-0005-0000-0000-0000B14F0000}"/>
    <cellStyle name="Separador de milhares 2 13 3" xfId="18143" xr:uid="{00000000-0005-0000-0000-0000B24F0000}"/>
    <cellStyle name="Separador de milhares 2 13 4" xfId="18144" xr:uid="{00000000-0005-0000-0000-0000B34F0000}"/>
    <cellStyle name="Separador de milhares 2 13 5" xfId="28543" xr:uid="{F1E3DA05-7DB1-4FF3-9404-47B606287609}"/>
    <cellStyle name="Separador de milhares 2 14" xfId="18145" xr:uid="{00000000-0005-0000-0000-0000B44F0000}"/>
    <cellStyle name="Separador de milhares 2 14 2" xfId="18146" xr:uid="{00000000-0005-0000-0000-0000B54F0000}"/>
    <cellStyle name="Separador de milhares 2 14 3" xfId="18147" xr:uid="{00000000-0005-0000-0000-0000B64F0000}"/>
    <cellStyle name="Separador de milhares 2 14 4" xfId="18148" xr:uid="{00000000-0005-0000-0000-0000B74F0000}"/>
    <cellStyle name="Separador de milhares 2 14 5" xfId="28544" xr:uid="{AAE111F1-C98F-4356-BF5B-B9C351433A72}"/>
    <cellStyle name="Separador de milhares 2 15" xfId="18149" xr:uid="{00000000-0005-0000-0000-0000B84F0000}"/>
    <cellStyle name="Separador de milhares 2 15 10" xfId="18150" xr:uid="{00000000-0005-0000-0000-0000B94F0000}"/>
    <cellStyle name="Separador de milhares 2 15 10 2" xfId="28546" xr:uid="{D9C071BC-3142-4F94-B2BF-1A9B5D1CC6F9}"/>
    <cellStyle name="Separador de milhares 2 15 11" xfId="18151" xr:uid="{00000000-0005-0000-0000-0000BA4F0000}"/>
    <cellStyle name="Separador de milhares 2 15 11 2" xfId="28547" xr:uid="{A4E047F6-673F-41BF-BC5A-9C7F76F9CE75}"/>
    <cellStyle name="Separador de milhares 2 15 12" xfId="18152" xr:uid="{00000000-0005-0000-0000-0000BB4F0000}"/>
    <cellStyle name="Separador de milhares 2 15 12 2" xfId="28548" xr:uid="{780E8ED1-CFF0-4731-BA77-036564BAE9A9}"/>
    <cellStyle name="Separador de milhares 2 15 13" xfId="28545" xr:uid="{CA0E7326-91CC-4A25-A3DA-CBBF7F4FBAD8}"/>
    <cellStyle name="Separador de milhares 2 15 2" xfId="18153" xr:uid="{00000000-0005-0000-0000-0000BC4F0000}"/>
    <cellStyle name="Separador de milhares 2 15 2 10" xfId="18154" xr:uid="{00000000-0005-0000-0000-0000BD4F0000}"/>
    <cellStyle name="Separador de milhares 2 15 2 10 2" xfId="28549" xr:uid="{3A628BA1-8BF2-4B27-A253-54732C84338D}"/>
    <cellStyle name="Separador de milhares 2 15 2 2" xfId="18155" xr:uid="{00000000-0005-0000-0000-0000BE4F0000}"/>
    <cellStyle name="Separador de milhares 2 15 2 2 2" xfId="28550" xr:uid="{D54ED83B-CB35-4310-88DE-3A540BC31F37}"/>
    <cellStyle name="Separador de milhares 2 15 2 3" xfId="18156" xr:uid="{00000000-0005-0000-0000-0000BF4F0000}"/>
    <cellStyle name="Separador de milhares 2 15 2 3 2" xfId="28551" xr:uid="{0BB5D7FC-2191-4540-8CA3-9261CEA3F3A4}"/>
    <cellStyle name="Separador de milhares 2 15 2 4" xfId="18157" xr:uid="{00000000-0005-0000-0000-0000C04F0000}"/>
    <cellStyle name="Separador de milhares 2 15 2 4 2" xfId="28552" xr:uid="{9C9131BF-4329-4848-A973-4EEC8A586B2C}"/>
    <cellStyle name="Separador de milhares 2 15 2 5" xfId="18158" xr:uid="{00000000-0005-0000-0000-0000C14F0000}"/>
    <cellStyle name="Separador de milhares 2 15 2 5 2" xfId="28553" xr:uid="{683EE8D9-718A-456F-8F16-4B96D118F5B0}"/>
    <cellStyle name="Separador de milhares 2 15 2 6" xfId="18159" xr:uid="{00000000-0005-0000-0000-0000C24F0000}"/>
    <cellStyle name="Separador de milhares 2 15 2 6 2" xfId="28554" xr:uid="{E4314FB3-F0E7-45D2-8D92-1E052DDDAD35}"/>
    <cellStyle name="Separador de milhares 2 15 2 7" xfId="18160" xr:uid="{00000000-0005-0000-0000-0000C34F0000}"/>
    <cellStyle name="Separador de milhares 2 15 2 7 2" xfId="28555" xr:uid="{158C6831-54FF-4928-8956-FDEEC23A8174}"/>
    <cellStyle name="Separador de milhares 2 15 2 8" xfId="18161" xr:uid="{00000000-0005-0000-0000-0000C44F0000}"/>
    <cellStyle name="Separador de milhares 2 15 2 8 2" xfId="28556" xr:uid="{1B66A795-A15E-4E3F-B016-D060ABDA5A41}"/>
    <cellStyle name="Separador de milhares 2 15 2 9" xfId="18162" xr:uid="{00000000-0005-0000-0000-0000C54F0000}"/>
    <cellStyle name="Separador de milhares 2 15 2 9 2" xfId="28557" xr:uid="{269D9955-821D-4557-A71A-16BC4DF0B687}"/>
    <cellStyle name="Separador de milhares 2 15 3" xfId="18163" xr:uid="{00000000-0005-0000-0000-0000C64F0000}"/>
    <cellStyle name="Separador de milhares 2 15 4" xfId="18164" xr:uid="{00000000-0005-0000-0000-0000C74F0000}"/>
    <cellStyle name="Separador de milhares 2 15 5" xfId="18165" xr:uid="{00000000-0005-0000-0000-0000C84F0000}"/>
    <cellStyle name="Separador de milhares 2 15 5 2" xfId="28558" xr:uid="{A2E6E62B-B8AF-474B-90D7-DD13EA7764EA}"/>
    <cellStyle name="Separador de milhares 2 15 6" xfId="18166" xr:uid="{00000000-0005-0000-0000-0000C94F0000}"/>
    <cellStyle name="Separador de milhares 2 15 6 2" xfId="28559" xr:uid="{B4755784-059B-47F7-8693-F42AB5274D55}"/>
    <cellStyle name="Separador de milhares 2 15 7" xfId="18167" xr:uid="{00000000-0005-0000-0000-0000CA4F0000}"/>
    <cellStyle name="Separador de milhares 2 15 7 2" xfId="28560" xr:uid="{B66D072C-DE97-4352-A75E-68FD228C318E}"/>
    <cellStyle name="Separador de milhares 2 15 8" xfId="18168" xr:uid="{00000000-0005-0000-0000-0000CB4F0000}"/>
    <cellStyle name="Separador de milhares 2 15 8 2" xfId="28561" xr:uid="{9A194A7F-4A09-4F2A-805E-3D13064FBF37}"/>
    <cellStyle name="Separador de milhares 2 15 9" xfId="18169" xr:uid="{00000000-0005-0000-0000-0000CC4F0000}"/>
    <cellStyle name="Separador de milhares 2 15 9 2" xfId="28562" xr:uid="{5FDF9465-57D8-40BA-BC12-17E1E18F2193}"/>
    <cellStyle name="Separador de milhares 2 16" xfId="18170" xr:uid="{00000000-0005-0000-0000-0000CD4F0000}"/>
    <cellStyle name="Separador de milhares 2 16 2" xfId="18171" xr:uid="{00000000-0005-0000-0000-0000CE4F0000}"/>
    <cellStyle name="Separador de milhares 2 16 3" xfId="18172" xr:uid="{00000000-0005-0000-0000-0000CF4F0000}"/>
    <cellStyle name="Separador de milhares 2 16 4" xfId="18173" xr:uid="{00000000-0005-0000-0000-0000D04F0000}"/>
    <cellStyle name="Separador de milhares 2 16 5" xfId="28563" xr:uid="{1EB3C83D-A84D-41BC-BCAB-DA73B8F3B27B}"/>
    <cellStyle name="Separador de milhares 2 17" xfId="18174" xr:uid="{00000000-0005-0000-0000-0000D14F0000}"/>
    <cellStyle name="Separador de milhares 2 17 10" xfId="18175" xr:uid="{00000000-0005-0000-0000-0000D24F0000}"/>
    <cellStyle name="Separador de milhares 2 17 10 2" xfId="28565" xr:uid="{2E412108-03DA-4622-8B12-40BD504B8ADF}"/>
    <cellStyle name="Separador de milhares 2 17 11" xfId="28564" xr:uid="{5D894F2E-3DCF-4D42-B2FD-737BFB798D1A}"/>
    <cellStyle name="Separador de milhares 2 17 2" xfId="18176" xr:uid="{00000000-0005-0000-0000-0000D34F0000}"/>
    <cellStyle name="Separador de milhares 2 17 3" xfId="18177" xr:uid="{00000000-0005-0000-0000-0000D44F0000}"/>
    <cellStyle name="Separador de milhares 2 17 4" xfId="18178" xr:uid="{00000000-0005-0000-0000-0000D54F0000}"/>
    <cellStyle name="Separador de milhares 2 17 5" xfId="18179" xr:uid="{00000000-0005-0000-0000-0000D64F0000}"/>
    <cellStyle name="Separador de milhares 2 17 5 2" xfId="28566" xr:uid="{9C7C61E3-F6EC-41AF-B45D-20F7D66115DE}"/>
    <cellStyle name="Separador de milhares 2 17 6" xfId="18180" xr:uid="{00000000-0005-0000-0000-0000D74F0000}"/>
    <cellStyle name="Separador de milhares 2 17 6 2" xfId="28567" xr:uid="{ACD78BB1-A621-4E07-AAE2-137906B22243}"/>
    <cellStyle name="Separador de milhares 2 17 7" xfId="18181" xr:uid="{00000000-0005-0000-0000-0000D84F0000}"/>
    <cellStyle name="Separador de milhares 2 17 7 2" xfId="28568" xr:uid="{C3B4580B-B4A3-4363-A446-6CA2C15EF0EA}"/>
    <cellStyle name="Separador de milhares 2 17 8" xfId="18182" xr:uid="{00000000-0005-0000-0000-0000D94F0000}"/>
    <cellStyle name="Separador de milhares 2 17 8 2" xfId="28569" xr:uid="{27CDB655-8900-4A1F-9C08-3D162B088234}"/>
    <cellStyle name="Separador de milhares 2 17 9" xfId="18183" xr:uid="{00000000-0005-0000-0000-0000DA4F0000}"/>
    <cellStyle name="Separador de milhares 2 17 9 2" xfId="28570" xr:uid="{A907BCE6-AFA0-4A0E-BB3B-D7FC2C8EFE27}"/>
    <cellStyle name="Separador de milhares 2 18" xfId="18184" xr:uid="{00000000-0005-0000-0000-0000DB4F0000}"/>
    <cellStyle name="Separador de milhares 2 18 10" xfId="18185" xr:uid="{00000000-0005-0000-0000-0000DC4F0000}"/>
    <cellStyle name="Separador de milhares 2 18 10 2" xfId="28572" xr:uid="{2326F2DD-B3F7-40F0-92FC-838613B2697E}"/>
    <cellStyle name="Separador de milhares 2 18 11" xfId="28571" xr:uid="{81C8CB29-2D78-4191-BC93-9D434E88B1A9}"/>
    <cellStyle name="Separador de milhares 2 18 2" xfId="18186" xr:uid="{00000000-0005-0000-0000-0000DD4F0000}"/>
    <cellStyle name="Separador de milhares 2 18 3" xfId="18187" xr:uid="{00000000-0005-0000-0000-0000DE4F0000}"/>
    <cellStyle name="Separador de milhares 2 18 4" xfId="18188" xr:uid="{00000000-0005-0000-0000-0000DF4F0000}"/>
    <cellStyle name="Separador de milhares 2 18 5" xfId="18189" xr:uid="{00000000-0005-0000-0000-0000E04F0000}"/>
    <cellStyle name="Separador de milhares 2 18 5 2" xfId="28573" xr:uid="{02537968-DCBC-4F53-B179-EFCE56EDDEE4}"/>
    <cellStyle name="Separador de milhares 2 18 6" xfId="18190" xr:uid="{00000000-0005-0000-0000-0000E14F0000}"/>
    <cellStyle name="Separador de milhares 2 18 6 2" xfId="28574" xr:uid="{BB43ABC8-A17D-488C-B1FE-21559F724091}"/>
    <cellStyle name="Separador de milhares 2 18 7" xfId="18191" xr:uid="{00000000-0005-0000-0000-0000E24F0000}"/>
    <cellStyle name="Separador de milhares 2 18 7 2" xfId="28575" xr:uid="{35CC053E-A2BD-4705-97DE-FC29C5E0A1AB}"/>
    <cellStyle name="Separador de milhares 2 18 8" xfId="18192" xr:uid="{00000000-0005-0000-0000-0000E34F0000}"/>
    <cellStyle name="Separador de milhares 2 18 8 2" xfId="28576" xr:uid="{975A349D-BABD-44E9-BD75-529241A6A70C}"/>
    <cellStyle name="Separador de milhares 2 18 9" xfId="18193" xr:uid="{00000000-0005-0000-0000-0000E44F0000}"/>
    <cellStyle name="Separador de milhares 2 18 9 2" xfId="28577" xr:uid="{19D46B78-D301-4DAD-88B1-8A24EC88BEC8}"/>
    <cellStyle name="Separador de milhares 2 19" xfId="18194" xr:uid="{00000000-0005-0000-0000-0000E54F0000}"/>
    <cellStyle name="Separador de milhares 2 19 2" xfId="18195" xr:uid="{00000000-0005-0000-0000-0000E64F0000}"/>
    <cellStyle name="Separador de milhares 2 19 3" xfId="18196" xr:uid="{00000000-0005-0000-0000-0000E74F0000}"/>
    <cellStyle name="Separador de milhares 2 19 4" xfId="18197" xr:uid="{00000000-0005-0000-0000-0000E84F0000}"/>
    <cellStyle name="Separador de milhares 2 19 5" xfId="28578" xr:uid="{8F179BF4-0FFC-49B0-9ACF-7A428DB68639}"/>
    <cellStyle name="Separador de milhares 2 2" xfId="685" xr:uid="{00000000-0005-0000-0000-0000E94F0000}"/>
    <cellStyle name="Separador de milhares 2 2 10" xfId="18199" xr:uid="{00000000-0005-0000-0000-0000EA4F0000}"/>
    <cellStyle name="Separador de milhares 2 2 11" xfId="18200" xr:uid="{00000000-0005-0000-0000-0000EB4F0000}"/>
    <cellStyle name="Separador de milhares 2 2 11 2" xfId="18201" xr:uid="{00000000-0005-0000-0000-0000EC4F0000}"/>
    <cellStyle name="Separador de milhares 2 2 11 3" xfId="18202" xr:uid="{00000000-0005-0000-0000-0000ED4F0000}"/>
    <cellStyle name="Separador de milhares 2 2 12" xfId="18203" xr:uid="{00000000-0005-0000-0000-0000EE4F0000}"/>
    <cellStyle name="Separador de milhares 2 2 12 2" xfId="18204" xr:uid="{00000000-0005-0000-0000-0000EF4F0000}"/>
    <cellStyle name="Separador de milhares 2 2 12 3" xfId="18205" xr:uid="{00000000-0005-0000-0000-0000F04F0000}"/>
    <cellStyle name="Separador de milhares 2 2 13" xfId="18206" xr:uid="{00000000-0005-0000-0000-0000F14F0000}"/>
    <cellStyle name="Separador de milhares 2 2 13 2" xfId="18207" xr:uid="{00000000-0005-0000-0000-0000F24F0000}"/>
    <cellStyle name="Separador de milhares 2 2 13 3" xfId="18208" xr:uid="{00000000-0005-0000-0000-0000F34F0000}"/>
    <cellStyle name="Separador de milhares 2 2 14" xfId="18209" xr:uid="{00000000-0005-0000-0000-0000F44F0000}"/>
    <cellStyle name="Separador de milhares 2 2 14 2" xfId="18210" xr:uid="{00000000-0005-0000-0000-0000F54F0000}"/>
    <cellStyle name="Separador de milhares 2 2 14 3" xfId="18211" xr:uid="{00000000-0005-0000-0000-0000F64F0000}"/>
    <cellStyle name="Separador de milhares 2 2 15" xfId="18212" xr:uid="{00000000-0005-0000-0000-0000F74F0000}"/>
    <cellStyle name="Separador de milhares 2 2 15 2" xfId="18213" xr:uid="{00000000-0005-0000-0000-0000F84F0000}"/>
    <cellStyle name="Separador de milhares 2 2 15 3" xfId="18214" xr:uid="{00000000-0005-0000-0000-0000F94F0000}"/>
    <cellStyle name="Separador de milhares 2 2 16" xfId="18215" xr:uid="{00000000-0005-0000-0000-0000FA4F0000}"/>
    <cellStyle name="Separador de milhares 2 2 16 2" xfId="18216" xr:uid="{00000000-0005-0000-0000-0000FB4F0000}"/>
    <cellStyle name="Separador de milhares 2 2 16 3" xfId="18217" xr:uid="{00000000-0005-0000-0000-0000FC4F0000}"/>
    <cellStyle name="Separador de milhares 2 2 17" xfId="18218" xr:uid="{00000000-0005-0000-0000-0000FD4F0000}"/>
    <cellStyle name="Separador de milhares 2 2 17 2" xfId="18219" xr:uid="{00000000-0005-0000-0000-0000FE4F0000}"/>
    <cellStyle name="Separador de milhares 2 2 17 3" xfId="18220" xr:uid="{00000000-0005-0000-0000-0000FF4F0000}"/>
    <cellStyle name="Separador de milhares 2 2 18" xfId="18221" xr:uid="{00000000-0005-0000-0000-000000500000}"/>
    <cellStyle name="Separador de milhares 2 2 18 2" xfId="18222" xr:uid="{00000000-0005-0000-0000-000001500000}"/>
    <cellStyle name="Separador de milhares 2 2 18 3" xfId="18223" xr:uid="{00000000-0005-0000-0000-000002500000}"/>
    <cellStyle name="Separador de milhares 2 2 19" xfId="18224" xr:uid="{00000000-0005-0000-0000-000003500000}"/>
    <cellStyle name="Separador de milhares 2 2 19 2" xfId="18225" xr:uid="{00000000-0005-0000-0000-000004500000}"/>
    <cellStyle name="Separador de milhares 2 2 19 3" xfId="18226" xr:uid="{00000000-0005-0000-0000-000005500000}"/>
    <cellStyle name="Separador de milhares 2 2 2" xfId="686" xr:uid="{00000000-0005-0000-0000-000006500000}"/>
    <cellStyle name="Separador de milhares 2 2 2 10" xfId="18228" xr:uid="{00000000-0005-0000-0000-000007500000}"/>
    <cellStyle name="Separador de milhares 2 2 2 10 2" xfId="18229" xr:uid="{00000000-0005-0000-0000-000008500000}"/>
    <cellStyle name="Separador de milhares 2 2 2 10 3" xfId="18230" xr:uid="{00000000-0005-0000-0000-000009500000}"/>
    <cellStyle name="Separador de milhares 2 2 2 11" xfId="18231" xr:uid="{00000000-0005-0000-0000-00000A500000}"/>
    <cellStyle name="Separador de milhares 2 2 2 11 2" xfId="18232" xr:uid="{00000000-0005-0000-0000-00000B500000}"/>
    <cellStyle name="Separador de milhares 2 2 2 11 3" xfId="18233" xr:uid="{00000000-0005-0000-0000-00000C500000}"/>
    <cellStyle name="Separador de milhares 2 2 2 12" xfId="18234" xr:uid="{00000000-0005-0000-0000-00000D500000}"/>
    <cellStyle name="Separador de milhares 2 2 2 12 2" xfId="18235" xr:uid="{00000000-0005-0000-0000-00000E500000}"/>
    <cellStyle name="Separador de milhares 2 2 2 12 3" xfId="18236" xr:uid="{00000000-0005-0000-0000-00000F500000}"/>
    <cellStyle name="Separador de milhares 2 2 2 13" xfId="18237" xr:uid="{00000000-0005-0000-0000-000010500000}"/>
    <cellStyle name="Separador de milhares 2 2 2 13 2" xfId="18238" xr:uid="{00000000-0005-0000-0000-000011500000}"/>
    <cellStyle name="Separador de milhares 2 2 2 13 3" xfId="18239" xr:uid="{00000000-0005-0000-0000-000012500000}"/>
    <cellStyle name="Separador de milhares 2 2 2 14" xfId="18240" xr:uid="{00000000-0005-0000-0000-000013500000}"/>
    <cellStyle name="Separador de milhares 2 2 2 14 2" xfId="18241" xr:uid="{00000000-0005-0000-0000-000014500000}"/>
    <cellStyle name="Separador de milhares 2 2 2 14 3" xfId="18242" xr:uid="{00000000-0005-0000-0000-000015500000}"/>
    <cellStyle name="Separador de milhares 2 2 2 15" xfId="18243" xr:uid="{00000000-0005-0000-0000-000016500000}"/>
    <cellStyle name="Separador de milhares 2 2 2 15 2" xfId="18244" xr:uid="{00000000-0005-0000-0000-000017500000}"/>
    <cellStyle name="Separador de milhares 2 2 2 15 3" xfId="18245" xr:uid="{00000000-0005-0000-0000-000018500000}"/>
    <cellStyle name="Separador de milhares 2 2 2 16" xfId="18246" xr:uid="{00000000-0005-0000-0000-000019500000}"/>
    <cellStyle name="Separador de milhares 2 2 2 16 2" xfId="18247" xr:uid="{00000000-0005-0000-0000-00001A500000}"/>
    <cellStyle name="Separador de milhares 2 2 2 16 3" xfId="18248" xr:uid="{00000000-0005-0000-0000-00001B500000}"/>
    <cellStyle name="Separador de milhares 2 2 2 17" xfId="18249" xr:uid="{00000000-0005-0000-0000-00001C500000}"/>
    <cellStyle name="Separador de milhares 2 2 2 17 2" xfId="18250" xr:uid="{00000000-0005-0000-0000-00001D500000}"/>
    <cellStyle name="Separador de milhares 2 2 2 17 3" xfId="18251" xr:uid="{00000000-0005-0000-0000-00001E500000}"/>
    <cellStyle name="Separador de milhares 2 2 2 18" xfId="18252" xr:uid="{00000000-0005-0000-0000-00001F500000}"/>
    <cellStyle name="Separador de milhares 2 2 2 18 2" xfId="18253" xr:uid="{00000000-0005-0000-0000-000020500000}"/>
    <cellStyle name="Separador de milhares 2 2 2 18 3" xfId="18254" xr:uid="{00000000-0005-0000-0000-000021500000}"/>
    <cellStyle name="Separador de milhares 2 2 2 19" xfId="18255" xr:uid="{00000000-0005-0000-0000-000022500000}"/>
    <cellStyle name="Separador de milhares 2 2 2 2" xfId="687" xr:uid="{00000000-0005-0000-0000-000023500000}"/>
    <cellStyle name="Separador de milhares 2 2 2 2 10" xfId="27933" xr:uid="{881A5C37-6A2D-4D0A-B9CD-9D1C6CF55160}"/>
    <cellStyle name="Separador de milhares 2 2 2 2 2" xfId="688" xr:uid="{00000000-0005-0000-0000-000024500000}"/>
    <cellStyle name="Separador de milhares 2 2 2 2 2 10" xfId="18258" xr:uid="{00000000-0005-0000-0000-000025500000}"/>
    <cellStyle name="Separador de milhares 2 2 2 2 2 11" xfId="18259" xr:uid="{00000000-0005-0000-0000-000026500000}"/>
    <cellStyle name="Separador de milhares 2 2 2 2 2 12" xfId="18260" xr:uid="{00000000-0005-0000-0000-000027500000}"/>
    <cellStyle name="Separador de milhares 2 2 2 2 2 13" xfId="18257" xr:uid="{00000000-0005-0000-0000-000028500000}"/>
    <cellStyle name="Separador de milhares 2 2 2 2 2 14" xfId="27934" xr:uid="{C3B0BCBE-4077-4D07-8322-62B88CF77882}"/>
    <cellStyle name="Separador de milhares 2 2 2 2 2 2" xfId="18261" xr:uid="{00000000-0005-0000-0000-000029500000}"/>
    <cellStyle name="Separador de milhares 2 2 2 2 2 2 2" xfId="18262" xr:uid="{00000000-0005-0000-0000-00002A500000}"/>
    <cellStyle name="Separador de milhares 2 2 2 2 2 2 3" xfId="18263" xr:uid="{00000000-0005-0000-0000-00002B500000}"/>
    <cellStyle name="Separador de milhares 2 2 2 2 2 3" xfId="18264" xr:uid="{00000000-0005-0000-0000-00002C500000}"/>
    <cellStyle name="Separador de milhares 2 2 2 2 2 4" xfId="18265" xr:uid="{00000000-0005-0000-0000-00002D500000}"/>
    <cellStyle name="Separador de milhares 2 2 2 2 2 5" xfId="18266" xr:uid="{00000000-0005-0000-0000-00002E500000}"/>
    <cellStyle name="Separador de milhares 2 2 2 2 2 6" xfId="18267" xr:uid="{00000000-0005-0000-0000-00002F500000}"/>
    <cellStyle name="Separador de milhares 2 2 2 2 2 7" xfId="18268" xr:uid="{00000000-0005-0000-0000-000030500000}"/>
    <cellStyle name="Separador de milhares 2 2 2 2 2 8" xfId="18269" xr:uid="{00000000-0005-0000-0000-000031500000}"/>
    <cellStyle name="Separador de milhares 2 2 2 2 2 9" xfId="18270" xr:uid="{00000000-0005-0000-0000-000032500000}"/>
    <cellStyle name="Separador de milhares 2 2 2 2 3" xfId="689" xr:uid="{00000000-0005-0000-0000-000033500000}"/>
    <cellStyle name="Separador de milhares 2 2 2 2 3 2" xfId="18271" xr:uid="{00000000-0005-0000-0000-000034500000}"/>
    <cellStyle name="Separador de milhares 2 2 2 2 3 3" xfId="27935" xr:uid="{C37491DD-1F30-4DDB-B785-52E5E7D9C4DE}"/>
    <cellStyle name="Separador de milhares 2 2 2 2 4" xfId="18272" xr:uid="{00000000-0005-0000-0000-000035500000}"/>
    <cellStyle name="Separador de milhares 2 2 2 2 5" xfId="18273" xr:uid="{00000000-0005-0000-0000-000036500000}"/>
    <cellStyle name="Separador de milhares 2 2 2 2 6" xfId="18274" xr:uid="{00000000-0005-0000-0000-000037500000}"/>
    <cellStyle name="Separador de milhares 2 2 2 2 7" xfId="18275" xr:uid="{00000000-0005-0000-0000-000038500000}"/>
    <cellStyle name="Separador de milhares 2 2 2 2 8" xfId="18276" xr:uid="{00000000-0005-0000-0000-000039500000}"/>
    <cellStyle name="Separador de milhares 2 2 2 2 9" xfId="18256" xr:uid="{00000000-0005-0000-0000-00003A500000}"/>
    <cellStyle name="Separador de milhares 2 2 2 2 9 2" xfId="28581" xr:uid="{75AB32C1-A8F3-44E9-B4A1-D7E7637D4FAF}"/>
    <cellStyle name="Separador de milhares 2 2 2 20" xfId="18277" xr:uid="{00000000-0005-0000-0000-00003B500000}"/>
    <cellStyle name="Separador de milhares 2 2 2 21" xfId="18278" xr:uid="{00000000-0005-0000-0000-00003C500000}"/>
    <cellStyle name="Separador de milhares 2 2 2 22" xfId="18279" xr:uid="{00000000-0005-0000-0000-00003D500000}"/>
    <cellStyle name="Separador de milhares 2 2 2 23" xfId="18280" xr:uid="{00000000-0005-0000-0000-00003E500000}"/>
    <cellStyle name="Separador de milhares 2 2 2 24" xfId="18281" xr:uid="{00000000-0005-0000-0000-00003F500000}"/>
    <cellStyle name="Separador de milhares 2 2 2 25" xfId="18282" xr:uid="{00000000-0005-0000-0000-000040500000}"/>
    <cellStyle name="Separador de milhares 2 2 2 26" xfId="18283" xr:uid="{00000000-0005-0000-0000-000041500000}"/>
    <cellStyle name="Separador de milhares 2 2 2 27" xfId="18284" xr:uid="{00000000-0005-0000-0000-000042500000}"/>
    <cellStyle name="Separador de milhares 2 2 2 28" xfId="18285" xr:uid="{00000000-0005-0000-0000-000043500000}"/>
    <cellStyle name="Separador de milhares 2 2 2 29" xfId="18286" xr:uid="{00000000-0005-0000-0000-000044500000}"/>
    <cellStyle name="Separador de milhares 2 2 2 3" xfId="18287" xr:uid="{00000000-0005-0000-0000-000045500000}"/>
    <cellStyle name="Separador de milhares 2 2 2 3 2" xfId="18288" xr:uid="{00000000-0005-0000-0000-000046500000}"/>
    <cellStyle name="Separador de milhares 2 2 2 3 2 10" xfId="18289" xr:uid="{00000000-0005-0000-0000-000047500000}"/>
    <cellStyle name="Separador de milhares 2 2 2 3 2 11" xfId="18290" xr:uid="{00000000-0005-0000-0000-000048500000}"/>
    <cellStyle name="Separador de milhares 2 2 2 3 2 2" xfId="18291" xr:uid="{00000000-0005-0000-0000-000049500000}"/>
    <cellStyle name="Separador de milhares 2 2 2 3 2 3" xfId="18292" xr:uid="{00000000-0005-0000-0000-00004A500000}"/>
    <cellStyle name="Separador de milhares 2 2 2 3 2 4" xfId="18293" xr:uid="{00000000-0005-0000-0000-00004B500000}"/>
    <cellStyle name="Separador de milhares 2 2 2 3 2 5" xfId="18294" xr:uid="{00000000-0005-0000-0000-00004C500000}"/>
    <cellStyle name="Separador de milhares 2 2 2 3 2 6" xfId="18295" xr:uid="{00000000-0005-0000-0000-00004D500000}"/>
    <cellStyle name="Separador de milhares 2 2 2 3 2 7" xfId="18296" xr:uid="{00000000-0005-0000-0000-00004E500000}"/>
    <cellStyle name="Separador de milhares 2 2 2 3 2 8" xfId="18297" xr:uid="{00000000-0005-0000-0000-00004F500000}"/>
    <cellStyle name="Separador de milhares 2 2 2 3 2 9" xfId="18298" xr:uid="{00000000-0005-0000-0000-000050500000}"/>
    <cellStyle name="Separador de milhares 2 2 2 3 3" xfId="18299" xr:uid="{00000000-0005-0000-0000-000051500000}"/>
    <cellStyle name="Separador de milhares 2 2 2 30" xfId="18300" xr:uid="{00000000-0005-0000-0000-000052500000}"/>
    <cellStyle name="Separador de milhares 2 2 2 31" xfId="18301" xr:uid="{00000000-0005-0000-0000-000053500000}"/>
    <cellStyle name="Separador de milhares 2 2 2 32" xfId="18302" xr:uid="{00000000-0005-0000-0000-000054500000}"/>
    <cellStyle name="Separador de milhares 2 2 2 33" xfId="18303" xr:uid="{00000000-0005-0000-0000-000055500000}"/>
    <cellStyle name="Separador de milhares 2 2 2 34" xfId="18304" xr:uid="{00000000-0005-0000-0000-000056500000}"/>
    <cellStyle name="Separador de milhares 2 2 2 35" xfId="18305" xr:uid="{00000000-0005-0000-0000-000057500000}"/>
    <cellStyle name="Separador de milhares 2 2 2 36" xfId="18306" xr:uid="{00000000-0005-0000-0000-000058500000}"/>
    <cellStyle name="Separador de milhares 2 2 2 37" xfId="18307" xr:uid="{00000000-0005-0000-0000-000059500000}"/>
    <cellStyle name="Separador de milhares 2 2 2 38" xfId="18227" xr:uid="{00000000-0005-0000-0000-00005A500000}"/>
    <cellStyle name="Separador de milhares 2 2 2 38 2" xfId="28580" xr:uid="{B5D55FBC-20DD-4D26-A716-3BD5E5A6A702}"/>
    <cellStyle name="Separador de milhares 2 2 2 39" xfId="27311" xr:uid="{00000000-0005-0000-0000-00005B500000}"/>
    <cellStyle name="Separador de milhares 2 2 2 39 2" xfId="33148" xr:uid="{B7EF27E5-4CAC-4F1D-9849-ACE0AAD3C910}"/>
    <cellStyle name="Separador de milhares 2 2 2 4" xfId="18308" xr:uid="{00000000-0005-0000-0000-00005C500000}"/>
    <cellStyle name="Separador de milhares 2 2 2 4 10" xfId="18309" xr:uid="{00000000-0005-0000-0000-00005D500000}"/>
    <cellStyle name="Separador de milhares 2 2 2 4 11" xfId="18310" xr:uid="{00000000-0005-0000-0000-00005E500000}"/>
    <cellStyle name="Separador de milhares 2 2 2 4 2" xfId="18311" xr:uid="{00000000-0005-0000-0000-00005F500000}"/>
    <cellStyle name="Separador de milhares 2 2 2 4 3" xfId="18312" xr:uid="{00000000-0005-0000-0000-000060500000}"/>
    <cellStyle name="Separador de milhares 2 2 2 4 4" xfId="18313" xr:uid="{00000000-0005-0000-0000-000061500000}"/>
    <cellStyle name="Separador de milhares 2 2 2 4 5" xfId="18314" xr:uid="{00000000-0005-0000-0000-000062500000}"/>
    <cellStyle name="Separador de milhares 2 2 2 4 6" xfId="18315" xr:uid="{00000000-0005-0000-0000-000063500000}"/>
    <cellStyle name="Separador de milhares 2 2 2 4 7" xfId="18316" xr:uid="{00000000-0005-0000-0000-000064500000}"/>
    <cellStyle name="Separador de milhares 2 2 2 4 8" xfId="18317" xr:uid="{00000000-0005-0000-0000-000065500000}"/>
    <cellStyle name="Separador de milhares 2 2 2 4 9" xfId="18318" xr:uid="{00000000-0005-0000-0000-000066500000}"/>
    <cellStyle name="Separador de milhares 2 2 2 40" xfId="27482" xr:uid="{00000000-0005-0000-0000-000067500000}"/>
    <cellStyle name="Separador de milhares 2 2 2 40 2" xfId="33319" xr:uid="{8B17E5AE-EFE4-4962-A61A-F292A3000F81}"/>
    <cellStyle name="Separador de milhares 2 2 2 41" xfId="27651" xr:uid="{00000000-0005-0000-0000-000068500000}"/>
    <cellStyle name="Separador de milhares 2 2 2 41 2" xfId="33462" xr:uid="{46766AF5-A9CB-43E9-B0FC-08EC8D3A6085}"/>
    <cellStyle name="Separador de milhares 2 2 2 42" xfId="27808" xr:uid="{00000000-0005-0000-0000-000069500000}"/>
    <cellStyle name="Separador de milhares 2 2 2 42 2" xfId="33619" xr:uid="{6209BC91-0E01-4FE8-94A1-46FFD03DC55A}"/>
    <cellStyle name="Separador de milhares 2 2 2 43" xfId="27932" xr:uid="{31E2B3C4-FEFD-49A2-99A9-D636235DA25A}"/>
    <cellStyle name="Separador de milhares 2 2 2 5" xfId="18319" xr:uid="{00000000-0005-0000-0000-00006A500000}"/>
    <cellStyle name="Separador de milhares 2 2 2 5 10" xfId="18320" xr:uid="{00000000-0005-0000-0000-00006B500000}"/>
    <cellStyle name="Separador de milhares 2 2 2 5 11" xfId="18321" xr:uid="{00000000-0005-0000-0000-00006C500000}"/>
    <cellStyle name="Separador de milhares 2 2 2 5 2" xfId="18322" xr:uid="{00000000-0005-0000-0000-00006D500000}"/>
    <cellStyle name="Separador de milhares 2 2 2 5 3" xfId="18323" xr:uid="{00000000-0005-0000-0000-00006E500000}"/>
    <cellStyle name="Separador de milhares 2 2 2 5 4" xfId="18324" xr:uid="{00000000-0005-0000-0000-00006F500000}"/>
    <cellStyle name="Separador de milhares 2 2 2 5 5" xfId="18325" xr:uid="{00000000-0005-0000-0000-000070500000}"/>
    <cellStyle name="Separador de milhares 2 2 2 5 6" xfId="18326" xr:uid="{00000000-0005-0000-0000-000071500000}"/>
    <cellStyle name="Separador de milhares 2 2 2 5 7" xfId="18327" xr:uid="{00000000-0005-0000-0000-000072500000}"/>
    <cellStyle name="Separador de milhares 2 2 2 5 8" xfId="18328" xr:uid="{00000000-0005-0000-0000-000073500000}"/>
    <cellStyle name="Separador de milhares 2 2 2 5 9" xfId="18329" xr:uid="{00000000-0005-0000-0000-000074500000}"/>
    <cellStyle name="Separador de milhares 2 2 2 6" xfId="18330" xr:uid="{00000000-0005-0000-0000-000075500000}"/>
    <cellStyle name="Separador de milhares 2 2 2 6 10" xfId="18331" xr:uid="{00000000-0005-0000-0000-000076500000}"/>
    <cellStyle name="Separador de milhares 2 2 2 6 11" xfId="18332" xr:uid="{00000000-0005-0000-0000-000077500000}"/>
    <cellStyle name="Separador de milhares 2 2 2 6 2" xfId="18333" xr:uid="{00000000-0005-0000-0000-000078500000}"/>
    <cellStyle name="Separador de milhares 2 2 2 6 3" xfId="18334" xr:uid="{00000000-0005-0000-0000-000079500000}"/>
    <cellStyle name="Separador de milhares 2 2 2 6 4" xfId="18335" xr:uid="{00000000-0005-0000-0000-00007A500000}"/>
    <cellStyle name="Separador de milhares 2 2 2 6 5" xfId="18336" xr:uid="{00000000-0005-0000-0000-00007B500000}"/>
    <cellStyle name="Separador de milhares 2 2 2 6 6" xfId="18337" xr:uid="{00000000-0005-0000-0000-00007C500000}"/>
    <cellStyle name="Separador de milhares 2 2 2 6 7" xfId="18338" xr:uid="{00000000-0005-0000-0000-00007D500000}"/>
    <cellStyle name="Separador de milhares 2 2 2 6 8" xfId="18339" xr:uid="{00000000-0005-0000-0000-00007E500000}"/>
    <cellStyle name="Separador de milhares 2 2 2 6 9" xfId="18340" xr:uid="{00000000-0005-0000-0000-00007F500000}"/>
    <cellStyle name="Separador de milhares 2 2 2 7" xfId="18341" xr:uid="{00000000-0005-0000-0000-000080500000}"/>
    <cellStyle name="Separador de milhares 2 2 2 7 10" xfId="18342" xr:uid="{00000000-0005-0000-0000-000081500000}"/>
    <cellStyle name="Separador de milhares 2 2 2 7 11" xfId="18343" xr:uid="{00000000-0005-0000-0000-000082500000}"/>
    <cellStyle name="Separador de milhares 2 2 2 7 2" xfId="18344" xr:uid="{00000000-0005-0000-0000-000083500000}"/>
    <cellStyle name="Separador de milhares 2 2 2 7 3" xfId="18345" xr:uid="{00000000-0005-0000-0000-000084500000}"/>
    <cellStyle name="Separador de milhares 2 2 2 7 4" xfId="18346" xr:uid="{00000000-0005-0000-0000-000085500000}"/>
    <cellStyle name="Separador de milhares 2 2 2 7 5" xfId="18347" xr:uid="{00000000-0005-0000-0000-000086500000}"/>
    <cellStyle name="Separador de milhares 2 2 2 7 6" xfId="18348" xr:uid="{00000000-0005-0000-0000-000087500000}"/>
    <cellStyle name="Separador de milhares 2 2 2 7 7" xfId="18349" xr:uid="{00000000-0005-0000-0000-000088500000}"/>
    <cellStyle name="Separador de milhares 2 2 2 7 8" xfId="18350" xr:uid="{00000000-0005-0000-0000-000089500000}"/>
    <cellStyle name="Separador de milhares 2 2 2 7 9" xfId="18351" xr:uid="{00000000-0005-0000-0000-00008A500000}"/>
    <cellStyle name="Separador de milhares 2 2 2 8" xfId="18352" xr:uid="{00000000-0005-0000-0000-00008B500000}"/>
    <cellStyle name="Separador de milhares 2 2 2 8 2" xfId="18353" xr:uid="{00000000-0005-0000-0000-00008C500000}"/>
    <cellStyle name="Separador de milhares 2 2 2 8 3" xfId="18354" xr:uid="{00000000-0005-0000-0000-00008D500000}"/>
    <cellStyle name="Separador de milhares 2 2 2 9" xfId="18355" xr:uid="{00000000-0005-0000-0000-00008E500000}"/>
    <cellStyle name="Separador de milhares 2 2 2 9 2" xfId="18356" xr:uid="{00000000-0005-0000-0000-00008F500000}"/>
    <cellStyle name="Separador de milhares 2 2 2 9 3" xfId="18357" xr:uid="{00000000-0005-0000-0000-000090500000}"/>
    <cellStyle name="Separador de milhares 2 2 20" xfId="18358" xr:uid="{00000000-0005-0000-0000-000091500000}"/>
    <cellStyle name="Separador de milhares 2 2 20 2" xfId="18359" xr:uid="{00000000-0005-0000-0000-000092500000}"/>
    <cellStyle name="Separador de milhares 2 2 20 3" xfId="18360" xr:uid="{00000000-0005-0000-0000-000093500000}"/>
    <cellStyle name="Separador de milhares 2 2 21" xfId="18361" xr:uid="{00000000-0005-0000-0000-000094500000}"/>
    <cellStyle name="Separador de milhares 2 2 21 2" xfId="18362" xr:uid="{00000000-0005-0000-0000-000095500000}"/>
    <cellStyle name="Separador de milhares 2 2 21 3" xfId="18363" xr:uid="{00000000-0005-0000-0000-000096500000}"/>
    <cellStyle name="Separador de milhares 2 2 22" xfId="18364" xr:uid="{00000000-0005-0000-0000-000097500000}"/>
    <cellStyle name="Separador de milhares 2 2 23" xfId="18365" xr:uid="{00000000-0005-0000-0000-000098500000}"/>
    <cellStyle name="Separador de milhares 2 2 24" xfId="18366" xr:uid="{00000000-0005-0000-0000-000099500000}"/>
    <cellStyle name="Separador de milhares 2 2 25" xfId="18367" xr:uid="{00000000-0005-0000-0000-00009A500000}"/>
    <cellStyle name="Separador de milhares 2 2 26" xfId="18368" xr:uid="{00000000-0005-0000-0000-00009B500000}"/>
    <cellStyle name="Separador de milhares 2 2 27" xfId="18369" xr:uid="{00000000-0005-0000-0000-00009C500000}"/>
    <cellStyle name="Separador de milhares 2 2 28" xfId="18370" xr:uid="{00000000-0005-0000-0000-00009D500000}"/>
    <cellStyle name="Separador de milhares 2 2 29" xfId="18371" xr:uid="{00000000-0005-0000-0000-00009E500000}"/>
    <cellStyle name="Separador de milhares 2 2 3" xfId="690" xr:uid="{00000000-0005-0000-0000-00009F500000}"/>
    <cellStyle name="Separador de milhares 2 2 3 2" xfId="691" xr:uid="{00000000-0005-0000-0000-0000A0500000}"/>
    <cellStyle name="Separador de milhares 2 2 3 2 2" xfId="18373" xr:uid="{00000000-0005-0000-0000-0000A1500000}"/>
    <cellStyle name="Separador de milhares 2 2 3 2 3" xfId="27937" xr:uid="{25527251-D66F-4420-A3A7-192EFAC51565}"/>
    <cellStyle name="Separador de milhares 2 2 3 3" xfId="692" xr:uid="{00000000-0005-0000-0000-0000A2500000}"/>
    <cellStyle name="Separador de milhares 2 2 3 3 2" xfId="18374" xr:uid="{00000000-0005-0000-0000-0000A3500000}"/>
    <cellStyle name="Separador de milhares 2 2 3 3 3" xfId="27938" xr:uid="{AAE467A1-1C1B-4BCA-BAC0-B7C76C022A2F}"/>
    <cellStyle name="Separador de milhares 2 2 3 4" xfId="18375" xr:uid="{00000000-0005-0000-0000-0000A4500000}"/>
    <cellStyle name="Separador de milhares 2 2 3 5" xfId="18372" xr:uid="{00000000-0005-0000-0000-0000A5500000}"/>
    <cellStyle name="Separador de milhares 2 2 3 5 2" xfId="28582" xr:uid="{DA2B9F66-D101-4356-9437-5AE7A1C0775C}"/>
    <cellStyle name="Separador de milhares 2 2 3 6" xfId="27936" xr:uid="{AB0901B4-9AEA-4227-BE0F-649A84F6B450}"/>
    <cellStyle name="Separador de milhares 2 2 30" xfId="18376" xr:uid="{00000000-0005-0000-0000-0000A6500000}"/>
    <cellStyle name="Separador de milhares 2 2 31" xfId="18377" xr:uid="{00000000-0005-0000-0000-0000A7500000}"/>
    <cellStyle name="Separador de milhares 2 2 32" xfId="18378" xr:uid="{00000000-0005-0000-0000-0000A8500000}"/>
    <cellStyle name="Separador de milhares 2 2 33" xfId="18379" xr:uid="{00000000-0005-0000-0000-0000A9500000}"/>
    <cellStyle name="Separador de milhares 2 2 34" xfId="18380" xr:uid="{00000000-0005-0000-0000-0000AA500000}"/>
    <cellStyle name="Separador de milhares 2 2 35" xfId="18381" xr:uid="{00000000-0005-0000-0000-0000AB500000}"/>
    <cellStyle name="Separador de milhares 2 2 36" xfId="18382" xr:uid="{00000000-0005-0000-0000-0000AC500000}"/>
    <cellStyle name="Separador de milhares 2 2 37" xfId="18383" xr:uid="{00000000-0005-0000-0000-0000AD500000}"/>
    <cellStyle name="Separador de milhares 2 2 38" xfId="18384" xr:uid="{00000000-0005-0000-0000-0000AE500000}"/>
    <cellStyle name="Separador de milhares 2 2 39" xfId="18385" xr:uid="{00000000-0005-0000-0000-0000AF500000}"/>
    <cellStyle name="Separador de milhares 2 2 4" xfId="693" xr:uid="{00000000-0005-0000-0000-0000B0500000}"/>
    <cellStyle name="Separador de milhares 2 2 4 2" xfId="27939" xr:uid="{E169A6F8-7BAB-4C24-8746-160C7EC32FE9}"/>
    <cellStyle name="Separador de milhares 2 2 40" xfId="18386" xr:uid="{00000000-0005-0000-0000-0000B1500000}"/>
    <cellStyle name="Separador de milhares 2 2 40 2" xfId="28583" xr:uid="{09B5BB12-48F6-4044-8593-14DAC82A0394}"/>
    <cellStyle name="Separador de milhares 2 2 41" xfId="18198" xr:uid="{00000000-0005-0000-0000-0000B2500000}"/>
    <cellStyle name="Separador de milhares 2 2 41 2" xfId="28579" xr:uid="{995B8803-1E4D-401E-BE8F-A619F32F06FE}"/>
    <cellStyle name="Separador de milhares 2 2 42" xfId="27181" xr:uid="{00000000-0005-0000-0000-0000B3500000}"/>
    <cellStyle name="Separador de milhares 2 2 42 2" xfId="33023" xr:uid="{C34760EF-57F3-4059-82A3-D795460EFE58}"/>
    <cellStyle name="Separador de milhares 2 2 43" xfId="27361" xr:uid="{00000000-0005-0000-0000-0000B4500000}"/>
    <cellStyle name="Separador de milhares 2 2 43 2" xfId="33198" xr:uid="{6B8CF472-FDB4-4633-8EEC-5A226BC64B0E}"/>
    <cellStyle name="Separador de milhares 2 2 44" xfId="27539" xr:uid="{00000000-0005-0000-0000-0000B5500000}"/>
    <cellStyle name="Separador de milhares 2 2 44 2" xfId="33351" xr:uid="{6A376344-0C14-4139-8FA1-00438717B146}"/>
    <cellStyle name="Separador de milhares 2 2 45" xfId="27690" xr:uid="{00000000-0005-0000-0000-0000B6500000}"/>
    <cellStyle name="Separador de milhares 2 2 45 2" xfId="33501" xr:uid="{42BA12A5-85BA-453A-9535-81D146E92230}"/>
    <cellStyle name="Separador de milhares 2 2 46" xfId="27931" xr:uid="{7B41A2EC-36BE-4D5E-9987-A4F2DE03C6EA}"/>
    <cellStyle name="Separador de milhares 2 2 5" xfId="18387" xr:uid="{00000000-0005-0000-0000-0000B7500000}"/>
    <cellStyle name="Separador de milhares 2 2 5 10" xfId="18388" xr:uid="{00000000-0005-0000-0000-0000B8500000}"/>
    <cellStyle name="Separador de milhares 2 2 5 11" xfId="18389" xr:uid="{00000000-0005-0000-0000-0000B9500000}"/>
    <cellStyle name="Separador de milhares 2 2 5 12" xfId="18390" xr:uid="{00000000-0005-0000-0000-0000BA500000}"/>
    <cellStyle name="Separador de milhares 2 2 5 13" xfId="28584" xr:uid="{336B8242-D62B-4440-ADEE-ACDA9255D5E2}"/>
    <cellStyle name="Separador de milhares 2 2 5 2" xfId="18391" xr:uid="{00000000-0005-0000-0000-0000BB500000}"/>
    <cellStyle name="Separador de milhares 2 2 5 2 2" xfId="18392" xr:uid="{00000000-0005-0000-0000-0000BC500000}"/>
    <cellStyle name="Separador de milhares 2 2 5 2 3" xfId="18393" xr:uid="{00000000-0005-0000-0000-0000BD500000}"/>
    <cellStyle name="Separador de milhares 2 2 5 3" xfId="18394" xr:uid="{00000000-0005-0000-0000-0000BE500000}"/>
    <cellStyle name="Separador de milhares 2 2 5 4" xfId="18395" xr:uid="{00000000-0005-0000-0000-0000BF500000}"/>
    <cellStyle name="Separador de milhares 2 2 5 5" xfId="18396" xr:uid="{00000000-0005-0000-0000-0000C0500000}"/>
    <cellStyle name="Separador de milhares 2 2 5 6" xfId="18397" xr:uid="{00000000-0005-0000-0000-0000C1500000}"/>
    <cellStyle name="Separador de milhares 2 2 5 7" xfId="18398" xr:uid="{00000000-0005-0000-0000-0000C2500000}"/>
    <cellStyle name="Separador de milhares 2 2 5 8" xfId="18399" xr:uid="{00000000-0005-0000-0000-0000C3500000}"/>
    <cellStyle name="Separador de milhares 2 2 5 9" xfId="18400" xr:uid="{00000000-0005-0000-0000-0000C4500000}"/>
    <cellStyle name="Separador de milhares 2 2 6" xfId="18401" xr:uid="{00000000-0005-0000-0000-0000C5500000}"/>
    <cellStyle name="Separador de milhares 2 2 6 2" xfId="28585" xr:uid="{7E992211-8E81-435D-BAD9-3AE6C2722D08}"/>
    <cellStyle name="Separador de milhares 2 2 7" xfId="18402" xr:uid="{00000000-0005-0000-0000-0000C6500000}"/>
    <cellStyle name="Separador de milhares 2 2 8" xfId="18403" xr:uid="{00000000-0005-0000-0000-0000C7500000}"/>
    <cellStyle name="Separador de milhares 2 2 9" xfId="18404" xr:uid="{00000000-0005-0000-0000-0000C8500000}"/>
    <cellStyle name="Separador de milhares 2 20" xfId="18405" xr:uid="{00000000-0005-0000-0000-0000C9500000}"/>
    <cellStyle name="Separador de milhares 2 20 2" xfId="18406" xr:uid="{00000000-0005-0000-0000-0000CA500000}"/>
    <cellStyle name="Separador de milhares 2 20 3" xfId="18407" xr:uid="{00000000-0005-0000-0000-0000CB500000}"/>
    <cellStyle name="Separador de milhares 2 20 4" xfId="18408" xr:uid="{00000000-0005-0000-0000-0000CC500000}"/>
    <cellStyle name="Separador de milhares 2 20 5" xfId="28586" xr:uid="{2A78E3E8-F65F-462B-A632-9777A87A8AB2}"/>
    <cellStyle name="Separador de milhares 2 21" xfId="18409" xr:uid="{00000000-0005-0000-0000-0000CD500000}"/>
    <cellStyle name="Separador de milhares 2 21 2" xfId="18410" xr:uid="{00000000-0005-0000-0000-0000CE500000}"/>
    <cellStyle name="Separador de milhares 2 21 3" xfId="18411" xr:uid="{00000000-0005-0000-0000-0000CF500000}"/>
    <cellStyle name="Separador de milhares 2 21 4" xfId="18412" xr:uid="{00000000-0005-0000-0000-0000D0500000}"/>
    <cellStyle name="Separador de milhares 2 21 5" xfId="28587" xr:uid="{92C0CEF5-9AF9-4511-8159-B30D90A8EBC9}"/>
    <cellStyle name="Separador de milhares 2 22" xfId="18413" xr:uid="{00000000-0005-0000-0000-0000D1500000}"/>
    <cellStyle name="Separador de milhares 2 22 2" xfId="18414" xr:uid="{00000000-0005-0000-0000-0000D2500000}"/>
    <cellStyle name="Separador de milhares 2 22 3" xfId="28588" xr:uid="{846263CF-C212-4838-9812-56FDC308EC4B}"/>
    <cellStyle name="Separador de milhares 2 23" xfId="18415" xr:uid="{00000000-0005-0000-0000-0000D3500000}"/>
    <cellStyle name="Separador de milhares 2 23 2" xfId="18416" xr:uid="{00000000-0005-0000-0000-0000D4500000}"/>
    <cellStyle name="Separador de milhares 2 23 3" xfId="28589" xr:uid="{F32EBDF2-79D4-44B5-9692-C564DF471D50}"/>
    <cellStyle name="Separador de milhares 2 24" xfId="18417" xr:uid="{00000000-0005-0000-0000-0000D5500000}"/>
    <cellStyle name="Separador de milhares 2 24 2" xfId="18418" xr:uid="{00000000-0005-0000-0000-0000D6500000}"/>
    <cellStyle name="Separador de milhares 2 24 3" xfId="28590" xr:uid="{49E6D5D3-050F-459A-BEEA-7BA66393D249}"/>
    <cellStyle name="Separador de milhares 2 25" xfId="18419" xr:uid="{00000000-0005-0000-0000-0000D7500000}"/>
    <cellStyle name="Separador de milhares 2 25 2" xfId="18420" xr:uid="{00000000-0005-0000-0000-0000D8500000}"/>
    <cellStyle name="Separador de milhares 2 25 3" xfId="28591" xr:uid="{AACD7068-85E3-4444-BC07-52B99BB7A251}"/>
    <cellStyle name="Separador de milhares 2 26" xfId="18421" xr:uid="{00000000-0005-0000-0000-0000D9500000}"/>
    <cellStyle name="Separador de milhares 2 26 2" xfId="18422" xr:uid="{00000000-0005-0000-0000-0000DA500000}"/>
    <cellStyle name="Separador de milhares 2 26 3" xfId="28592" xr:uid="{67A477F7-C6B9-4F5D-AF22-23E4F83DACCC}"/>
    <cellStyle name="Separador de milhares 2 27" xfId="18423" xr:uid="{00000000-0005-0000-0000-0000DB500000}"/>
    <cellStyle name="Separador de milhares 2 27 2" xfId="18424" xr:uid="{00000000-0005-0000-0000-0000DC500000}"/>
    <cellStyle name="Separador de milhares 2 27 3" xfId="28593" xr:uid="{F8896C24-D4B6-442F-B2B0-3977A85609D0}"/>
    <cellStyle name="Separador de milhares 2 28" xfId="18425" xr:uid="{00000000-0005-0000-0000-0000DD500000}"/>
    <cellStyle name="Separador de milhares 2 28 2" xfId="18426" xr:uid="{00000000-0005-0000-0000-0000DE500000}"/>
    <cellStyle name="Separador de milhares 2 28 3" xfId="28594" xr:uid="{D6055C77-DC4D-4DC0-80BB-0B7F85E66542}"/>
    <cellStyle name="Separador de milhares 2 29" xfId="18427" xr:uid="{00000000-0005-0000-0000-0000DF500000}"/>
    <cellStyle name="Separador de milhares 2 29 2" xfId="18428" xr:uid="{00000000-0005-0000-0000-0000E0500000}"/>
    <cellStyle name="Separador de milhares 2 29 3" xfId="28595" xr:uid="{1322BE16-D46A-4930-9A47-1CD82233D4B3}"/>
    <cellStyle name="Separador de milhares 2 3" xfId="694" xr:uid="{00000000-0005-0000-0000-0000E1500000}"/>
    <cellStyle name="Separador de milhares 2 3 10" xfId="18430" xr:uid="{00000000-0005-0000-0000-0000E2500000}"/>
    <cellStyle name="Separador de milhares 2 3 10 2" xfId="28597" xr:uid="{53ABED8E-1B27-4344-9C77-155D25706481}"/>
    <cellStyle name="Separador de milhares 2 3 11" xfId="18431" xr:uid="{00000000-0005-0000-0000-0000E3500000}"/>
    <cellStyle name="Separador de milhares 2 3 11 2" xfId="28598" xr:uid="{D948424C-AE72-4817-A206-7FA84DFFBB5D}"/>
    <cellStyle name="Separador de milhares 2 3 12" xfId="18429" xr:uid="{00000000-0005-0000-0000-0000E4500000}"/>
    <cellStyle name="Separador de milhares 2 3 12 2" xfId="28596" xr:uid="{C3082606-77D7-420E-8813-BE31ED83CEDD}"/>
    <cellStyle name="Separador de milhares 2 3 13" xfId="27182" xr:uid="{00000000-0005-0000-0000-0000E5500000}"/>
    <cellStyle name="Separador de milhares 2 3 13 2" xfId="33024" xr:uid="{CDC9055D-1ABD-47FB-9CCC-968864DF18D3}"/>
    <cellStyle name="Separador de milhares 2 3 14" xfId="27362" xr:uid="{00000000-0005-0000-0000-0000E6500000}"/>
    <cellStyle name="Separador de milhares 2 3 14 2" xfId="33199" xr:uid="{896CA23C-7024-4D0C-913A-BF901EAFCF09}"/>
    <cellStyle name="Separador de milhares 2 3 15" xfId="27540" xr:uid="{00000000-0005-0000-0000-0000E7500000}"/>
    <cellStyle name="Separador de milhares 2 3 15 2" xfId="33352" xr:uid="{84502FC5-A317-47CB-9E22-630E61669B81}"/>
    <cellStyle name="Separador de milhares 2 3 16" xfId="27691" xr:uid="{00000000-0005-0000-0000-0000E8500000}"/>
    <cellStyle name="Separador de milhares 2 3 16 2" xfId="33502" xr:uid="{9FFBB79A-D7F4-45A1-A82A-BE9D098BDE15}"/>
    <cellStyle name="Separador de milhares 2 3 17" xfId="27940" xr:uid="{826E9EF2-16F4-4470-95C1-2D77AEA02FDC}"/>
    <cellStyle name="Separador de milhares 2 3 2" xfId="695" xr:uid="{00000000-0005-0000-0000-0000E9500000}"/>
    <cellStyle name="Separador de milhares 2 3 2 10" xfId="18432" xr:uid="{00000000-0005-0000-0000-0000EA500000}"/>
    <cellStyle name="Separador de milhares 2 3 2 11" xfId="18433" xr:uid="{00000000-0005-0000-0000-0000EB500000}"/>
    <cellStyle name="Separador de milhares 2 3 2 12" xfId="18434" xr:uid="{00000000-0005-0000-0000-0000EC500000}"/>
    <cellStyle name="Separador de milhares 2 3 2 13" xfId="18435" xr:uid="{00000000-0005-0000-0000-0000ED500000}"/>
    <cellStyle name="Separador de milhares 2 3 2 14" xfId="18436" xr:uid="{00000000-0005-0000-0000-0000EE500000}"/>
    <cellStyle name="Separador de milhares 2 3 2 15" xfId="18437" xr:uid="{00000000-0005-0000-0000-0000EF500000}"/>
    <cellStyle name="Separador de milhares 2 3 2 16" xfId="18438" xr:uid="{00000000-0005-0000-0000-0000F0500000}"/>
    <cellStyle name="Separador de milhares 2 3 2 17" xfId="18439" xr:uid="{00000000-0005-0000-0000-0000F1500000}"/>
    <cellStyle name="Separador de milhares 2 3 2 18" xfId="27126" xr:uid="{00000000-0005-0000-0000-0000F2500000}"/>
    <cellStyle name="Separador de milhares 2 3 2 18 2" xfId="32985" xr:uid="{9A638A1E-FF17-4629-BDAD-0174BB35722D}"/>
    <cellStyle name="Separador de milhares 2 3 2 19" xfId="27312" xr:uid="{00000000-0005-0000-0000-0000F3500000}"/>
    <cellStyle name="Separador de milhares 2 3 2 19 2" xfId="33149" xr:uid="{2443CF0F-8D26-46C7-AE74-E5FC65246A18}"/>
    <cellStyle name="Separador de milhares 2 3 2 2" xfId="18440" xr:uid="{00000000-0005-0000-0000-0000F4500000}"/>
    <cellStyle name="Separador de milhares 2 3 2 2 2" xfId="18441" xr:uid="{00000000-0005-0000-0000-0000F5500000}"/>
    <cellStyle name="Separador de milhares 2 3 2 2 2 10" xfId="18442" xr:uid="{00000000-0005-0000-0000-0000F6500000}"/>
    <cellStyle name="Separador de milhares 2 3 2 2 2 11" xfId="18443" xr:uid="{00000000-0005-0000-0000-0000F7500000}"/>
    <cellStyle name="Separador de milhares 2 3 2 2 2 2" xfId="18444" xr:uid="{00000000-0005-0000-0000-0000F8500000}"/>
    <cellStyle name="Separador de milhares 2 3 2 2 2 3" xfId="18445" xr:uid="{00000000-0005-0000-0000-0000F9500000}"/>
    <cellStyle name="Separador de milhares 2 3 2 2 2 4" xfId="18446" xr:uid="{00000000-0005-0000-0000-0000FA500000}"/>
    <cellStyle name="Separador de milhares 2 3 2 2 2 5" xfId="18447" xr:uid="{00000000-0005-0000-0000-0000FB500000}"/>
    <cellStyle name="Separador de milhares 2 3 2 2 2 6" xfId="18448" xr:uid="{00000000-0005-0000-0000-0000FC500000}"/>
    <cellStyle name="Separador de milhares 2 3 2 2 2 7" xfId="18449" xr:uid="{00000000-0005-0000-0000-0000FD500000}"/>
    <cellStyle name="Separador de milhares 2 3 2 2 2 8" xfId="18450" xr:uid="{00000000-0005-0000-0000-0000FE500000}"/>
    <cellStyle name="Separador de milhares 2 3 2 2 2 9" xfId="18451" xr:uid="{00000000-0005-0000-0000-0000FF500000}"/>
    <cellStyle name="Separador de milhares 2 3 2 2 3" xfId="18452" xr:uid="{00000000-0005-0000-0000-000000510000}"/>
    <cellStyle name="Separador de milhares 2 3 2 20" xfId="27483" xr:uid="{00000000-0005-0000-0000-000001510000}"/>
    <cellStyle name="Separador de milhares 2 3 2 20 2" xfId="33320" xr:uid="{8EE3C769-E42C-4FC4-9CFC-4BD88B5111C4}"/>
    <cellStyle name="Separador de milhares 2 3 2 21" xfId="27652" xr:uid="{00000000-0005-0000-0000-000002510000}"/>
    <cellStyle name="Separador de milhares 2 3 2 21 2" xfId="33463" xr:uid="{21358C2B-F677-4686-9D12-08C2093D3CD0}"/>
    <cellStyle name="Separador de milhares 2 3 2 22" xfId="27809" xr:uid="{00000000-0005-0000-0000-000003510000}"/>
    <cellStyle name="Separador de milhares 2 3 2 22 2" xfId="33620" xr:uid="{57A16198-B3C1-4019-B5FA-8816A79F200B}"/>
    <cellStyle name="Separador de milhares 2 3 2 3" xfId="18453" xr:uid="{00000000-0005-0000-0000-000004510000}"/>
    <cellStyle name="Separador de milhares 2 3 2 3 10" xfId="18454" xr:uid="{00000000-0005-0000-0000-000005510000}"/>
    <cellStyle name="Separador de milhares 2 3 2 3 2" xfId="18455" xr:uid="{00000000-0005-0000-0000-000006510000}"/>
    <cellStyle name="Separador de milhares 2 3 2 3 3" xfId="18456" xr:uid="{00000000-0005-0000-0000-000007510000}"/>
    <cellStyle name="Separador de milhares 2 3 2 3 4" xfId="18457" xr:uid="{00000000-0005-0000-0000-000008510000}"/>
    <cellStyle name="Separador de milhares 2 3 2 3 5" xfId="18458" xr:uid="{00000000-0005-0000-0000-000009510000}"/>
    <cellStyle name="Separador de milhares 2 3 2 3 6" xfId="18459" xr:uid="{00000000-0005-0000-0000-00000A510000}"/>
    <cellStyle name="Separador de milhares 2 3 2 3 7" xfId="18460" xr:uid="{00000000-0005-0000-0000-00000B510000}"/>
    <cellStyle name="Separador de milhares 2 3 2 3 8" xfId="18461" xr:uid="{00000000-0005-0000-0000-00000C510000}"/>
    <cellStyle name="Separador de milhares 2 3 2 3 9" xfId="18462" xr:uid="{00000000-0005-0000-0000-00000D510000}"/>
    <cellStyle name="Separador de milhares 2 3 2 4" xfId="18463" xr:uid="{00000000-0005-0000-0000-00000E510000}"/>
    <cellStyle name="Separador de milhares 2 3 2 4 10" xfId="18464" xr:uid="{00000000-0005-0000-0000-00000F510000}"/>
    <cellStyle name="Separador de milhares 2 3 2 4 2" xfId="18465" xr:uid="{00000000-0005-0000-0000-000010510000}"/>
    <cellStyle name="Separador de milhares 2 3 2 4 3" xfId="18466" xr:uid="{00000000-0005-0000-0000-000011510000}"/>
    <cellStyle name="Separador de milhares 2 3 2 4 4" xfId="18467" xr:uid="{00000000-0005-0000-0000-000012510000}"/>
    <cellStyle name="Separador de milhares 2 3 2 4 5" xfId="18468" xr:uid="{00000000-0005-0000-0000-000013510000}"/>
    <cellStyle name="Separador de milhares 2 3 2 4 6" xfId="18469" xr:uid="{00000000-0005-0000-0000-000014510000}"/>
    <cellStyle name="Separador de milhares 2 3 2 4 7" xfId="18470" xr:uid="{00000000-0005-0000-0000-000015510000}"/>
    <cellStyle name="Separador de milhares 2 3 2 4 8" xfId="18471" xr:uid="{00000000-0005-0000-0000-000016510000}"/>
    <cellStyle name="Separador de milhares 2 3 2 4 9" xfId="18472" xr:uid="{00000000-0005-0000-0000-000017510000}"/>
    <cellStyle name="Separador de milhares 2 3 2 5" xfId="18473" xr:uid="{00000000-0005-0000-0000-000018510000}"/>
    <cellStyle name="Separador de milhares 2 3 2 5 10" xfId="18474" xr:uid="{00000000-0005-0000-0000-000019510000}"/>
    <cellStyle name="Separador de milhares 2 3 2 5 2" xfId="18475" xr:uid="{00000000-0005-0000-0000-00001A510000}"/>
    <cellStyle name="Separador de milhares 2 3 2 5 3" xfId="18476" xr:uid="{00000000-0005-0000-0000-00001B510000}"/>
    <cellStyle name="Separador de milhares 2 3 2 5 4" xfId="18477" xr:uid="{00000000-0005-0000-0000-00001C510000}"/>
    <cellStyle name="Separador de milhares 2 3 2 5 5" xfId="18478" xr:uid="{00000000-0005-0000-0000-00001D510000}"/>
    <cellStyle name="Separador de milhares 2 3 2 5 6" xfId="18479" xr:uid="{00000000-0005-0000-0000-00001E510000}"/>
    <cellStyle name="Separador de milhares 2 3 2 5 7" xfId="18480" xr:uid="{00000000-0005-0000-0000-00001F510000}"/>
    <cellStyle name="Separador de milhares 2 3 2 5 8" xfId="18481" xr:uid="{00000000-0005-0000-0000-000020510000}"/>
    <cellStyle name="Separador de milhares 2 3 2 5 9" xfId="18482" xr:uid="{00000000-0005-0000-0000-000021510000}"/>
    <cellStyle name="Separador de milhares 2 3 2 6" xfId="18483" xr:uid="{00000000-0005-0000-0000-000022510000}"/>
    <cellStyle name="Separador de milhares 2 3 2 6 10" xfId="18484" xr:uid="{00000000-0005-0000-0000-000023510000}"/>
    <cellStyle name="Separador de milhares 2 3 2 6 2" xfId="18485" xr:uid="{00000000-0005-0000-0000-000024510000}"/>
    <cellStyle name="Separador de milhares 2 3 2 6 3" xfId="18486" xr:uid="{00000000-0005-0000-0000-000025510000}"/>
    <cellStyle name="Separador de milhares 2 3 2 6 4" xfId="18487" xr:uid="{00000000-0005-0000-0000-000026510000}"/>
    <cellStyle name="Separador de milhares 2 3 2 6 5" xfId="18488" xr:uid="{00000000-0005-0000-0000-000027510000}"/>
    <cellStyle name="Separador de milhares 2 3 2 6 6" xfId="18489" xr:uid="{00000000-0005-0000-0000-000028510000}"/>
    <cellStyle name="Separador de milhares 2 3 2 6 7" xfId="18490" xr:uid="{00000000-0005-0000-0000-000029510000}"/>
    <cellStyle name="Separador de milhares 2 3 2 6 8" xfId="18491" xr:uid="{00000000-0005-0000-0000-00002A510000}"/>
    <cellStyle name="Separador de milhares 2 3 2 6 9" xfId="18492" xr:uid="{00000000-0005-0000-0000-00002B510000}"/>
    <cellStyle name="Separador de milhares 2 3 2 7" xfId="18493" xr:uid="{00000000-0005-0000-0000-00002C510000}"/>
    <cellStyle name="Separador de milhares 2 3 2 7 10" xfId="18494" xr:uid="{00000000-0005-0000-0000-00002D510000}"/>
    <cellStyle name="Separador de milhares 2 3 2 7 2" xfId="18495" xr:uid="{00000000-0005-0000-0000-00002E510000}"/>
    <cellStyle name="Separador de milhares 2 3 2 7 3" xfId="18496" xr:uid="{00000000-0005-0000-0000-00002F510000}"/>
    <cellStyle name="Separador de milhares 2 3 2 7 4" xfId="18497" xr:uid="{00000000-0005-0000-0000-000030510000}"/>
    <cellStyle name="Separador de milhares 2 3 2 7 5" xfId="18498" xr:uid="{00000000-0005-0000-0000-000031510000}"/>
    <cellStyle name="Separador de milhares 2 3 2 7 6" xfId="18499" xr:uid="{00000000-0005-0000-0000-000032510000}"/>
    <cellStyle name="Separador de milhares 2 3 2 7 7" xfId="18500" xr:uid="{00000000-0005-0000-0000-000033510000}"/>
    <cellStyle name="Separador de milhares 2 3 2 7 8" xfId="18501" xr:uid="{00000000-0005-0000-0000-000034510000}"/>
    <cellStyle name="Separador de milhares 2 3 2 7 9" xfId="18502" xr:uid="{00000000-0005-0000-0000-000035510000}"/>
    <cellStyle name="Separador de milhares 2 3 2 8" xfId="18503" xr:uid="{00000000-0005-0000-0000-000036510000}"/>
    <cellStyle name="Separador de milhares 2 3 2 9" xfId="18504" xr:uid="{00000000-0005-0000-0000-000037510000}"/>
    <cellStyle name="Separador de milhares 2 3 3" xfId="696" xr:uid="{00000000-0005-0000-0000-000038510000}"/>
    <cellStyle name="Separador de milhares 2 3 3 10" xfId="18506" xr:uid="{00000000-0005-0000-0000-000039510000}"/>
    <cellStyle name="Separador de milhares 2 3 3 11" xfId="18507" xr:uid="{00000000-0005-0000-0000-00003A510000}"/>
    <cellStyle name="Separador de milhares 2 3 3 12" xfId="18505" xr:uid="{00000000-0005-0000-0000-00003B510000}"/>
    <cellStyle name="Separador de milhares 2 3 3 13" xfId="27941" xr:uid="{63885E0B-114D-46FF-B328-5B7E9F07C074}"/>
    <cellStyle name="Separador de milhares 2 3 3 2" xfId="18508" xr:uid="{00000000-0005-0000-0000-00003C510000}"/>
    <cellStyle name="Separador de milhares 2 3 3 3" xfId="18509" xr:uid="{00000000-0005-0000-0000-00003D510000}"/>
    <cellStyle name="Separador de milhares 2 3 3 4" xfId="18510" xr:uid="{00000000-0005-0000-0000-00003E510000}"/>
    <cellStyle name="Separador de milhares 2 3 3 5" xfId="18511" xr:uid="{00000000-0005-0000-0000-00003F510000}"/>
    <cellStyle name="Separador de milhares 2 3 3 6" xfId="18512" xr:uid="{00000000-0005-0000-0000-000040510000}"/>
    <cellStyle name="Separador de milhares 2 3 3 7" xfId="18513" xr:uid="{00000000-0005-0000-0000-000041510000}"/>
    <cellStyle name="Separador de milhares 2 3 3 8" xfId="18514" xr:uid="{00000000-0005-0000-0000-000042510000}"/>
    <cellStyle name="Separador de milhares 2 3 3 9" xfId="18515" xr:uid="{00000000-0005-0000-0000-000043510000}"/>
    <cellStyle name="Separador de milhares 2 3 4" xfId="697" xr:uid="{00000000-0005-0000-0000-000044510000}"/>
    <cellStyle name="Separador de milhares 2 3 4 2" xfId="18516" xr:uid="{00000000-0005-0000-0000-000045510000}"/>
    <cellStyle name="Separador de milhares 2 3 4 3" xfId="27942" xr:uid="{2D6D7ED9-44CC-4AF4-B955-A0FE60D842E1}"/>
    <cellStyle name="Separador de milhares 2 3 5" xfId="698" xr:uid="{00000000-0005-0000-0000-000046510000}"/>
    <cellStyle name="Separador de milhares 2 3 5 2" xfId="18517" xr:uid="{00000000-0005-0000-0000-000047510000}"/>
    <cellStyle name="Separador de milhares 2 3 5 3" xfId="27943" xr:uid="{E1FC2B05-80CD-410B-9B76-7EB03DAC603B}"/>
    <cellStyle name="Separador de milhares 2 3 6" xfId="18518" xr:uid="{00000000-0005-0000-0000-000048510000}"/>
    <cellStyle name="Separador de milhares 2 3 7" xfId="18519" xr:uid="{00000000-0005-0000-0000-000049510000}"/>
    <cellStyle name="Separador de milhares 2 3 8" xfId="18520" xr:uid="{00000000-0005-0000-0000-00004A510000}"/>
    <cellStyle name="Separador de milhares 2 3 9" xfId="18521" xr:uid="{00000000-0005-0000-0000-00004B510000}"/>
    <cellStyle name="Separador de milhares 2 30" xfId="18522" xr:uid="{00000000-0005-0000-0000-00004C510000}"/>
    <cellStyle name="Separador de milhares 2 30 2" xfId="18523" xr:uid="{00000000-0005-0000-0000-00004D510000}"/>
    <cellStyle name="Separador de milhares 2 30 3" xfId="28599" xr:uid="{6EE04B97-8FB3-4FFE-8391-7ED3E7874B22}"/>
    <cellStyle name="Separador de milhares 2 31" xfId="18524" xr:uid="{00000000-0005-0000-0000-00004E510000}"/>
    <cellStyle name="Separador de milhares 2 31 2" xfId="18525" xr:uid="{00000000-0005-0000-0000-00004F510000}"/>
    <cellStyle name="Separador de milhares 2 31 3" xfId="28600" xr:uid="{D211FEFD-E01D-4725-89B5-4573158F25AB}"/>
    <cellStyle name="Separador de milhares 2 32" xfId="18526" xr:uid="{00000000-0005-0000-0000-000050510000}"/>
    <cellStyle name="Separador de milhares 2 32 2" xfId="18527" xr:uid="{00000000-0005-0000-0000-000051510000}"/>
    <cellStyle name="Separador de milhares 2 32 3" xfId="28601" xr:uid="{CDFCC672-BAF7-4BE0-B0D5-7F0257C099A2}"/>
    <cellStyle name="Separador de milhares 2 33" xfId="18528" xr:uid="{00000000-0005-0000-0000-000052510000}"/>
    <cellStyle name="Separador de milhares 2 33 2" xfId="18529" xr:uid="{00000000-0005-0000-0000-000053510000}"/>
    <cellStyle name="Separador de milhares 2 33 3" xfId="28602" xr:uid="{99DFB643-DEBB-4210-BE1D-032ED7FB3995}"/>
    <cellStyle name="Separador de milhares 2 34" xfId="18530" xr:uid="{00000000-0005-0000-0000-000054510000}"/>
    <cellStyle name="Separador de milhares 2 34 2" xfId="18531" xr:uid="{00000000-0005-0000-0000-000055510000}"/>
    <cellStyle name="Separador de milhares 2 34 3" xfId="28603" xr:uid="{A90E2297-AF0D-4473-98BE-6EC9E5EBFC4C}"/>
    <cellStyle name="Separador de milhares 2 35" xfId="18532" xr:uid="{00000000-0005-0000-0000-000056510000}"/>
    <cellStyle name="Separador de milhares 2 35 2" xfId="18533" xr:uid="{00000000-0005-0000-0000-000057510000}"/>
    <cellStyle name="Separador de milhares 2 36" xfId="18534" xr:uid="{00000000-0005-0000-0000-000058510000}"/>
    <cellStyle name="Separador de milhares 2 36 2" xfId="18535" xr:uid="{00000000-0005-0000-0000-000059510000}"/>
    <cellStyle name="Separador de milhares 2 37" xfId="18536" xr:uid="{00000000-0005-0000-0000-00005A510000}"/>
    <cellStyle name="Separador de milhares 2 37 2" xfId="18537" xr:uid="{00000000-0005-0000-0000-00005B510000}"/>
    <cellStyle name="Separador de milhares 2 38" xfId="18538" xr:uid="{00000000-0005-0000-0000-00005C510000}"/>
    <cellStyle name="Separador de milhares 2 38 2" xfId="18539" xr:uid="{00000000-0005-0000-0000-00005D510000}"/>
    <cellStyle name="Separador de milhares 2 39" xfId="18540" xr:uid="{00000000-0005-0000-0000-00005E510000}"/>
    <cellStyle name="Separador de milhares 2 39 2" xfId="18541" xr:uid="{00000000-0005-0000-0000-00005F510000}"/>
    <cellStyle name="Separador de milhares 2 4" xfId="699" xr:uid="{00000000-0005-0000-0000-000060510000}"/>
    <cellStyle name="Separador de milhares 2 4 10" xfId="18542" xr:uid="{00000000-0005-0000-0000-000061510000}"/>
    <cellStyle name="Separador de milhares 2 4 11" xfId="18543" xr:uid="{00000000-0005-0000-0000-000062510000}"/>
    <cellStyle name="Separador de milhares 2 4 12" xfId="18544" xr:uid="{00000000-0005-0000-0000-000063510000}"/>
    <cellStyle name="Separador de milhares 2 4 13" xfId="27183" xr:uid="{00000000-0005-0000-0000-000064510000}"/>
    <cellStyle name="Separador de milhares 2 4 13 2" xfId="33025" xr:uid="{BADC974A-C5A4-4BC2-996D-937ACE75FAB3}"/>
    <cellStyle name="Separador de milhares 2 4 14" xfId="27363" xr:uid="{00000000-0005-0000-0000-000065510000}"/>
    <cellStyle name="Separador de milhares 2 4 14 2" xfId="33200" xr:uid="{BB3F0E14-760D-41DF-B6A1-10AD42D5F6FF}"/>
    <cellStyle name="Separador de milhares 2 4 15" xfId="27541" xr:uid="{00000000-0005-0000-0000-000066510000}"/>
    <cellStyle name="Separador de milhares 2 4 15 2" xfId="33353" xr:uid="{E1DFB399-48E0-4533-8E79-3FBDFDC1E74C}"/>
    <cellStyle name="Separador de milhares 2 4 16" xfId="27692" xr:uid="{00000000-0005-0000-0000-000067510000}"/>
    <cellStyle name="Separador de milhares 2 4 16 2" xfId="33503" xr:uid="{2B042A95-F607-4D8C-8BA0-84FB3F7671C3}"/>
    <cellStyle name="Separador de milhares 2 4 2" xfId="700" xr:uid="{00000000-0005-0000-0000-000068510000}"/>
    <cellStyle name="Separador de milhares 2 4 2 2" xfId="18545" xr:uid="{00000000-0005-0000-0000-000069510000}"/>
    <cellStyle name="Separador de milhares 2 4 2 3" xfId="27127" xr:uid="{00000000-0005-0000-0000-00006A510000}"/>
    <cellStyle name="Separador de milhares 2 4 2 3 2" xfId="32986" xr:uid="{494CADA1-4DED-4BF8-B6EE-C8D37C1CF968}"/>
    <cellStyle name="Separador de milhares 2 4 2 4" xfId="27313" xr:uid="{00000000-0005-0000-0000-00006B510000}"/>
    <cellStyle name="Separador de milhares 2 4 2 4 2" xfId="33150" xr:uid="{107A74DD-867B-4871-86CC-E3F501AAA687}"/>
    <cellStyle name="Separador de milhares 2 4 2 5" xfId="27484" xr:uid="{00000000-0005-0000-0000-00006C510000}"/>
    <cellStyle name="Separador de milhares 2 4 2 5 2" xfId="33321" xr:uid="{AB444CD7-FA67-40E0-9118-07B8BF333FB0}"/>
    <cellStyle name="Separador de milhares 2 4 2 6" xfId="27653" xr:uid="{00000000-0005-0000-0000-00006D510000}"/>
    <cellStyle name="Separador de milhares 2 4 2 6 2" xfId="33464" xr:uid="{E5FCA2DB-3A2C-4A1C-971A-71D65B2DEBFD}"/>
    <cellStyle name="Separador de milhares 2 4 2 7" xfId="27810" xr:uid="{00000000-0005-0000-0000-00006E510000}"/>
    <cellStyle name="Separador de milhares 2 4 2 7 2" xfId="33621" xr:uid="{EFB96F0D-70F1-4D80-A2E0-1BCCE2350A44}"/>
    <cellStyle name="Separador de milhares 2 4 3" xfId="701" xr:uid="{00000000-0005-0000-0000-00006F510000}"/>
    <cellStyle name="Separador de milhares 2 4 3 2" xfId="18546" xr:uid="{00000000-0005-0000-0000-000070510000}"/>
    <cellStyle name="Separador de milhares 2 4 3 3" xfId="27944" xr:uid="{F80FF32C-D08C-46E3-B2AD-F6FE0F7F6BAB}"/>
    <cellStyle name="Separador de milhares 2 4 4" xfId="18547" xr:uid="{00000000-0005-0000-0000-000071510000}"/>
    <cellStyle name="Separador de milhares 2 4 5" xfId="18548" xr:uid="{00000000-0005-0000-0000-000072510000}"/>
    <cellStyle name="Separador de milhares 2 4 6" xfId="18549" xr:uid="{00000000-0005-0000-0000-000073510000}"/>
    <cellStyle name="Separador de milhares 2 4 7" xfId="18550" xr:uid="{00000000-0005-0000-0000-000074510000}"/>
    <cellStyle name="Separador de milhares 2 4 8" xfId="18551" xr:uid="{00000000-0005-0000-0000-000075510000}"/>
    <cellStyle name="Separador de milhares 2 4 9" xfId="18552" xr:uid="{00000000-0005-0000-0000-000076510000}"/>
    <cellStyle name="Separador de milhares 2 40" xfId="18553" xr:uid="{00000000-0005-0000-0000-000077510000}"/>
    <cellStyle name="Separador de milhares 2 40 2" xfId="18554" xr:uid="{00000000-0005-0000-0000-000078510000}"/>
    <cellStyle name="Separador de milhares 2 41" xfId="18555" xr:uid="{00000000-0005-0000-0000-000079510000}"/>
    <cellStyle name="Separador de milhares 2 41 2" xfId="18556" xr:uid="{00000000-0005-0000-0000-00007A510000}"/>
    <cellStyle name="Separador de milhares 2 42" xfId="18557" xr:uid="{00000000-0005-0000-0000-00007B510000}"/>
    <cellStyle name="Separador de milhares 2 42 2" xfId="18558" xr:uid="{00000000-0005-0000-0000-00007C510000}"/>
    <cellStyle name="Separador de milhares 2 43" xfId="18559" xr:uid="{00000000-0005-0000-0000-00007D510000}"/>
    <cellStyle name="Separador de milhares 2 43 2" xfId="28604" xr:uid="{2CCADCB9-A1F9-4DA3-A27D-3F822EAC6007}"/>
    <cellStyle name="Separador de milhares 2 44" xfId="18560" xr:uid="{00000000-0005-0000-0000-00007E510000}"/>
    <cellStyle name="Separador de milhares 2 44 2" xfId="28605" xr:uid="{AAC262CC-59AD-44D1-8858-E098DB39F77C}"/>
    <cellStyle name="Separador de milhares 2 45" xfId="18561" xr:uid="{00000000-0005-0000-0000-00007F510000}"/>
    <cellStyle name="Separador de milhares 2 45 2" xfId="28606" xr:uid="{50FD52E6-E35A-4D1F-A337-A3353A6715F0}"/>
    <cellStyle name="Separador de milhares 2 46" xfId="18562" xr:uid="{00000000-0005-0000-0000-000080510000}"/>
    <cellStyle name="Separador de milhares 2 46 2" xfId="28607" xr:uid="{A230969F-8764-45EE-B5F3-572DAF09214A}"/>
    <cellStyle name="Separador de milhares 2 47" xfId="18563" xr:uid="{00000000-0005-0000-0000-000081510000}"/>
    <cellStyle name="Separador de milhares 2 47 2" xfId="28608" xr:uid="{6A599625-DB1B-4DEC-80E8-B608F8D625D6}"/>
    <cellStyle name="Separador de milhares 2 48" xfId="18564" xr:uid="{00000000-0005-0000-0000-000082510000}"/>
    <cellStyle name="Separador de milhares 2 48 2" xfId="28609" xr:uid="{3102563A-E819-4CFD-9025-86F94EB4771F}"/>
    <cellStyle name="Separador de milhares 2 49" xfId="18565" xr:uid="{00000000-0005-0000-0000-000083510000}"/>
    <cellStyle name="Separador de milhares 2 49 2" xfId="28610" xr:uid="{A1EFF06C-859C-458F-A31B-72EE2DB5975B}"/>
    <cellStyle name="Separador de milhares 2 5" xfId="702" xr:uid="{00000000-0005-0000-0000-000084510000}"/>
    <cellStyle name="Separador de milhares 2 5 10" xfId="27184" xr:uid="{00000000-0005-0000-0000-000085510000}"/>
    <cellStyle name="Separador de milhares 2 5 10 2" xfId="33026" xr:uid="{430D884E-548E-4B86-87B9-A9C1887D2A84}"/>
    <cellStyle name="Separador de milhares 2 5 11" xfId="27364" xr:uid="{00000000-0005-0000-0000-000086510000}"/>
    <cellStyle name="Separador de milhares 2 5 11 2" xfId="33201" xr:uid="{A30743B4-8FAB-4970-B974-07780A795245}"/>
    <cellStyle name="Separador de milhares 2 5 12" xfId="27542" xr:uid="{00000000-0005-0000-0000-000087510000}"/>
    <cellStyle name="Separador de milhares 2 5 12 2" xfId="33354" xr:uid="{08D2F30E-472A-4010-8718-9DCC0522B964}"/>
    <cellStyle name="Separador de milhares 2 5 13" xfId="27693" xr:uid="{00000000-0005-0000-0000-000088510000}"/>
    <cellStyle name="Separador de milhares 2 5 13 2" xfId="33504" xr:uid="{0D6C0FC4-339F-4384-AE75-6BDF69F99A53}"/>
    <cellStyle name="Separador de milhares 2 5 14" xfId="27945" xr:uid="{EC5627CA-F7D0-4DBD-B810-AB45B30413D5}"/>
    <cellStyle name="Separador de milhares 2 5 2" xfId="703" xr:uid="{00000000-0005-0000-0000-000089510000}"/>
    <cellStyle name="Separador de milhares 2 5 2 10" xfId="18567" xr:uid="{00000000-0005-0000-0000-00008A510000}"/>
    <cellStyle name="Separador de milhares 2 5 2 11" xfId="18568" xr:uid="{00000000-0005-0000-0000-00008B510000}"/>
    <cellStyle name="Separador de milhares 2 5 2 12" xfId="18566" xr:uid="{00000000-0005-0000-0000-00008C510000}"/>
    <cellStyle name="Separador de milhares 2 5 2 13" xfId="27128" xr:uid="{00000000-0005-0000-0000-00008D510000}"/>
    <cellStyle name="Separador de milhares 2 5 2 13 2" xfId="32987" xr:uid="{84506B77-57CA-4BCC-A2DB-D46EB9AD38AA}"/>
    <cellStyle name="Separador de milhares 2 5 2 14" xfId="27314" xr:uid="{00000000-0005-0000-0000-00008E510000}"/>
    <cellStyle name="Separador de milhares 2 5 2 14 2" xfId="33151" xr:uid="{D4D0540A-240F-48CF-85AD-94FF8DF114E7}"/>
    <cellStyle name="Separador de milhares 2 5 2 15" xfId="27485" xr:uid="{00000000-0005-0000-0000-00008F510000}"/>
    <cellStyle name="Separador de milhares 2 5 2 15 2" xfId="33322" xr:uid="{B2DB1B91-502B-4026-913F-7EA2E9193AA9}"/>
    <cellStyle name="Separador de milhares 2 5 2 16" xfId="27654" xr:uid="{00000000-0005-0000-0000-000090510000}"/>
    <cellStyle name="Separador de milhares 2 5 2 16 2" xfId="33465" xr:uid="{982AB097-870D-4DBC-BA41-16419EA00928}"/>
    <cellStyle name="Separador de milhares 2 5 2 17" xfId="27811" xr:uid="{00000000-0005-0000-0000-000091510000}"/>
    <cellStyle name="Separador de milhares 2 5 2 17 2" xfId="33622" xr:uid="{E66F7945-AAB6-49A3-BD80-B6149F5F2D00}"/>
    <cellStyle name="Separador de milhares 2 5 2 2" xfId="18569" xr:uid="{00000000-0005-0000-0000-000092510000}"/>
    <cellStyle name="Separador de milhares 2 5 2 3" xfId="18570" xr:uid="{00000000-0005-0000-0000-000093510000}"/>
    <cellStyle name="Separador de milhares 2 5 2 4" xfId="18571" xr:uid="{00000000-0005-0000-0000-000094510000}"/>
    <cellStyle name="Separador de milhares 2 5 2 5" xfId="18572" xr:uid="{00000000-0005-0000-0000-000095510000}"/>
    <cellStyle name="Separador de milhares 2 5 2 6" xfId="18573" xr:uid="{00000000-0005-0000-0000-000096510000}"/>
    <cellStyle name="Separador de milhares 2 5 2 7" xfId="18574" xr:uid="{00000000-0005-0000-0000-000097510000}"/>
    <cellStyle name="Separador de milhares 2 5 2 8" xfId="18575" xr:uid="{00000000-0005-0000-0000-000098510000}"/>
    <cellStyle name="Separador de milhares 2 5 2 9" xfId="18576" xr:uid="{00000000-0005-0000-0000-000099510000}"/>
    <cellStyle name="Separador de milhares 2 5 3" xfId="704" xr:uid="{00000000-0005-0000-0000-00009A510000}"/>
    <cellStyle name="Separador de milhares 2 5 3 2" xfId="18577" xr:uid="{00000000-0005-0000-0000-00009B510000}"/>
    <cellStyle name="Separador de milhares 2 5 3 3" xfId="27946" xr:uid="{4DDBA2BD-FA08-44AC-80A8-414D3C8BBDB9}"/>
    <cellStyle name="Separador de milhares 2 5 4" xfId="18578" xr:uid="{00000000-0005-0000-0000-00009C510000}"/>
    <cellStyle name="Separador de milhares 2 5 5" xfId="18579" xr:uid="{00000000-0005-0000-0000-00009D510000}"/>
    <cellStyle name="Separador de milhares 2 5 5 2" xfId="28611" xr:uid="{4E2EE4E0-CF29-4279-B5F5-B6B77A04BFBE}"/>
    <cellStyle name="Separador de milhares 2 5 6" xfId="18580" xr:uid="{00000000-0005-0000-0000-00009E510000}"/>
    <cellStyle name="Separador de milhares 2 5 6 2" xfId="28612" xr:uid="{12707E35-B9F4-442D-AB4D-BF0F8115A8AD}"/>
    <cellStyle name="Separador de milhares 2 5 7" xfId="18581" xr:uid="{00000000-0005-0000-0000-00009F510000}"/>
    <cellStyle name="Separador de milhares 2 5 7 2" xfId="28613" xr:uid="{4AA1190A-F8A5-4C9D-B960-1CA64F5656BD}"/>
    <cellStyle name="Separador de milhares 2 5 8" xfId="18582" xr:uid="{00000000-0005-0000-0000-0000A0510000}"/>
    <cellStyle name="Separador de milhares 2 5 8 2" xfId="28614" xr:uid="{3DA71793-E5B9-4433-BBF1-93D6C697F814}"/>
    <cellStyle name="Separador de milhares 2 5 9" xfId="18583" xr:uid="{00000000-0005-0000-0000-0000A1510000}"/>
    <cellStyle name="Separador de milhares 2 5 9 2" xfId="28615" xr:uid="{0EC79607-DE8C-4ADD-9032-0A0F5E9DE757}"/>
    <cellStyle name="Separador de milhares 2 50" xfId="18584" xr:uid="{00000000-0005-0000-0000-0000A2510000}"/>
    <cellStyle name="Separador de milhares 2 50 2" xfId="28616" xr:uid="{3AD8A386-3A48-4BB0-BEA4-CB1E20F2437B}"/>
    <cellStyle name="Separador de milhares 2 51" xfId="18585" xr:uid="{00000000-0005-0000-0000-0000A3510000}"/>
    <cellStyle name="Separador de milhares 2 51 2" xfId="28617" xr:uid="{1910A4C5-F858-4A92-85E7-94C449B58800}"/>
    <cellStyle name="Separador de milhares 2 52" xfId="18586" xr:uid="{00000000-0005-0000-0000-0000A4510000}"/>
    <cellStyle name="Separador de milhares 2 52 2" xfId="28618" xr:uid="{A6ED45C5-D72F-4714-B57D-C77CFD528247}"/>
    <cellStyle name="Separador de milhares 2 53" xfId="18587" xr:uid="{00000000-0005-0000-0000-0000A5510000}"/>
    <cellStyle name="Separador de milhares 2 53 2" xfId="28619" xr:uid="{915FFC6D-FDEB-4861-A830-F507D4FC7ADB}"/>
    <cellStyle name="Separador de milhares 2 54" xfId="18588" xr:uid="{00000000-0005-0000-0000-0000A6510000}"/>
    <cellStyle name="Separador de milhares 2 54 2" xfId="28620" xr:uid="{0DDE10E0-1D05-4641-8E5C-3D9F88A66024}"/>
    <cellStyle name="Separador de milhares 2 55" xfId="18589" xr:uid="{00000000-0005-0000-0000-0000A7510000}"/>
    <cellStyle name="Separador de milhares 2 55 2" xfId="28621" xr:uid="{8AC3D478-1A5E-419F-B7FA-B2B5CBDB7F6E}"/>
    <cellStyle name="Separador de milhares 2 56" xfId="18590" xr:uid="{00000000-0005-0000-0000-0000A8510000}"/>
    <cellStyle name="Separador de milhares 2 56 2" xfId="28622" xr:uid="{6A36454F-0FC7-4D43-AF08-41BD5DADBDE0}"/>
    <cellStyle name="Separador de milhares 2 57" xfId="18591" xr:uid="{00000000-0005-0000-0000-0000A9510000}"/>
    <cellStyle name="Separador de milhares 2 57 2" xfId="28623" xr:uid="{B18A1383-9AA3-4A6B-92B0-401F01A13C7E}"/>
    <cellStyle name="Separador de milhares 2 58" xfId="18592" xr:uid="{00000000-0005-0000-0000-0000AA510000}"/>
    <cellStyle name="Separador de milhares 2 58 2" xfId="28624" xr:uid="{0C2C28A7-F69B-43EB-B094-47AA18FC1A04}"/>
    <cellStyle name="Separador de milhares 2 59" xfId="18593" xr:uid="{00000000-0005-0000-0000-0000AB510000}"/>
    <cellStyle name="Separador de milhares 2 59 2" xfId="28625" xr:uid="{B4C474E7-88CF-4A48-BA18-968E562C900B}"/>
    <cellStyle name="Separador de milhares 2 6" xfId="705" xr:uid="{00000000-0005-0000-0000-0000AC510000}"/>
    <cellStyle name="Separador de milhares 2 6 10" xfId="18594" xr:uid="{00000000-0005-0000-0000-0000AD510000}"/>
    <cellStyle name="Separador de milhares 2 6 11" xfId="18595" xr:uid="{00000000-0005-0000-0000-0000AE510000}"/>
    <cellStyle name="Separador de milhares 2 6 12" xfId="18596" xr:uid="{00000000-0005-0000-0000-0000AF510000}"/>
    <cellStyle name="Separador de milhares 2 6 13" xfId="27185" xr:uid="{00000000-0005-0000-0000-0000B0510000}"/>
    <cellStyle name="Separador de milhares 2 6 13 2" xfId="33027" xr:uid="{F8D9A123-F6C7-467D-9B40-6C6DB660FA66}"/>
    <cellStyle name="Separador de milhares 2 6 14" xfId="27365" xr:uid="{00000000-0005-0000-0000-0000B1510000}"/>
    <cellStyle name="Separador de milhares 2 6 14 2" xfId="33202" xr:uid="{5F70ABC0-002C-4A9F-A00F-E8F4FC798581}"/>
    <cellStyle name="Separador de milhares 2 6 15" xfId="27543" xr:uid="{00000000-0005-0000-0000-0000B2510000}"/>
    <cellStyle name="Separador de milhares 2 6 15 2" xfId="33355" xr:uid="{43048B51-DE75-46B1-8B6D-5F74B41F8FF4}"/>
    <cellStyle name="Separador de milhares 2 6 16" xfId="27694" xr:uid="{00000000-0005-0000-0000-0000B3510000}"/>
    <cellStyle name="Separador de milhares 2 6 16 2" xfId="33505" xr:uid="{7B455AD8-CFD3-49FE-9A12-1D7D932F3884}"/>
    <cellStyle name="Separador de milhares 2 6 2" xfId="706" xr:uid="{00000000-0005-0000-0000-0000B4510000}"/>
    <cellStyle name="Separador de milhares 2 6 2 2" xfId="18597" xr:uid="{00000000-0005-0000-0000-0000B5510000}"/>
    <cellStyle name="Separador de milhares 2 6 2 3" xfId="27947" xr:uid="{07CE9109-9C94-4B95-8088-9949B2894440}"/>
    <cellStyle name="Separador de milhares 2 6 3" xfId="18598" xr:uid="{00000000-0005-0000-0000-0000B6510000}"/>
    <cellStyle name="Separador de milhares 2 6 4" xfId="18599" xr:uid="{00000000-0005-0000-0000-0000B7510000}"/>
    <cellStyle name="Separador de milhares 2 6 5" xfId="18600" xr:uid="{00000000-0005-0000-0000-0000B8510000}"/>
    <cellStyle name="Separador de milhares 2 6 6" xfId="18601" xr:uid="{00000000-0005-0000-0000-0000B9510000}"/>
    <cellStyle name="Separador de milhares 2 6 7" xfId="18602" xr:uid="{00000000-0005-0000-0000-0000BA510000}"/>
    <cellStyle name="Separador de milhares 2 6 8" xfId="18603" xr:uid="{00000000-0005-0000-0000-0000BB510000}"/>
    <cellStyle name="Separador de milhares 2 6 9" xfId="18604" xr:uid="{00000000-0005-0000-0000-0000BC510000}"/>
    <cellStyle name="Separador de milhares 2 60" xfId="18605" xr:uid="{00000000-0005-0000-0000-0000BD510000}"/>
    <cellStyle name="Separador de milhares 2 60 2" xfId="28626" xr:uid="{671B4E0D-8A21-429F-8E3B-F1E2AEEC933C}"/>
    <cellStyle name="Separador de milhares 2 61" xfId="18606" xr:uid="{00000000-0005-0000-0000-0000BE510000}"/>
    <cellStyle name="Separador de milhares 2 61 2" xfId="28627" xr:uid="{41CF3364-0E4E-427F-8418-A9F3CE0FC456}"/>
    <cellStyle name="Separador de milhares 2 62" xfId="18607" xr:uid="{00000000-0005-0000-0000-0000BF510000}"/>
    <cellStyle name="Separador de milhares 2 62 2" xfId="28628" xr:uid="{8BA8576E-E0A5-4D9F-9A96-38532416CBFA}"/>
    <cellStyle name="Separador de milhares 2 63" xfId="18608" xr:uid="{00000000-0005-0000-0000-0000C0510000}"/>
    <cellStyle name="Separador de milhares 2 63 2" xfId="28629" xr:uid="{F8793EA5-2EAB-4748-9B71-F6C30E40C2C0}"/>
    <cellStyle name="Separador de milhares 2 64" xfId="18120" xr:uid="{00000000-0005-0000-0000-0000C1510000}"/>
    <cellStyle name="Separador de milhares 2 65" xfId="27180" xr:uid="{00000000-0005-0000-0000-0000C2510000}"/>
    <cellStyle name="Separador de milhares 2 65 2" xfId="33022" xr:uid="{56C6D83D-508C-4260-A5F3-165FAA23D52C}"/>
    <cellStyle name="Separador de milhares 2 66" xfId="27360" xr:uid="{00000000-0005-0000-0000-0000C3510000}"/>
    <cellStyle name="Separador de milhares 2 66 2" xfId="33197" xr:uid="{F52FCFE1-251F-48F7-8E10-AA075A7F7DE3}"/>
    <cellStyle name="Separador de milhares 2 67" xfId="27538" xr:uid="{00000000-0005-0000-0000-0000C4510000}"/>
    <cellStyle name="Separador de milhares 2 67 2" xfId="33350" xr:uid="{609A195E-D4F5-4B9E-AAE6-D8A0D3D33885}"/>
    <cellStyle name="Separador de milhares 2 68" xfId="27689" xr:uid="{00000000-0005-0000-0000-0000C5510000}"/>
    <cellStyle name="Separador de milhares 2 68 2" xfId="33500" xr:uid="{6716430B-CA62-42C4-81D5-57B28618E074}"/>
    <cellStyle name="Separador de milhares 2 69" xfId="27930" xr:uid="{B2C6231E-D80A-4CCD-BA57-98E9F4DAFA8E}"/>
    <cellStyle name="Separador de milhares 2 7" xfId="707" xr:uid="{00000000-0005-0000-0000-0000C6510000}"/>
    <cellStyle name="Separador de milhares 2 7 10" xfId="18609" xr:uid="{00000000-0005-0000-0000-0000C7510000}"/>
    <cellStyle name="Separador de milhares 2 7 11" xfId="18610" xr:uid="{00000000-0005-0000-0000-0000C8510000}"/>
    <cellStyle name="Separador de milhares 2 7 12" xfId="18611" xr:uid="{00000000-0005-0000-0000-0000C9510000}"/>
    <cellStyle name="Separador de milhares 2 7 13" xfId="27948" xr:uid="{6471581E-4560-4E2B-9812-69E276A1908C}"/>
    <cellStyle name="Separador de milhares 2 7 2" xfId="18612" xr:uid="{00000000-0005-0000-0000-0000CA510000}"/>
    <cellStyle name="Separador de milhares 2 7 3" xfId="18613" xr:uid="{00000000-0005-0000-0000-0000CB510000}"/>
    <cellStyle name="Separador de milhares 2 7 4" xfId="18614" xr:uid="{00000000-0005-0000-0000-0000CC510000}"/>
    <cellStyle name="Separador de milhares 2 7 5" xfId="18615" xr:uid="{00000000-0005-0000-0000-0000CD510000}"/>
    <cellStyle name="Separador de milhares 2 7 6" xfId="18616" xr:uid="{00000000-0005-0000-0000-0000CE510000}"/>
    <cellStyle name="Separador de milhares 2 7 7" xfId="18617" xr:uid="{00000000-0005-0000-0000-0000CF510000}"/>
    <cellStyle name="Separador de milhares 2 7 8" xfId="18618" xr:uid="{00000000-0005-0000-0000-0000D0510000}"/>
    <cellStyle name="Separador de milhares 2 7 9" xfId="18619" xr:uid="{00000000-0005-0000-0000-0000D1510000}"/>
    <cellStyle name="Separador de milhares 2 8" xfId="18620" xr:uid="{00000000-0005-0000-0000-0000D2510000}"/>
    <cellStyle name="Separador de milhares 2 8 10" xfId="18621" xr:uid="{00000000-0005-0000-0000-0000D3510000}"/>
    <cellStyle name="Separador de milhares 2 8 11" xfId="18622" xr:uid="{00000000-0005-0000-0000-0000D4510000}"/>
    <cellStyle name="Separador de milhares 2 8 12" xfId="28630" xr:uid="{9A5200F4-B67A-4BD5-AE79-8CD748F3C120}"/>
    <cellStyle name="Separador de milhares 2 8 2" xfId="18623" xr:uid="{00000000-0005-0000-0000-0000D5510000}"/>
    <cellStyle name="Separador de milhares 2 8 3" xfId="18624" xr:uid="{00000000-0005-0000-0000-0000D6510000}"/>
    <cellStyle name="Separador de milhares 2 8 4" xfId="18625" xr:uid="{00000000-0005-0000-0000-0000D7510000}"/>
    <cellStyle name="Separador de milhares 2 8 5" xfId="18626" xr:uid="{00000000-0005-0000-0000-0000D8510000}"/>
    <cellStyle name="Separador de milhares 2 8 6" xfId="18627" xr:uid="{00000000-0005-0000-0000-0000D9510000}"/>
    <cellStyle name="Separador de milhares 2 8 7" xfId="18628" xr:uid="{00000000-0005-0000-0000-0000DA510000}"/>
    <cellStyle name="Separador de milhares 2 8 8" xfId="18629" xr:uid="{00000000-0005-0000-0000-0000DB510000}"/>
    <cellStyle name="Separador de milhares 2 8 9" xfId="18630" xr:uid="{00000000-0005-0000-0000-0000DC510000}"/>
    <cellStyle name="Separador de milhares 2 9" xfId="18631" xr:uid="{00000000-0005-0000-0000-0000DD510000}"/>
    <cellStyle name="Separador de milhares 2 9 10" xfId="18632" xr:uid="{00000000-0005-0000-0000-0000DE510000}"/>
    <cellStyle name="Separador de milhares 2 9 11" xfId="18633" xr:uid="{00000000-0005-0000-0000-0000DF510000}"/>
    <cellStyle name="Separador de milhares 2 9 12" xfId="18634" xr:uid="{00000000-0005-0000-0000-0000E0510000}"/>
    <cellStyle name="Separador de milhares 2 9 13" xfId="28631" xr:uid="{2CDAD506-AD95-448B-A5B4-642DED59552D}"/>
    <cellStyle name="Separador de milhares 2 9 2" xfId="18635" xr:uid="{00000000-0005-0000-0000-0000E1510000}"/>
    <cellStyle name="Separador de milhares 2 9 3" xfId="18636" xr:uid="{00000000-0005-0000-0000-0000E2510000}"/>
    <cellStyle name="Separador de milhares 2 9 4" xfId="18637" xr:uid="{00000000-0005-0000-0000-0000E3510000}"/>
    <cellStyle name="Separador de milhares 2 9 5" xfId="18638" xr:uid="{00000000-0005-0000-0000-0000E4510000}"/>
    <cellStyle name="Separador de milhares 2 9 6" xfId="18639" xr:uid="{00000000-0005-0000-0000-0000E5510000}"/>
    <cellStyle name="Separador de milhares 2 9 7" xfId="18640" xr:uid="{00000000-0005-0000-0000-0000E6510000}"/>
    <cellStyle name="Separador de milhares 2 9 8" xfId="18641" xr:uid="{00000000-0005-0000-0000-0000E7510000}"/>
    <cellStyle name="Separador de milhares 2 9 9" xfId="18642" xr:uid="{00000000-0005-0000-0000-0000E8510000}"/>
    <cellStyle name="Separador de milhares 2_Pasta2" xfId="708" xr:uid="{00000000-0005-0000-0000-0000E9510000}"/>
    <cellStyle name="Separador de milhares 20" xfId="18643" xr:uid="{00000000-0005-0000-0000-0000EA510000}"/>
    <cellStyle name="Separador de milhares 20 10" xfId="18644" xr:uid="{00000000-0005-0000-0000-0000EB510000}"/>
    <cellStyle name="Separador de milhares 20 11" xfId="18645" xr:uid="{00000000-0005-0000-0000-0000EC510000}"/>
    <cellStyle name="Separador de milhares 20 12" xfId="18646" xr:uid="{00000000-0005-0000-0000-0000ED510000}"/>
    <cellStyle name="Separador de milhares 20 12 2" xfId="28633" xr:uid="{62F9CDED-81B8-4D4F-A5A7-49CF43E2EE4C}"/>
    <cellStyle name="Separador de milhares 20 13" xfId="28632" xr:uid="{72C18F15-1F1C-4AA1-BF0F-7D05F051AF27}"/>
    <cellStyle name="Separador de milhares 20 2" xfId="18647" xr:uid="{00000000-0005-0000-0000-0000EE510000}"/>
    <cellStyle name="Separador de milhares 20 2 2" xfId="18648" xr:uid="{00000000-0005-0000-0000-0000EF510000}"/>
    <cellStyle name="Separador de milhares 20 2 3" xfId="18649" xr:uid="{00000000-0005-0000-0000-0000F0510000}"/>
    <cellStyle name="Separador de milhares 20 2 4" xfId="28634" xr:uid="{2CB1DCE5-88DF-4A96-AD15-ED9BC171F8A6}"/>
    <cellStyle name="Separador de milhares 20 3" xfId="18650" xr:uid="{00000000-0005-0000-0000-0000F1510000}"/>
    <cellStyle name="Separador de milhares 20 4" xfId="18651" xr:uid="{00000000-0005-0000-0000-0000F2510000}"/>
    <cellStyle name="Separador de milhares 20 5" xfId="18652" xr:uid="{00000000-0005-0000-0000-0000F3510000}"/>
    <cellStyle name="Separador de milhares 20 6" xfId="18653" xr:uid="{00000000-0005-0000-0000-0000F4510000}"/>
    <cellStyle name="Separador de milhares 20 7" xfId="18654" xr:uid="{00000000-0005-0000-0000-0000F5510000}"/>
    <cellStyle name="Separador de milhares 20 8" xfId="18655" xr:uid="{00000000-0005-0000-0000-0000F6510000}"/>
    <cellStyle name="Separador de milhares 20 9" xfId="18656" xr:uid="{00000000-0005-0000-0000-0000F7510000}"/>
    <cellStyle name="Separador de milhares 21" xfId="18657" xr:uid="{00000000-0005-0000-0000-0000F8510000}"/>
    <cellStyle name="Separador de milhares 21 2" xfId="18658" xr:uid="{00000000-0005-0000-0000-0000F9510000}"/>
    <cellStyle name="Separador de milhares 21 2 2" xfId="28636" xr:uid="{084E0EA4-28E7-40D8-A5A3-FD70792F552F}"/>
    <cellStyle name="Separador de milhares 21 3" xfId="28635" xr:uid="{D27B1032-CBB7-4128-931D-F99C2A3FA3C3}"/>
    <cellStyle name="Separador de milhares 22" xfId="18659" xr:uid="{00000000-0005-0000-0000-0000FA510000}"/>
    <cellStyle name="Separador de milhares 22 2" xfId="18660" xr:uid="{00000000-0005-0000-0000-0000FB510000}"/>
    <cellStyle name="Separador de milhares 22 2 2" xfId="28638" xr:uid="{4B1C2A4A-FCAA-42E1-9251-B06D30C45F93}"/>
    <cellStyle name="Separador de milhares 22 3" xfId="28637" xr:uid="{029BE2F8-C172-4958-90AA-FC5436555648}"/>
    <cellStyle name="Separador de milhares 23" xfId="18661" xr:uid="{00000000-0005-0000-0000-0000FC510000}"/>
    <cellStyle name="Separador de milhares 23 2" xfId="18662" xr:uid="{00000000-0005-0000-0000-0000FD510000}"/>
    <cellStyle name="Separador de milhares 23 2 2" xfId="28640" xr:uid="{9F3270B1-D26D-4A26-BB53-DCA5941DC330}"/>
    <cellStyle name="Separador de milhares 23 3" xfId="28639" xr:uid="{6C177E2B-CD68-4F15-90B5-B2850D977C6B}"/>
    <cellStyle name="Separador de milhares 24" xfId="18663" xr:uid="{00000000-0005-0000-0000-0000FE510000}"/>
    <cellStyle name="Separador de milhares 24 2" xfId="18664" xr:uid="{00000000-0005-0000-0000-0000FF510000}"/>
    <cellStyle name="Separador de milhares 24 2 2" xfId="28642" xr:uid="{978E4522-4069-4DF1-9B8B-F5622722B790}"/>
    <cellStyle name="Separador de milhares 24 3" xfId="28641" xr:uid="{2C7E72B8-E2DE-4DB1-9781-2671361E0FA6}"/>
    <cellStyle name="Separador de milhares 25" xfId="18665" xr:uid="{00000000-0005-0000-0000-000000520000}"/>
    <cellStyle name="Separador de milhares 25 2" xfId="18666" xr:uid="{00000000-0005-0000-0000-000001520000}"/>
    <cellStyle name="Separador de milhares 25 2 2" xfId="28644" xr:uid="{7D9593F7-2386-453D-84F5-482F7A30C513}"/>
    <cellStyle name="Separador de milhares 25 3" xfId="28643" xr:uid="{B9B7454C-CF15-43A9-8A40-63A0E9A1F5AB}"/>
    <cellStyle name="Separador de milhares 26" xfId="18667" xr:uid="{00000000-0005-0000-0000-000002520000}"/>
    <cellStyle name="Separador de milhares 26 2" xfId="18668" xr:uid="{00000000-0005-0000-0000-000003520000}"/>
    <cellStyle name="Separador de milhares 26 2 2" xfId="28646" xr:uid="{1C475FE2-F821-4B01-A098-DD08FCD1A85C}"/>
    <cellStyle name="Separador de milhares 26 3" xfId="28645" xr:uid="{CE0AFD4A-CFFA-4A85-A4A1-03E0E026F207}"/>
    <cellStyle name="Separador de milhares 27" xfId="18669" xr:uid="{00000000-0005-0000-0000-000004520000}"/>
    <cellStyle name="Separador de milhares 27 2" xfId="18670" xr:uid="{00000000-0005-0000-0000-000005520000}"/>
    <cellStyle name="Separador de milhares 27 2 2" xfId="28648" xr:uid="{DEA36D55-7703-4D37-B2C2-2F2C3E568AE0}"/>
    <cellStyle name="Separador de milhares 27 3" xfId="28647" xr:uid="{FAF36DA1-81E8-41FD-BF82-77E849718B75}"/>
    <cellStyle name="Separador de milhares 28" xfId="18671" xr:uid="{00000000-0005-0000-0000-000006520000}"/>
    <cellStyle name="Separador de milhares 28 2" xfId="18672" xr:uid="{00000000-0005-0000-0000-000007520000}"/>
    <cellStyle name="Separador de milhares 28 2 2" xfId="28650" xr:uid="{F50876B4-3ABF-46A6-8890-53EC826F1D1C}"/>
    <cellStyle name="Separador de milhares 28 3" xfId="28649" xr:uid="{7BAAADED-CA7D-4857-9312-D61AAF01519F}"/>
    <cellStyle name="Separador de milhares 29" xfId="18673" xr:uid="{00000000-0005-0000-0000-000008520000}"/>
    <cellStyle name="Separador de milhares 29 2" xfId="18674" xr:uid="{00000000-0005-0000-0000-000009520000}"/>
    <cellStyle name="Separador de milhares 29 2 2" xfId="28652" xr:uid="{AE170EDB-7638-45B7-B8EE-ECF3862BC1C5}"/>
    <cellStyle name="Separador de milhares 29 3" xfId="28651" xr:uid="{3694C533-2D02-4D91-856A-8C7935055A91}"/>
    <cellStyle name="Separador de milhares 3" xfId="709" xr:uid="{00000000-0005-0000-0000-00000A520000}"/>
    <cellStyle name="Separador de milhares 3 10" xfId="710" xr:uid="{00000000-0005-0000-0000-00000B520000}"/>
    <cellStyle name="Separador de milhares 3 10 2" xfId="18676" xr:uid="{00000000-0005-0000-0000-00000C520000}"/>
    <cellStyle name="Separador de milhares 3 10 3" xfId="18677" xr:uid="{00000000-0005-0000-0000-00000D520000}"/>
    <cellStyle name="Separador de milhares 3 10 4" xfId="18678" xr:uid="{00000000-0005-0000-0000-00000E520000}"/>
    <cellStyle name="Separador de milhares 3 10 5" xfId="18675" xr:uid="{00000000-0005-0000-0000-00000F520000}"/>
    <cellStyle name="Separador de milhares 3 10 6" xfId="27950" xr:uid="{26379F8E-47C5-4D88-B78F-F5B4EA4D7098}"/>
    <cellStyle name="Separador de milhares 3 11" xfId="711" xr:uid="{00000000-0005-0000-0000-000010520000}"/>
    <cellStyle name="Separador de milhares 3 11 2" xfId="18680" xr:uid="{00000000-0005-0000-0000-000011520000}"/>
    <cellStyle name="Separador de milhares 3 11 3" xfId="18681" xr:uid="{00000000-0005-0000-0000-000012520000}"/>
    <cellStyle name="Separador de milhares 3 11 4" xfId="18682" xr:uid="{00000000-0005-0000-0000-000013520000}"/>
    <cellStyle name="Separador de milhares 3 11 5" xfId="18679" xr:uid="{00000000-0005-0000-0000-000014520000}"/>
    <cellStyle name="Separador de milhares 3 12" xfId="18683" xr:uid="{00000000-0005-0000-0000-000015520000}"/>
    <cellStyle name="Separador de milhares 3 12 2" xfId="18684" xr:uid="{00000000-0005-0000-0000-000016520000}"/>
    <cellStyle name="Separador de milhares 3 12 3" xfId="18685" xr:uid="{00000000-0005-0000-0000-000017520000}"/>
    <cellStyle name="Separador de milhares 3 12 4" xfId="18686" xr:uid="{00000000-0005-0000-0000-000018520000}"/>
    <cellStyle name="Separador de milhares 3 13" xfId="18687" xr:uid="{00000000-0005-0000-0000-000019520000}"/>
    <cellStyle name="Separador de milhares 3 13 2" xfId="18688" xr:uid="{00000000-0005-0000-0000-00001A520000}"/>
    <cellStyle name="Separador de milhares 3 13 3" xfId="18689" xr:uid="{00000000-0005-0000-0000-00001B520000}"/>
    <cellStyle name="Separador de milhares 3 13 4" xfId="18690" xr:uid="{00000000-0005-0000-0000-00001C520000}"/>
    <cellStyle name="Separador de milhares 3 14" xfId="18691" xr:uid="{00000000-0005-0000-0000-00001D520000}"/>
    <cellStyle name="Separador de milhares 3 14 2" xfId="18692" xr:uid="{00000000-0005-0000-0000-00001E520000}"/>
    <cellStyle name="Separador de milhares 3 14 3" xfId="18693" xr:uid="{00000000-0005-0000-0000-00001F520000}"/>
    <cellStyle name="Separador de milhares 3 14 4" xfId="18694" xr:uid="{00000000-0005-0000-0000-000020520000}"/>
    <cellStyle name="Separador de milhares 3 15" xfId="18695" xr:uid="{00000000-0005-0000-0000-000021520000}"/>
    <cellStyle name="Separador de milhares 3 15 2" xfId="18696" xr:uid="{00000000-0005-0000-0000-000022520000}"/>
    <cellStyle name="Separador de milhares 3 15 3" xfId="18697" xr:uid="{00000000-0005-0000-0000-000023520000}"/>
    <cellStyle name="Separador de milhares 3 15 4" xfId="18698" xr:uid="{00000000-0005-0000-0000-000024520000}"/>
    <cellStyle name="Separador de milhares 3 16" xfId="18699" xr:uid="{00000000-0005-0000-0000-000025520000}"/>
    <cellStyle name="Separador de milhares 3 16 2" xfId="18700" xr:uid="{00000000-0005-0000-0000-000026520000}"/>
    <cellStyle name="Separador de milhares 3 16 3" xfId="18701" xr:uid="{00000000-0005-0000-0000-000027520000}"/>
    <cellStyle name="Separador de milhares 3 16 4" xfId="18702" xr:uid="{00000000-0005-0000-0000-000028520000}"/>
    <cellStyle name="Separador de milhares 3 17" xfId="18703" xr:uid="{00000000-0005-0000-0000-000029520000}"/>
    <cellStyle name="Separador de milhares 3 17 2" xfId="18704" xr:uid="{00000000-0005-0000-0000-00002A520000}"/>
    <cellStyle name="Separador de milhares 3 17 3" xfId="18705" xr:uid="{00000000-0005-0000-0000-00002B520000}"/>
    <cellStyle name="Separador de milhares 3 17 4" xfId="18706" xr:uid="{00000000-0005-0000-0000-00002C520000}"/>
    <cellStyle name="Separador de milhares 3 18" xfId="18707" xr:uid="{00000000-0005-0000-0000-00002D520000}"/>
    <cellStyle name="Separador de milhares 3 18 2" xfId="18708" xr:uid="{00000000-0005-0000-0000-00002E520000}"/>
    <cellStyle name="Separador de milhares 3 18 3" xfId="18709" xr:uid="{00000000-0005-0000-0000-00002F520000}"/>
    <cellStyle name="Separador de milhares 3 18 4" xfId="18710" xr:uid="{00000000-0005-0000-0000-000030520000}"/>
    <cellStyle name="Separador de milhares 3 19" xfId="18711" xr:uid="{00000000-0005-0000-0000-000031520000}"/>
    <cellStyle name="Separador de milhares 3 19 2" xfId="18712" xr:uid="{00000000-0005-0000-0000-000032520000}"/>
    <cellStyle name="Separador de milhares 3 19 3" xfId="18713" xr:uid="{00000000-0005-0000-0000-000033520000}"/>
    <cellStyle name="Separador de milhares 3 19 4" xfId="18714" xr:uid="{00000000-0005-0000-0000-000034520000}"/>
    <cellStyle name="Separador de milhares 3 2" xfId="712" xr:uid="{00000000-0005-0000-0000-000035520000}"/>
    <cellStyle name="Separador de milhares 3 2 10" xfId="18716" xr:uid="{00000000-0005-0000-0000-000036520000}"/>
    <cellStyle name="Separador de milhares 3 2 10 2" xfId="18717" xr:uid="{00000000-0005-0000-0000-000037520000}"/>
    <cellStyle name="Separador de milhares 3 2 10 3" xfId="18718" xr:uid="{00000000-0005-0000-0000-000038520000}"/>
    <cellStyle name="Separador de milhares 3 2 10 4" xfId="18719" xr:uid="{00000000-0005-0000-0000-000039520000}"/>
    <cellStyle name="Separador de milhares 3 2 11" xfId="18720" xr:uid="{00000000-0005-0000-0000-00003A520000}"/>
    <cellStyle name="Separador de milhares 3 2 11 2" xfId="18721" xr:uid="{00000000-0005-0000-0000-00003B520000}"/>
    <cellStyle name="Separador de milhares 3 2 11 3" xfId="18722" xr:uid="{00000000-0005-0000-0000-00003C520000}"/>
    <cellStyle name="Separador de milhares 3 2 11 4" xfId="18723" xr:uid="{00000000-0005-0000-0000-00003D520000}"/>
    <cellStyle name="Separador de milhares 3 2 12" xfId="18724" xr:uid="{00000000-0005-0000-0000-00003E520000}"/>
    <cellStyle name="Separador de milhares 3 2 12 2" xfId="18725" xr:uid="{00000000-0005-0000-0000-00003F520000}"/>
    <cellStyle name="Separador de milhares 3 2 12 3" xfId="18726" xr:uid="{00000000-0005-0000-0000-000040520000}"/>
    <cellStyle name="Separador de milhares 3 2 12 4" xfId="18727" xr:uid="{00000000-0005-0000-0000-000041520000}"/>
    <cellStyle name="Separador de milhares 3 2 13" xfId="18728" xr:uid="{00000000-0005-0000-0000-000042520000}"/>
    <cellStyle name="Separador de milhares 3 2 13 2" xfId="18729" xr:uid="{00000000-0005-0000-0000-000043520000}"/>
    <cellStyle name="Separador de milhares 3 2 13 3" xfId="18730" xr:uid="{00000000-0005-0000-0000-000044520000}"/>
    <cellStyle name="Separador de milhares 3 2 13 4" xfId="18731" xr:uid="{00000000-0005-0000-0000-000045520000}"/>
    <cellStyle name="Separador de milhares 3 2 14" xfId="18732" xr:uid="{00000000-0005-0000-0000-000046520000}"/>
    <cellStyle name="Separador de milhares 3 2 14 2" xfId="18733" xr:uid="{00000000-0005-0000-0000-000047520000}"/>
    <cellStyle name="Separador de milhares 3 2 14 3" xfId="18734" xr:uid="{00000000-0005-0000-0000-000048520000}"/>
    <cellStyle name="Separador de milhares 3 2 14 4" xfId="18735" xr:uid="{00000000-0005-0000-0000-000049520000}"/>
    <cellStyle name="Separador de milhares 3 2 15" xfId="18736" xr:uid="{00000000-0005-0000-0000-00004A520000}"/>
    <cellStyle name="Separador de milhares 3 2 15 2" xfId="18737" xr:uid="{00000000-0005-0000-0000-00004B520000}"/>
    <cellStyle name="Separador de milhares 3 2 15 3" xfId="18738" xr:uid="{00000000-0005-0000-0000-00004C520000}"/>
    <cellStyle name="Separador de milhares 3 2 15 4" xfId="18739" xr:uid="{00000000-0005-0000-0000-00004D520000}"/>
    <cellStyle name="Separador de milhares 3 2 16" xfId="18740" xr:uid="{00000000-0005-0000-0000-00004E520000}"/>
    <cellStyle name="Separador de milhares 3 2 16 2" xfId="18741" xr:uid="{00000000-0005-0000-0000-00004F520000}"/>
    <cellStyle name="Separador de milhares 3 2 16 3" xfId="18742" xr:uid="{00000000-0005-0000-0000-000050520000}"/>
    <cellStyle name="Separador de milhares 3 2 16 4" xfId="18743" xr:uid="{00000000-0005-0000-0000-000051520000}"/>
    <cellStyle name="Separador de milhares 3 2 17" xfId="18744" xr:uid="{00000000-0005-0000-0000-000052520000}"/>
    <cellStyle name="Separador de milhares 3 2 17 2" xfId="18745" xr:uid="{00000000-0005-0000-0000-000053520000}"/>
    <cellStyle name="Separador de milhares 3 2 17 3" xfId="18746" xr:uid="{00000000-0005-0000-0000-000054520000}"/>
    <cellStyle name="Separador de milhares 3 2 17 4" xfId="18747" xr:uid="{00000000-0005-0000-0000-000055520000}"/>
    <cellStyle name="Separador de milhares 3 2 18" xfId="18748" xr:uid="{00000000-0005-0000-0000-000056520000}"/>
    <cellStyle name="Separador de milhares 3 2 18 2" xfId="18749" xr:uid="{00000000-0005-0000-0000-000057520000}"/>
    <cellStyle name="Separador de milhares 3 2 18 3" xfId="18750" xr:uid="{00000000-0005-0000-0000-000058520000}"/>
    <cellStyle name="Separador de milhares 3 2 18 4" xfId="18751" xr:uid="{00000000-0005-0000-0000-000059520000}"/>
    <cellStyle name="Separador de milhares 3 2 19" xfId="18752" xr:uid="{00000000-0005-0000-0000-00005A520000}"/>
    <cellStyle name="Separador de milhares 3 2 19 2" xfId="18753" xr:uid="{00000000-0005-0000-0000-00005B520000}"/>
    <cellStyle name="Separador de milhares 3 2 19 3" xfId="18754" xr:uid="{00000000-0005-0000-0000-00005C520000}"/>
    <cellStyle name="Separador de milhares 3 2 19 4" xfId="18755" xr:uid="{00000000-0005-0000-0000-00005D520000}"/>
    <cellStyle name="Separador de milhares 3 2 2" xfId="713" xr:uid="{00000000-0005-0000-0000-00005E520000}"/>
    <cellStyle name="Separador de milhares 3 2 2 10" xfId="18757" xr:uid="{00000000-0005-0000-0000-00005F520000}"/>
    <cellStyle name="Separador de milhares 3 2 2 10 2" xfId="18758" xr:uid="{00000000-0005-0000-0000-000060520000}"/>
    <cellStyle name="Separador de milhares 3 2 2 10 3" xfId="18759" xr:uid="{00000000-0005-0000-0000-000061520000}"/>
    <cellStyle name="Separador de milhares 3 2 2 10 4" xfId="18760" xr:uid="{00000000-0005-0000-0000-000062520000}"/>
    <cellStyle name="Separador de milhares 3 2 2 11" xfId="18761" xr:uid="{00000000-0005-0000-0000-000063520000}"/>
    <cellStyle name="Separador de milhares 3 2 2 11 2" xfId="18762" xr:uid="{00000000-0005-0000-0000-000064520000}"/>
    <cellStyle name="Separador de milhares 3 2 2 11 3" xfId="18763" xr:uid="{00000000-0005-0000-0000-000065520000}"/>
    <cellStyle name="Separador de milhares 3 2 2 11 4" xfId="18764" xr:uid="{00000000-0005-0000-0000-000066520000}"/>
    <cellStyle name="Separador de milhares 3 2 2 12" xfId="18765" xr:uid="{00000000-0005-0000-0000-000067520000}"/>
    <cellStyle name="Separador de milhares 3 2 2 12 2" xfId="18766" xr:uid="{00000000-0005-0000-0000-000068520000}"/>
    <cellStyle name="Separador de milhares 3 2 2 12 3" xfId="18767" xr:uid="{00000000-0005-0000-0000-000069520000}"/>
    <cellStyle name="Separador de milhares 3 2 2 12 4" xfId="18768" xr:uid="{00000000-0005-0000-0000-00006A520000}"/>
    <cellStyle name="Separador de milhares 3 2 2 13" xfId="18769" xr:uid="{00000000-0005-0000-0000-00006B520000}"/>
    <cellStyle name="Separador de milhares 3 2 2 13 2" xfId="18770" xr:uid="{00000000-0005-0000-0000-00006C520000}"/>
    <cellStyle name="Separador de milhares 3 2 2 13 3" xfId="18771" xr:uid="{00000000-0005-0000-0000-00006D520000}"/>
    <cellStyle name="Separador de milhares 3 2 2 13 4" xfId="18772" xr:uid="{00000000-0005-0000-0000-00006E520000}"/>
    <cellStyle name="Separador de milhares 3 2 2 14" xfId="18773" xr:uid="{00000000-0005-0000-0000-00006F520000}"/>
    <cellStyle name="Separador de milhares 3 2 2 14 2" xfId="18774" xr:uid="{00000000-0005-0000-0000-000070520000}"/>
    <cellStyle name="Separador de milhares 3 2 2 14 3" xfId="18775" xr:uid="{00000000-0005-0000-0000-000071520000}"/>
    <cellStyle name="Separador de milhares 3 2 2 14 4" xfId="18776" xr:uid="{00000000-0005-0000-0000-000072520000}"/>
    <cellStyle name="Separador de milhares 3 2 2 15" xfId="18777" xr:uid="{00000000-0005-0000-0000-000073520000}"/>
    <cellStyle name="Separador de milhares 3 2 2 15 2" xfId="18778" xr:uid="{00000000-0005-0000-0000-000074520000}"/>
    <cellStyle name="Separador de milhares 3 2 2 15 3" xfId="18779" xr:uid="{00000000-0005-0000-0000-000075520000}"/>
    <cellStyle name="Separador de milhares 3 2 2 15 4" xfId="18780" xr:uid="{00000000-0005-0000-0000-000076520000}"/>
    <cellStyle name="Separador de milhares 3 2 2 16" xfId="18781" xr:uid="{00000000-0005-0000-0000-000077520000}"/>
    <cellStyle name="Separador de milhares 3 2 2 16 2" xfId="18782" xr:uid="{00000000-0005-0000-0000-000078520000}"/>
    <cellStyle name="Separador de milhares 3 2 2 16 3" xfId="18783" xr:uid="{00000000-0005-0000-0000-000079520000}"/>
    <cellStyle name="Separador de milhares 3 2 2 16 4" xfId="18784" xr:uid="{00000000-0005-0000-0000-00007A520000}"/>
    <cellStyle name="Separador de milhares 3 2 2 17" xfId="18785" xr:uid="{00000000-0005-0000-0000-00007B520000}"/>
    <cellStyle name="Separador de milhares 3 2 2 17 2" xfId="18786" xr:uid="{00000000-0005-0000-0000-00007C520000}"/>
    <cellStyle name="Separador de milhares 3 2 2 18" xfId="18787" xr:uid="{00000000-0005-0000-0000-00007D520000}"/>
    <cellStyle name="Separador de milhares 3 2 2 18 2" xfId="18788" xr:uid="{00000000-0005-0000-0000-00007E520000}"/>
    <cellStyle name="Separador de milhares 3 2 2 19" xfId="18789" xr:uid="{00000000-0005-0000-0000-00007F520000}"/>
    <cellStyle name="Separador de milhares 3 2 2 19 2" xfId="18790" xr:uid="{00000000-0005-0000-0000-000080520000}"/>
    <cellStyle name="Separador de milhares 3 2 2 2" xfId="714" xr:uid="{00000000-0005-0000-0000-000081520000}"/>
    <cellStyle name="Separador de milhares 3 2 2 2 10" xfId="18792" xr:uid="{00000000-0005-0000-0000-000082520000}"/>
    <cellStyle name="Separador de milhares 3 2 2 2 11" xfId="18793" xr:uid="{00000000-0005-0000-0000-000083520000}"/>
    <cellStyle name="Separador de milhares 3 2 2 2 12" xfId="18794" xr:uid="{00000000-0005-0000-0000-000084520000}"/>
    <cellStyle name="Separador de milhares 3 2 2 2 13" xfId="18791" xr:uid="{00000000-0005-0000-0000-000085520000}"/>
    <cellStyle name="Separador de milhares 3 2 2 2 14" xfId="27315" xr:uid="{00000000-0005-0000-0000-000086520000}"/>
    <cellStyle name="Separador de milhares 3 2 2 2 14 2" xfId="33152" xr:uid="{9B94BE3A-6616-436B-A556-5B36E1D06990}"/>
    <cellStyle name="Separador de milhares 3 2 2 2 15" xfId="27486" xr:uid="{00000000-0005-0000-0000-000087520000}"/>
    <cellStyle name="Separador de milhares 3 2 2 2 15 2" xfId="33323" xr:uid="{4016C5BB-9FC5-45BA-9217-50C0C6F783C3}"/>
    <cellStyle name="Separador de milhares 3 2 2 2 16" xfId="27655" xr:uid="{00000000-0005-0000-0000-000088520000}"/>
    <cellStyle name="Separador de milhares 3 2 2 2 16 2" xfId="33466" xr:uid="{28241472-A9CC-4719-9FE7-EB8808F4C0C9}"/>
    <cellStyle name="Separador de milhares 3 2 2 2 17" xfId="27812" xr:uid="{00000000-0005-0000-0000-000089520000}"/>
    <cellStyle name="Separador de milhares 3 2 2 2 17 2" xfId="33623" xr:uid="{9E82125E-36AE-44B0-9B1C-CE6E0B25D654}"/>
    <cellStyle name="Separador de milhares 3 2 2 2 18" xfId="27953" xr:uid="{6E098DE0-254F-453A-A3FA-DFC079C639B8}"/>
    <cellStyle name="Separador de milhares 3 2 2 2 2" xfId="715" xr:uid="{00000000-0005-0000-0000-00008A520000}"/>
    <cellStyle name="Separador de milhares 3 2 2 2 2 2" xfId="716" xr:uid="{00000000-0005-0000-0000-00008B520000}"/>
    <cellStyle name="Separador de milhares 3 2 2 2 2 2 2" xfId="27955" xr:uid="{D991B25B-6A05-43D0-A78C-7F3A838F48F4}"/>
    <cellStyle name="Separador de milhares 3 2 2 2 2 3" xfId="18795" xr:uid="{00000000-0005-0000-0000-00008C520000}"/>
    <cellStyle name="Separador de milhares 3 2 2 2 2 4" xfId="27954" xr:uid="{6CD07F7F-6D62-4175-B6D8-3B2D6F4226C4}"/>
    <cellStyle name="Separador de milhares 3 2 2 2 3" xfId="717" xr:uid="{00000000-0005-0000-0000-00008D520000}"/>
    <cellStyle name="Separador de milhares 3 2 2 2 3 2" xfId="18796" xr:uid="{00000000-0005-0000-0000-00008E520000}"/>
    <cellStyle name="Separador de milhares 3 2 2 2 3 3" xfId="27956" xr:uid="{3D2C249B-4E42-4238-8C1B-6064CA9630D5}"/>
    <cellStyle name="Separador de milhares 3 2 2 2 4" xfId="18797" xr:uid="{00000000-0005-0000-0000-00008F520000}"/>
    <cellStyle name="Separador de milhares 3 2 2 2 5" xfId="18798" xr:uid="{00000000-0005-0000-0000-000090520000}"/>
    <cellStyle name="Separador de milhares 3 2 2 2 6" xfId="18799" xr:uid="{00000000-0005-0000-0000-000091520000}"/>
    <cellStyle name="Separador de milhares 3 2 2 2 7" xfId="18800" xr:uid="{00000000-0005-0000-0000-000092520000}"/>
    <cellStyle name="Separador de milhares 3 2 2 2 8" xfId="18801" xr:uid="{00000000-0005-0000-0000-000093520000}"/>
    <cellStyle name="Separador de milhares 3 2 2 2 9" xfId="18802" xr:uid="{00000000-0005-0000-0000-000094520000}"/>
    <cellStyle name="Separador de milhares 3 2 2 20" xfId="18803" xr:uid="{00000000-0005-0000-0000-000095520000}"/>
    <cellStyle name="Separador de milhares 3 2 2 20 2" xfId="18804" xr:uid="{00000000-0005-0000-0000-000096520000}"/>
    <cellStyle name="Separador de milhares 3 2 2 21" xfId="18805" xr:uid="{00000000-0005-0000-0000-000097520000}"/>
    <cellStyle name="Separador de milhares 3 2 2 21 2" xfId="18806" xr:uid="{00000000-0005-0000-0000-000098520000}"/>
    <cellStyle name="Separador de milhares 3 2 2 22" xfId="18807" xr:uid="{00000000-0005-0000-0000-000099520000}"/>
    <cellStyle name="Separador de milhares 3 2 2 22 2" xfId="18808" xr:uid="{00000000-0005-0000-0000-00009A520000}"/>
    <cellStyle name="Separador de milhares 3 2 2 23" xfId="18809" xr:uid="{00000000-0005-0000-0000-00009B520000}"/>
    <cellStyle name="Separador de milhares 3 2 2 23 2" xfId="18810" xr:uid="{00000000-0005-0000-0000-00009C520000}"/>
    <cellStyle name="Separador de milhares 3 2 2 24" xfId="18811" xr:uid="{00000000-0005-0000-0000-00009D520000}"/>
    <cellStyle name="Separador de milhares 3 2 2 24 2" xfId="18812" xr:uid="{00000000-0005-0000-0000-00009E520000}"/>
    <cellStyle name="Separador de milhares 3 2 2 25" xfId="18813" xr:uid="{00000000-0005-0000-0000-00009F520000}"/>
    <cellStyle name="Separador de milhares 3 2 2 25 2" xfId="18814" xr:uid="{00000000-0005-0000-0000-0000A0520000}"/>
    <cellStyle name="Separador de milhares 3 2 2 26" xfId="18815" xr:uid="{00000000-0005-0000-0000-0000A1520000}"/>
    <cellStyle name="Separador de milhares 3 2 2 26 2" xfId="18816" xr:uid="{00000000-0005-0000-0000-0000A2520000}"/>
    <cellStyle name="Separador de milhares 3 2 2 27" xfId="18817" xr:uid="{00000000-0005-0000-0000-0000A3520000}"/>
    <cellStyle name="Separador de milhares 3 2 2 27 2" xfId="18818" xr:uid="{00000000-0005-0000-0000-0000A4520000}"/>
    <cellStyle name="Separador de milhares 3 2 2 28" xfId="18819" xr:uid="{00000000-0005-0000-0000-0000A5520000}"/>
    <cellStyle name="Separador de milhares 3 2 2 28 2" xfId="18820" xr:uid="{00000000-0005-0000-0000-0000A6520000}"/>
    <cellStyle name="Separador de milhares 3 2 2 29" xfId="18821" xr:uid="{00000000-0005-0000-0000-0000A7520000}"/>
    <cellStyle name="Separador de milhares 3 2 2 29 2" xfId="18822" xr:uid="{00000000-0005-0000-0000-0000A8520000}"/>
    <cellStyle name="Separador de milhares 3 2 2 3" xfId="718" xr:uid="{00000000-0005-0000-0000-0000A9520000}"/>
    <cellStyle name="Separador de milhares 3 2 2 3 10" xfId="18824" xr:uid="{00000000-0005-0000-0000-0000AA520000}"/>
    <cellStyle name="Separador de milhares 3 2 2 3 11" xfId="18825" xr:uid="{00000000-0005-0000-0000-0000AB520000}"/>
    <cellStyle name="Separador de milhares 3 2 2 3 12" xfId="18826" xr:uid="{00000000-0005-0000-0000-0000AC520000}"/>
    <cellStyle name="Separador de milhares 3 2 2 3 13" xfId="18823" xr:uid="{00000000-0005-0000-0000-0000AD520000}"/>
    <cellStyle name="Separador de milhares 3 2 2 3 14" xfId="27957" xr:uid="{BAD2062B-38DE-4E2F-B34F-E904CBE9E36C}"/>
    <cellStyle name="Separador de milhares 3 2 2 3 2" xfId="719" xr:uid="{00000000-0005-0000-0000-0000AE520000}"/>
    <cellStyle name="Separador de milhares 3 2 2 3 2 2" xfId="18827" xr:uid="{00000000-0005-0000-0000-0000AF520000}"/>
    <cellStyle name="Separador de milhares 3 2 2 3 2 3" xfId="27958" xr:uid="{5B463248-5B2C-4A3E-880B-EF68B327DC86}"/>
    <cellStyle name="Separador de milhares 3 2 2 3 3" xfId="18828" xr:uid="{00000000-0005-0000-0000-0000B0520000}"/>
    <cellStyle name="Separador de milhares 3 2 2 3 4" xfId="18829" xr:uid="{00000000-0005-0000-0000-0000B1520000}"/>
    <cellStyle name="Separador de milhares 3 2 2 3 5" xfId="18830" xr:uid="{00000000-0005-0000-0000-0000B2520000}"/>
    <cellStyle name="Separador de milhares 3 2 2 3 6" xfId="18831" xr:uid="{00000000-0005-0000-0000-0000B3520000}"/>
    <cellStyle name="Separador de milhares 3 2 2 3 7" xfId="18832" xr:uid="{00000000-0005-0000-0000-0000B4520000}"/>
    <cellStyle name="Separador de milhares 3 2 2 3 8" xfId="18833" xr:uid="{00000000-0005-0000-0000-0000B5520000}"/>
    <cellStyle name="Separador de milhares 3 2 2 3 9" xfId="18834" xr:uid="{00000000-0005-0000-0000-0000B6520000}"/>
    <cellStyle name="Separador de milhares 3 2 2 30" xfId="18835" xr:uid="{00000000-0005-0000-0000-0000B7520000}"/>
    <cellStyle name="Separador de milhares 3 2 2 30 2" xfId="18836" xr:uid="{00000000-0005-0000-0000-0000B8520000}"/>
    <cellStyle name="Separador de milhares 3 2 2 31" xfId="18837" xr:uid="{00000000-0005-0000-0000-0000B9520000}"/>
    <cellStyle name="Separador de milhares 3 2 2 31 2" xfId="18838" xr:uid="{00000000-0005-0000-0000-0000BA520000}"/>
    <cellStyle name="Separador de milhares 3 2 2 32" xfId="18839" xr:uid="{00000000-0005-0000-0000-0000BB520000}"/>
    <cellStyle name="Separador de milhares 3 2 2 32 2" xfId="18840" xr:uid="{00000000-0005-0000-0000-0000BC520000}"/>
    <cellStyle name="Separador de milhares 3 2 2 33" xfId="18841" xr:uid="{00000000-0005-0000-0000-0000BD520000}"/>
    <cellStyle name="Separador de milhares 3 2 2 33 2" xfId="18842" xr:uid="{00000000-0005-0000-0000-0000BE520000}"/>
    <cellStyle name="Separador de milhares 3 2 2 34" xfId="18843" xr:uid="{00000000-0005-0000-0000-0000BF520000}"/>
    <cellStyle name="Separador de milhares 3 2 2 34 2" xfId="18844" xr:uid="{00000000-0005-0000-0000-0000C0520000}"/>
    <cellStyle name="Separador de milhares 3 2 2 35" xfId="18845" xr:uid="{00000000-0005-0000-0000-0000C1520000}"/>
    <cellStyle name="Separador de milhares 3 2 2 35 2" xfId="18846" xr:uid="{00000000-0005-0000-0000-0000C2520000}"/>
    <cellStyle name="Separador de milhares 3 2 2 36" xfId="18847" xr:uid="{00000000-0005-0000-0000-0000C3520000}"/>
    <cellStyle name="Separador de milhares 3 2 2 37" xfId="18848" xr:uid="{00000000-0005-0000-0000-0000C4520000}"/>
    <cellStyle name="Separador de milhares 3 2 2 38" xfId="18849" xr:uid="{00000000-0005-0000-0000-0000C5520000}"/>
    <cellStyle name="Separador de milhares 3 2 2 39" xfId="18756" xr:uid="{00000000-0005-0000-0000-0000C6520000}"/>
    <cellStyle name="Separador de milhares 3 2 2 39 2" xfId="28654" xr:uid="{12303D8E-FDA7-4509-AB69-CF758378035B}"/>
    <cellStyle name="Separador de milhares 3 2 2 4" xfId="720" xr:uid="{00000000-0005-0000-0000-0000C7520000}"/>
    <cellStyle name="Separador de milhares 3 2 2 4 2" xfId="18851" xr:uid="{00000000-0005-0000-0000-0000C8520000}"/>
    <cellStyle name="Separador de milhares 3 2 2 4 3" xfId="18852" xr:uid="{00000000-0005-0000-0000-0000C9520000}"/>
    <cellStyle name="Separador de milhares 3 2 2 4 4" xfId="18853" xr:uid="{00000000-0005-0000-0000-0000CA520000}"/>
    <cellStyle name="Separador de milhares 3 2 2 4 5" xfId="18850" xr:uid="{00000000-0005-0000-0000-0000CB520000}"/>
    <cellStyle name="Separador de milhares 3 2 2 4 6" xfId="27959" xr:uid="{47313D6E-FA2A-47A7-AFE4-11E495C4E289}"/>
    <cellStyle name="Separador de milhares 3 2 2 40" xfId="27187" xr:uid="{00000000-0005-0000-0000-0000CC520000}"/>
    <cellStyle name="Separador de milhares 3 2 2 40 2" xfId="33029" xr:uid="{9E181C80-36C3-4350-B9C4-EF27B275F956}"/>
    <cellStyle name="Separador de milhares 3 2 2 41" xfId="27367" xr:uid="{00000000-0005-0000-0000-0000CD520000}"/>
    <cellStyle name="Separador de milhares 3 2 2 41 2" xfId="33204" xr:uid="{142FFF41-93AE-4573-A0A1-D4F11D877227}"/>
    <cellStyle name="Separador de milhares 3 2 2 42" xfId="27545" xr:uid="{00000000-0005-0000-0000-0000CE520000}"/>
    <cellStyle name="Separador de milhares 3 2 2 42 2" xfId="33357" xr:uid="{93095430-E6B5-43F5-889A-F250BD729E54}"/>
    <cellStyle name="Separador de milhares 3 2 2 43" xfId="27696" xr:uid="{00000000-0005-0000-0000-0000CF520000}"/>
    <cellStyle name="Separador de milhares 3 2 2 43 2" xfId="33507" xr:uid="{A36E9503-4D25-4140-BDBC-20ABC16E546E}"/>
    <cellStyle name="Separador de milhares 3 2 2 44" xfId="27952" xr:uid="{7BE60585-B2DE-41DE-86D1-7D24C4D200D3}"/>
    <cellStyle name="Separador de milhares 3 2 2 5" xfId="18854" xr:uid="{00000000-0005-0000-0000-0000D0520000}"/>
    <cellStyle name="Separador de milhares 3 2 2 5 2" xfId="18855" xr:uid="{00000000-0005-0000-0000-0000D1520000}"/>
    <cellStyle name="Separador de milhares 3 2 2 5 3" xfId="18856" xr:uid="{00000000-0005-0000-0000-0000D2520000}"/>
    <cellStyle name="Separador de milhares 3 2 2 5 4" xfId="18857" xr:uid="{00000000-0005-0000-0000-0000D3520000}"/>
    <cellStyle name="Separador de milhares 3 2 2 6" xfId="18858" xr:uid="{00000000-0005-0000-0000-0000D4520000}"/>
    <cellStyle name="Separador de milhares 3 2 2 6 2" xfId="18859" xr:uid="{00000000-0005-0000-0000-0000D5520000}"/>
    <cellStyle name="Separador de milhares 3 2 2 6 3" xfId="18860" xr:uid="{00000000-0005-0000-0000-0000D6520000}"/>
    <cellStyle name="Separador de milhares 3 2 2 6 4" xfId="18861" xr:uid="{00000000-0005-0000-0000-0000D7520000}"/>
    <cellStyle name="Separador de milhares 3 2 2 7" xfId="18862" xr:uid="{00000000-0005-0000-0000-0000D8520000}"/>
    <cellStyle name="Separador de milhares 3 2 2 7 2" xfId="18863" xr:uid="{00000000-0005-0000-0000-0000D9520000}"/>
    <cellStyle name="Separador de milhares 3 2 2 7 3" xfId="18864" xr:uid="{00000000-0005-0000-0000-0000DA520000}"/>
    <cellStyle name="Separador de milhares 3 2 2 7 4" xfId="18865" xr:uid="{00000000-0005-0000-0000-0000DB520000}"/>
    <cellStyle name="Separador de milhares 3 2 2 8" xfId="18866" xr:uid="{00000000-0005-0000-0000-0000DC520000}"/>
    <cellStyle name="Separador de milhares 3 2 2 8 2" xfId="18867" xr:uid="{00000000-0005-0000-0000-0000DD520000}"/>
    <cellStyle name="Separador de milhares 3 2 2 8 3" xfId="18868" xr:uid="{00000000-0005-0000-0000-0000DE520000}"/>
    <cellStyle name="Separador de milhares 3 2 2 8 4" xfId="18869" xr:uid="{00000000-0005-0000-0000-0000DF520000}"/>
    <cellStyle name="Separador de milhares 3 2 2 9" xfId="18870" xr:uid="{00000000-0005-0000-0000-0000E0520000}"/>
    <cellStyle name="Separador de milhares 3 2 2 9 2" xfId="18871" xr:uid="{00000000-0005-0000-0000-0000E1520000}"/>
    <cellStyle name="Separador de milhares 3 2 2 9 3" xfId="18872" xr:uid="{00000000-0005-0000-0000-0000E2520000}"/>
    <cellStyle name="Separador de milhares 3 2 2 9 4" xfId="18873" xr:uid="{00000000-0005-0000-0000-0000E3520000}"/>
    <cellStyle name="Separador de milhares 3 2 20" xfId="18874" xr:uid="{00000000-0005-0000-0000-0000E4520000}"/>
    <cellStyle name="Separador de milhares 3 2 20 2" xfId="18875" xr:uid="{00000000-0005-0000-0000-0000E5520000}"/>
    <cellStyle name="Separador de milhares 3 2 20 3" xfId="18876" xr:uid="{00000000-0005-0000-0000-0000E6520000}"/>
    <cellStyle name="Separador de milhares 3 2 20 4" xfId="18877" xr:uid="{00000000-0005-0000-0000-0000E7520000}"/>
    <cellStyle name="Separador de milhares 3 2 21" xfId="18878" xr:uid="{00000000-0005-0000-0000-0000E8520000}"/>
    <cellStyle name="Separador de milhares 3 2 21 2" xfId="18879" xr:uid="{00000000-0005-0000-0000-0000E9520000}"/>
    <cellStyle name="Separador de milhares 3 2 21 3" xfId="18880" xr:uid="{00000000-0005-0000-0000-0000EA520000}"/>
    <cellStyle name="Separador de milhares 3 2 21 4" xfId="18881" xr:uid="{00000000-0005-0000-0000-0000EB520000}"/>
    <cellStyle name="Separador de milhares 3 2 22" xfId="18882" xr:uid="{00000000-0005-0000-0000-0000EC520000}"/>
    <cellStyle name="Separador de milhares 3 2 22 2" xfId="18883" xr:uid="{00000000-0005-0000-0000-0000ED520000}"/>
    <cellStyle name="Separador de milhares 3 2 22 3" xfId="18884" xr:uid="{00000000-0005-0000-0000-0000EE520000}"/>
    <cellStyle name="Separador de milhares 3 2 22 4" xfId="18885" xr:uid="{00000000-0005-0000-0000-0000EF520000}"/>
    <cellStyle name="Separador de milhares 3 2 23" xfId="18886" xr:uid="{00000000-0005-0000-0000-0000F0520000}"/>
    <cellStyle name="Separador de milhares 3 2 23 2" xfId="18887" xr:uid="{00000000-0005-0000-0000-0000F1520000}"/>
    <cellStyle name="Separador de milhares 3 2 24" xfId="18888" xr:uid="{00000000-0005-0000-0000-0000F2520000}"/>
    <cellStyle name="Separador de milhares 3 2 24 2" xfId="18889" xr:uid="{00000000-0005-0000-0000-0000F3520000}"/>
    <cellStyle name="Separador de milhares 3 2 25" xfId="18890" xr:uid="{00000000-0005-0000-0000-0000F4520000}"/>
    <cellStyle name="Separador de milhares 3 2 25 2" xfId="18891" xr:uid="{00000000-0005-0000-0000-0000F5520000}"/>
    <cellStyle name="Separador de milhares 3 2 26" xfId="18892" xr:uid="{00000000-0005-0000-0000-0000F6520000}"/>
    <cellStyle name="Separador de milhares 3 2 26 2" xfId="18893" xr:uid="{00000000-0005-0000-0000-0000F7520000}"/>
    <cellStyle name="Separador de milhares 3 2 27" xfId="18894" xr:uid="{00000000-0005-0000-0000-0000F8520000}"/>
    <cellStyle name="Separador de milhares 3 2 27 2" xfId="18895" xr:uid="{00000000-0005-0000-0000-0000F9520000}"/>
    <cellStyle name="Separador de milhares 3 2 28" xfId="18896" xr:uid="{00000000-0005-0000-0000-0000FA520000}"/>
    <cellStyle name="Separador de milhares 3 2 28 2" xfId="18897" xr:uid="{00000000-0005-0000-0000-0000FB520000}"/>
    <cellStyle name="Separador de milhares 3 2 29" xfId="18898" xr:uid="{00000000-0005-0000-0000-0000FC520000}"/>
    <cellStyle name="Separador de milhares 3 2 29 2" xfId="18899" xr:uid="{00000000-0005-0000-0000-0000FD520000}"/>
    <cellStyle name="Separador de milhares 3 2 3" xfId="721" xr:uid="{00000000-0005-0000-0000-0000FE520000}"/>
    <cellStyle name="Separador de milhares 3 2 3 10" xfId="18901" xr:uid="{00000000-0005-0000-0000-0000FF520000}"/>
    <cellStyle name="Separador de milhares 3 2 3 11" xfId="18902" xr:uid="{00000000-0005-0000-0000-000000530000}"/>
    <cellStyle name="Separador de milhares 3 2 3 12" xfId="18903" xr:uid="{00000000-0005-0000-0000-000001530000}"/>
    <cellStyle name="Separador de milhares 3 2 3 13" xfId="18900" xr:uid="{00000000-0005-0000-0000-000002530000}"/>
    <cellStyle name="Separador de milhares 3 2 3 14" xfId="27188" xr:uid="{00000000-0005-0000-0000-000003530000}"/>
    <cellStyle name="Separador de milhares 3 2 3 14 2" xfId="33030" xr:uid="{92EA5B1D-83F6-4AF3-B812-B687EEE2191C}"/>
    <cellStyle name="Separador de milhares 3 2 3 15" xfId="27368" xr:uid="{00000000-0005-0000-0000-000004530000}"/>
    <cellStyle name="Separador de milhares 3 2 3 15 2" xfId="33205" xr:uid="{A7439F74-6A43-4C9E-87CA-D337102E190B}"/>
    <cellStyle name="Separador de milhares 3 2 3 16" xfId="27546" xr:uid="{00000000-0005-0000-0000-000005530000}"/>
    <cellStyle name="Separador de milhares 3 2 3 16 2" xfId="33358" xr:uid="{A2027686-8032-41C8-8886-18187A57D0E6}"/>
    <cellStyle name="Separador de milhares 3 2 3 17" xfId="27697" xr:uid="{00000000-0005-0000-0000-000006530000}"/>
    <cellStyle name="Separador de milhares 3 2 3 17 2" xfId="33508" xr:uid="{0BC29A98-2CF8-4C75-BFF8-36916265008E}"/>
    <cellStyle name="Separador de milhares 3 2 3 18" xfId="27960" xr:uid="{D3EA9019-AC35-411C-AEDE-F1FC4A18515E}"/>
    <cellStyle name="Separador de milhares 3 2 3 2" xfId="722" xr:uid="{00000000-0005-0000-0000-000007530000}"/>
    <cellStyle name="Separador de milhares 3 2 3 2 2" xfId="723" xr:uid="{00000000-0005-0000-0000-000008530000}"/>
    <cellStyle name="Separador de milhares 3 2 3 2 2 2" xfId="724" xr:uid="{00000000-0005-0000-0000-000009530000}"/>
    <cellStyle name="Separador de milhares 3 2 3 2 2 2 2" xfId="27963" xr:uid="{335EED7D-CA7C-491E-884F-B1CBCF2A683B}"/>
    <cellStyle name="Separador de milhares 3 2 3 2 2 3" xfId="27962" xr:uid="{2AFC290E-2FFB-4BB6-BCBC-197FD540D7A4}"/>
    <cellStyle name="Separador de milhares 3 2 3 2 3" xfId="725" xr:uid="{00000000-0005-0000-0000-00000A530000}"/>
    <cellStyle name="Separador de milhares 3 2 3 2 3 2" xfId="27964" xr:uid="{E6A69E52-2F1C-40F5-8A29-E0651128DCFD}"/>
    <cellStyle name="Separador de milhares 3 2 3 2 4" xfId="18904" xr:uid="{00000000-0005-0000-0000-00000B530000}"/>
    <cellStyle name="Separador de milhares 3 2 3 2 5" xfId="27189" xr:uid="{00000000-0005-0000-0000-00000C530000}"/>
    <cellStyle name="Separador de milhares 3 2 3 2 5 2" xfId="33031" xr:uid="{CD0860F6-DD7E-496D-A36B-86B159EB6058}"/>
    <cellStyle name="Separador de milhares 3 2 3 2 6" xfId="27369" xr:uid="{00000000-0005-0000-0000-00000D530000}"/>
    <cellStyle name="Separador de milhares 3 2 3 2 6 2" xfId="33206" xr:uid="{B0134BCF-A50F-4BD3-8427-75E8200AD45D}"/>
    <cellStyle name="Separador de milhares 3 2 3 2 7" xfId="27547" xr:uid="{00000000-0005-0000-0000-00000E530000}"/>
    <cellStyle name="Separador de milhares 3 2 3 2 7 2" xfId="33359" xr:uid="{B750AB30-39B9-4ED8-AEAC-91204C0B51EA}"/>
    <cellStyle name="Separador de milhares 3 2 3 2 8" xfId="27698" xr:uid="{00000000-0005-0000-0000-00000F530000}"/>
    <cellStyle name="Separador de milhares 3 2 3 2 8 2" xfId="33509" xr:uid="{3CAAB234-7A17-4579-ADAD-439BF9A8DD79}"/>
    <cellStyle name="Separador de milhares 3 2 3 2 9" xfId="27961" xr:uid="{EA7ACCE9-D6D0-404A-A087-33CFDB7D9B89}"/>
    <cellStyle name="Separador de milhares 3 2 3 3" xfId="726" xr:uid="{00000000-0005-0000-0000-000010530000}"/>
    <cellStyle name="Separador de milhares 3 2 3 3 2" xfId="727" xr:uid="{00000000-0005-0000-0000-000011530000}"/>
    <cellStyle name="Separador de milhares 3 2 3 3 2 2" xfId="27966" xr:uid="{C5DA9FD8-308A-4F3B-BB83-24D7FC7FAF82}"/>
    <cellStyle name="Separador de milhares 3 2 3 3 3" xfId="18905" xr:uid="{00000000-0005-0000-0000-000012530000}"/>
    <cellStyle name="Separador de milhares 3 2 3 3 4" xfId="27965" xr:uid="{CE66A8D6-739C-48DD-AA28-DC6E8658921B}"/>
    <cellStyle name="Separador de milhares 3 2 3 4" xfId="728" xr:uid="{00000000-0005-0000-0000-000013530000}"/>
    <cellStyle name="Separador de milhares 3 2 3 4 2" xfId="18906" xr:uid="{00000000-0005-0000-0000-000014530000}"/>
    <cellStyle name="Separador de milhares 3 2 3 4 3" xfId="27967" xr:uid="{5FE56982-5CF9-4F45-A735-E0C4A5B4DF12}"/>
    <cellStyle name="Separador de milhares 3 2 3 5" xfId="18907" xr:uid="{00000000-0005-0000-0000-000015530000}"/>
    <cellStyle name="Separador de milhares 3 2 3 6" xfId="18908" xr:uid="{00000000-0005-0000-0000-000016530000}"/>
    <cellStyle name="Separador de milhares 3 2 3 7" xfId="18909" xr:uid="{00000000-0005-0000-0000-000017530000}"/>
    <cellStyle name="Separador de milhares 3 2 3 8" xfId="18910" xr:uid="{00000000-0005-0000-0000-000018530000}"/>
    <cellStyle name="Separador de milhares 3 2 3 9" xfId="18911" xr:uid="{00000000-0005-0000-0000-000019530000}"/>
    <cellStyle name="Separador de milhares 3 2 30" xfId="18912" xr:uid="{00000000-0005-0000-0000-00001A530000}"/>
    <cellStyle name="Separador de milhares 3 2 30 2" xfId="18913" xr:uid="{00000000-0005-0000-0000-00001B530000}"/>
    <cellStyle name="Separador de milhares 3 2 31" xfId="18914" xr:uid="{00000000-0005-0000-0000-00001C530000}"/>
    <cellStyle name="Separador de milhares 3 2 31 2" xfId="18915" xr:uid="{00000000-0005-0000-0000-00001D530000}"/>
    <cellStyle name="Separador de milhares 3 2 32" xfId="18916" xr:uid="{00000000-0005-0000-0000-00001E530000}"/>
    <cellStyle name="Separador de milhares 3 2 32 2" xfId="18917" xr:uid="{00000000-0005-0000-0000-00001F530000}"/>
    <cellStyle name="Separador de milhares 3 2 33" xfId="18918" xr:uid="{00000000-0005-0000-0000-000020530000}"/>
    <cellStyle name="Separador de milhares 3 2 33 2" xfId="18919" xr:uid="{00000000-0005-0000-0000-000021530000}"/>
    <cellStyle name="Separador de milhares 3 2 34" xfId="18920" xr:uid="{00000000-0005-0000-0000-000022530000}"/>
    <cellStyle name="Separador de milhares 3 2 34 2" xfId="18921" xr:uid="{00000000-0005-0000-0000-000023530000}"/>
    <cellStyle name="Separador de milhares 3 2 35" xfId="18922" xr:uid="{00000000-0005-0000-0000-000024530000}"/>
    <cellStyle name="Separador de milhares 3 2 35 2" xfId="18923" xr:uid="{00000000-0005-0000-0000-000025530000}"/>
    <cellStyle name="Separador de milhares 3 2 36" xfId="18924" xr:uid="{00000000-0005-0000-0000-000026530000}"/>
    <cellStyle name="Separador de milhares 3 2 37" xfId="18925" xr:uid="{00000000-0005-0000-0000-000027530000}"/>
    <cellStyle name="Separador de milhares 3 2 38" xfId="18926" xr:uid="{00000000-0005-0000-0000-000028530000}"/>
    <cellStyle name="Separador de milhares 3 2 39" xfId="18715" xr:uid="{00000000-0005-0000-0000-000029530000}"/>
    <cellStyle name="Separador de milhares 3 2 39 2" xfId="28653" xr:uid="{12E1B98A-AE34-4DF3-8CA0-9BECCDD56244}"/>
    <cellStyle name="Separador de milhares 3 2 4" xfId="729" xr:uid="{00000000-0005-0000-0000-00002A530000}"/>
    <cellStyle name="Separador de milhares 3 2 4 10" xfId="18928" xr:uid="{00000000-0005-0000-0000-00002B530000}"/>
    <cellStyle name="Separador de milhares 3 2 4 11" xfId="18929" xr:uid="{00000000-0005-0000-0000-00002C530000}"/>
    <cellStyle name="Separador de milhares 3 2 4 12" xfId="18930" xr:uid="{00000000-0005-0000-0000-00002D530000}"/>
    <cellStyle name="Separador de milhares 3 2 4 13" xfId="18927" xr:uid="{00000000-0005-0000-0000-00002E530000}"/>
    <cellStyle name="Separador de milhares 3 2 4 14" xfId="27190" xr:uid="{00000000-0005-0000-0000-00002F530000}"/>
    <cellStyle name="Separador de milhares 3 2 4 14 2" xfId="33032" xr:uid="{EDEEEA35-F625-48AC-8264-C9C768065857}"/>
    <cellStyle name="Separador de milhares 3 2 4 15" xfId="27370" xr:uid="{00000000-0005-0000-0000-000030530000}"/>
    <cellStyle name="Separador de milhares 3 2 4 15 2" xfId="33207" xr:uid="{F78AA6E5-8EF8-41FD-A0B6-5EE591AB8CB3}"/>
    <cellStyle name="Separador de milhares 3 2 4 16" xfId="27548" xr:uid="{00000000-0005-0000-0000-000031530000}"/>
    <cellStyle name="Separador de milhares 3 2 4 16 2" xfId="33360" xr:uid="{C3BCA655-18D5-44D8-B656-5D99BC888839}"/>
    <cellStyle name="Separador de milhares 3 2 4 17" xfId="27699" xr:uid="{00000000-0005-0000-0000-000032530000}"/>
    <cellStyle name="Separador de milhares 3 2 4 17 2" xfId="33510" xr:uid="{3D216546-0908-4075-A1F3-38FD74961294}"/>
    <cellStyle name="Separador de milhares 3 2 4 18" xfId="27968" xr:uid="{58F850E0-0BE3-4D7F-A26A-84EFA1D610EB}"/>
    <cellStyle name="Separador de milhares 3 2 4 2" xfId="730" xr:uid="{00000000-0005-0000-0000-000033530000}"/>
    <cellStyle name="Separador de milhares 3 2 4 2 2" xfId="731" xr:uid="{00000000-0005-0000-0000-000034530000}"/>
    <cellStyle name="Separador de milhares 3 2 4 2 2 2" xfId="27970" xr:uid="{C8A1AC03-E852-4843-AB42-3F8A5AD2B0F9}"/>
    <cellStyle name="Separador de milhares 3 2 4 2 3" xfId="18931" xr:uid="{00000000-0005-0000-0000-000035530000}"/>
    <cellStyle name="Separador de milhares 3 2 4 2 4" xfId="27969" xr:uid="{174FE856-49F7-4526-A644-CD720CB56246}"/>
    <cellStyle name="Separador de milhares 3 2 4 3" xfId="732" xr:uid="{00000000-0005-0000-0000-000036530000}"/>
    <cellStyle name="Separador de milhares 3 2 4 3 2" xfId="18932" xr:uid="{00000000-0005-0000-0000-000037530000}"/>
    <cellStyle name="Separador de milhares 3 2 4 3 3" xfId="27971" xr:uid="{B44FD3D5-AC91-411C-BB33-035C8E162234}"/>
    <cellStyle name="Separador de milhares 3 2 4 4" xfId="18933" xr:uid="{00000000-0005-0000-0000-000038530000}"/>
    <cellStyle name="Separador de milhares 3 2 4 5" xfId="18934" xr:uid="{00000000-0005-0000-0000-000039530000}"/>
    <cellStyle name="Separador de milhares 3 2 4 6" xfId="18935" xr:uid="{00000000-0005-0000-0000-00003A530000}"/>
    <cellStyle name="Separador de milhares 3 2 4 7" xfId="18936" xr:uid="{00000000-0005-0000-0000-00003B530000}"/>
    <cellStyle name="Separador de milhares 3 2 4 8" xfId="18937" xr:uid="{00000000-0005-0000-0000-00003C530000}"/>
    <cellStyle name="Separador de milhares 3 2 4 9" xfId="18938" xr:uid="{00000000-0005-0000-0000-00003D530000}"/>
    <cellStyle name="Separador de milhares 3 2 40" xfId="27186" xr:uid="{00000000-0005-0000-0000-00003E530000}"/>
    <cellStyle name="Separador de milhares 3 2 40 2" xfId="33028" xr:uid="{704FB73E-859D-4700-9255-8215DE303C78}"/>
    <cellStyle name="Separador de milhares 3 2 41" xfId="27366" xr:uid="{00000000-0005-0000-0000-00003F530000}"/>
    <cellStyle name="Separador de milhares 3 2 41 2" xfId="33203" xr:uid="{863CBC46-253E-46C3-A773-F07C6440B12D}"/>
    <cellStyle name="Separador de milhares 3 2 42" xfId="27544" xr:uid="{00000000-0005-0000-0000-000040530000}"/>
    <cellStyle name="Separador de milhares 3 2 42 2" xfId="33356" xr:uid="{E1198C25-9325-4DDB-AB51-4BEB4457C78E}"/>
    <cellStyle name="Separador de milhares 3 2 43" xfId="27695" xr:uid="{00000000-0005-0000-0000-000041530000}"/>
    <cellStyle name="Separador de milhares 3 2 43 2" xfId="33506" xr:uid="{27FFF709-4313-40A6-8DC0-5BB04F01AC3C}"/>
    <cellStyle name="Separador de milhares 3 2 44" xfId="27951" xr:uid="{3736D93D-0F5A-49D5-9810-7739F9FE1217}"/>
    <cellStyle name="Separador de milhares 3 2 5" xfId="733" xr:uid="{00000000-0005-0000-0000-000042530000}"/>
    <cellStyle name="Separador de milhares 3 2 5 2" xfId="734" xr:uid="{00000000-0005-0000-0000-000043530000}"/>
    <cellStyle name="Separador de milhares 3 2 5 2 2" xfId="18940" xr:uid="{00000000-0005-0000-0000-000044530000}"/>
    <cellStyle name="Separador de milhares 3 2 5 2 3" xfId="27973" xr:uid="{7251A6E1-029C-4595-86FE-0766AF8B7352}"/>
    <cellStyle name="Separador de milhares 3 2 5 3" xfId="18941" xr:uid="{00000000-0005-0000-0000-000045530000}"/>
    <cellStyle name="Separador de milhares 3 2 5 4" xfId="18942" xr:uid="{00000000-0005-0000-0000-000046530000}"/>
    <cellStyle name="Separador de milhares 3 2 5 5" xfId="18943" xr:uid="{00000000-0005-0000-0000-000047530000}"/>
    <cellStyle name="Separador de milhares 3 2 5 6" xfId="18944" xr:uid="{00000000-0005-0000-0000-000048530000}"/>
    <cellStyle name="Separador de milhares 3 2 5 7" xfId="18939" xr:uid="{00000000-0005-0000-0000-000049530000}"/>
    <cellStyle name="Separador de milhares 3 2 5 8" xfId="27972" xr:uid="{1CC95D9D-70C9-4010-8DC5-3DCC1D26A493}"/>
    <cellStyle name="Separador de milhares 3 2 6" xfId="735" xr:uid="{00000000-0005-0000-0000-00004A530000}"/>
    <cellStyle name="Separador de milhares 3 2 6 2" xfId="18946" xr:uid="{00000000-0005-0000-0000-00004B530000}"/>
    <cellStyle name="Separador de milhares 3 2 6 3" xfId="18947" xr:uid="{00000000-0005-0000-0000-00004C530000}"/>
    <cellStyle name="Separador de milhares 3 2 6 4" xfId="18948" xr:uid="{00000000-0005-0000-0000-00004D530000}"/>
    <cellStyle name="Separador de milhares 3 2 6 5" xfId="18949" xr:uid="{00000000-0005-0000-0000-00004E530000}"/>
    <cellStyle name="Separador de milhares 3 2 6 6" xfId="18950" xr:uid="{00000000-0005-0000-0000-00004F530000}"/>
    <cellStyle name="Separador de milhares 3 2 6 7" xfId="18945" xr:uid="{00000000-0005-0000-0000-000050530000}"/>
    <cellStyle name="Separador de milhares 3 2 6 8" xfId="27974" xr:uid="{91144985-AD71-4700-95F9-FB6C8238F223}"/>
    <cellStyle name="Separador de milhares 3 2 7" xfId="18951" xr:uid="{00000000-0005-0000-0000-000051530000}"/>
    <cellStyle name="Separador de milhares 3 2 7 2" xfId="18952" xr:uid="{00000000-0005-0000-0000-000052530000}"/>
    <cellStyle name="Separador de milhares 3 2 7 3" xfId="18953" xr:uid="{00000000-0005-0000-0000-000053530000}"/>
    <cellStyle name="Separador de milhares 3 2 7 4" xfId="18954" xr:uid="{00000000-0005-0000-0000-000054530000}"/>
    <cellStyle name="Separador de milhares 3 2 7 5" xfId="18955" xr:uid="{00000000-0005-0000-0000-000055530000}"/>
    <cellStyle name="Separador de milhares 3 2 7 6" xfId="18956" xr:uid="{00000000-0005-0000-0000-000056530000}"/>
    <cellStyle name="Separador de milhares 3 2 8" xfId="18957" xr:uid="{00000000-0005-0000-0000-000057530000}"/>
    <cellStyle name="Separador de milhares 3 2 8 2" xfId="18958" xr:uid="{00000000-0005-0000-0000-000058530000}"/>
    <cellStyle name="Separador de milhares 3 2 8 3" xfId="18959" xr:uid="{00000000-0005-0000-0000-000059530000}"/>
    <cellStyle name="Separador de milhares 3 2 8 4" xfId="18960" xr:uid="{00000000-0005-0000-0000-00005A530000}"/>
    <cellStyle name="Separador de milhares 3 2 8 5" xfId="18961" xr:uid="{00000000-0005-0000-0000-00005B530000}"/>
    <cellStyle name="Separador de milhares 3 2 8 6" xfId="18962" xr:uid="{00000000-0005-0000-0000-00005C530000}"/>
    <cellStyle name="Separador de milhares 3 2 9" xfId="18963" xr:uid="{00000000-0005-0000-0000-00005D530000}"/>
    <cellStyle name="Separador de milhares 3 2 9 2" xfId="18964" xr:uid="{00000000-0005-0000-0000-00005E530000}"/>
    <cellStyle name="Separador de milhares 3 2 9 3" xfId="18965" xr:uid="{00000000-0005-0000-0000-00005F530000}"/>
    <cellStyle name="Separador de milhares 3 2 9 4" xfId="18966" xr:uid="{00000000-0005-0000-0000-000060530000}"/>
    <cellStyle name="Separador de milhares 3 2 9 5" xfId="18967" xr:uid="{00000000-0005-0000-0000-000061530000}"/>
    <cellStyle name="Separador de milhares 3 2 9 6" xfId="18968" xr:uid="{00000000-0005-0000-0000-000062530000}"/>
    <cellStyle name="Separador de milhares 3 20" xfId="18969" xr:uid="{00000000-0005-0000-0000-000063530000}"/>
    <cellStyle name="Separador de milhares 3 20 2" xfId="18970" xr:uid="{00000000-0005-0000-0000-000064530000}"/>
    <cellStyle name="Separador de milhares 3 20 3" xfId="18971" xr:uid="{00000000-0005-0000-0000-000065530000}"/>
    <cellStyle name="Separador de milhares 3 20 4" xfId="18972" xr:uid="{00000000-0005-0000-0000-000066530000}"/>
    <cellStyle name="Separador de milhares 3 21" xfId="18973" xr:uid="{00000000-0005-0000-0000-000067530000}"/>
    <cellStyle name="Separador de milhares 3 21 2" xfId="18974" xr:uid="{00000000-0005-0000-0000-000068530000}"/>
    <cellStyle name="Separador de milhares 3 21 3" xfId="18975" xr:uid="{00000000-0005-0000-0000-000069530000}"/>
    <cellStyle name="Separador de milhares 3 21 4" xfId="18976" xr:uid="{00000000-0005-0000-0000-00006A530000}"/>
    <cellStyle name="Separador de milhares 3 22" xfId="18977" xr:uid="{00000000-0005-0000-0000-00006B530000}"/>
    <cellStyle name="Separador de milhares 3 22 2" xfId="18978" xr:uid="{00000000-0005-0000-0000-00006C530000}"/>
    <cellStyle name="Separador de milhares 3 22 3" xfId="18979" xr:uid="{00000000-0005-0000-0000-00006D530000}"/>
    <cellStyle name="Separador de milhares 3 22 4" xfId="18980" xr:uid="{00000000-0005-0000-0000-00006E530000}"/>
    <cellStyle name="Separador de milhares 3 23" xfId="18981" xr:uid="{00000000-0005-0000-0000-00006F530000}"/>
    <cellStyle name="Separador de milhares 3 23 2" xfId="18982" xr:uid="{00000000-0005-0000-0000-000070530000}"/>
    <cellStyle name="Separador de milhares 3 24" xfId="18983" xr:uid="{00000000-0005-0000-0000-000071530000}"/>
    <cellStyle name="Separador de milhares 3 24 2" xfId="18984" xr:uid="{00000000-0005-0000-0000-000072530000}"/>
    <cellStyle name="Separador de milhares 3 25" xfId="18985" xr:uid="{00000000-0005-0000-0000-000073530000}"/>
    <cellStyle name="Separador de milhares 3 25 2" xfId="18986" xr:uid="{00000000-0005-0000-0000-000074530000}"/>
    <cellStyle name="Separador de milhares 3 26" xfId="18987" xr:uid="{00000000-0005-0000-0000-000075530000}"/>
    <cellStyle name="Separador de milhares 3 26 2" xfId="18988" xr:uid="{00000000-0005-0000-0000-000076530000}"/>
    <cellStyle name="Separador de milhares 3 27" xfId="18989" xr:uid="{00000000-0005-0000-0000-000077530000}"/>
    <cellStyle name="Separador de milhares 3 27 2" xfId="18990" xr:uid="{00000000-0005-0000-0000-000078530000}"/>
    <cellStyle name="Separador de milhares 3 28" xfId="18991" xr:uid="{00000000-0005-0000-0000-000079530000}"/>
    <cellStyle name="Separador de milhares 3 28 2" xfId="18992" xr:uid="{00000000-0005-0000-0000-00007A530000}"/>
    <cellStyle name="Separador de milhares 3 29" xfId="18993" xr:uid="{00000000-0005-0000-0000-00007B530000}"/>
    <cellStyle name="Separador de milhares 3 29 2" xfId="18994" xr:uid="{00000000-0005-0000-0000-00007C530000}"/>
    <cellStyle name="Separador de milhares 3 3" xfId="736" xr:uid="{00000000-0005-0000-0000-00007D530000}"/>
    <cellStyle name="Separador de milhares 3 3 10" xfId="18996" xr:uid="{00000000-0005-0000-0000-00007E530000}"/>
    <cellStyle name="Separador de milhares 3 3 11" xfId="18997" xr:uid="{00000000-0005-0000-0000-00007F530000}"/>
    <cellStyle name="Separador de milhares 3 3 12" xfId="18998" xr:uid="{00000000-0005-0000-0000-000080530000}"/>
    <cellStyle name="Separador de milhares 3 3 13" xfId="18999" xr:uid="{00000000-0005-0000-0000-000081530000}"/>
    <cellStyle name="Separador de milhares 3 3 14" xfId="19000" xr:uid="{00000000-0005-0000-0000-000082530000}"/>
    <cellStyle name="Separador de milhares 3 3 15" xfId="18995" xr:uid="{00000000-0005-0000-0000-000083530000}"/>
    <cellStyle name="Separador de milhares 3 3 16" xfId="27191" xr:uid="{00000000-0005-0000-0000-000084530000}"/>
    <cellStyle name="Separador de milhares 3 3 16 2" xfId="33033" xr:uid="{8B515346-7BEA-483F-AF50-908533AA788C}"/>
    <cellStyle name="Separador de milhares 3 3 17" xfId="27371" xr:uid="{00000000-0005-0000-0000-000085530000}"/>
    <cellStyle name="Separador de milhares 3 3 17 2" xfId="33208" xr:uid="{00EED452-9788-4F9D-8B0C-52BB05566E02}"/>
    <cellStyle name="Separador de milhares 3 3 18" xfId="27549" xr:uid="{00000000-0005-0000-0000-000086530000}"/>
    <cellStyle name="Separador de milhares 3 3 18 2" xfId="33361" xr:uid="{A3395C57-C70B-4D62-B989-5D7346073F60}"/>
    <cellStyle name="Separador de milhares 3 3 19" xfId="27700" xr:uid="{00000000-0005-0000-0000-000087530000}"/>
    <cellStyle name="Separador de milhares 3 3 19 2" xfId="33511" xr:uid="{7D44EBFE-0F37-4771-9CA0-3661DE9B34A5}"/>
    <cellStyle name="Separador de milhares 3 3 2" xfId="737" xr:uid="{00000000-0005-0000-0000-000088530000}"/>
    <cellStyle name="Separador de milhares 3 3 2 10" xfId="19002" xr:uid="{00000000-0005-0000-0000-000089530000}"/>
    <cellStyle name="Separador de milhares 3 3 2 11" xfId="19001" xr:uid="{00000000-0005-0000-0000-00008A530000}"/>
    <cellStyle name="Separador de milhares 3 3 2 11 2" xfId="28655" xr:uid="{F3D361B7-D976-4C8D-AC47-0811C70F155D}"/>
    <cellStyle name="Separador de milhares 3 3 2 12" xfId="27316" xr:uid="{00000000-0005-0000-0000-00008B530000}"/>
    <cellStyle name="Separador de milhares 3 3 2 12 2" xfId="33153" xr:uid="{B7B520BE-3DDE-4679-B032-F5F3D7D5361E}"/>
    <cellStyle name="Separador de milhares 3 3 2 13" xfId="27487" xr:uid="{00000000-0005-0000-0000-00008C530000}"/>
    <cellStyle name="Separador de milhares 3 3 2 13 2" xfId="33324" xr:uid="{91DBAE8A-59FB-47F5-9C68-12188FFC7A55}"/>
    <cellStyle name="Separador de milhares 3 3 2 14" xfId="27656" xr:uid="{00000000-0005-0000-0000-00008D530000}"/>
    <cellStyle name="Separador de milhares 3 3 2 14 2" xfId="33467" xr:uid="{2D661217-BFD2-49E5-BCA9-649A39A98326}"/>
    <cellStyle name="Separador de milhares 3 3 2 15" xfId="27813" xr:uid="{00000000-0005-0000-0000-00008E530000}"/>
    <cellStyle name="Separador de milhares 3 3 2 15 2" xfId="33624" xr:uid="{A17E93FF-EA72-4FC4-9BAD-29E3613C10C0}"/>
    <cellStyle name="Separador de milhares 3 3 2 16" xfId="27976" xr:uid="{EA45284F-0885-45AA-9996-086B475085CE}"/>
    <cellStyle name="Separador de milhares 3 3 2 2" xfId="738" xr:uid="{00000000-0005-0000-0000-00008F530000}"/>
    <cellStyle name="Separador de milhares 3 3 2 2 2" xfId="739" xr:uid="{00000000-0005-0000-0000-000090530000}"/>
    <cellStyle name="Separador de milhares 3 3 2 2 2 2" xfId="740" xr:uid="{00000000-0005-0000-0000-000091530000}"/>
    <cellStyle name="Separador de milhares 3 3 2 2 2 2 2" xfId="27979" xr:uid="{1494DB55-C06A-463B-8F35-4548FD0880E0}"/>
    <cellStyle name="Separador de milhares 3 3 2 2 2 3" xfId="27978" xr:uid="{0423EC08-C915-4C3B-B7CC-C9E00D2DDB15}"/>
    <cellStyle name="Separador de milhares 3 3 2 2 3" xfId="741" xr:uid="{00000000-0005-0000-0000-000092530000}"/>
    <cellStyle name="Separador de milhares 3 3 2 2 3 2" xfId="27980" xr:uid="{50E6D75B-6231-426E-BE63-5DF4B36EF9C1}"/>
    <cellStyle name="Separador de milhares 3 3 2 2 4" xfId="19003" xr:uid="{00000000-0005-0000-0000-000093530000}"/>
    <cellStyle name="Separador de milhares 3 3 2 2 5" xfId="27977" xr:uid="{FA2020E3-2364-43B6-9140-7C85E87FAB3B}"/>
    <cellStyle name="Separador de milhares 3 3 2 3" xfId="742" xr:uid="{00000000-0005-0000-0000-000094530000}"/>
    <cellStyle name="Separador de milhares 3 3 2 3 2" xfId="743" xr:uid="{00000000-0005-0000-0000-000095530000}"/>
    <cellStyle name="Separador de milhares 3 3 2 3 2 2" xfId="27982" xr:uid="{0F987F37-E585-4C2C-8F76-F3AE739B1EA3}"/>
    <cellStyle name="Separador de milhares 3 3 2 3 3" xfId="19004" xr:uid="{00000000-0005-0000-0000-000096530000}"/>
    <cellStyle name="Separador de milhares 3 3 2 3 4" xfId="27981" xr:uid="{5DAF5AD5-7110-4D2C-823C-3912970DB3FC}"/>
    <cellStyle name="Separador de milhares 3 3 2 4" xfId="744" xr:uid="{00000000-0005-0000-0000-000097530000}"/>
    <cellStyle name="Separador de milhares 3 3 2 4 2" xfId="19005" xr:uid="{00000000-0005-0000-0000-000098530000}"/>
    <cellStyle name="Separador de milhares 3 3 2 4 3" xfId="27983" xr:uid="{6A0E311E-C765-40A6-B41C-15AD39B5AED9}"/>
    <cellStyle name="Separador de milhares 3 3 2 5" xfId="19006" xr:uid="{00000000-0005-0000-0000-000099530000}"/>
    <cellStyle name="Separador de milhares 3 3 2 6" xfId="19007" xr:uid="{00000000-0005-0000-0000-00009A530000}"/>
    <cellStyle name="Separador de milhares 3 3 2 7" xfId="19008" xr:uid="{00000000-0005-0000-0000-00009B530000}"/>
    <cellStyle name="Separador de milhares 3 3 2 8" xfId="19009" xr:uid="{00000000-0005-0000-0000-00009C530000}"/>
    <cellStyle name="Separador de milhares 3 3 2 9" xfId="19010" xr:uid="{00000000-0005-0000-0000-00009D530000}"/>
    <cellStyle name="Separador de milhares 3 3 20" xfId="27975" xr:uid="{9D88AA89-1256-4423-A996-21AF9657FC55}"/>
    <cellStyle name="Separador de milhares 3 3 3" xfId="745" xr:uid="{00000000-0005-0000-0000-00009E530000}"/>
    <cellStyle name="Separador de milhares 3 3 3 10" xfId="19012" xr:uid="{00000000-0005-0000-0000-00009F530000}"/>
    <cellStyle name="Separador de milhares 3 3 3 11" xfId="19011" xr:uid="{00000000-0005-0000-0000-0000A0530000}"/>
    <cellStyle name="Separador de milhares 3 3 3 12" xfId="27984" xr:uid="{92F3607C-1531-4C5C-B5D5-3A260D1ADD02}"/>
    <cellStyle name="Separador de milhares 3 3 3 2" xfId="746" xr:uid="{00000000-0005-0000-0000-0000A1530000}"/>
    <cellStyle name="Separador de milhares 3 3 3 2 2" xfId="747" xr:uid="{00000000-0005-0000-0000-0000A2530000}"/>
    <cellStyle name="Separador de milhares 3 3 3 2 2 2" xfId="27986" xr:uid="{348EC312-3294-4F03-8CE8-5B1561EC42A1}"/>
    <cellStyle name="Separador de milhares 3 3 3 2 3" xfId="19013" xr:uid="{00000000-0005-0000-0000-0000A3530000}"/>
    <cellStyle name="Separador de milhares 3 3 3 2 4" xfId="27985" xr:uid="{2AA5C045-9A97-452B-A1B8-E3400B75A31D}"/>
    <cellStyle name="Separador de milhares 3 3 3 3" xfId="748" xr:uid="{00000000-0005-0000-0000-0000A4530000}"/>
    <cellStyle name="Separador de milhares 3 3 3 3 2" xfId="19014" xr:uid="{00000000-0005-0000-0000-0000A5530000}"/>
    <cellStyle name="Separador de milhares 3 3 3 3 3" xfId="27987" xr:uid="{F1F74ADA-1904-4101-87B2-BC7715991D14}"/>
    <cellStyle name="Separador de milhares 3 3 3 4" xfId="19015" xr:uid="{00000000-0005-0000-0000-0000A6530000}"/>
    <cellStyle name="Separador de milhares 3 3 3 5" xfId="19016" xr:uid="{00000000-0005-0000-0000-0000A7530000}"/>
    <cellStyle name="Separador de milhares 3 3 3 6" xfId="19017" xr:uid="{00000000-0005-0000-0000-0000A8530000}"/>
    <cellStyle name="Separador de milhares 3 3 3 7" xfId="19018" xr:uid="{00000000-0005-0000-0000-0000A9530000}"/>
    <cellStyle name="Separador de milhares 3 3 3 8" xfId="19019" xr:uid="{00000000-0005-0000-0000-0000AA530000}"/>
    <cellStyle name="Separador de milhares 3 3 3 9" xfId="19020" xr:uid="{00000000-0005-0000-0000-0000AB530000}"/>
    <cellStyle name="Separador de milhares 3 3 4" xfId="749" xr:uid="{00000000-0005-0000-0000-0000AC530000}"/>
    <cellStyle name="Separador de milhares 3 3 4 2" xfId="750" xr:uid="{00000000-0005-0000-0000-0000AD530000}"/>
    <cellStyle name="Separador de milhares 3 3 4 2 2" xfId="27989" xr:uid="{54336E9A-36BC-4EB1-B9A2-250B15D79CAB}"/>
    <cellStyle name="Separador de milhares 3 3 4 3" xfId="19021" xr:uid="{00000000-0005-0000-0000-0000AE530000}"/>
    <cellStyle name="Separador de milhares 3 3 4 4" xfId="27988" xr:uid="{5529DE0D-73A5-4097-AEFF-1049268C1F8D}"/>
    <cellStyle name="Separador de milhares 3 3 5" xfId="751" xr:uid="{00000000-0005-0000-0000-0000AF530000}"/>
    <cellStyle name="Separador de milhares 3 3 5 2" xfId="19022" xr:uid="{00000000-0005-0000-0000-0000B0530000}"/>
    <cellStyle name="Separador de milhares 3 3 5 3" xfId="27990" xr:uid="{1AA89B2C-F8F7-4DCC-B42B-2EFDDCB3B96D}"/>
    <cellStyle name="Separador de milhares 3 3 6" xfId="19023" xr:uid="{00000000-0005-0000-0000-0000B1530000}"/>
    <cellStyle name="Separador de milhares 3 3 7" xfId="19024" xr:uid="{00000000-0005-0000-0000-0000B2530000}"/>
    <cellStyle name="Separador de milhares 3 3 8" xfId="19025" xr:uid="{00000000-0005-0000-0000-0000B3530000}"/>
    <cellStyle name="Separador de milhares 3 3 9" xfId="19026" xr:uid="{00000000-0005-0000-0000-0000B4530000}"/>
    <cellStyle name="Separador de milhares 3 30" xfId="19027" xr:uid="{00000000-0005-0000-0000-0000B5530000}"/>
    <cellStyle name="Separador de milhares 3 30 2" xfId="19028" xr:uid="{00000000-0005-0000-0000-0000B6530000}"/>
    <cellStyle name="Separador de milhares 3 31" xfId="19029" xr:uid="{00000000-0005-0000-0000-0000B7530000}"/>
    <cellStyle name="Separador de milhares 3 31 2" xfId="19030" xr:uid="{00000000-0005-0000-0000-0000B8530000}"/>
    <cellStyle name="Separador de milhares 3 32" xfId="19031" xr:uid="{00000000-0005-0000-0000-0000B9530000}"/>
    <cellStyle name="Separador de milhares 3 32 2" xfId="19032" xr:uid="{00000000-0005-0000-0000-0000BA530000}"/>
    <cellStyle name="Separador de milhares 3 33" xfId="19033" xr:uid="{00000000-0005-0000-0000-0000BB530000}"/>
    <cellStyle name="Separador de milhares 3 33 2" xfId="19034" xr:uid="{00000000-0005-0000-0000-0000BC530000}"/>
    <cellStyle name="Separador de milhares 3 34" xfId="19035" xr:uid="{00000000-0005-0000-0000-0000BD530000}"/>
    <cellStyle name="Separador de milhares 3 34 2" xfId="19036" xr:uid="{00000000-0005-0000-0000-0000BE530000}"/>
    <cellStyle name="Separador de milhares 3 35" xfId="19037" xr:uid="{00000000-0005-0000-0000-0000BF530000}"/>
    <cellStyle name="Separador de milhares 3 35 2" xfId="19038" xr:uid="{00000000-0005-0000-0000-0000C0530000}"/>
    <cellStyle name="Separador de milhares 3 36" xfId="19039" xr:uid="{00000000-0005-0000-0000-0000C1530000}"/>
    <cellStyle name="Separador de milhares 3 36 2" xfId="19040" xr:uid="{00000000-0005-0000-0000-0000C2530000}"/>
    <cellStyle name="Separador de milhares 3 37" xfId="19041" xr:uid="{00000000-0005-0000-0000-0000C3530000}"/>
    <cellStyle name="Separador de milhares 3 37 2" xfId="19042" xr:uid="{00000000-0005-0000-0000-0000C4530000}"/>
    <cellStyle name="Separador de milhares 3 38" xfId="19043" xr:uid="{00000000-0005-0000-0000-0000C5530000}"/>
    <cellStyle name="Separador de milhares 3 38 2" xfId="28656" xr:uid="{A300FB49-356A-43AB-A9CE-DB69C5496F12}"/>
    <cellStyle name="Separador de milhares 3 39" xfId="19044" xr:uid="{00000000-0005-0000-0000-0000C6530000}"/>
    <cellStyle name="Separador de milhares 3 39 2" xfId="28657" xr:uid="{41C12E01-CADB-4B54-854A-EFB94E5A8435}"/>
    <cellStyle name="Separador de milhares 3 4" xfId="752" xr:uid="{00000000-0005-0000-0000-0000C7530000}"/>
    <cellStyle name="Separador de milhares 3 4 10" xfId="19046" xr:uid="{00000000-0005-0000-0000-0000C8530000}"/>
    <cellStyle name="Separador de milhares 3 4 11" xfId="19047" xr:uid="{00000000-0005-0000-0000-0000C9530000}"/>
    <cellStyle name="Separador de milhares 3 4 12" xfId="19045" xr:uid="{00000000-0005-0000-0000-0000CA530000}"/>
    <cellStyle name="Separador de milhares 3 4 13" xfId="27991" xr:uid="{BF55DD64-E60B-4D1C-8CC6-685C98BD4509}"/>
    <cellStyle name="Separador de milhares 3 4 2" xfId="753" xr:uid="{00000000-0005-0000-0000-0000CB530000}"/>
    <cellStyle name="Separador de milhares 3 4 2 2" xfId="754" xr:uid="{00000000-0005-0000-0000-0000CC530000}"/>
    <cellStyle name="Separador de milhares 3 4 2 2 2" xfId="755" xr:uid="{00000000-0005-0000-0000-0000CD530000}"/>
    <cellStyle name="Separador de milhares 3 4 2 2 2 2" xfId="27994" xr:uid="{21769E89-A702-4E6E-99A6-950DD6578FDB}"/>
    <cellStyle name="Separador de milhares 3 4 2 2 3" xfId="27993" xr:uid="{B7666CD3-9A1B-4662-A70A-C17C0AC805D6}"/>
    <cellStyle name="Separador de milhares 3 4 2 3" xfId="756" xr:uid="{00000000-0005-0000-0000-0000CE530000}"/>
    <cellStyle name="Separador de milhares 3 4 2 3 2" xfId="27995" xr:uid="{29A00642-6D2A-483C-987A-243F0DB6296F}"/>
    <cellStyle name="Separador de milhares 3 4 2 4" xfId="19048" xr:uid="{00000000-0005-0000-0000-0000CF530000}"/>
    <cellStyle name="Separador de milhares 3 4 2 5" xfId="27992" xr:uid="{8255066F-0FD9-40B6-B6F6-8A8314B003CB}"/>
    <cellStyle name="Separador de milhares 3 4 3" xfId="757" xr:uid="{00000000-0005-0000-0000-0000D0530000}"/>
    <cellStyle name="Separador de milhares 3 4 3 2" xfId="758" xr:uid="{00000000-0005-0000-0000-0000D1530000}"/>
    <cellStyle name="Separador de milhares 3 4 3 2 2" xfId="27997" xr:uid="{CD580C36-2C76-4B99-A2F4-599E793B5372}"/>
    <cellStyle name="Separador de milhares 3 4 3 3" xfId="19049" xr:uid="{00000000-0005-0000-0000-0000D2530000}"/>
    <cellStyle name="Separador de milhares 3 4 3 4" xfId="27996" xr:uid="{FF269680-7A25-4059-B63B-CC308E61318A}"/>
    <cellStyle name="Separador de milhares 3 4 4" xfId="759" xr:uid="{00000000-0005-0000-0000-0000D3530000}"/>
    <cellStyle name="Separador de milhares 3 4 4 2" xfId="19050" xr:uid="{00000000-0005-0000-0000-0000D4530000}"/>
    <cellStyle name="Separador de milhares 3 4 4 3" xfId="27998" xr:uid="{890F1059-D9D8-4F63-96F0-B0C960DD4CB8}"/>
    <cellStyle name="Separador de milhares 3 4 5" xfId="19051" xr:uid="{00000000-0005-0000-0000-0000D5530000}"/>
    <cellStyle name="Separador de milhares 3 4 6" xfId="19052" xr:uid="{00000000-0005-0000-0000-0000D6530000}"/>
    <cellStyle name="Separador de milhares 3 4 7" xfId="19053" xr:uid="{00000000-0005-0000-0000-0000D7530000}"/>
    <cellStyle name="Separador de milhares 3 4 8" xfId="19054" xr:uid="{00000000-0005-0000-0000-0000D8530000}"/>
    <cellStyle name="Separador de milhares 3 4 9" xfId="19055" xr:uid="{00000000-0005-0000-0000-0000D9530000}"/>
    <cellStyle name="Separador de milhares 3 40" xfId="19056" xr:uid="{00000000-0005-0000-0000-0000DA530000}"/>
    <cellStyle name="Separador de milhares 3 40 2" xfId="28658" xr:uid="{B3E4DF6B-A9DA-46CA-B779-46FEEF5EB9ED}"/>
    <cellStyle name="Separador de milhares 3 41" xfId="19057" xr:uid="{00000000-0005-0000-0000-0000DB530000}"/>
    <cellStyle name="Separador de milhares 3 41 2" xfId="28659" xr:uid="{0B8E549B-EC09-422E-ABF5-B288FCF9B402}"/>
    <cellStyle name="Separador de milhares 3 42" xfId="19058" xr:uid="{00000000-0005-0000-0000-0000DC530000}"/>
    <cellStyle name="Separador de milhares 3 42 2" xfId="28660" xr:uid="{38603603-3FA4-4AA2-BE0F-377DB4B3B60C}"/>
    <cellStyle name="Separador de milhares 3 43" xfId="19059" xr:uid="{00000000-0005-0000-0000-0000DD530000}"/>
    <cellStyle name="Separador de milhares 3 43 2" xfId="28661" xr:uid="{39579DC5-A237-423D-863D-F5373BF3F686}"/>
    <cellStyle name="Separador de milhares 3 44" xfId="27949" xr:uid="{CFA8E7EA-C52F-4EA1-8A77-DF72BC8CD12C}"/>
    <cellStyle name="Separador de milhares 3 5" xfId="760" xr:uid="{00000000-0005-0000-0000-0000DE530000}"/>
    <cellStyle name="Separador de milhares 3 5 2" xfId="761" xr:uid="{00000000-0005-0000-0000-0000DF530000}"/>
    <cellStyle name="Separador de milhares 3 5 2 2" xfId="762" xr:uid="{00000000-0005-0000-0000-0000E0530000}"/>
    <cellStyle name="Separador de milhares 3 5 2 2 2" xfId="763" xr:uid="{00000000-0005-0000-0000-0000E1530000}"/>
    <cellStyle name="Separador de milhares 3 5 2 2 2 2" xfId="28002" xr:uid="{CBEC7319-FD0D-4E06-AF1A-929C6DDF04B1}"/>
    <cellStyle name="Separador de milhares 3 5 2 2 3" xfId="28001" xr:uid="{AB739898-7D3A-4761-804F-CCC30FC710B4}"/>
    <cellStyle name="Separador de milhares 3 5 2 3" xfId="764" xr:uid="{00000000-0005-0000-0000-0000E2530000}"/>
    <cellStyle name="Separador de milhares 3 5 2 3 2" xfId="28003" xr:uid="{5F2F834E-A57E-4FAC-BB29-420C125B61B3}"/>
    <cellStyle name="Separador de milhares 3 5 2 4" xfId="19061" xr:uid="{00000000-0005-0000-0000-0000E3530000}"/>
    <cellStyle name="Separador de milhares 3 5 2 5" xfId="28000" xr:uid="{930F58AE-6380-4D47-A360-4BCB1EE398FF}"/>
    <cellStyle name="Separador de milhares 3 5 3" xfId="765" xr:uid="{00000000-0005-0000-0000-0000E4530000}"/>
    <cellStyle name="Separador de milhares 3 5 3 2" xfId="766" xr:uid="{00000000-0005-0000-0000-0000E5530000}"/>
    <cellStyle name="Separador de milhares 3 5 3 2 2" xfId="28005" xr:uid="{46C55C7C-100C-418C-8240-31B2A6A9AD2A}"/>
    <cellStyle name="Separador de milhares 3 5 3 3" xfId="19062" xr:uid="{00000000-0005-0000-0000-0000E6530000}"/>
    <cellStyle name="Separador de milhares 3 5 3 4" xfId="28004" xr:uid="{7F7FD7F6-8B55-4DF6-9728-BFA8DF5C260D}"/>
    <cellStyle name="Separador de milhares 3 5 4" xfId="767" xr:uid="{00000000-0005-0000-0000-0000E7530000}"/>
    <cellStyle name="Separador de milhares 3 5 4 2" xfId="19063" xr:uid="{00000000-0005-0000-0000-0000E8530000}"/>
    <cellStyle name="Separador de milhares 3 5 4 3" xfId="28006" xr:uid="{85652732-88FC-4E89-BD20-6D61D8D08D18}"/>
    <cellStyle name="Separador de milhares 3 5 5" xfId="19060" xr:uid="{00000000-0005-0000-0000-0000E9530000}"/>
    <cellStyle name="Separador de milhares 3 5 5 2" xfId="28662" xr:uid="{92CE1941-A2AB-4110-B482-0EF59791B27F}"/>
    <cellStyle name="Separador de milhares 3 5 6" xfId="27999" xr:uid="{5438C676-5F04-4FBB-9269-ED3F8AF126A2}"/>
    <cellStyle name="Separador de milhares 3 6" xfId="768" xr:uid="{00000000-0005-0000-0000-0000EA530000}"/>
    <cellStyle name="Separador de milhares 3 6 2" xfId="19065" xr:uid="{00000000-0005-0000-0000-0000EB530000}"/>
    <cellStyle name="Separador de milhares 3 6 3" xfId="19066" xr:uid="{00000000-0005-0000-0000-0000EC530000}"/>
    <cellStyle name="Separador de milhares 3 6 4" xfId="19067" xr:uid="{00000000-0005-0000-0000-0000ED530000}"/>
    <cellStyle name="Separador de milhares 3 6 5" xfId="19064" xr:uid="{00000000-0005-0000-0000-0000EE530000}"/>
    <cellStyle name="Separador de milhares 3 6 5 2" xfId="28663" xr:uid="{74A0A9A7-D900-4F50-B77B-4120F1E77AED}"/>
    <cellStyle name="Separador de milhares 3 7" xfId="769" xr:uid="{00000000-0005-0000-0000-0000EF530000}"/>
    <cellStyle name="Separador de milhares 3 7 2" xfId="19069" xr:uid="{00000000-0005-0000-0000-0000F0530000}"/>
    <cellStyle name="Separador de milhares 3 7 3" xfId="19070" xr:uid="{00000000-0005-0000-0000-0000F1530000}"/>
    <cellStyle name="Separador de milhares 3 7 4" xfId="19071" xr:uid="{00000000-0005-0000-0000-0000F2530000}"/>
    <cellStyle name="Separador de milhares 3 7 5" xfId="19068" xr:uid="{00000000-0005-0000-0000-0000F3530000}"/>
    <cellStyle name="Separador de milhares 3 7 5 2" xfId="28664" xr:uid="{2FE81562-BBC1-4CA0-860F-CE8055CB3400}"/>
    <cellStyle name="Separador de milhares 3 7 6" xfId="28007" xr:uid="{14A215F0-9ADF-40D5-A1DA-480B3B996E89}"/>
    <cellStyle name="Separador de milhares 3 8" xfId="770" xr:uid="{00000000-0005-0000-0000-0000F4530000}"/>
    <cellStyle name="Separador de milhares 3 8 2" xfId="19073" xr:uid="{00000000-0005-0000-0000-0000F5530000}"/>
    <cellStyle name="Separador de milhares 3 8 3" xfId="19074" xr:uid="{00000000-0005-0000-0000-0000F6530000}"/>
    <cellStyle name="Separador de milhares 3 8 4" xfId="19075" xr:uid="{00000000-0005-0000-0000-0000F7530000}"/>
    <cellStyle name="Separador de milhares 3 8 5" xfId="19072" xr:uid="{00000000-0005-0000-0000-0000F8530000}"/>
    <cellStyle name="Separador de milhares 3 9" xfId="771" xr:uid="{00000000-0005-0000-0000-0000F9530000}"/>
    <cellStyle name="Separador de milhares 3 9 2" xfId="19077" xr:uid="{00000000-0005-0000-0000-0000FA530000}"/>
    <cellStyle name="Separador de milhares 3 9 3" xfId="19078" xr:uid="{00000000-0005-0000-0000-0000FB530000}"/>
    <cellStyle name="Separador de milhares 3 9 4" xfId="19079" xr:uid="{00000000-0005-0000-0000-0000FC530000}"/>
    <cellStyle name="Separador de milhares 3 9 5" xfId="19076" xr:uid="{00000000-0005-0000-0000-0000FD530000}"/>
    <cellStyle name="Separador de milhares 3 9 6" xfId="28008" xr:uid="{7CAD7FB2-1255-4BD6-9918-7750A08D5AA6}"/>
    <cellStyle name="Separador de milhares 3_Pasta1" xfId="19080" xr:uid="{00000000-0005-0000-0000-0000FE530000}"/>
    <cellStyle name="Separador de milhares 30" xfId="19081" xr:uid="{00000000-0005-0000-0000-0000FF530000}"/>
    <cellStyle name="Separador de milhares 30 2" xfId="19082" xr:uid="{00000000-0005-0000-0000-000000540000}"/>
    <cellStyle name="Separador de milhares 30 2 2" xfId="28666" xr:uid="{38A86A32-A1D5-4F48-8CB7-94A22B827384}"/>
    <cellStyle name="Separador de milhares 30 3" xfId="28665" xr:uid="{01DF42AA-63D0-4392-8F14-D9A5A864B1C3}"/>
    <cellStyle name="Separador de milhares 31" xfId="19083" xr:uid="{00000000-0005-0000-0000-000001540000}"/>
    <cellStyle name="Separador de milhares 31 2" xfId="28667" xr:uid="{9E65F5C2-7B2A-4CE9-9EE8-E19B549F6C88}"/>
    <cellStyle name="Separador de milhares 32" xfId="19084" xr:uid="{00000000-0005-0000-0000-000002540000}"/>
    <cellStyle name="Separador de milhares 32 2" xfId="28668" xr:uid="{2E26146C-69E4-4632-BAB0-A2E779F43745}"/>
    <cellStyle name="Separador de milhares 33" xfId="19085" xr:uid="{00000000-0005-0000-0000-000003540000}"/>
    <cellStyle name="Separador de milhares 33 2" xfId="19086" xr:uid="{00000000-0005-0000-0000-000004540000}"/>
    <cellStyle name="Separador de milhares 33 2 2" xfId="28670" xr:uid="{5230FCB2-4615-4010-8F1B-579016B4A14C}"/>
    <cellStyle name="Separador de milhares 33 3" xfId="28669" xr:uid="{396A7AB6-6E53-4179-B281-F546EF37851A}"/>
    <cellStyle name="Separador de milhares 34" xfId="19087" xr:uid="{00000000-0005-0000-0000-000005540000}"/>
    <cellStyle name="Separador de milhares 34 2" xfId="19088" xr:uid="{00000000-0005-0000-0000-000006540000}"/>
    <cellStyle name="Separador de milhares 34 2 2" xfId="28672" xr:uid="{BC8C1A91-B4F3-4036-A4A5-4C5043FFB511}"/>
    <cellStyle name="Separador de milhares 34 3" xfId="28671" xr:uid="{08CEB108-4AFD-482A-8D1E-413894BD25D3}"/>
    <cellStyle name="Separador de milhares 35" xfId="19089" xr:uid="{00000000-0005-0000-0000-000007540000}"/>
    <cellStyle name="Separador de milhares 35 2" xfId="19090" xr:uid="{00000000-0005-0000-0000-000008540000}"/>
    <cellStyle name="Separador de milhares 35 2 2" xfId="28674" xr:uid="{CAE0F966-5EF3-404D-B271-BD4A991B3644}"/>
    <cellStyle name="Separador de milhares 35 3" xfId="28673" xr:uid="{C30C3065-7D55-4748-B0A7-0EE8458DB1A0}"/>
    <cellStyle name="Separador de milhares 36" xfId="19091" xr:uid="{00000000-0005-0000-0000-000009540000}"/>
    <cellStyle name="Separador de milhares 36 2" xfId="19092" xr:uid="{00000000-0005-0000-0000-00000A540000}"/>
    <cellStyle name="Separador de milhares 36 2 2" xfId="28676" xr:uid="{28D30918-8357-466E-AA85-A4CAF0ADF79A}"/>
    <cellStyle name="Separador de milhares 36 3" xfId="28675" xr:uid="{2799CCCE-CD24-4FB2-888D-5E5919D6EAE0}"/>
    <cellStyle name="Separador de milhares 37" xfId="19093" xr:uid="{00000000-0005-0000-0000-00000B540000}"/>
    <cellStyle name="Separador de milhares 37 2" xfId="19094" xr:uid="{00000000-0005-0000-0000-00000C540000}"/>
    <cellStyle name="Separador de milhares 37 2 2" xfId="28678" xr:uid="{EEA873AE-2C4B-4B04-B3C8-22D02B812BB1}"/>
    <cellStyle name="Separador de milhares 37 3" xfId="28677" xr:uid="{50F74F9D-FC06-442D-833B-78A5AD5E8C50}"/>
    <cellStyle name="Separador de milhares 38" xfId="19095" xr:uid="{00000000-0005-0000-0000-00000D540000}"/>
    <cellStyle name="Separador de milhares 38 2" xfId="19096" xr:uid="{00000000-0005-0000-0000-00000E540000}"/>
    <cellStyle name="Separador de milhares 38 2 2" xfId="28680" xr:uid="{990C7C07-7013-4C86-A42D-58ECABD6EFDD}"/>
    <cellStyle name="Separador de milhares 38 3" xfId="28679" xr:uid="{5334FC7A-A8B4-4B0E-9883-EB8C5E15BDEF}"/>
    <cellStyle name="Separador de milhares 39" xfId="19097" xr:uid="{00000000-0005-0000-0000-00000F540000}"/>
    <cellStyle name="Separador de milhares 39 2" xfId="19098" xr:uid="{00000000-0005-0000-0000-000010540000}"/>
    <cellStyle name="Separador de milhares 39 2 2" xfId="28682" xr:uid="{0162AC47-E874-46C3-9AC7-81519704B4A3}"/>
    <cellStyle name="Separador de milhares 39 3" xfId="28681" xr:uid="{C919FD61-477B-4C73-83F6-FE1A30C20616}"/>
    <cellStyle name="Separador de milhares 4" xfId="772" xr:uid="{00000000-0005-0000-0000-000011540000}"/>
    <cellStyle name="Separador de milhares 4 10" xfId="19099" xr:uid="{00000000-0005-0000-0000-000012540000}"/>
    <cellStyle name="Separador de milhares 4 10 2" xfId="19100" xr:uid="{00000000-0005-0000-0000-000013540000}"/>
    <cellStyle name="Separador de milhares 4 10 3" xfId="19101" xr:uid="{00000000-0005-0000-0000-000014540000}"/>
    <cellStyle name="Separador de milhares 4 11" xfId="19102" xr:uid="{00000000-0005-0000-0000-000015540000}"/>
    <cellStyle name="Separador de milhares 4 11 2" xfId="19103" xr:uid="{00000000-0005-0000-0000-000016540000}"/>
    <cellStyle name="Separador de milhares 4 11 3" xfId="19104" xr:uid="{00000000-0005-0000-0000-000017540000}"/>
    <cellStyle name="Separador de milhares 4 12" xfId="19105" xr:uid="{00000000-0005-0000-0000-000018540000}"/>
    <cellStyle name="Separador de milhares 4 12 2" xfId="19106" xr:uid="{00000000-0005-0000-0000-000019540000}"/>
    <cellStyle name="Separador de milhares 4 12 3" xfId="19107" xr:uid="{00000000-0005-0000-0000-00001A540000}"/>
    <cellStyle name="Separador de milhares 4 13" xfId="19108" xr:uid="{00000000-0005-0000-0000-00001B540000}"/>
    <cellStyle name="Separador de milhares 4 13 2" xfId="19109" xr:uid="{00000000-0005-0000-0000-00001C540000}"/>
    <cellStyle name="Separador de milhares 4 13 3" xfId="19110" xr:uid="{00000000-0005-0000-0000-00001D540000}"/>
    <cellStyle name="Separador de milhares 4 14" xfId="19111" xr:uid="{00000000-0005-0000-0000-00001E540000}"/>
    <cellStyle name="Separador de milhares 4 15" xfId="19112" xr:uid="{00000000-0005-0000-0000-00001F540000}"/>
    <cellStyle name="Separador de milhares 4 16" xfId="19113" xr:uid="{00000000-0005-0000-0000-000020540000}"/>
    <cellStyle name="Separador de milhares 4 17" xfId="19114" xr:uid="{00000000-0005-0000-0000-000021540000}"/>
    <cellStyle name="Separador de milhares 4 18" xfId="19115" xr:uid="{00000000-0005-0000-0000-000022540000}"/>
    <cellStyle name="Separador de milhares 4 19" xfId="19116" xr:uid="{00000000-0005-0000-0000-000023540000}"/>
    <cellStyle name="Separador de milhares 4 2" xfId="773" xr:uid="{00000000-0005-0000-0000-000024540000}"/>
    <cellStyle name="Separador de milhares 4 2 10" xfId="27702" xr:uid="{00000000-0005-0000-0000-000025540000}"/>
    <cellStyle name="Separador de milhares 4 2 10 2" xfId="33513" xr:uid="{26784276-2149-4FAD-A15B-7AE3085DCA5F}"/>
    <cellStyle name="Separador de milhares 4 2 11" xfId="28010" xr:uid="{204FC878-D28F-4EA1-A44B-EE60E120CF41}"/>
    <cellStyle name="Separador de milhares 4 2 2" xfId="774" xr:uid="{00000000-0005-0000-0000-000026540000}"/>
    <cellStyle name="Separador de milhares 4 2 2 10" xfId="28011" xr:uid="{F43AF435-BCE6-4E55-AE98-4DC192ED5047}"/>
    <cellStyle name="Separador de milhares 4 2 2 2" xfId="775" xr:uid="{00000000-0005-0000-0000-000027540000}"/>
    <cellStyle name="Separador de milhares 4 2 2 2 2" xfId="776" xr:uid="{00000000-0005-0000-0000-000028540000}"/>
    <cellStyle name="Separador de milhares 4 2 2 2 2 2" xfId="28013" xr:uid="{375F1745-66BE-4856-A868-C851DD444850}"/>
    <cellStyle name="Separador de milhares 4 2 2 2 3" xfId="28012" xr:uid="{D21E4EEF-8239-445F-A8E1-C99899A7EE13}"/>
    <cellStyle name="Separador de milhares 4 2 2 3" xfId="777" xr:uid="{00000000-0005-0000-0000-000029540000}"/>
    <cellStyle name="Separador de milhares 4 2 2 3 2" xfId="28014" xr:uid="{8FF3A922-90A5-403F-AF86-F28DF03ACF5E}"/>
    <cellStyle name="Separador de milhares 4 2 2 4" xfId="19118" xr:uid="{00000000-0005-0000-0000-00002A540000}"/>
    <cellStyle name="Separador de milhares 4 2 2 4 2" xfId="28684" xr:uid="{77E4A61B-6C7A-44DD-A9E8-4AB08CF58047}"/>
    <cellStyle name="Separador de milhares 4 2 2 5" xfId="26003" xr:uid="{00000000-0005-0000-0000-00002B540000}"/>
    <cellStyle name="Separador de milhares 4 2 2 5 2" xfId="32928" xr:uid="{601E77C0-0449-4E56-B7C9-FEF5C0636972}"/>
    <cellStyle name="Separador de milhares 4 2 2 6" xfId="27194" xr:uid="{00000000-0005-0000-0000-00002C540000}"/>
    <cellStyle name="Separador de milhares 4 2 2 6 2" xfId="33036" xr:uid="{2CC2B73B-A539-42C0-8FC2-03127B87181B}"/>
    <cellStyle name="Separador de milhares 4 2 2 7" xfId="27374" xr:uid="{00000000-0005-0000-0000-00002D540000}"/>
    <cellStyle name="Separador de milhares 4 2 2 7 2" xfId="33211" xr:uid="{A8AD2CE4-F16B-4906-8F61-E876DA425E2B}"/>
    <cellStyle name="Separador de milhares 4 2 2 8" xfId="27552" xr:uid="{00000000-0005-0000-0000-00002E540000}"/>
    <cellStyle name="Separador de milhares 4 2 2 8 2" xfId="33364" xr:uid="{E5705040-60E9-41B1-AE65-06B2C5A6FC5E}"/>
    <cellStyle name="Separador de milhares 4 2 2 9" xfId="27703" xr:uid="{00000000-0005-0000-0000-00002F540000}"/>
    <cellStyle name="Separador de milhares 4 2 2 9 2" xfId="33514" xr:uid="{9406AAFF-3739-491F-BFFE-F21DE31296D6}"/>
    <cellStyle name="Separador de milhares 4 2 3" xfId="778" xr:uid="{00000000-0005-0000-0000-000030540000}"/>
    <cellStyle name="Separador de milhares 4 2 3 2" xfId="779" xr:uid="{00000000-0005-0000-0000-000031540000}"/>
    <cellStyle name="Separador de milhares 4 2 3 2 2" xfId="28016" xr:uid="{EC4CB406-5A35-4531-89FD-DC44CD23832A}"/>
    <cellStyle name="Separador de milhares 4 2 3 3" xfId="19119" xr:uid="{00000000-0005-0000-0000-000032540000}"/>
    <cellStyle name="Separador de milhares 4 2 3 4" xfId="28015" xr:uid="{00179CB5-1A60-4538-94D8-100A961A44DD}"/>
    <cellStyle name="Separador de milhares 4 2 4" xfId="780" xr:uid="{00000000-0005-0000-0000-000033540000}"/>
    <cellStyle name="Separador de milhares 4 2 4 2" xfId="19120" xr:uid="{00000000-0005-0000-0000-000034540000}"/>
    <cellStyle name="Separador de milhares 4 2 4 3" xfId="28017" xr:uid="{50CE1B36-8E62-4458-B91E-FC346C433B13}"/>
    <cellStyle name="Separador de milhares 4 2 5" xfId="19117" xr:uid="{00000000-0005-0000-0000-000035540000}"/>
    <cellStyle name="Separador de milhares 4 2 5 2" xfId="28683" xr:uid="{5750659C-EB83-4EF4-AF72-D0856D8FE10D}"/>
    <cellStyle name="Separador de milhares 4 2 6" xfId="26002" xr:uid="{00000000-0005-0000-0000-000036540000}"/>
    <cellStyle name="Separador de milhares 4 2 6 2" xfId="32927" xr:uid="{2AB180D3-7B6F-4057-9E0E-C995864D8872}"/>
    <cellStyle name="Separador de milhares 4 2 7" xfId="27193" xr:uid="{00000000-0005-0000-0000-000037540000}"/>
    <cellStyle name="Separador de milhares 4 2 7 2" xfId="33035" xr:uid="{E60952CE-0576-4B05-9F31-8D6AA8F9C38A}"/>
    <cellStyle name="Separador de milhares 4 2 8" xfId="27373" xr:uid="{00000000-0005-0000-0000-000038540000}"/>
    <cellStyle name="Separador de milhares 4 2 8 2" xfId="33210" xr:uid="{89CA1331-F256-4C38-A53A-B75809B315CF}"/>
    <cellStyle name="Separador de milhares 4 2 9" xfId="27551" xr:uid="{00000000-0005-0000-0000-000039540000}"/>
    <cellStyle name="Separador de milhares 4 2 9 2" xfId="33363" xr:uid="{0754A559-7922-4967-ACD3-537A0A504B43}"/>
    <cellStyle name="Separador de milhares 4 20" xfId="19121" xr:uid="{00000000-0005-0000-0000-00003A540000}"/>
    <cellStyle name="Separador de milhares 4 21" xfId="19122" xr:uid="{00000000-0005-0000-0000-00003B540000}"/>
    <cellStyle name="Separador de milhares 4 22" xfId="19123" xr:uid="{00000000-0005-0000-0000-00003C540000}"/>
    <cellStyle name="Separador de milhares 4 23" xfId="19124" xr:uid="{00000000-0005-0000-0000-00003D540000}"/>
    <cellStyle name="Separador de milhares 4 24" xfId="19125" xr:uid="{00000000-0005-0000-0000-00003E540000}"/>
    <cellStyle name="Separador de milhares 4 25" xfId="19126" xr:uid="{00000000-0005-0000-0000-00003F540000}"/>
    <cellStyle name="Separador de milhares 4 26" xfId="19127" xr:uid="{00000000-0005-0000-0000-000040540000}"/>
    <cellStyle name="Separador de milhares 4 27" xfId="19128" xr:uid="{00000000-0005-0000-0000-000041540000}"/>
    <cellStyle name="Separador de milhares 4 28" xfId="19129" xr:uid="{00000000-0005-0000-0000-000042540000}"/>
    <cellStyle name="Separador de milhares 4 29" xfId="19130" xr:uid="{00000000-0005-0000-0000-000043540000}"/>
    <cellStyle name="Separador de milhares 4 3" xfId="781" xr:uid="{00000000-0005-0000-0000-000044540000}"/>
    <cellStyle name="Separador de milhares 4 3 10" xfId="27704" xr:uid="{00000000-0005-0000-0000-000045540000}"/>
    <cellStyle name="Separador de milhares 4 3 10 2" xfId="33515" xr:uid="{C9BB6E95-1405-4908-9E57-D5E3032C6A93}"/>
    <cellStyle name="Separador de milhares 4 3 11" xfId="28018" xr:uid="{E019C38F-77DB-458A-A394-EC62BF129250}"/>
    <cellStyle name="Separador de milhares 4 3 2" xfId="782" xr:uid="{00000000-0005-0000-0000-000046540000}"/>
    <cellStyle name="Separador de milhares 4 3 2 2" xfId="783" xr:uid="{00000000-0005-0000-0000-000047540000}"/>
    <cellStyle name="Separador de milhares 4 3 2 2 2" xfId="784" xr:uid="{00000000-0005-0000-0000-000048540000}"/>
    <cellStyle name="Separador de milhares 4 3 2 2 2 2" xfId="28021" xr:uid="{4BC1F0E7-9A8F-4F32-AA09-DE80C74216C8}"/>
    <cellStyle name="Separador de milhares 4 3 2 2 3" xfId="28020" xr:uid="{20249500-AE79-4069-BAA2-964C7FE785F5}"/>
    <cellStyle name="Separador de milhares 4 3 2 3" xfId="785" xr:uid="{00000000-0005-0000-0000-000049540000}"/>
    <cellStyle name="Separador de milhares 4 3 2 3 2" xfId="28022" xr:uid="{54DDA534-52DB-4A87-8F82-D889F8795647}"/>
    <cellStyle name="Separador de milhares 4 3 2 4" xfId="19132" xr:uid="{00000000-0005-0000-0000-00004A540000}"/>
    <cellStyle name="Separador de milhares 4 3 2 5" xfId="28019" xr:uid="{7CB7573E-88A0-4A33-A580-E0E7957FB407}"/>
    <cellStyle name="Separador de milhares 4 3 3" xfId="786" xr:uid="{00000000-0005-0000-0000-00004B540000}"/>
    <cellStyle name="Separador de milhares 4 3 3 2" xfId="787" xr:uid="{00000000-0005-0000-0000-00004C540000}"/>
    <cellStyle name="Separador de milhares 4 3 3 2 2" xfId="28024" xr:uid="{999A7AA9-9A06-4C3F-88A4-146E8A0E6D31}"/>
    <cellStyle name="Separador de milhares 4 3 3 3" xfId="19133" xr:uid="{00000000-0005-0000-0000-00004D540000}"/>
    <cellStyle name="Separador de milhares 4 3 3 4" xfId="28023" xr:uid="{A555578A-964E-4F85-9FC3-B5035DB6BAE3}"/>
    <cellStyle name="Separador de milhares 4 3 4" xfId="788" xr:uid="{00000000-0005-0000-0000-00004E540000}"/>
    <cellStyle name="Separador de milhares 4 3 4 2" xfId="19134" xr:uid="{00000000-0005-0000-0000-00004F540000}"/>
    <cellStyle name="Separador de milhares 4 3 4 3" xfId="28025" xr:uid="{E2D3F63C-93B1-46A5-884C-249B76D46A59}"/>
    <cellStyle name="Separador de milhares 4 3 5" xfId="19131" xr:uid="{00000000-0005-0000-0000-000050540000}"/>
    <cellStyle name="Separador de milhares 4 3 5 2" xfId="28685" xr:uid="{6BE1957C-F8AD-44A8-A7EB-7FF8FD2AD3C6}"/>
    <cellStyle name="Separador de milhares 4 3 6" xfId="26004" xr:uid="{00000000-0005-0000-0000-000051540000}"/>
    <cellStyle name="Separador de milhares 4 3 6 2" xfId="32929" xr:uid="{D25147FE-0313-488C-AA87-DA4A2A1A335F}"/>
    <cellStyle name="Separador de milhares 4 3 7" xfId="27195" xr:uid="{00000000-0005-0000-0000-000052540000}"/>
    <cellStyle name="Separador de milhares 4 3 7 2" xfId="33037" xr:uid="{27439627-0A29-4555-958D-981D100F756C}"/>
    <cellStyle name="Separador de milhares 4 3 8" xfId="27375" xr:uid="{00000000-0005-0000-0000-000053540000}"/>
    <cellStyle name="Separador de milhares 4 3 8 2" xfId="33212" xr:uid="{2A8178DC-3BD1-466E-BEB8-6D802F3212B8}"/>
    <cellStyle name="Separador de milhares 4 3 9" xfId="27553" xr:uid="{00000000-0005-0000-0000-000054540000}"/>
    <cellStyle name="Separador de milhares 4 3 9 2" xfId="33365" xr:uid="{0D2D928E-ADAE-4D96-9E75-B9AA265FFB64}"/>
    <cellStyle name="Separador de milhares 4 30" xfId="19135" xr:uid="{00000000-0005-0000-0000-000055540000}"/>
    <cellStyle name="Separador de milhares 4 31" xfId="19136" xr:uid="{00000000-0005-0000-0000-000056540000}"/>
    <cellStyle name="Separador de milhares 4 32" xfId="19137" xr:uid="{00000000-0005-0000-0000-000057540000}"/>
    <cellStyle name="Separador de milhares 4 33" xfId="19138" xr:uid="{00000000-0005-0000-0000-000058540000}"/>
    <cellStyle name="Separador de milhares 4 34" xfId="19139" xr:uid="{00000000-0005-0000-0000-000059540000}"/>
    <cellStyle name="Separador de milhares 4 35" xfId="19140" xr:uid="{00000000-0005-0000-0000-00005A540000}"/>
    <cellStyle name="Separador de milhares 4 36" xfId="19141" xr:uid="{00000000-0005-0000-0000-00005B540000}"/>
    <cellStyle name="Separador de milhares 4 37" xfId="19142" xr:uid="{00000000-0005-0000-0000-00005C540000}"/>
    <cellStyle name="Separador de milhares 4 37 2" xfId="19143" xr:uid="{00000000-0005-0000-0000-00005D540000}"/>
    <cellStyle name="Separador de milhares 4 38" xfId="19144" xr:uid="{00000000-0005-0000-0000-00005E540000}"/>
    <cellStyle name="Separador de milhares 4 39" xfId="19145" xr:uid="{00000000-0005-0000-0000-00005F540000}"/>
    <cellStyle name="Separador de milhares 4 4" xfId="789" xr:uid="{00000000-0005-0000-0000-000060540000}"/>
    <cellStyle name="Separador de milhares 4 4 2" xfId="19147" xr:uid="{00000000-0005-0000-0000-000061540000}"/>
    <cellStyle name="Separador de milhares 4 4 3" xfId="19148" xr:uid="{00000000-0005-0000-0000-000062540000}"/>
    <cellStyle name="Separador de milhares 4 4 4" xfId="19146" xr:uid="{00000000-0005-0000-0000-000063540000}"/>
    <cellStyle name="Separador de milhares 4 4 4 2" xfId="28686" xr:uid="{4F3E69C3-9214-40FA-BD27-E82A339AD1FC}"/>
    <cellStyle name="Separador de milhares 4 4 5" xfId="26005" xr:uid="{00000000-0005-0000-0000-000064540000}"/>
    <cellStyle name="Separador de milhares 4 4 5 2" xfId="32930" xr:uid="{8E94A154-4E4B-4C3F-8F1D-F6D6902EFB39}"/>
    <cellStyle name="Separador de milhares 4 4 6" xfId="27196" xr:uid="{00000000-0005-0000-0000-000065540000}"/>
    <cellStyle name="Separador de milhares 4 4 6 2" xfId="33038" xr:uid="{BE20A5DA-5484-416D-8174-38FA984D65F7}"/>
    <cellStyle name="Separador de milhares 4 4 7" xfId="27376" xr:uid="{00000000-0005-0000-0000-000066540000}"/>
    <cellStyle name="Separador de milhares 4 4 7 2" xfId="33213" xr:uid="{0E9F05CE-C15F-4878-A787-C6841EDE6F20}"/>
    <cellStyle name="Separador de milhares 4 4 8" xfId="27554" xr:uid="{00000000-0005-0000-0000-000067540000}"/>
    <cellStyle name="Separador de milhares 4 4 8 2" xfId="33366" xr:uid="{A714FDCA-29E2-4D29-A000-0E5FCC118EA1}"/>
    <cellStyle name="Separador de milhares 4 4 9" xfId="27705" xr:uid="{00000000-0005-0000-0000-000068540000}"/>
    <cellStyle name="Separador de milhares 4 4 9 2" xfId="33516" xr:uid="{B358139C-7D9C-4BB6-A764-1A9D03A59381}"/>
    <cellStyle name="Separador de milhares 4 40" xfId="19149" xr:uid="{00000000-0005-0000-0000-000069540000}"/>
    <cellStyle name="Separador de milhares 4 41" xfId="19150" xr:uid="{00000000-0005-0000-0000-00006A540000}"/>
    <cellStyle name="Separador de milhares 4 42" xfId="19151" xr:uid="{00000000-0005-0000-0000-00006B540000}"/>
    <cellStyle name="Separador de milhares 4 42 2" xfId="28687" xr:uid="{1A8E9B1A-2602-430A-9DA4-C1E62B262AC0}"/>
    <cellStyle name="Separador de milhares 4 43" xfId="19152" xr:uid="{00000000-0005-0000-0000-00006C540000}"/>
    <cellStyle name="Separador de milhares 4 43 2" xfId="28688" xr:uid="{58750692-3A7E-4862-BAA7-BAAAA2F6982F}"/>
    <cellStyle name="Separador de milhares 4 44" xfId="19153" xr:uid="{00000000-0005-0000-0000-00006D540000}"/>
    <cellStyle name="Separador de milhares 4 44 2" xfId="28689" xr:uid="{8DD9B084-39DE-41AB-AF25-0C2470C62819}"/>
    <cellStyle name="Separador de milhares 4 45" xfId="19154" xr:uid="{00000000-0005-0000-0000-00006E540000}"/>
    <cellStyle name="Separador de milhares 4 45 2" xfId="28690" xr:uid="{204DB535-C0C5-463A-946C-23116488BE1E}"/>
    <cellStyle name="Separador de milhares 4 46" xfId="19155" xr:uid="{00000000-0005-0000-0000-00006F540000}"/>
    <cellStyle name="Separador de milhares 4 46 2" xfId="28691" xr:uid="{5CEAB445-FEA1-47B7-B307-B05BB4751BF1}"/>
    <cellStyle name="Separador de milhares 4 47" xfId="19156" xr:uid="{00000000-0005-0000-0000-000070540000}"/>
    <cellStyle name="Separador de milhares 4 47 2" xfId="28692" xr:uid="{2AC5D6E9-418F-4A89-A98A-5E2F59B8AE45}"/>
    <cellStyle name="Separador de milhares 4 48" xfId="19157" xr:uid="{00000000-0005-0000-0000-000071540000}"/>
    <cellStyle name="Separador de milhares 4 48 2" xfId="28693" xr:uid="{C9095D0A-8016-4FB9-B64B-9191B7830936}"/>
    <cellStyle name="Separador de milhares 4 49" xfId="19158" xr:uid="{00000000-0005-0000-0000-000072540000}"/>
    <cellStyle name="Separador de milhares 4 49 2" xfId="28694" xr:uid="{5C821A69-C2D5-40C1-A468-7E6DFD365095}"/>
    <cellStyle name="Separador de milhares 4 5" xfId="790" xr:uid="{00000000-0005-0000-0000-000073540000}"/>
    <cellStyle name="Separador de milhares 4 5 2" xfId="791" xr:uid="{00000000-0005-0000-0000-000074540000}"/>
    <cellStyle name="Separador de milhares 4 5 2 2" xfId="792" xr:uid="{00000000-0005-0000-0000-000075540000}"/>
    <cellStyle name="Separador de milhares 4 5 2 2 2" xfId="28028" xr:uid="{D9B48F0E-1A0E-4AFC-B1E3-03BAEA7D6994}"/>
    <cellStyle name="Separador de milhares 4 5 2 3" xfId="19160" xr:uid="{00000000-0005-0000-0000-000076540000}"/>
    <cellStyle name="Separador de milhares 4 5 2 4" xfId="28027" xr:uid="{9B421D7D-7320-4A89-BF25-E6202477455F}"/>
    <cellStyle name="Separador de milhares 4 5 3" xfId="793" xr:uid="{00000000-0005-0000-0000-000077540000}"/>
    <cellStyle name="Separador de milhares 4 5 3 2" xfId="19161" xr:uid="{00000000-0005-0000-0000-000078540000}"/>
    <cellStyle name="Separador de milhares 4 5 3 3" xfId="28029" xr:uid="{EB8FD8A3-3A01-4204-ADFF-8355DB6A54B1}"/>
    <cellStyle name="Separador de milhares 4 5 4" xfId="19159" xr:uid="{00000000-0005-0000-0000-000079540000}"/>
    <cellStyle name="Separador de milhares 4 5 4 2" xfId="28695" xr:uid="{B77DDEB6-897E-4983-854E-D036E7E1CE90}"/>
    <cellStyle name="Separador de milhares 4 5 5" xfId="28026" xr:uid="{4EABFF9E-A335-4A67-A6C9-9610FFA89498}"/>
    <cellStyle name="Separador de milhares 4 50" xfId="19162" xr:uid="{00000000-0005-0000-0000-00007A540000}"/>
    <cellStyle name="Separador de milhares 4 50 2" xfId="28696" xr:uid="{887A44DA-C0E8-410F-88AA-D8BB244D19E0}"/>
    <cellStyle name="Separador de milhares 4 51" xfId="19163" xr:uid="{00000000-0005-0000-0000-00007B540000}"/>
    <cellStyle name="Separador de milhares 4 51 2" xfId="28697" xr:uid="{2E3A95BE-C4AC-4A63-9AD9-61CFBA64F2E8}"/>
    <cellStyle name="Separador de milhares 4 52" xfId="19164" xr:uid="{00000000-0005-0000-0000-00007C540000}"/>
    <cellStyle name="Separador de milhares 4 52 2" xfId="28698" xr:uid="{93AB89D2-BF8C-4528-A90D-EC08E7CAAB4D}"/>
    <cellStyle name="Separador de milhares 4 53" xfId="19165" xr:uid="{00000000-0005-0000-0000-00007D540000}"/>
    <cellStyle name="Separador de milhares 4 53 2" xfId="28699" xr:uid="{0F8C218A-D040-4BBF-A119-EA8152C46D8A}"/>
    <cellStyle name="Separador de milhares 4 54" xfId="19166" xr:uid="{00000000-0005-0000-0000-00007E540000}"/>
    <cellStyle name="Separador de milhares 4 54 2" xfId="28700" xr:uid="{942BC3DB-55CC-49FF-8A39-D5D49E336B60}"/>
    <cellStyle name="Separador de milhares 4 55" xfId="27192" xr:uid="{00000000-0005-0000-0000-00007F540000}"/>
    <cellStyle name="Separador de milhares 4 55 2" xfId="33034" xr:uid="{1B9688F3-3DCA-4576-B279-258790296D53}"/>
    <cellStyle name="Separador de milhares 4 56" xfId="27372" xr:uid="{00000000-0005-0000-0000-000080540000}"/>
    <cellStyle name="Separador de milhares 4 56 2" xfId="33209" xr:uid="{D97E01CA-A787-4BD3-9328-9CB7A5F9CB3A}"/>
    <cellStyle name="Separador de milhares 4 57" xfId="27550" xr:uid="{00000000-0005-0000-0000-000081540000}"/>
    <cellStyle name="Separador de milhares 4 57 2" xfId="33362" xr:uid="{A8553A64-AE0C-4FA9-BFC6-02F9745F3C3B}"/>
    <cellStyle name="Separador de milhares 4 58" xfId="27701" xr:uid="{00000000-0005-0000-0000-000082540000}"/>
    <cellStyle name="Separador de milhares 4 58 2" xfId="33512" xr:uid="{695C373F-1234-49A6-A8BB-B860BB0F16EF}"/>
    <cellStyle name="Separador de milhares 4 59" xfId="28009" xr:uid="{0AFA42F3-BD98-4CBF-AE57-7E3B9AA060FD}"/>
    <cellStyle name="Separador de milhares 4 6" xfId="794" xr:uid="{00000000-0005-0000-0000-000083540000}"/>
    <cellStyle name="Separador de milhares 4 6 2" xfId="795" xr:uid="{00000000-0005-0000-0000-000084540000}"/>
    <cellStyle name="Separador de milhares 4 6 2 2" xfId="19168" xr:uid="{00000000-0005-0000-0000-000085540000}"/>
    <cellStyle name="Separador de milhares 4 6 2 3" xfId="28031" xr:uid="{41B257B8-4EA1-4394-B3F4-DB450CD864B4}"/>
    <cellStyle name="Separador de milhares 4 6 3" xfId="19169" xr:uid="{00000000-0005-0000-0000-000086540000}"/>
    <cellStyle name="Separador de milhares 4 6 4" xfId="19167" xr:uid="{00000000-0005-0000-0000-000087540000}"/>
    <cellStyle name="Separador de milhares 4 6 4 2" xfId="28701" xr:uid="{91C1CD58-885D-48DA-AC83-83C35DF2DD42}"/>
    <cellStyle name="Separador de milhares 4 6 5" xfId="28030" xr:uid="{EA5A9DCF-6C9E-41A1-997F-751C6F6D6213}"/>
    <cellStyle name="Separador de milhares 4 7" xfId="796" xr:uid="{00000000-0005-0000-0000-000088540000}"/>
    <cellStyle name="Separador de milhares 4 7 2" xfId="19171" xr:uid="{00000000-0005-0000-0000-000089540000}"/>
    <cellStyle name="Separador de milhares 4 7 3" xfId="19172" xr:uid="{00000000-0005-0000-0000-00008A540000}"/>
    <cellStyle name="Separador de milhares 4 7 4" xfId="19170" xr:uid="{00000000-0005-0000-0000-00008B540000}"/>
    <cellStyle name="Separador de milhares 4 7 4 2" xfId="28702" xr:uid="{D3F29729-417A-4D27-A776-8EE8DD327EFC}"/>
    <cellStyle name="Separador de milhares 4 7 5" xfId="28032" xr:uid="{3FE30E20-6D72-4863-9CC5-76A4394E8CA4}"/>
    <cellStyle name="Separador de milhares 4 8" xfId="797" xr:uid="{00000000-0005-0000-0000-00008C540000}"/>
    <cellStyle name="Separador de milhares 4 8 2" xfId="19174" xr:uid="{00000000-0005-0000-0000-00008D540000}"/>
    <cellStyle name="Separador de milhares 4 8 3" xfId="19175" xr:uid="{00000000-0005-0000-0000-00008E540000}"/>
    <cellStyle name="Separador de milhares 4 8 4" xfId="19173" xr:uid="{00000000-0005-0000-0000-00008F540000}"/>
    <cellStyle name="Separador de milhares 4 8 4 2" xfId="28703" xr:uid="{06861DCD-6A93-4D78-85A6-66604D353479}"/>
    <cellStyle name="Separador de milhares 4 8 5" xfId="28033" xr:uid="{97DFECB5-A440-4DA3-BCB6-0B441B23B690}"/>
    <cellStyle name="Separador de milhares 4 9" xfId="798" xr:uid="{00000000-0005-0000-0000-000090540000}"/>
    <cellStyle name="Separador de milhares 4 9 2" xfId="19177" xr:uid="{00000000-0005-0000-0000-000091540000}"/>
    <cellStyle name="Separador de milhares 4 9 3" xfId="19178" xr:uid="{00000000-0005-0000-0000-000092540000}"/>
    <cellStyle name="Separador de milhares 4 9 4" xfId="19176" xr:uid="{00000000-0005-0000-0000-000093540000}"/>
    <cellStyle name="Separador de milhares 4 9 5" xfId="28034" xr:uid="{8094FB21-C19F-4CD3-B231-CE39CE8489C2}"/>
    <cellStyle name="Separador de milhares 40" xfId="19179" xr:uid="{00000000-0005-0000-0000-000094540000}"/>
    <cellStyle name="Separador de milhares 40 2" xfId="19180" xr:uid="{00000000-0005-0000-0000-000095540000}"/>
    <cellStyle name="Separador de milhares 40 2 2" xfId="28705" xr:uid="{A8407347-2C5D-4EC4-B2EC-4CFE3D1D52E8}"/>
    <cellStyle name="Separador de milhares 40 3" xfId="28704" xr:uid="{A239750E-1A77-495C-8F57-86CCE0554E7A}"/>
    <cellStyle name="Separador de milhares 41" xfId="19181" xr:uid="{00000000-0005-0000-0000-000096540000}"/>
    <cellStyle name="Separador de milhares 41 2" xfId="19182" xr:uid="{00000000-0005-0000-0000-000097540000}"/>
    <cellStyle name="Separador de milhares 41 2 2" xfId="28707" xr:uid="{CADE08AE-E8A3-4418-B2DF-51169E9B173B}"/>
    <cellStyle name="Separador de milhares 41 3" xfId="28706" xr:uid="{1469721B-09EB-492F-9BB2-65C8A3C5EC82}"/>
    <cellStyle name="Separador de milhares 42" xfId="19183" xr:uid="{00000000-0005-0000-0000-000098540000}"/>
    <cellStyle name="Separador de milhares 42 2" xfId="19184" xr:uid="{00000000-0005-0000-0000-000099540000}"/>
    <cellStyle name="Separador de milhares 42 2 2" xfId="28709" xr:uid="{A785D7A9-94A5-4F5C-B223-7C74DC851754}"/>
    <cellStyle name="Separador de milhares 42 3" xfId="28708" xr:uid="{BE8C44EF-16CB-413D-85E6-3DEAEF61D3F5}"/>
    <cellStyle name="Separador de milhares 43" xfId="19185" xr:uid="{00000000-0005-0000-0000-00009A540000}"/>
    <cellStyle name="Separador de milhares 43 2" xfId="19186" xr:uid="{00000000-0005-0000-0000-00009B540000}"/>
    <cellStyle name="Separador de milhares 43 2 2" xfId="28711" xr:uid="{33F9B029-8171-4681-8EC9-BF363A382949}"/>
    <cellStyle name="Separador de milhares 43 3" xfId="28710" xr:uid="{82B37787-AC05-4B4D-ACD3-E658E2324C84}"/>
    <cellStyle name="Separador de milhares 44" xfId="19187" xr:uid="{00000000-0005-0000-0000-00009C540000}"/>
    <cellStyle name="Separador de milhares 44 2" xfId="19188" xr:uid="{00000000-0005-0000-0000-00009D540000}"/>
    <cellStyle name="Separador de milhares 44 2 2" xfId="28713" xr:uid="{1C71BA7C-78AD-490E-89A2-3B335A7DDB63}"/>
    <cellStyle name="Separador de milhares 44 3" xfId="28712" xr:uid="{4B4D91F0-E1DC-451F-AE33-F467EABEB18B}"/>
    <cellStyle name="Separador de milhares 45" xfId="19189" xr:uid="{00000000-0005-0000-0000-00009E540000}"/>
    <cellStyle name="Separador de milhares 45 2" xfId="19190" xr:uid="{00000000-0005-0000-0000-00009F540000}"/>
    <cellStyle name="Separador de milhares 45 2 2" xfId="28715" xr:uid="{688BD84B-C803-4ECB-BA7F-2E04570E3EFE}"/>
    <cellStyle name="Separador de milhares 45 3" xfId="28714" xr:uid="{6C494FBB-9FE2-45DD-8E0F-5A4C70D49A21}"/>
    <cellStyle name="Separador de milhares 46" xfId="19191" xr:uid="{00000000-0005-0000-0000-0000A0540000}"/>
    <cellStyle name="Separador de milhares 46 2" xfId="19192" xr:uid="{00000000-0005-0000-0000-0000A1540000}"/>
    <cellStyle name="Separador de milhares 46 2 2" xfId="28717" xr:uid="{4953AEBF-F6C0-4181-894A-974A84E9FB68}"/>
    <cellStyle name="Separador de milhares 46 3" xfId="28716" xr:uid="{66478EFE-8DBD-4AE3-B8D8-CA43E6ECB18D}"/>
    <cellStyle name="Separador de milhares 47" xfId="19193" xr:uid="{00000000-0005-0000-0000-0000A2540000}"/>
    <cellStyle name="Separador de milhares 47 2" xfId="19194" xr:uid="{00000000-0005-0000-0000-0000A3540000}"/>
    <cellStyle name="Separador de milhares 47 2 2" xfId="28719" xr:uid="{E59F16A6-FA36-4A71-866B-B3FB0F188B69}"/>
    <cellStyle name="Separador de milhares 47 3" xfId="28718" xr:uid="{BCE5B19C-CC8D-499D-BBBA-C47BD3797AD2}"/>
    <cellStyle name="Separador de milhares 48" xfId="19195" xr:uid="{00000000-0005-0000-0000-0000A4540000}"/>
    <cellStyle name="Separador de milhares 48 2" xfId="19196" xr:uid="{00000000-0005-0000-0000-0000A5540000}"/>
    <cellStyle name="Separador de milhares 48 2 2" xfId="28721" xr:uid="{DA1972B3-296F-44F0-AC0A-688BC612097B}"/>
    <cellStyle name="Separador de milhares 48 3" xfId="28720" xr:uid="{282E245A-0FFE-4A84-BEB2-B41D1198AFEB}"/>
    <cellStyle name="Separador de milhares 49" xfId="19197" xr:uid="{00000000-0005-0000-0000-0000A6540000}"/>
    <cellStyle name="Separador de milhares 49 2" xfId="19198" xr:uid="{00000000-0005-0000-0000-0000A7540000}"/>
    <cellStyle name="Separador de milhares 49 2 2" xfId="28723" xr:uid="{761E3865-F5D7-4221-8D8B-D56BAE8A34A7}"/>
    <cellStyle name="Separador de milhares 49 3" xfId="28722" xr:uid="{90B81DD5-3251-4D06-86C6-9CF6DB3B2990}"/>
    <cellStyle name="Separador de milhares 5" xfId="799" xr:uid="{00000000-0005-0000-0000-0000A8540000}"/>
    <cellStyle name="Separador de milhares 5 10" xfId="19199" xr:uid="{00000000-0005-0000-0000-0000A9540000}"/>
    <cellStyle name="Separador de milhares 5 11" xfId="19200" xr:uid="{00000000-0005-0000-0000-0000AA540000}"/>
    <cellStyle name="Separador de milhares 5 11 2" xfId="19201" xr:uid="{00000000-0005-0000-0000-0000AB540000}"/>
    <cellStyle name="Separador de milhares 5 11 3" xfId="19202" xr:uid="{00000000-0005-0000-0000-0000AC540000}"/>
    <cellStyle name="Separador de milhares 5 12" xfId="19203" xr:uid="{00000000-0005-0000-0000-0000AD540000}"/>
    <cellStyle name="Separador de milhares 5 12 2" xfId="19204" xr:uid="{00000000-0005-0000-0000-0000AE540000}"/>
    <cellStyle name="Separador de milhares 5 12 3" xfId="19205" xr:uid="{00000000-0005-0000-0000-0000AF540000}"/>
    <cellStyle name="Separador de milhares 5 13" xfId="19206" xr:uid="{00000000-0005-0000-0000-0000B0540000}"/>
    <cellStyle name="Separador de milhares 5 13 2" xfId="19207" xr:uid="{00000000-0005-0000-0000-0000B1540000}"/>
    <cellStyle name="Separador de milhares 5 13 3" xfId="19208" xr:uid="{00000000-0005-0000-0000-0000B2540000}"/>
    <cellStyle name="Separador de milhares 5 14" xfId="19209" xr:uid="{00000000-0005-0000-0000-0000B3540000}"/>
    <cellStyle name="Separador de milhares 5 14 2" xfId="19210" xr:uid="{00000000-0005-0000-0000-0000B4540000}"/>
    <cellStyle name="Separador de milhares 5 14 3" xfId="19211" xr:uid="{00000000-0005-0000-0000-0000B5540000}"/>
    <cellStyle name="Separador de milhares 5 14 4" xfId="19212" xr:uid="{00000000-0005-0000-0000-0000B6540000}"/>
    <cellStyle name="Separador de milhares 5 15" xfId="19213" xr:uid="{00000000-0005-0000-0000-0000B7540000}"/>
    <cellStyle name="Separador de milhares 5 15 10" xfId="19214" xr:uid="{00000000-0005-0000-0000-0000B8540000}"/>
    <cellStyle name="Separador de milhares 5 15 11" xfId="19215" xr:uid="{00000000-0005-0000-0000-0000B9540000}"/>
    <cellStyle name="Separador de milhares 5 15 12" xfId="19216" xr:uid="{00000000-0005-0000-0000-0000BA540000}"/>
    <cellStyle name="Separador de milhares 5 15 13" xfId="19217" xr:uid="{00000000-0005-0000-0000-0000BB540000}"/>
    <cellStyle name="Separador de milhares 5 15 14" xfId="19218" xr:uid="{00000000-0005-0000-0000-0000BC540000}"/>
    <cellStyle name="Separador de milhares 5 15 15" xfId="19219" xr:uid="{00000000-0005-0000-0000-0000BD540000}"/>
    <cellStyle name="Separador de milhares 5 15 16" xfId="19220" xr:uid="{00000000-0005-0000-0000-0000BE540000}"/>
    <cellStyle name="Separador de milhares 5 15 17" xfId="19221" xr:uid="{00000000-0005-0000-0000-0000BF540000}"/>
    <cellStyle name="Separador de milhares 5 15 18" xfId="19222" xr:uid="{00000000-0005-0000-0000-0000C0540000}"/>
    <cellStyle name="Separador de milhares 5 15 19" xfId="19223" xr:uid="{00000000-0005-0000-0000-0000C1540000}"/>
    <cellStyle name="Separador de milhares 5 15 2" xfId="19224" xr:uid="{00000000-0005-0000-0000-0000C2540000}"/>
    <cellStyle name="Separador de milhares 5 15 2 10" xfId="19225" xr:uid="{00000000-0005-0000-0000-0000C3540000}"/>
    <cellStyle name="Separador de milhares 5 15 2 11" xfId="19226" xr:uid="{00000000-0005-0000-0000-0000C4540000}"/>
    <cellStyle name="Separador de milhares 5 15 2 12" xfId="19227" xr:uid="{00000000-0005-0000-0000-0000C5540000}"/>
    <cellStyle name="Separador de milhares 5 15 2 13" xfId="19228" xr:uid="{00000000-0005-0000-0000-0000C6540000}"/>
    <cellStyle name="Separador de milhares 5 15 2 14" xfId="19229" xr:uid="{00000000-0005-0000-0000-0000C7540000}"/>
    <cellStyle name="Separador de milhares 5 15 2 15" xfId="19230" xr:uid="{00000000-0005-0000-0000-0000C8540000}"/>
    <cellStyle name="Separador de milhares 5 15 2 16" xfId="19231" xr:uid="{00000000-0005-0000-0000-0000C9540000}"/>
    <cellStyle name="Separador de milhares 5 15 2 17" xfId="19232" xr:uid="{00000000-0005-0000-0000-0000CA540000}"/>
    <cellStyle name="Separador de milhares 5 15 2 18" xfId="19233" xr:uid="{00000000-0005-0000-0000-0000CB540000}"/>
    <cellStyle name="Separador de milhares 5 15 2 19" xfId="19234" xr:uid="{00000000-0005-0000-0000-0000CC540000}"/>
    <cellStyle name="Separador de milhares 5 15 2 2" xfId="19235" xr:uid="{00000000-0005-0000-0000-0000CD540000}"/>
    <cellStyle name="Separador de milhares 5 15 2 2 10" xfId="19236" xr:uid="{00000000-0005-0000-0000-0000CE540000}"/>
    <cellStyle name="Separador de milhares 5 15 2 2 11" xfId="19237" xr:uid="{00000000-0005-0000-0000-0000CF540000}"/>
    <cellStyle name="Separador de milhares 5 15 2 2 12" xfId="19238" xr:uid="{00000000-0005-0000-0000-0000D0540000}"/>
    <cellStyle name="Separador de milhares 5 15 2 2 13" xfId="19239" xr:uid="{00000000-0005-0000-0000-0000D1540000}"/>
    <cellStyle name="Separador de milhares 5 15 2 2 14" xfId="19240" xr:uid="{00000000-0005-0000-0000-0000D2540000}"/>
    <cellStyle name="Separador de milhares 5 15 2 2 15" xfId="19241" xr:uid="{00000000-0005-0000-0000-0000D3540000}"/>
    <cellStyle name="Separador de milhares 5 15 2 2 16" xfId="19242" xr:uid="{00000000-0005-0000-0000-0000D4540000}"/>
    <cellStyle name="Separador de milhares 5 15 2 2 17" xfId="19243" xr:uid="{00000000-0005-0000-0000-0000D5540000}"/>
    <cellStyle name="Separador de milhares 5 15 2 2 18" xfId="19244" xr:uid="{00000000-0005-0000-0000-0000D6540000}"/>
    <cellStyle name="Separador de milhares 5 15 2 2 19" xfId="19245" xr:uid="{00000000-0005-0000-0000-0000D7540000}"/>
    <cellStyle name="Separador de milhares 5 15 2 2 2" xfId="19246" xr:uid="{00000000-0005-0000-0000-0000D8540000}"/>
    <cellStyle name="Separador de milhares 5 15 2 2 20" xfId="19247" xr:uid="{00000000-0005-0000-0000-0000D9540000}"/>
    <cellStyle name="Separador de milhares 5 15 2 2 21" xfId="19248" xr:uid="{00000000-0005-0000-0000-0000DA540000}"/>
    <cellStyle name="Separador de milhares 5 15 2 2 3" xfId="19249" xr:uid="{00000000-0005-0000-0000-0000DB540000}"/>
    <cellStyle name="Separador de milhares 5 15 2 2 4" xfId="19250" xr:uid="{00000000-0005-0000-0000-0000DC540000}"/>
    <cellStyle name="Separador de milhares 5 15 2 2 5" xfId="19251" xr:uid="{00000000-0005-0000-0000-0000DD540000}"/>
    <cellStyle name="Separador de milhares 5 15 2 2 6" xfId="19252" xr:uid="{00000000-0005-0000-0000-0000DE540000}"/>
    <cellStyle name="Separador de milhares 5 15 2 2 7" xfId="19253" xr:uid="{00000000-0005-0000-0000-0000DF540000}"/>
    <cellStyle name="Separador de milhares 5 15 2 2 8" xfId="19254" xr:uid="{00000000-0005-0000-0000-0000E0540000}"/>
    <cellStyle name="Separador de milhares 5 15 2 2 9" xfId="19255" xr:uid="{00000000-0005-0000-0000-0000E1540000}"/>
    <cellStyle name="Separador de milhares 5 15 2 20" xfId="19256" xr:uid="{00000000-0005-0000-0000-0000E2540000}"/>
    <cellStyle name="Separador de milhares 5 15 2 21" xfId="19257" xr:uid="{00000000-0005-0000-0000-0000E3540000}"/>
    <cellStyle name="Separador de milhares 5 15 2 22" xfId="19258" xr:uid="{00000000-0005-0000-0000-0000E4540000}"/>
    <cellStyle name="Separador de milhares 5 15 2 23" xfId="19259" xr:uid="{00000000-0005-0000-0000-0000E5540000}"/>
    <cellStyle name="Separador de milhares 5 15 2 24" xfId="19260" xr:uid="{00000000-0005-0000-0000-0000E6540000}"/>
    <cellStyle name="Separador de milhares 5 15 2 25" xfId="19261" xr:uid="{00000000-0005-0000-0000-0000E7540000}"/>
    <cellStyle name="Separador de milhares 5 15 2 26" xfId="19262" xr:uid="{00000000-0005-0000-0000-0000E8540000}"/>
    <cellStyle name="Separador de milhares 5 15 2 27" xfId="19263" xr:uid="{00000000-0005-0000-0000-0000E9540000}"/>
    <cellStyle name="Separador de milhares 5 15 2 28" xfId="19264" xr:uid="{00000000-0005-0000-0000-0000EA540000}"/>
    <cellStyle name="Separador de milhares 5 15 2 29" xfId="19265" xr:uid="{00000000-0005-0000-0000-0000EB540000}"/>
    <cellStyle name="Separador de milhares 5 15 2 3" xfId="19266" xr:uid="{00000000-0005-0000-0000-0000EC540000}"/>
    <cellStyle name="Separador de milhares 5 15 2 30" xfId="19267" xr:uid="{00000000-0005-0000-0000-0000ED540000}"/>
    <cellStyle name="Separador de milhares 5 15 2 31" xfId="19268" xr:uid="{00000000-0005-0000-0000-0000EE540000}"/>
    <cellStyle name="Separador de milhares 5 15 2 32" xfId="19269" xr:uid="{00000000-0005-0000-0000-0000EF540000}"/>
    <cellStyle name="Separador de milhares 5 15 2 4" xfId="19270" xr:uid="{00000000-0005-0000-0000-0000F0540000}"/>
    <cellStyle name="Separador de milhares 5 15 2 4 2" xfId="19271" xr:uid="{00000000-0005-0000-0000-0000F1540000}"/>
    <cellStyle name="Separador de milhares 5 15 2 4 3" xfId="19272" xr:uid="{00000000-0005-0000-0000-0000F2540000}"/>
    <cellStyle name="Separador de milhares 5 15 2 4 4" xfId="19273" xr:uid="{00000000-0005-0000-0000-0000F3540000}"/>
    <cellStyle name="Separador de milhares 5 15 2 5" xfId="19274" xr:uid="{00000000-0005-0000-0000-0000F4540000}"/>
    <cellStyle name="Separador de milhares 5 15 2 6" xfId="19275" xr:uid="{00000000-0005-0000-0000-0000F5540000}"/>
    <cellStyle name="Separador de milhares 5 15 2 7" xfId="19276" xr:uid="{00000000-0005-0000-0000-0000F6540000}"/>
    <cellStyle name="Separador de milhares 5 15 2 8" xfId="19277" xr:uid="{00000000-0005-0000-0000-0000F7540000}"/>
    <cellStyle name="Separador de milhares 5 15 2 9" xfId="19278" xr:uid="{00000000-0005-0000-0000-0000F8540000}"/>
    <cellStyle name="Separador de milhares 5 15 20" xfId="19279" xr:uid="{00000000-0005-0000-0000-0000F9540000}"/>
    <cellStyle name="Separador de milhares 5 15 21" xfId="19280" xr:uid="{00000000-0005-0000-0000-0000FA540000}"/>
    <cellStyle name="Separador de milhares 5 15 22" xfId="19281" xr:uid="{00000000-0005-0000-0000-0000FB540000}"/>
    <cellStyle name="Separador de milhares 5 15 23" xfId="19282" xr:uid="{00000000-0005-0000-0000-0000FC540000}"/>
    <cellStyle name="Separador de milhares 5 15 24" xfId="19283" xr:uid="{00000000-0005-0000-0000-0000FD540000}"/>
    <cellStyle name="Separador de milhares 5 15 25" xfId="19284" xr:uid="{00000000-0005-0000-0000-0000FE540000}"/>
    <cellStyle name="Separador de milhares 5 15 26" xfId="19285" xr:uid="{00000000-0005-0000-0000-0000FF540000}"/>
    <cellStyle name="Separador de milhares 5 15 27" xfId="19286" xr:uid="{00000000-0005-0000-0000-000000550000}"/>
    <cellStyle name="Separador de milhares 5 15 28" xfId="19287" xr:uid="{00000000-0005-0000-0000-000001550000}"/>
    <cellStyle name="Separador de milhares 5 15 29" xfId="19288" xr:uid="{00000000-0005-0000-0000-000002550000}"/>
    <cellStyle name="Separador de milhares 5 15 3" xfId="19289" xr:uid="{00000000-0005-0000-0000-000003550000}"/>
    <cellStyle name="Separador de milhares 5 15 3 10" xfId="19290" xr:uid="{00000000-0005-0000-0000-000004550000}"/>
    <cellStyle name="Separador de milhares 5 15 3 11" xfId="19291" xr:uid="{00000000-0005-0000-0000-000005550000}"/>
    <cellStyle name="Separador de milhares 5 15 3 12" xfId="19292" xr:uid="{00000000-0005-0000-0000-000006550000}"/>
    <cellStyle name="Separador de milhares 5 15 3 13" xfId="19293" xr:uid="{00000000-0005-0000-0000-000007550000}"/>
    <cellStyle name="Separador de milhares 5 15 3 14" xfId="19294" xr:uid="{00000000-0005-0000-0000-000008550000}"/>
    <cellStyle name="Separador de milhares 5 15 3 15" xfId="19295" xr:uid="{00000000-0005-0000-0000-000009550000}"/>
    <cellStyle name="Separador de milhares 5 15 3 16" xfId="19296" xr:uid="{00000000-0005-0000-0000-00000A550000}"/>
    <cellStyle name="Separador de milhares 5 15 3 17" xfId="19297" xr:uid="{00000000-0005-0000-0000-00000B550000}"/>
    <cellStyle name="Separador de milhares 5 15 3 18" xfId="19298" xr:uid="{00000000-0005-0000-0000-00000C550000}"/>
    <cellStyle name="Separador de milhares 5 15 3 19" xfId="19299" xr:uid="{00000000-0005-0000-0000-00000D550000}"/>
    <cellStyle name="Separador de milhares 5 15 3 2" xfId="19300" xr:uid="{00000000-0005-0000-0000-00000E550000}"/>
    <cellStyle name="Separador de milhares 5 15 3 20" xfId="19301" xr:uid="{00000000-0005-0000-0000-00000F550000}"/>
    <cellStyle name="Separador de milhares 5 15 3 21" xfId="19302" xr:uid="{00000000-0005-0000-0000-000010550000}"/>
    <cellStyle name="Separador de milhares 5 15 3 22" xfId="19303" xr:uid="{00000000-0005-0000-0000-000011550000}"/>
    <cellStyle name="Separador de milhares 5 15 3 23" xfId="19304" xr:uid="{00000000-0005-0000-0000-000012550000}"/>
    <cellStyle name="Separador de milhares 5 15 3 24" xfId="19305" xr:uid="{00000000-0005-0000-0000-000013550000}"/>
    <cellStyle name="Separador de milhares 5 15 3 25" xfId="19306" xr:uid="{00000000-0005-0000-0000-000014550000}"/>
    <cellStyle name="Separador de milhares 5 15 3 26" xfId="19307" xr:uid="{00000000-0005-0000-0000-000015550000}"/>
    <cellStyle name="Separador de milhares 5 15 3 27" xfId="19308" xr:uid="{00000000-0005-0000-0000-000016550000}"/>
    <cellStyle name="Separador de milhares 5 15 3 28" xfId="19309" xr:uid="{00000000-0005-0000-0000-000017550000}"/>
    <cellStyle name="Separador de milhares 5 15 3 29" xfId="19310" xr:uid="{00000000-0005-0000-0000-000018550000}"/>
    <cellStyle name="Separador de milhares 5 15 3 3" xfId="19311" xr:uid="{00000000-0005-0000-0000-000019550000}"/>
    <cellStyle name="Separador de milhares 5 15 3 30" xfId="19312" xr:uid="{00000000-0005-0000-0000-00001A550000}"/>
    <cellStyle name="Separador de milhares 5 15 3 31" xfId="19313" xr:uid="{00000000-0005-0000-0000-00001B550000}"/>
    <cellStyle name="Separador de milhares 5 15 3 4" xfId="19314" xr:uid="{00000000-0005-0000-0000-00001C550000}"/>
    <cellStyle name="Separador de milhares 5 15 3 5" xfId="19315" xr:uid="{00000000-0005-0000-0000-00001D550000}"/>
    <cellStyle name="Separador de milhares 5 15 3 6" xfId="19316" xr:uid="{00000000-0005-0000-0000-00001E550000}"/>
    <cellStyle name="Separador de milhares 5 15 3 7" xfId="19317" xr:uid="{00000000-0005-0000-0000-00001F550000}"/>
    <cellStyle name="Separador de milhares 5 15 3 8" xfId="19318" xr:uid="{00000000-0005-0000-0000-000020550000}"/>
    <cellStyle name="Separador de milhares 5 15 3 9" xfId="19319" xr:uid="{00000000-0005-0000-0000-000021550000}"/>
    <cellStyle name="Separador de milhares 5 15 30" xfId="19320" xr:uid="{00000000-0005-0000-0000-000022550000}"/>
    <cellStyle name="Separador de milhares 5 15 31" xfId="19321" xr:uid="{00000000-0005-0000-0000-000023550000}"/>
    <cellStyle name="Separador de milhares 5 15 32" xfId="19322" xr:uid="{00000000-0005-0000-0000-000024550000}"/>
    <cellStyle name="Separador de milhares 5 15 33" xfId="19323" xr:uid="{00000000-0005-0000-0000-000025550000}"/>
    <cellStyle name="Separador de milhares 5 15 34" xfId="19324" xr:uid="{00000000-0005-0000-0000-000026550000}"/>
    <cellStyle name="Separador de milhares 5 15 35" xfId="19325" xr:uid="{00000000-0005-0000-0000-000027550000}"/>
    <cellStyle name="Separador de milhares 5 15 36" xfId="19326" xr:uid="{00000000-0005-0000-0000-000028550000}"/>
    <cellStyle name="Separador de milhares 5 15 4" xfId="19327" xr:uid="{00000000-0005-0000-0000-000029550000}"/>
    <cellStyle name="Separador de milhares 5 15 5" xfId="19328" xr:uid="{00000000-0005-0000-0000-00002A550000}"/>
    <cellStyle name="Separador de milhares 5 15 6" xfId="19329" xr:uid="{00000000-0005-0000-0000-00002B550000}"/>
    <cellStyle name="Separador de milhares 5 15 6 2" xfId="19330" xr:uid="{00000000-0005-0000-0000-00002C550000}"/>
    <cellStyle name="Separador de milhares 5 15 6 3" xfId="19331" xr:uid="{00000000-0005-0000-0000-00002D550000}"/>
    <cellStyle name="Separador de milhares 5 15 6 4" xfId="19332" xr:uid="{00000000-0005-0000-0000-00002E550000}"/>
    <cellStyle name="Separador de milhares 5 15 7" xfId="19333" xr:uid="{00000000-0005-0000-0000-00002F550000}"/>
    <cellStyle name="Separador de milhares 5 15 8" xfId="19334" xr:uid="{00000000-0005-0000-0000-000030550000}"/>
    <cellStyle name="Separador de milhares 5 15 9" xfId="19335" xr:uid="{00000000-0005-0000-0000-000031550000}"/>
    <cellStyle name="Separador de milhares 5 16" xfId="19336" xr:uid="{00000000-0005-0000-0000-000032550000}"/>
    <cellStyle name="Separador de milhares 5 16 2" xfId="19337" xr:uid="{00000000-0005-0000-0000-000033550000}"/>
    <cellStyle name="Separador de milhares 5 16 3" xfId="19338" xr:uid="{00000000-0005-0000-0000-000034550000}"/>
    <cellStyle name="Separador de milhares 5 17" xfId="19339" xr:uid="{00000000-0005-0000-0000-000035550000}"/>
    <cellStyle name="Separador de milhares 5 17 2" xfId="19340" xr:uid="{00000000-0005-0000-0000-000036550000}"/>
    <cellStyle name="Separador de milhares 5 17 3" xfId="19341" xr:uid="{00000000-0005-0000-0000-000037550000}"/>
    <cellStyle name="Separador de milhares 5 18" xfId="19342" xr:uid="{00000000-0005-0000-0000-000038550000}"/>
    <cellStyle name="Separador de milhares 5 18 2" xfId="19343" xr:uid="{00000000-0005-0000-0000-000039550000}"/>
    <cellStyle name="Separador de milhares 5 18 3" xfId="19344" xr:uid="{00000000-0005-0000-0000-00003A550000}"/>
    <cellStyle name="Separador de milhares 5 19" xfId="19345" xr:uid="{00000000-0005-0000-0000-00003B550000}"/>
    <cellStyle name="Separador de milhares 5 2" xfId="800" xr:uid="{00000000-0005-0000-0000-00003C550000}"/>
    <cellStyle name="Separador de milhares 5 2 10" xfId="19347" xr:uid="{00000000-0005-0000-0000-00003D550000}"/>
    <cellStyle name="Separador de milhares 5 2 11" xfId="19348" xr:uid="{00000000-0005-0000-0000-00003E550000}"/>
    <cellStyle name="Separador de milhares 5 2 12" xfId="19349" xr:uid="{00000000-0005-0000-0000-00003F550000}"/>
    <cellStyle name="Separador de milhares 5 2 13" xfId="19350" xr:uid="{00000000-0005-0000-0000-000040550000}"/>
    <cellStyle name="Separador de milhares 5 2 14" xfId="19351" xr:uid="{00000000-0005-0000-0000-000041550000}"/>
    <cellStyle name="Separador de milhares 5 2 15" xfId="19346" xr:uid="{00000000-0005-0000-0000-000042550000}"/>
    <cellStyle name="Separador de milhares 5 2 15 2" xfId="28724" xr:uid="{59F6D547-15EB-4B4B-B06E-FED64666FC5F}"/>
    <cellStyle name="Separador de milhares 5 2 16" xfId="26006" xr:uid="{00000000-0005-0000-0000-000043550000}"/>
    <cellStyle name="Separador de milhares 5 2 16 2" xfId="32931" xr:uid="{41212DC8-CBE9-4A4B-801E-C1900CD30AF9}"/>
    <cellStyle name="Separador de milhares 5 2 17" xfId="27198" xr:uid="{00000000-0005-0000-0000-000044550000}"/>
    <cellStyle name="Separador de milhares 5 2 17 2" xfId="33040" xr:uid="{4757AFB2-E878-43C1-9D43-BA64879C693A}"/>
    <cellStyle name="Separador de milhares 5 2 18" xfId="27378" xr:uid="{00000000-0005-0000-0000-000045550000}"/>
    <cellStyle name="Separador de milhares 5 2 18 2" xfId="33215" xr:uid="{80FDA580-55C2-41C4-992C-872151CA8AF0}"/>
    <cellStyle name="Separador de milhares 5 2 19" xfId="27556" xr:uid="{00000000-0005-0000-0000-000046550000}"/>
    <cellStyle name="Separador de milhares 5 2 19 2" xfId="33368" xr:uid="{035DDD51-D38D-45A5-BC30-46686B3F61F9}"/>
    <cellStyle name="Separador de milhares 5 2 2" xfId="801" xr:uid="{00000000-0005-0000-0000-000047550000}"/>
    <cellStyle name="Separador de milhares 5 2 2 10" xfId="28037" xr:uid="{161CA678-B7DB-4528-A866-7127E46BE8B0}"/>
    <cellStyle name="Separador de milhares 5 2 2 2" xfId="19353" xr:uid="{00000000-0005-0000-0000-000048550000}"/>
    <cellStyle name="Separador de milhares 5 2 2 3" xfId="19354" xr:uid="{00000000-0005-0000-0000-000049550000}"/>
    <cellStyle name="Separador de milhares 5 2 2 4" xfId="19352" xr:uid="{00000000-0005-0000-0000-00004A550000}"/>
    <cellStyle name="Separador de milhares 5 2 2 4 2" xfId="28725" xr:uid="{908FA138-85F1-4846-96AF-DC6864BFF4E7}"/>
    <cellStyle name="Separador de milhares 5 2 2 5" xfId="27130" xr:uid="{00000000-0005-0000-0000-00004B550000}"/>
    <cellStyle name="Separador de milhares 5 2 2 5 2" xfId="32989" xr:uid="{2DFF4042-3E84-49FC-AC5D-5E6A58791AD1}"/>
    <cellStyle name="Separador de milhares 5 2 2 6" xfId="27318" xr:uid="{00000000-0005-0000-0000-00004C550000}"/>
    <cellStyle name="Separador de milhares 5 2 2 6 2" xfId="33155" xr:uid="{6BDBBFBC-93E7-41E5-A9A5-DACD74C15B28}"/>
    <cellStyle name="Separador de milhares 5 2 2 7" xfId="27489" xr:uid="{00000000-0005-0000-0000-00004D550000}"/>
    <cellStyle name="Separador de milhares 5 2 2 7 2" xfId="33326" xr:uid="{79A42AD3-7FC2-4997-BFD4-4D336811FAB7}"/>
    <cellStyle name="Separador de milhares 5 2 2 8" xfId="27658" xr:uid="{00000000-0005-0000-0000-00004E550000}"/>
    <cellStyle name="Separador de milhares 5 2 2 8 2" xfId="33469" xr:uid="{600551B8-B414-4FBF-9839-9EE97FBDC449}"/>
    <cellStyle name="Separador de milhares 5 2 2 9" xfId="27815" xr:uid="{00000000-0005-0000-0000-00004F550000}"/>
    <cellStyle name="Separador de milhares 5 2 2 9 2" xfId="33626" xr:uid="{49B2BE31-90B0-4CB0-9067-EEB88E62A963}"/>
    <cellStyle name="Separador de milhares 5 2 20" xfId="27707" xr:uid="{00000000-0005-0000-0000-000050550000}"/>
    <cellStyle name="Separador de milhares 5 2 20 2" xfId="33518" xr:uid="{91D56E8E-2494-43DE-94CD-DD29407776FD}"/>
    <cellStyle name="Separador de milhares 5 2 21" xfId="28036" xr:uid="{0F8C3482-2A31-492E-9A7E-675A5D50DF24}"/>
    <cellStyle name="Separador de milhares 5 2 3" xfId="19355" xr:uid="{00000000-0005-0000-0000-000051550000}"/>
    <cellStyle name="Separador de milhares 5 2 4" xfId="19356" xr:uid="{00000000-0005-0000-0000-000052550000}"/>
    <cellStyle name="Separador de milhares 5 2 5" xfId="19357" xr:uid="{00000000-0005-0000-0000-000053550000}"/>
    <cellStyle name="Separador de milhares 5 2 6" xfId="19358" xr:uid="{00000000-0005-0000-0000-000054550000}"/>
    <cellStyle name="Separador de milhares 5 2 7" xfId="19359" xr:uid="{00000000-0005-0000-0000-000055550000}"/>
    <cellStyle name="Separador de milhares 5 2 8" xfId="19360" xr:uid="{00000000-0005-0000-0000-000056550000}"/>
    <cellStyle name="Separador de milhares 5 2 9" xfId="19361" xr:uid="{00000000-0005-0000-0000-000057550000}"/>
    <cellStyle name="Separador de milhares 5 20" xfId="19362" xr:uid="{00000000-0005-0000-0000-000058550000}"/>
    <cellStyle name="Separador de milhares 5 21" xfId="19363" xr:uid="{00000000-0005-0000-0000-000059550000}"/>
    <cellStyle name="Separador de milhares 5 22" xfId="19364" xr:uid="{00000000-0005-0000-0000-00005A550000}"/>
    <cellStyle name="Separador de milhares 5 23" xfId="19365" xr:uid="{00000000-0005-0000-0000-00005B550000}"/>
    <cellStyle name="Separador de milhares 5 24" xfId="19366" xr:uid="{00000000-0005-0000-0000-00005C550000}"/>
    <cellStyle name="Separador de milhares 5 25" xfId="19367" xr:uid="{00000000-0005-0000-0000-00005D550000}"/>
    <cellStyle name="Separador de milhares 5 26" xfId="27197" xr:uid="{00000000-0005-0000-0000-00005E550000}"/>
    <cellStyle name="Separador de milhares 5 26 2" xfId="33039" xr:uid="{BADF7F4D-2A5B-43CE-9A94-42A17E97AECB}"/>
    <cellStyle name="Separador de milhares 5 27" xfId="27377" xr:uid="{00000000-0005-0000-0000-00005F550000}"/>
    <cellStyle name="Separador de milhares 5 27 2" xfId="33214" xr:uid="{AFE7FEEF-4E38-464B-B61A-7153142AF633}"/>
    <cellStyle name="Separador de milhares 5 28" xfId="27555" xr:uid="{00000000-0005-0000-0000-000060550000}"/>
    <cellStyle name="Separador de milhares 5 28 2" xfId="33367" xr:uid="{8CA425FB-A436-4E64-80C5-9BD916B3778D}"/>
    <cellStyle name="Separador de milhares 5 29" xfId="27706" xr:uid="{00000000-0005-0000-0000-000061550000}"/>
    <cellStyle name="Separador de milhares 5 29 2" xfId="33517" xr:uid="{58AEABD2-E66A-4246-ADFE-C58254D3F822}"/>
    <cellStyle name="Separador de milhares 5 3" xfId="802" xr:uid="{00000000-0005-0000-0000-000062550000}"/>
    <cellStyle name="Separador de milhares 5 3 10" xfId="19369" xr:uid="{00000000-0005-0000-0000-000063550000}"/>
    <cellStyle name="Separador de milhares 5 3 11" xfId="19370" xr:uid="{00000000-0005-0000-0000-000064550000}"/>
    <cellStyle name="Separador de milhares 5 3 12" xfId="19371" xr:uid="{00000000-0005-0000-0000-000065550000}"/>
    <cellStyle name="Separador de milhares 5 3 13" xfId="19372" xr:uid="{00000000-0005-0000-0000-000066550000}"/>
    <cellStyle name="Separador de milhares 5 3 14" xfId="19373" xr:uid="{00000000-0005-0000-0000-000067550000}"/>
    <cellStyle name="Separador de milhares 5 3 15" xfId="19374" xr:uid="{00000000-0005-0000-0000-000068550000}"/>
    <cellStyle name="Separador de milhares 5 3 16" xfId="19368" xr:uid="{00000000-0005-0000-0000-000069550000}"/>
    <cellStyle name="Separador de milhares 5 3 16 2" xfId="28726" xr:uid="{D2DF0576-931E-4534-9D1B-7330D7E4CB75}"/>
    <cellStyle name="Separador de milhares 5 3 17" xfId="26007" xr:uid="{00000000-0005-0000-0000-00006A550000}"/>
    <cellStyle name="Separador de milhares 5 3 17 2" xfId="32932" xr:uid="{5A77CEA5-1656-40F9-A247-BA3C0AC0039C}"/>
    <cellStyle name="Separador de milhares 5 3 18" xfId="27199" xr:uid="{00000000-0005-0000-0000-00006B550000}"/>
    <cellStyle name="Separador de milhares 5 3 18 2" xfId="33041" xr:uid="{0A2BA5FC-1BD2-4A34-9013-ECF2FFC61D47}"/>
    <cellStyle name="Separador de milhares 5 3 19" xfId="27379" xr:uid="{00000000-0005-0000-0000-00006C550000}"/>
    <cellStyle name="Separador de milhares 5 3 19 2" xfId="33216" xr:uid="{FAC5ADC1-4FAA-4446-8CF9-2519D9CF43D7}"/>
    <cellStyle name="Separador de milhares 5 3 2" xfId="19375" xr:uid="{00000000-0005-0000-0000-00006D550000}"/>
    <cellStyle name="Separador de milhares 5 3 2 10" xfId="19376" xr:uid="{00000000-0005-0000-0000-00006E550000}"/>
    <cellStyle name="Separador de milhares 5 3 2 11" xfId="19377" xr:uid="{00000000-0005-0000-0000-00006F550000}"/>
    <cellStyle name="Separador de milhares 5 3 2 12" xfId="19378" xr:uid="{00000000-0005-0000-0000-000070550000}"/>
    <cellStyle name="Separador de milhares 5 3 2 13" xfId="19379" xr:uid="{00000000-0005-0000-0000-000071550000}"/>
    <cellStyle name="Separador de milhares 5 3 2 14" xfId="19380" xr:uid="{00000000-0005-0000-0000-000072550000}"/>
    <cellStyle name="Separador de milhares 5 3 2 15" xfId="27131" xr:uid="{00000000-0005-0000-0000-000073550000}"/>
    <cellStyle name="Separador de milhares 5 3 2 15 2" xfId="32990" xr:uid="{4689B64C-519C-4A40-9D86-3DAC10AEC154}"/>
    <cellStyle name="Separador de milhares 5 3 2 16" xfId="27319" xr:uid="{00000000-0005-0000-0000-000074550000}"/>
    <cellStyle name="Separador de milhares 5 3 2 16 2" xfId="33156" xr:uid="{BB486F85-34FD-4AFB-8F2B-9356FC8A2E1F}"/>
    <cellStyle name="Separador de milhares 5 3 2 17" xfId="27490" xr:uid="{00000000-0005-0000-0000-000075550000}"/>
    <cellStyle name="Separador de milhares 5 3 2 17 2" xfId="33327" xr:uid="{2227B034-D8E3-4C79-A583-F580E550ECE5}"/>
    <cellStyle name="Separador de milhares 5 3 2 18" xfId="27659" xr:uid="{00000000-0005-0000-0000-000076550000}"/>
    <cellStyle name="Separador de milhares 5 3 2 18 2" xfId="33470" xr:uid="{69775688-D8AB-48D0-8501-32B9EB323E07}"/>
    <cellStyle name="Separador de milhares 5 3 2 19" xfId="27816" xr:uid="{00000000-0005-0000-0000-000077550000}"/>
    <cellStyle name="Separador de milhares 5 3 2 19 2" xfId="33627" xr:uid="{C4F4C41F-A769-4A03-B211-57D9A50D86E6}"/>
    <cellStyle name="Separador de milhares 5 3 2 2" xfId="19381" xr:uid="{00000000-0005-0000-0000-000078550000}"/>
    <cellStyle name="Separador de milhares 5 3 2 2 10" xfId="19382" xr:uid="{00000000-0005-0000-0000-000079550000}"/>
    <cellStyle name="Separador de milhares 5 3 2 2 2" xfId="19383" xr:uid="{00000000-0005-0000-0000-00007A550000}"/>
    <cellStyle name="Separador de milhares 5 3 2 2 3" xfId="19384" xr:uid="{00000000-0005-0000-0000-00007B550000}"/>
    <cellStyle name="Separador de milhares 5 3 2 2 4" xfId="19385" xr:uid="{00000000-0005-0000-0000-00007C550000}"/>
    <cellStyle name="Separador de milhares 5 3 2 2 5" xfId="19386" xr:uid="{00000000-0005-0000-0000-00007D550000}"/>
    <cellStyle name="Separador de milhares 5 3 2 2 6" xfId="19387" xr:uid="{00000000-0005-0000-0000-00007E550000}"/>
    <cellStyle name="Separador de milhares 5 3 2 2 7" xfId="19388" xr:uid="{00000000-0005-0000-0000-00007F550000}"/>
    <cellStyle name="Separador de milhares 5 3 2 2 8" xfId="19389" xr:uid="{00000000-0005-0000-0000-000080550000}"/>
    <cellStyle name="Separador de milhares 5 3 2 2 9" xfId="19390" xr:uid="{00000000-0005-0000-0000-000081550000}"/>
    <cellStyle name="Separador de milhares 5 3 2 3" xfId="19391" xr:uid="{00000000-0005-0000-0000-000082550000}"/>
    <cellStyle name="Separador de milhares 5 3 2 3 10" xfId="19392" xr:uid="{00000000-0005-0000-0000-000083550000}"/>
    <cellStyle name="Separador de milhares 5 3 2 3 2" xfId="19393" xr:uid="{00000000-0005-0000-0000-000084550000}"/>
    <cellStyle name="Separador de milhares 5 3 2 3 3" xfId="19394" xr:uid="{00000000-0005-0000-0000-000085550000}"/>
    <cellStyle name="Separador de milhares 5 3 2 3 4" xfId="19395" xr:uid="{00000000-0005-0000-0000-000086550000}"/>
    <cellStyle name="Separador de milhares 5 3 2 3 5" xfId="19396" xr:uid="{00000000-0005-0000-0000-000087550000}"/>
    <cellStyle name="Separador de milhares 5 3 2 3 6" xfId="19397" xr:uid="{00000000-0005-0000-0000-000088550000}"/>
    <cellStyle name="Separador de milhares 5 3 2 3 7" xfId="19398" xr:uid="{00000000-0005-0000-0000-000089550000}"/>
    <cellStyle name="Separador de milhares 5 3 2 3 8" xfId="19399" xr:uid="{00000000-0005-0000-0000-00008A550000}"/>
    <cellStyle name="Separador de milhares 5 3 2 3 9" xfId="19400" xr:uid="{00000000-0005-0000-0000-00008B550000}"/>
    <cellStyle name="Separador de milhares 5 3 2 4" xfId="19401" xr:uid="{00000000-0005-0000-0000-00008C550000}"/>
    <cellStyle name="Separador de milhares 5 3 2 5" xfId="19402" xr:uid="{00000000-0005-0000-0000-00008D550000}"/>
    <cellStyle name="Separador de milhares 5 3 2 6" xfId="19403" xr:uid="{00000000-0005-0000-0000-00008E550000}"/>
    <cellStyle name="Separador de milhares 5 3 2 7" xfId="19404" xr:uid="{00000000-0005-0000-0000-00008F550000}"/>
    <cellStyle name="Separador de milhares 5 3 2 8" xfId="19405" xr:uid="{00000000-0005-0000-0000-000090550000}"/>
    <cellStyle name="Separador de milhares 5 3 2 9" xfId="19406" xr:uid="{00000000-0005-0000-0000-000091550000}"/>
    <cellStyle name="Separador de milhares 5 3 20" xfId="27557" xr:uid="{00000000-0005-0000-0000-000092550000}"/>
    <cellStyle name="Separador de milhares 5 3 20 2" xfId="33369" xr:uid="{ED8680C3-B5BE-4D5B-944B-856DE5B10A8A}"/>
    <cellStyle name="Separador de milhares 5 3 21" xfId="27708" xr:uid="{00000000-0005-0000-0000-000093550000}"/>
    <cellStyle name="Separador de milhares 5 3 21 2" xfId="33519" xr:uid="{2CCCCC86-A358-4081-BA0B-338ADE0FA9BE}"/>
    <cellStyle name="Separador de milhares 5 3 22" xfId="28038" xr:uid="{5DC8CF6A-7DF3-4E75-9042-A484847015C8}"/>
    <cellStyle name="Separador de milhares 5 3 3" xfId="19407" xr:uid="{00000000-0005-0000-0000-000094550000}"/>
    <cellStyle name="Separador de milhares 5 3 3 10" xfId="19408" xr:uid="{00000000-0005-0000-0000-000095550000}"/>
    <cellStyle name="Separador de milhares 5 3 3 2" xfId="19409" xr:uid="{00000000-0005-0000-0000-000096550000}"/>
    <cellStyle name="Separador de milhares 5 3 3 3" xfId="19410" xr:uid="{00000000-0005-0000-0000-000097550000}"/>
    <cellStyle name="Separador de milhares 5 3 3 4" xfId="19411" xr:uid="{00000000-0005-0000-0000-000098550000}"/>
    <cellStyle name="Separador de milhares 5 3 3 5" xfId="19412" xr:uid="{00000000-0005-0000-0000-000099550000}"/>
    <cellStyle name="Separador de milhares 5 3 3 6" xfId="19413" xr:uid="{00000000-0005-0000-0000-00009A550000}"/>
    <cellStyle name="Separador de milhares 5 3 3 7" xfId="19414" xr:uid="{00000000-0005-0000-0000-00009B550000}"/>
    <cellStyle name="Separador de milhares 5 3 3 8" xfId="19415" xr:uid="{00000000-0005-0000-0000-00009C550000}"/>
    <cellStyle name="Separador de milhares 5 3 3 9" xfId="19416" xr:uid="{00000000-0005-0000-0000-00009D550000}"/>
    <cellStyle name="Separador de milhares 5 3 4" xfId="19417" xr:uid="{00000000-0005-0000-0000-00009E550000}"/>
    <cellStyle name="Separador de milhares 5 3 4 10" xfId="19418" xr:uid="{00000000-0005-0000-0000-00009F550000}"/>
    <cellStyle name="Separador de milhares 5 3 4 2" xfId="19419" xr:uid="{00000000-0005-0000-0000-0000A0550000}"/>
    <cellStyle name="Separador de milhares 5 3 4 3" xfId="19420" xr:uid="{00000000-0005-0000-0000-0000A1550000}"/>
    <cellStyle name="Separador de milhares 5 3 4 4" xfId="19421" xr:uid="{00000000-0005-0000-0000-0000A2550000}"/>
    <cellStyle name="Separador de milhares 5 3 4 5" xfId="19422" xr:uid="{00000000-0005-0000-0000-0000A3550000}"/>
    <cellStyle name="Separador de milhares 5 3 4 6" xfId="19423" xr:uid="{00000000-0005-0000-0000-0000A4550000}"/>
    <cellStyle name="Separador de milhares 5 3 4 7" xfId="19424" xr:uid="{00000000-0005-0000-0000-0000A5550000}"/>
    <cellStyle name="Separador de milhares 5 3 4 8" xfId="19425" xr:uid="{00000000-0005-0000-0000-0000A6550000}"/>
    <cellStyle name="Separador de milhares 5 3 4 9" xfId="19426" xr:uid="{00000000-0005-0000-0000-0000A7550000}"/>
    <cellStyle name="Separador de milhares 5 3 5" xfId="19427" xr:uid="{00000000-0005-0000-0000-0000A8550000}"/>
    <cellStyle name="Separador de milhares 5 3 6" xfId="19428" xr:uid="{00000000-0005-0000-0000-0000A9550000}"/>
    <cellStyle name="Separador de milhares 5 3 7" xfId="19429" xr:uid="{00000000-0005-0000-0000-0000AA550000}"/>
    <cellStyle name="Separador de milhares 5 3 8" xfId="19430" xr:uid="{00000000-0005-0000-0000-0000AB550000}"/>
    <cellStyle name="Separador de milhares 5 3 9" xfId="19431" xr:uid="{00000000-0005-0000-0000-0000AC550000}"/>
    <cellStyle name="Separador de milhares 5 30" xfId="28035" xr:uid="{526F3F6D-41B1-4F09-8F73-5C6A3CAAC96D}"/>
    <cellStyle name="Separador de milhares 5 4" xfId="803" xr:uid="{00000000-0005-0000-0000-0000AD550000}"/>
    <cellStyle name="Separador de milhares 5 4 10" xfId="19433" xr:uid="{00000000-0005-0000-0000-0000AE550000}"/>
    <cellStyle name="Separador de milhares 5 4 11" xfId="19434" xr:uid="{00000000-0005-0000-0000-0000AF550000}"/>
    <cellStyle name="Separador de milhares 5 4 12" xfId="19435" xr:uid="{00000000-0005-0000-0000-0000B0550000}"/>
    <cellStyle name="Separador de milhares 5 4 13" xfId="19436" xr:uid="{00000000-0005-0000-0000-0000B1550000}"/>
    <cellStyle name="Separador de milhares 5 4 14" xfId="19437" xr:uid="{00000000-0005-0000-0000-0000B2550000}"/>
    <cellStyle name="Separador de milhares 5 4 15" xfId="19438" xr:uid="{00000000-0005-0000-0000-0000B3550000}"/>
    <cellStyle name="Separador de milhares 5 4 16" xfId="19432" xr:uid="{00000000-0005-0000-0000-0000B4550000}"/>
    <cellStyle name="Separador de milhares 5 4 16 2" xfId="28727" xr:uid="{4704B599-FABD-4BE0-9377-C42952BCE7DB}"/>
    <cellStyle name="Separador de milhares 5 4 17" xfId="26008" xr:uid="{00000000-0005-0000-0000-0000B5550000}"/>
    <cellStyle name="Separador de milhares 5 4 17 2" xfId="32933" xr:uid="{5DC5228E-9BF2-4678-9F8C-5BD53842BCED}"/>
    <cellStyle name="Separador de milhares 5 4 18" xfId="27200" xr:uid="{00000000-0005-0000-0000-0000B6550000}"/>
    <cellStyle name="Separador de milhares 5 4 18 2" xfId="33042" xr:uid="{80F7405D-DE80-49BB-BE5E-B1CEC69D306D}"/>
    <cellStyle name="Separador de milhares 5 4 19" xfId="27380" xr:uid="{00000000-0005-0000-0000-0000B7550000}"/>
    <cellStyle name="Separador de milhares 5 4 19 2" xfId="33217" xr:uid="{8BE43938-A742-4D8E-8123-D058D59085F0}"/>
    <cellStyle name="Separador de milhares 5 4 2" xfId="19439" xr:uid="{00000000-0005-0000-0000-0000B8550000}"/>
    <cellStyle name="Separador de milhares 5 4 2 10" xfId="19440" xr:uid="{00000000-0005-0000-0000-0000B9550000}"/>
    <cellStyle name="Separador de milhares 5 4 2 11" xfId="19441" xr:uid="{00000000-0005-0000-0000-0000BA550000}"/>
    <cellStyle name="Separador de milhares 5 4 2 12" xfId="19442" xr:uid="{00000000-0005-0000-0000-0000BB550000}"/>
    <cellStyle name="Separador de milhares 5 4 2 13" xfId="19443" xr:uid="{00000000-0005-0000-0000-0000BC550000}"/>
    <cellStyle name="Separador de milhares 5 4 2 14" xfId="19444" xr:uid="{00000000-0005-0000-0000-0000BD550000}"/>
    <cellStyle name="Separador de milhares 5 4 2 15" xfId="27132" xr:uid="{00000000-0005-0000-0000-0000BE550000}"/>
    <cellStyle name="Separador de milhares 5 4 2 15 2" xfId="32991" xr:uid="{133B80BF-2339-4F52-99B2-54CA139A912A}"/>
    <cellStyle name="Separador de milhares 5 4 2 16" xfId="27320" xr:uid="{00000000-0005-0000-0000-0000BF550000}"/>
    <cellStyle name="Separador de milhares 5 4 2 16 2" xfId="33157" xr:uid="{BEB9B116-11EA-4E5D-84E2-9ADA540039D9}"/>
    <cellStyle name="Separador de milhares 5 4 2 17" xfId="27491" xr:uid="{00000000-0005-0000-0000-0000C0550000}"/>
    <cellStyle name="Separador de milhares 5 4 2 17 2" xfId="33328" xr:uid="{54A9AC0B-DBCB-4FF4-B29A-D79E1FA5CE45}"/>
    <cellStyle name="Separador de milhares 5 4 2 18" xfId="27660" xr:uid="{00000000-0005-0000-0000-0000C1550000}"/>
    <cellStyle name="Separador de milhares 5 4 2 18 2" xfId="33471" xr:uid="{14F40218-EB44-46A6-A315-F5B312FD7B2D}"/>
    <cellStyle name="Separador de milhares 5 4 2 19" xfId="27817" xr:uid="{00000000-0005-0000-0000-0000C2550000}"/>
    <cellStyle name="Separador de milhares 5 4 2 19 2" xfId="33628" xr:uid="{49E49D7E-BD82-4FD1-AECC-940D1567E9B7}"/>
    <cellStyle name="Separador de milhares 5 4 2 2" xfId="19445" xr:uid="{00000000-0005-0000-0000-0000C3550000}"/>
    <cellStyle name="Separador de milhares 5 4 2 2 10" xfId="19446" xr:uid="{00000000-0005-0000-0000-0000C4550000}"/>
    <cellStyle name="Separador de milhares 5 4 2 2 11" xfId="19447" xr:uid="{00000000-0005-0000-0000-0000C5550000}"/>
    <cellStyle name="Separador de milhares 5 4 2 2 12" xfId="19448" xr:uid="{00000000-0005-0000-0000-0000C6550000}"/>
    <cellStyle name="Separador de milhares 5 4 2 2 2" xfId="19449" xr:uid="{00000000-0005-0000-0000-0000C7550000}"/>
    <cellStyle name="Separador de milhares 5 4 2 2 3" xfId="19450" xr:uid="{00000000-0005-0000-0000-0000C8550000}"/>
    <cellStyle name="Separador de milhares 5 4 2 2 4" xfId="19451" xr:uid="{00000000-0005-0000-0000-0000C9550000}"/>
    <cellStyle name="Separador de milhares 5 4 2 2 5" xfId="19452" xr:uid="{00000000-0005-0000-0000-0000CA550000}"/>
    <cellStyle name="Separador de milhares 5 4 2 2 6" xfId="19453" xr:uid="{00000000-0005-0000-0000-0000CB550000}"/>
    <cellStyle name="Separador de milhares 5 4 2 2 7" xfId="19454" xr:uid="{00000000-0005-0000-0000-0000CC550000}"/>
    <cellStyle name="Separador de milhares 5 4 2 2 8" xfId="19455" xr:uid="{00000000-0005-0000-0000-0000CD550000}"/>
    <cellStyle name="Separador de milhares 5 4 2 2 9" xfId="19456" xr:uid="{00000000-0005-0000-0000-0000CE550000}"/>
    <cellStyle name="Separador de milhares 5 4 2 3" xfId="19457" xr:uid="{00000000-0005-0000-0000-0000CF550000}"/>
    <cellStyle name="Separador de milhares 5 4 2 3 10" xfId="19458" xr:uid="{00000000-0005-0000-0000-0000D0550000}"/>
    <cellStyle name="Separador de milhares 5 4 2 3 2" xfId="19459" xr:uid="{00000000-0005-0000-0000-0000D1550000}"/>
    <cellStyle name="Separador de milhares 5 4 2 3 3" xfId="19460" xr:uid="{00000000-0005-0000-0000-0000D2550000}"/>
    <cellStyle name="Separador de milhares 5 4 2 3 4" xfId="19461" xr:uid="{00000000-0005-0000-0000-0000D3550000}"/>
    <cellStyle name="Separador de milhares 5 4 2 3 5" xfId="19462" xr:uid="{00000000-0005-0000-0000-0000D4550000}"/>
    <cellStyle name="Separador de milhares 5 4 2 3 6" xfId="19463" xr:uid="{00000000-0005-0000-0000-0000D5550000}"/>
    <cellStyle name="Separador de milhares 5 4 2 3 7" xfId="19464" xr:uid="{00000000-0005-0000-0000-0000D6550000}"/>
    <cellStyle name="Separador de milhares 5 4 2 3 8" xfId="19465" xr:uid="{00000000-0005-0000-0000-0000D7550000}"/>
    <cellStyle name="Separador de milhares 5 4 2 3 9" xfId="19466" xr:uid="{00000000-0005-0000-0000-0000D8550000}"/>
    <cellStyle name="Separador de milhares 5 4 2 4" xfId="19467" xr:uid="{00000000-0005-0000-0000-0000D9550000}"/>
    <cellStyle name="Separador de milhares 5 4 2 5" xfId="19468" xr:uid="{00000000-0005-0000-0000-0000DA550000}"/>
    <cellStyle name="Separador de milhares 5 4 2 6" xfId="19469" xr:uid="{00000000-0005-0000-0000-0000DB550000}"/>
    <cellStyle name="Separador de milhares 5 4 2 7" xfId="19470" xr:uid="{00000000-0005-0000-0000-0000DC550000}"/>
    <cellStyle name="Separador de milhares 5 4 2 8" xfId="19471" xr:uid="{00000000-0005-0000-0000-0000DD550000}"/>
    <cellStyle name="Separador de milhares 5 4 2 9" xfId="19472" xr:uid="{00000000-0005-0000-0000-0000DE550000}"/>
    <cellStyle name="Separador de milhares 5 4 20" xfId="27558" xr:uid="{00000000-0005-0000-0000-0000DF550000}"/>
    <cellStyle name="Separador de milhares 5 4 20 2" xfId="33370" xr:uid="{9FAB3E06-6C1A-44AF-9D86-22E44DC5CCA6}"/>
    <cellStyle name="Separador de milhares 5 4 21" xfId="27709" xr:uid="{00000000-0005-0000-0000-0000E0550000}"/>
    <cellStyle name="Separador de milhares 5 4 21 2" xfId="33520" xr:uid="{A8AAD3EA-2B18-460B-9ECD-876B3A5E8D69}"/>
    <cellStyle name="Separador de milhares 5 4 22" xfId="28039" xr:uid="{4DC6F6D9-0866-4B19-84BA-5652A309BA68}"/>
    <cellStyle name="Separador de milhares 5 4 3" xfId="19473" xr:uid="{00000000-0005-0000-0000-0000E1550000}"/>
    <cellStyle name="Separador de milhares 5 4 3 10" xfId="19474" xr:uid="{00000000-0005-0000-0000-0000E2550000}"/>
    <cellStyle name="Separador de milhares 5 4 3 2" xfId="19475" xr:uid="{00000000-0005-0000-0000-0000E3550000}"/>
    <cellStyle name="Separador de milhares 5 4 3 3" xfId="19476" xr:uid="{00000000-0005-0000-0000-0000E4550000}"/>
    <cellStyle name="Separador de milhares 5 4 3 4" xfId="19477" xr:uid="{00000000-0005-0000-0000-0000E5550000}"/>
    <cellStyle name="Separador de milhares 5 4 3 5" xfId="19478" xr:uid="{00000000-0005-0000-0000-0000E6550000}"/>
    <cellStyle name="Separador de milhares 5 4 3 6" xfId="19479" xr:uid="{00000000-0005-0000-0000-0000E7550000}"/>
    <cellStyle name="Separador de milhares 5 4 3 7" xfId="19480" xr:uid="{00000000-0005-0000-0000-0000E8550000}"/>
    <cellStyle name="Separador de milhares 5 4 3 8" xfId="19481" xr:uid="{00000000-0005-0000-0000-0000E9550000}"/>
    <cellStyle name="Separador de milhares 5 4 3 9" xfId="19482" xr:uid="{00000000-0005-0000-0000-0000EA550000}"/>
    <cellStyle name="Separador de milhares 5 4 4" xfId="19483" xr:uid="{00000000-0005-0000-0000-0000EB550000}"/>
    <cellStyle name="Separador de milhares 5 4 4 10" xfId="19484" xr:uid="{00000000-0005-0000-0000-0000EC550000}"/>
    <cellStyle name="Separador de milhares 5 4 4 2" xfId="19485" xr:uid="{00000000-0005-0000-0000-0000ED550000}"/>
    <cellStyle name="Separador de milhares 5 4 4 3" xfId="19486" xr:uid="{00000000-0005-0000-0000-0000EE550000}"/>
    <cellStyle name="Separador de milhares 5 4 4 4" xfId="19487" xr:uid="{00000000-0005-0000-0000-0000EF550000}"/>
    <cellStyle name="Separador de milhares 5 4 4 5" xfId="19488" xr:uid="{00000000-0005-0000-0000-0000F0550000}"/>
    <cellStyle name="Separador de milhares 5 4 4 6" xfId="19489" xr:uid="{00000000-0005-0000-0000-0000F1550000}"/>
    <cellStyle name="Separador de milhares 5 4 4 7" xfId="19490" xr:uid="{00000000-0005-0000-0000-0000F2550000}"/>
    <cellStyle name="Separador de milhares 5 4 4 8" xfId="19491" xr:uid="{00000000-0005-0000-0000-0000F3550000}"/>
    <cellStyle name="Separador de milhares 5 4 4 9" xfId="19492" xr:uid="{00000000-0005-0000-0000-0000F4550000}"/>
    <cellStyle name="Separador de milhares 5 4 5" xfId="19493" xr:uid="{00000000-0005-0000-0000-0000F5550000}"/>
    <cellStyle name="Separador de milhares 5 4 6" xfId="19494" xr:uid="{00000000-0005-0000-0000-0000F6550000}"/>
    <cellStyle name="Separador de milhares 5 4 7" xfId="19495" xr:uid="{00000000-0005-0000-0000-0000F7550000}"/>
    <cellStyle name="Separador de milhares 5 4 8" xfId="19496" xr:uid="{00000000-0005-0000-0000-0000F8550000}"/>
    <cellStyle name="Separador de milhares 5 4 9" xfId="19497" xr:uid="{00000000-0005-0000-0000-0000F9550000}"/>
    <cellStyle name="Separador de milhares 5 5" xfId="804" xr:uid="{00000000-0005-0000-0000-0000FA550000}"/>
    <cellStyle name="Separador de milhares 5 5 10" xfId="19499" xr:uid="{00000000-0005-0000-0000-0000FB550000}"/>
    <cellStyle name="Separador de milhares 5 5 11" xfId="19500" xr:uid="{00000000-0005-0000-0000-0000FC550000}"/>
    <cellStyle name="Separador de milhares 5 5 12" xfId="19501" xr:uid="{00000000-0005-0000-0000-0000FD550000}"/>
    <cellStyle name="Separador de milhares 5 5 13" xfId="19502" xr:uid="{00000000-0005-0000-0000-0000FE550000}"/>
    <cellStyle name="Separador de milhares 5 5 14" xfId="19503" xr:uid="{00000000-0005-0000-0000-0000FF550000}"/>
    <cellStyle name="Separador de milhares 5 5 15" xfId="19504" xr:uid="{00000000-0005-0000-0000-000000560000}"/>
    <cellStyle name="Separador de milhares 5 5 16" xfId="19498" xr:uid="{00000000-0005-0000-0000-000001560000}"/>
    <cellStyle name="Separador de milhares 5 5 16 2" xfId="28728" xr:uid="{8E87AB67-DBDB-4F48-A121-051A0F55488C}"/>
    <cellStyle name="Separador de milhares 5 5 17" xfId="27129" xr:uid="{00000000-0005-0000-0000-000002560000}"/>
    <cellStyle name="Separador de milhares 5 5 17 2" xfId="32988" xr:uid="{2185B461-CE79-4BC3-9701-241F0BCA1018}"/>
    <cellStyle name="Separador de milhares 5 5 18" xfId="27317" xr:uid="{00000000-0005-0000-0000-000003560000}"/>
    <cellStyle name="Separador de milhares 5 5 18 2" xfId="33154" xr:uid="{1893FE9B-D087-4D42-83FA-B9D299D944E3}"/>
    <cellStyle name="Separador de milhares 5 5 19" xfId="27488" xr:uid="{00000000-0005-0000-0000-000004560000}"/>
    <cellStyle name="Separador de milhares 5 5 19 2" xfId="33325" xr:uid="{2CDEAE08-1588-4875-8D60-2B6F90734044}"/>
    <cellStyle name="Separador de milhares 5 5 2" xfId="19505" xr:uid="{00000000-0005-0000-0000-000005560000}"/>
    <cellStyle name="Separador de milhares 5 5 2 10" xfId="19506" xr:uid="{00000000-0005-0000-0000-000006560000}"/>
    <cellStyle name="Separador de milhares 5 5 2 11" xfId="19507" xr:uid="{00000000-0005-0000-0000-000007560000}"/>
    <cellStyle name="Separador de milhares 5 5 2 12" xfId="19508" xr:uid="{00000000-0005-0000-0000-000008560000}"/>
    <cellStyle name="Separador de milhares 5 5 2 13" xfId="19509" xr:uid="{00000000-0005-0000-0000-000009560000}"/>
    <cellStyle name="Separador de milhares 5 5 2 14" xfId="19510" xr:uid="{00000000-0005-0000-0000-00000A560000}"/>
    <cellStyle name="Separador de milhares 5 5 2 2" xfId="19511" xr:uid="{00000000-0005-0000-0000-00000B560000}"/>
    <cellStyle name="Separador de milhares 5 5 2 2 10" xfId="19512" xr:uid="{00000000-0005-0000-0000-00000C560000}"/>
    <cellStyle name="Separador de milhares 5 5 2 2 2" xfId="19513" xr:uid="{00000000-0005-0000-0000-00000D560000}"/>
    <cellStyle name="Separador de milhares 5 5 2 2 3" xfId="19514" xr:uid="{00000000-0005-0000-0000-00000E560000}"/>
    <cellStyle name="Separador de milhares 5 5 2 2 4" xfId="19515" xr:uid="{00000000-0005-0000-0000-00000F560000}"/>
    <cellStyle name="Separador de milhares 5 5 2 2 5" xfId="19516" xr:uid="{00000000-0005-0000-0000-000010560000}"/>
    <cellStyle name="Separador de milhares 5 5 2 2 6" xfId="19517" xr:uid="{00000000-0005-0000-0000-000011560000}"/>
    <cellStyle name="Separador de milhares 5 5 2 2 7" xfId="19518" xr:uid="{00000000-0005-0000-0000-000012560000}"/>
    <cellStyle name="Separador de milhares 5 5 2 2 8" xfId="19519" xr:uid="{00000000-0005-0000-0000-000013560000}"/>
    <cellStyle name="Separador de milhares 5 5 2 2 9" xfId="19520" xr:uid="{00000000-0005-0000-0000-000014560000}"/>
    <cellStyle name="Separador de milhares 5 5 2 3" xfId="19521" xr:uid="{00000000-0005-0000-0000-000015560000}"/>
    <cellStyle name="Separador de milhares 5 5 2 3 10" xfId="19522" xr:uid="{00000000-0005-0000-0000-000016560000}"/>
    <cellStyle name="Separador de milhares 5 5 2 3 2" xfId="19523" xr:uid="{00000000-0005-0000-0000-000017560000}"/>
    <cellStyle name="Separador de milhares 5 5 2 3 3" xfId="19524" xr:uid="{00000000-0005-0000-0000-000018560000}"/>
    <cellStyle name="Separador de milhares 5 5 2 3 4" xfId="19525" xr:uid="{00000000-0005-0000-0000-000019560000}"/>
    <cellStyle name="Separador de milhares 5 5 2 3 5" xfId="19526" xr:uid="{00000000-0005-0000-0000-00001A560000}"/>
    <cellStyle name="Separador de milhares 5 5 2 3 6" xfId="19527" xr:uid="{00000000-0005-0000-0000-00001B560000}"/>
    <cellStyle name="Separador de milhares 5 5 2 3 7" xfId="19528" xr:uid="{00000000-0005-0000-0000-00001C560000}"/>
    <cellStyle name="Separador de milhares 5 5 2 3 8" xfId="19529" xr:uid="{00000000-0005-0000-0000-00001D560000}"/>
    <cellStyle name="Separador de milhares 5 5 2 3 9" xfId="19530" xr:uid="{00000000-0005-0000-0000-00001E560000}"/>
    <cellStyle name="Separador de milhares 5 5 2 4" xfId="19531" xr:uid="{00000000-0005-0000-0000-00001F560000}"/>
    <cellStyle name="Separador de milhares 5 5 2 5" xfId="19532" xr:uid="{00000000-0005-0000-0000-000020560000}"/>
    <cellStyle name="Separador de milhares 5 5 2 6" xfId="19533" xr:uid="{00000000-0005-0000-0000-000021560000}"/>
    <cellStyle name="Separador de milhares 5 5 2 7" xfId="19534" xr:uid="{00000000-0005-0000-0000-000022560000}"/>
    <cellStyle name="Separador de milhares 5 5 2 8" xfId="19535" xr:uid="{00000000-0005-0000-0000-000023560000}"/>
    <cellStyle name="Separador de milhares 5 5 2 9" xfId="19536" xr:uid="{00000000-0005-0000-0000-000024560000}"/>
    <cellStyle name="Separador de milhares 5 5 20" xfId="27657" xr:uid="{00000000-0005-0000-0000-000025560000}"/>
    <cellStyle name="Separador de milhares 5 5 20 2" xfId="33468" xr:uid="{A3A093A5-E263-4CA3-A24A-CF0DA6644CA7}"/>
    <cellStyle name="Separador de milhares 5 5 21" xfId="27814" xr:uid="{00000000-0005-0000-0000-000026560000}"/>
    <cellStyle name="Separador de milhares 5 5 21 2" xfId="33625" xr:uid="{AF8BF15B-8793-46AD-BF2E-84039C54936D}"/>
    <cellStyle name="Separador de milhares 5 5 3" xfId="19537" xr:uid="{00000000-0005-0000-0000-000027560000}"/>
    <cellStyle name="Separador de milhares 5 5 3 10" xfId="19538" xr:uid="{00000000-0005-0000-0000-000028560000}"/>
    <cellStyle name="Separador de milhares 5 5 3 11" xfId="19539" xr:uid="{00000000-0005-0000-0000-000029560000}"/>
    <cellStyle name="Separador de milhares 5 5 3 2" xfId="19540" xr:uid="{00000000-0005-0000-0000-00002A560000}"/>
    <cellStyle name="Separador de milhares 5 5 3 3" xfId="19541" xr:uid="{00000000-0005-0000-0000-00002B560000}"/>
    <cellStyle name="Separador de milhares 5 5 3 4" xfId="19542" xr:uid="{00000000-0005-0000-0000-00002C560000}"/>
    <cellStyle name="Separador de milhares 5 5 3 5" xfId="19543" xr:uid="{00000000-0005-0000-0000-00002D560000}"/>
    <cellStyle name="Separador de milhares 5 5 3 6" xfId="19544" xr:uid="{00000000-0005-0000-0000-00002E560000}"/>
    <cellStyle name="Separador de milhares 5 5 3 7" xfId="19545" xr:uid="{00000000-0005-0000-0000-00002F560000}"/>
    <cellStyle name="Separador de milhares 5 5 3 8" xfId="19546" xr:uid="{00000000-0005-0000-0000-000030560000}"/>
    <cellStyle name="Separador de milhares 5 5 3 9" xfId="19547" xr:uid="{00000000-0005-0000-0000-000031560000}"/>
    <cellStyle name="Separador de milhares 5 5 4" xfId="19548" xr:uid="{00000000-0005-0000-0000-000032560000}"/>
    <cellStyle name="Separador de milhares 5 5 4 10" xfId="19549" xr:uid="{00000000-0005-0000-0000-000033560000}"/>
    <cellStyle name="Separador de milhares 5 5 4 2" xfId="19550" xr:uid="{00000000-0005-0000-0000-000034560000}"/>
    <cellStyle name="Separador de milhares 5 5 4 3" xfId="19551" xr:uid="{00000000-0005-0000-0000-000035560000}"/>
    <cellStyle name="Separador de milhares 5 5 4 4" xfId="19552" xr:uid="{00000000-0005-0000-0000-000036560000}"/>
    <cellStyle name="Separador de milhares 5 5 4 5" xfId="19553" xr:uid="{00000000-0005-0000-0000-000037560000}"/>
    <cellStyle name="Separador de milhares 5 5 4 6" xfId="19554" xr:uid="{00000000-0005-0000-0000-000038560000}"/>
    <cellStyle name="Separador de milhares 5 5 4 7" xfId="19555" xr:uid="{00000000-0005-0000-0000-000039560000}"/>
    <cellStyle name="Separador de milhares 5 5 4 8" xfId="19556" xr:uid="{00000000-0005-0000-0000-00003A560000}"/>
    <cellStyle name="Separador de milhares 5 5 4 9" xfId="19557" xr:uid="{00000000-0005-0000-0000-00003B560000}"/>
    <cellStyle name="Separador de milhares 5 5 5" xfId="19558" xr:uid="{00000000-0005-0000-0000-00003C560000}"/>
    <cellStyle name="Separador de milhares 5 5 6" xfId="19559" xr:uid="{00000000-0005-0000-0000-00003D560000}"/>
    <cellStyle name="Separador de milhares 5 5 7" xfId="19560" xr:uid="{00000000-0005-0000-0000-00003E560000}"/>
    <cellStyle name="Separador de milhares 5 5 8" xfId="19561" xr:uid="{00000000-0005-0000-0000-00003F560000}"/>
    <cellStyle name="Separador de milhares 5 5 9" xfId="19562" xr:uid="{00000000-0005-0000-0000-000040560000}"/>
    <cellStyle name="Separador de milhares 5 6" xfId="805" xr:uid="{00000000-0005-0000-0000-000041560000}"/>
    <cellStyle name="Separador de milhares 5 6 10" xfId="19564" xr:uid="{00000000-0005-0000-0000-000042560000}"/>
    <cellStyle name="Separador de milhares 5 6 11" xfId="19565" xr:uid="{00000000-0005-0000-0000-000043560000}"/>
    <cellStyle name="Separador de milhares 5 6 12" xfId="19566" xr:uid="{00000000-0005-0000-0000-000044560000}"/>
    <cellStyle name="Separador de milhares 5 6 13" xfId="19567" xr:uid="{00000000-0005-0000-0000-000045560000}"/>
    <cellStyle name="Separador de milhares 5 6 14" xfId="19568" xr:uid="{00000000-0005-0000-0000-000046560000}"/>
    <cellStyle name="Separador de milhares 5 6 15" xfId="19563" xr:uid="{00000000-0005-0000-0000-000047560000}"/>
    <cellStyle name="Separador de milhares 5 6 15 2" xfId="28729" xr:uid="{0663D2A3-2C7E-4E0C-BF8D-50ECDD3923F3}"/>
    <cellStyle name="Separador de milhares 5 6 16" xfId="28040" xr:uid="{29312CA6-A3D3-4698-856C-2EEB41D1EF8D}"/>
    <cellStyle name="Separador de milhares 5 6 2" xfId="19569" xr:uid="{00000000-0005-0000-0000-000048560000}"/>
    <cellStyle name="Separador de milhares 5 6 2 10" xfId="19570" xr:uid="{00000000-0005-0000-0000-000049560000}"/>
    <cellStyle name="Separador de milhares 5 6 2 2" xfId="19571" xr:uid="{00000000-0005-0000-0000-00004A560000}"/>
    <cellStyle name="Separador de milhares 5 6 2 3" xfId="19572" xr:uid="{00000000-0005-0000-0000-00004B560000}"/>
    <cellStyle name="Separador de milhares 5 6 2 4" xfId="19573" xr:uid="{00000000-0005-0000-0000-00004C560000}"/>
    <cellStyle name="Separador de milhares 5 6 2 5" xfId="19574" xr:uid="{00000000-0005-0000-0000-00004D560000}"/>
    <cellStyle name="Separador de milhares 5 6 2 6" xfId="19575" xr:uid="{00000000-0005-0000-0000-00004E560000}"/>
    <cellStyle name="Separador de milhares 5 6 2 7" xfId="19576" xr:uid="{00000000-0005-0000-0000-00004F560000}"/>
    <cellStyle name="Separador de milhares 5 6 2 8" xfId="19577" xr:uid="{00000000-0005-0000-0000-000050560000}"/>
    <cellStyle name="Separador de milhares 5 6 2 9" xfId="19578" xr:uid="{00000000-0005-0000-0000-000051560000}"/>
    <cellStyle name="Separador de milhares 5 6 3" xfId="19579" xr:uid="{00000000-0005-0000-0000-000052560000}"/>
    <cellStyle name="Separador de milhares 5 6 3 10" xfId="19580" xr:uid="{00000000-0005-0000-0000-000053560000}"/>
    <cellStyle name="Separador de milhares 5 6 3 2" xfId="19581" xr:uid="{00000000-0005-0000-0000-000054560000}"/>
    <cellStyle name="Separador de milhares 5 6 3 3" xfId="19582" xr:uid="{00000000-0005-0000-0000-000055560000}"/>
    <cellStyle name="Separador de milhares 5 6 3 4" xfId="19583" xr:uid="{00000000-0005-0000-0000-000056560000}"/>
    <cellStyle name="Separador de milhares 5 6 3 5" xfId="19584" xr:uid="{00000000-0005-0000-0000-000057560000}"/>
    <cellStyle name="Separador de milhares 5 6 3 6" xfId="19585" xr:uid="{00000000-0005-0000-0000-000058560000}"/>
    <cellStyle name="Separador de milhares 5 6 3 7" xfId="19586" xr:uid="{00000000-0005-0000-0000-000059560000}"/>
    <cellStyle name="Separador de milhares 5 6 3 8" xfId="19587" xr:uid="{00000000-0005-0000-0000-00005A560000}"/>
    <cellStyle name="Separador de milhares 5 6 3 9" xfId="19588" xr:uid="{00000000-0005-0000-0000-00005B560000}"/>
    <cellStyle name="Separador de milhares 5 6 4" xfId="19589" xr:uid="{00000000-0005-0000-0000-00005C560000}"/>
    <cellStyle name="Separador de milhares 5 6 5" xfId="19590" xr:uid="{00000000-0005-0000-0000-00005D560000}"/>
    <cellStyle name="Separador de milhares 5 6 6" xfId="19591" xr:uid="{00000000-0005-0000-0000-00005E560000}"/>
    <cellStyle name="Separador de milhares 5 6 7" xfId="19592" xr:uid="{00000000-0005-0000-0000-00005F560000}"/>
    <cellStyle name="Separador de milhares 5 6 8" xfId="19593" xr:uid="{00000000-0005-0000-0000-000060560000}"/>
    <cellStyle name="Separador de milhares 5 6 9" xfId="19594" xr:uid="{00000000-0005-0000-0000-000061560000}"/>
    <cellStyle name="Separador de milhares 5 7" xfId="19595" xr:uid="{00000000-0005-0000-0000-000062560000}"/>
    <cellStyle name="Separador de milhares 5 7 10" xfId="19596" xr:uid="{00000000-0005-0000-0000-000063560000}"/>
    <cellStyle name="Separador de milhares 5 7 11" xfId="19597" xr:uid="{00000000-0005-0000-0000-000064560000}"/>
    <cellStyle name="Separador de milhares 5 7 2" xfId="19598" xr:uid="{00000000-0005-0000-0000-000065560000}"/>
    <cellStyle name="Separador de milhares 5 7 3" xfId="19599" xr:uid="{00000000-0005-0000-0000-000066560000}"/>
    <cellStyle name="Separador de milhares 5 7 4" xfId="19600" xr:uid="{00000000-0005-0000-0000-000067560000}"/>
    <cellStyle name="Separador de milhares 5 7 5" xfId="19601" xr:uid="{00000000-0005-0000-0000-000068560000}"/>
    <cellStyle name="Separador de milhares 5 7 6" xfId="19602" xr:uid="{00000000-0005-0000-0000-000069560000}"/>
    <cellStyle name="Separador de milhares 5 7 7" xfId="19603" xr:uid="{00000000-0005-0000-0000-00006A560000}"/>
    <cellStyle name="Separador de milhares 5 7 8" xfId="19604" xr:uid="{00000000-0005-0000-0000-00006B560000}"/>
    <cellStyle name="Separador de milhares 5 7 9" xfId="19605" xr:uid="{00000000-0005-0000-0000-00006C560000}"/>
    <cellStyle name="Separador de milhares 5 8" xfId="19606" xr:uid="{00000000-0005-0000-0000-00006D560000}"/>
    <cellStyle name="Separador de milhares 5 8 10" xfId="19607" xr:uid="{00000000-0005-0000-0000-00006E560000}"/>
    <cellStyle name="Separador de milhares 5 8 2" xfId="19608" xr:uid="{00000000-0005-0000-0000-00006F560000}"/>
    <cellStyle name="Separador de milhares 5 8 3" xfId="19609" xr:uid="{00000000-0005-0000-0000-000070560000}"/>
    <cellStyle name="Separador de milhares 5 8 4" xfId="19610" xr:uid="{00000000-0005-0000-0000-000071560000}"/>
    <cellStyle name="Separador de milhares 5 8 5" xfId="19611" xr:uid="{00000000-0005-0000-0000-000072560000}"/>
    <cellStyle name="Separador de milhares 5 8 6" xfId="19612" xr:uid="{00000000-0005-0000-0000-000073560000}"/>
    <cellStyle name="Separador de milhares 5 8 7" xfId="19613" xr:uid="{00000000-0005-0000-0000-000074560000}"/>
    <cellStyle name="Separador de milhares 5 8 8" xfId="19614" xr:uid="{00000000-0005-0000-0000-000075560000}"/>
    <cellStyle name="Separador de milhares 5 8 9" xfId="19615" xr:uid="{00000000-0005-0000-0000-000076560000}"/>
    <cellStyle name="Separador de milhares 5 9" xfId="19616" xr:uid="{00000000-0005-0000-0000-000077560000}"/>
    <cellStyle name="Separador de milhares 50" xfId="19617" xr:uid="{00000000-0005-0000-0000-000078560000}"/>
    <cellStyle name="Separador de milhares 50 2" xfId="19618" xr:uid="{00000000-0005-0000-0000-000079560000}"/>
    <cellStyle name="Separador de milhares 50 2 2" xfId="28731" xr:uid="{86D87152-68C4-465E-B9AE-71BE7CDC8FAA}"/>
    <cellStyle name="Separador de milhares 50 3" xfId="28730" xr:uid="{D9CC3858-F909-416C-A868-8EBF6F223B5C}"/>
    <cellStyle name="Separador de milhares 51" xfId="19619" xr:uid="{00000000-0005-0000-0000-00007A560000}"/>
    <cellStyle name="Separador de milhares 51 2" xfId="19620" xr:uid="{00000000-0005-0000-0000-00007B560000}"/>
    <cellStyle name="Separador de milhares 51 2 2" xfId="28733" xr:uid="{4EF2109B-1EC9-4741-AB53-6434FC16188E}"/>
    <cellStyle name="Separador de milhares 51 3" xfId="28732" xr:uid="{1B0E24DD-8FD7-4674-8F6B-D3B0A5A36C4F}"/>
    <cellStyle name="Separador de milhares 52" xfId="19621" xr:uid="{00000000-0005-0000-0000-00007C560000}"/>
    <cellStyle name="Separador de milhares 52 2" xfId="19622" xr:uid="{00000000-0005-0000-0000-00007D560000}"/>
    <cellStyle name="Separador de milhares 52 2 2" xfId="28735" xr:uid="{04B2FA47-55A7-4E09-8403-6F5CA2DAF99C}"/>
    <cellStyle name="Separador de milhares 52 3" xfId="28734" xr:uid="{A7B35737-8EDC-491A-8A93-0B7277142EB8}"/>
    <cellStyle name="Separador de milhares 53" xfId="19623" xr:uid="{00000000-0005-0000-0000-00007E560000}"/>
    <cellStyle name="Separador de milhares 53 2" xfId="19624" xr:uid="{00000000-0005-0000-0000-00007F560000}"/>
    <cellStyle name="Separador de milhares 53 2 2" xfId="28737" xr:uid="{B0BE4F83-D4E4-49E3-9A8E-C0E642ECDCAE}"/>
    <cellStyle name="Separador de milhares 53 3" xfId="28736" xr:uid="{BF314036-655B-4F78-922E-CE2184660BE0}"/>
    <cellStyle name="Separador de milhares 54" xfId="19625" xr:uid="{00000000-0005-0000-0000-000080560000}"/>
    <cellStyle name="Separador de milhares 54 2" xfId="19626" xr:uid="{00000000-0005-0000-0000-000081560000}"/>
    <cellStyle name="Separador de milhares 54 2 2" xfId="28739" xr:uid="{549A958F-5EEC-45DE-9CC3-257135A2704F}"/>
    <cellStyle name="Separador de milhares 54 3" xfId="28738" xr:uid="{A336E683-6BEB-4D56-992A-833A1676C587}"/>
    <cellStyle name="Separador de milhares 55" xfId="19627" xr:uid="{00000000-0005-0000-0000-000082560000}"/>
    <cellStyle name="Separador de milhares 55 2" xfId="19628" xr:uid="{00000000-0005-0000-0000-000083560000}"/>
    <cellStyle name="Separador de milhares 55 2 2" xfId="28741" xr:uid="{AFE6318A-984A-4C2D-B42C-F8DE9F4F4D85}"/>
    <cellStyle name="Separador de milhares 55 3" xfId="28740" xr:uid="{67C94401-8EB1-4B29-977A-84854B7511D1}"/>
    <cellStyle name="Separador de milhares 56" xfId="19629" xr:uid="{00000000-0005-0000-0000-000084560000}"/>
    <cellStyle name="Separador de milhares 56 2" xfId="19630" xr:uid="{00000000-0005-0000-0000-000085560000}"/>
    <cellStyle name="Separador de milhares 56 2 2" xfId="28743" xr:uid="{2404B7BA-A645-4BE7-926F-CA16EF63EC0F}"/>
    <cellStyle name="Separador de milhares 56 3" xfId="28742" xr:uid="{8C92ED68-66C9-452B-AD89-B285026F54E5}"/>
    <cellStyle name="Separador de milhares 57" xfId="19631" xr:uid="{00000000-0005-0000-0000-000086560000}"/>
    <cellStyle name="Separador de milhares 57 2" xfId="19632" xr:uid="{00000000-0005-0000-0000-000087560000}"/>
    <cellStyle name="Separador de milhares 57 2 2" xfId="28745" xr:uid="{0F8CD20B-E4A0-4E53-BCC2-F06B225DCD5C}"/>
    <cellStyle name="Separador de milhares 57 3" xfId="28744" xr:uid="{CC49B1D5-4A92-47E7-B248-F0C85C62D6D6}"/>
    <cellStyle name="Separador de milhares 58" xfId="19633" xr:uid="{00000000-0005-0000-0000-000088560000}"/>
    <cellStyle name="Separador de milhares 58 2" xfId="19634" xr:uid="{00000000-0005-0000-0000-000089560000}"/>
    <cellStyle name="Separador de milhares 58 2 2" xfId="28747" xr:uid="{119FAE24-8282-4D4A-858B-F420A6D9A97B}"/>
    <cellStyle name="Separador de milhares 58 3" xfId="28746" xr:uid="{3740A042-A0C1-4669-91C2-F0565D18ED68}"/>
    <cellStyle name="Separador de milhares 59" xfId="19635" xr:uid="{00000000-0005-0000-0000-00008A560000}"/>
    <cellStyle name="Separador de milhares 59 2" xfId="19636" xr:uid="{00000000-0005-0000-0000-00008B560000}"/>
    <cellStyle name="Separador de milhares 59 2 2" xfId="28749" xr:uid="{3E3ED41C-C2F9-41F0-BB30-1BDD109C4955}"/>
    <cellStyle name="Separador de milhares 59 3" xfId="28748" xr:uid="{5B041204-368E-4807-B077-5FFE944FD1A5}"/>
    <cellStyle name="Separador de milhares 6" xfId="806" xr:uid="{00000000-0005-0000-0000-00008C560000}"/>
    <cellStyle name="Separador de milhares 6 10" xfId="19637" xr:uid="{00000000-0005-0000-0000-00008D560000}"/>
    <cellStyle name="Separador de milhares 6 10 10" xfId="19638" xr:uid="{00000000-0005-0000-0000-00008E560000}"/>
    <cellStyle name="Separador de milhares 6 10 11" xfId="19639" xr:uid="{00000000-0005-0000-0000-00008F560000}"/>
    <cellStyle name="Separador de milhares 6 10 12" xfId="19640" xr:uid="{00000000-0005-0000-0000-000090560000}"/>
    <cellStyle name="Separador de milhares 6 10 13" xfId="19641" xr:uid="{00000000-0005-0000-0000-000091560000}"/>
    <cellStyle name="Separador de milhares 6 10 14" xfId="19642" xr:uid="{00000000-0005-0000-0000-000092560000}"/>
    <cellStyle name="Separador de milhares 6 10 15" xfId="19643" xr:uid="{00000000-0005-0000-0000-000093560000}"/>
    <cellStyle name="Separador de milhares 6 10 16" xfId="19644" xr:uid="{00000000-0005-0000-0000-000094560000}"/>
    <cellStyle name="Separador de milhares 6 10 17" xfId="19645" xr:uid="{00000000-0005-0000-0000-000095560000}"/>
    <cellStyle name="Separador de milhares 6 10 18" xfId="19646" xr:uid="{00000000-0005-0000-0000-000096560000}"/>
    <cellStyle name="Separador de milhares 6 10 19" xfId="19647" xr:uid="{00000000-0005-0000-0000-000097560000}"/>
    <cellStyle name="Separador de milhares 6 10 2" xfId="19648" xr:uid="{00000000-0005-0000-0000-000098560000}"/>
    <cellStyle name="Separador de milhares 6 10 2 10" xfId="19649" xr:uid="{00000000-0005-0000-0000-000099560000}"/>
    <cellStyle name="Separador de milhares 6 10 2 11" xfId="19650" xr:uid="{00000000-0005-0000-0000-00009A560000}"/>
    <cellStyle name="Separador de milhares 6 10 2 12" xfId="19651" xr:uid="{00000000-0005-0000-0000-00009B560000}"/>
    <cellStyle name="Separador de milhares 6 10 2 13" xfId="19652" xr:uid="{00000000-0005-0000-0000-00009C560000}"/>
    <cellStyle name="Separador de milhares 6 10 2 14" xfId="19653" xr:uid="{00000000-0005-0000-0000-00009D560000}"/>
    <cellStyle name="Separador de milhares 6 10 2 15" xfId="19654" xr:uid="{00000000-0005-0000-0000-00009E560000}"/>
    <cellStyle name="Separador de milhares 6 10 2 16" xfId="19655" xr:uid="{00000000-0005-0000-0000-00009F560000}"/>
    <cellStyle name="Separador de milhares 6 10 2 17" xfId="19656" xr:uid="{00000000-0005-0000-0000-0000A0560000}"/>
    <cellStyle name="Separador de milhares 6 10 2 18" xfId="19657" xr:uid="{00000000-0005-0000-0000-0000A1560000}"/>
    <cellStyle name="Separador de milhares 6 10 2 19" xfId="19658" xr:uid="{00000000-0005-0000-0000-0000A2560000}"/>
    <cellStyle name="Separador de milhares 6 10 2 2" xfId="19659" xr:uid="{00000000-0005-0000-0000-0000A3560000}"/>
    <cellStyle name="Separador de milhares 6 10 2 20" xfId="19660" xr:uid="{00000000-0005-0000-0000-0000A4560000}"/>
    <cellStyle name="Separador de milhares 6 10 2 21" xfId="19661" xr:uid="{00000000-0005-0000-0000-0000A5560000}"/>
    <cellStyle name="Separador de milhares 6 10 2 3" xfId="19662" xr:uid="{00000000-0005-0000-0000-0000A6560000}"/>
    <cellStyle name="Separador de milhares 6 10 2 4" xfId="19663" xr:uid="{00000000-0005-0000-0000-0000A7560000}"/>
    <cellStyle name="Separador de milhares 6 10 2 5" xfId="19664" xr:uid="{00000000-0005-0000-0000-0000A8560000}"/>
    <cellStyle name="Separador de milhares 6 10 2 6" xfId="19665" xr:uid="{00000000-0005-0000-0000-0000A9560000}"/>
    <cellStyle name="Separador de milhares 6 10 2 7" xfId="19666" xr:uid="{00000000-0005-0000-0000-0000AA560000}"/>
    <cellStyle name="Separador de milhares 6 10 2 8" xfId="19667" xr:uid="{00000000-0005-0000-0000-0000AB560000}"/>
    <cellStyle name="Separador de milhares 6 10 2 9" xfId="19668" xr:uid="{00000000-0005-0000-0000-0000AC560000}"/>
    <cellStyle name="Separador de milhares 6 10 20" xfId="19669" xr:uid="{00000000-0005-0000-0000-0000AD560000}"/>
    <cellStyle name="Separador de milhares 6 10 21" xfId="19670" xr:uid="{00000000-0005-0000-0000-0000AE560000}"/>
    <cellStyle name="Separador de milhares 6 10 22" xfId="19671" xr:uid="{00000000-0005-0000-0000-0000AF560000}"/>
    <cellStyle name="Separador de milhares 6 10 23" xfId="19672" xr:uid="{00000000-0005-0000-0000-0000B0560000}"/>
    <cellStyle name="Separador de milhares 6 10 24" xfId="19673" xr:uid="{00000000-0005-0000-0000-0000B1560000}"/>
    <cellStyle name="Separador de milhares 6 10 25" xfId="19674" xr:uid="{00000000-0005-0000-0000-0000B2560000}"/>
    <cellStyle name="Separador de milhares 6 10 26" xfId="19675" xr:uid="{00000000-0005-0000-0000-0000B3560000}"/>
    <cellStyle name="Separador de milhares 6 10 27" xfId="19676" xr:uid="{00000000-0005-0000-0000-0000B4560000}"/>
    <cellStyle name="Separador de milhares 6 10 28" xfId="19677" xr:uid="{00000000-0005-0000-0000-0000B5560000}"/>
    <cellStyle name="Separador de milhares 6 10 29" xfId="19678" xr:uid="{00000000-0005-0000-0000-0000B6560000}"/>
    <cellStyle name="Separador de milhares 6 10 3" xfId="19679" xr:uid="{00000000-0005-0000-0000-0000B7560000}"/>
    <cellStyle name="Separador de milhares 6 10 30" xfId="19680" xr:uid="{00000000-0005-0000-0000-0000B8560000}"/>
    <cellStyle name="Separador de milhares 6 10 31" xfId="19681" xr:uid="{00000000-0005-0000-0000-0000B9560000}"/>
    <cellStyle name="Separador de milhares 6 10 32" xfId="19682" xr:uid="{00000000-0005-0000-0000-0000BA560000}"/>
    <cellStyle name="Separador de milhares 6 10 33" xfId="19683" xr:uid="{00000000-0005-0000-0000-0000BB560000}"/>
    <cellStyle name="Separador de milhares 6 10 34" xfId="19684" xr:uid="{00000000-0005-0000-0000-0000BC560000}"/>
    <cellStyle name="Separador de milhares 6 10 4" xfId="19685" xr:uid="{00000000-0005-0000-0000-0000BD560000}"/>
    <cellStyle name="Separador de milhares 6 10 4 2" xfId="19686" xr:uid="{00000000-0005-0000-0000-0000BE560000}"/>
    <cellStyle name="Separador de milhares 6 10 4 3" xfId="19687" xr:uid="{00000000-0005-0000-0000-0000BF560000}"/>
    <cellStyle name="Separador de milhares 6 10 4 4" xfId="19688" xr:uid="{00000000-0005-0000-0000-0000C0560000}"/>
    <cellStyle name="Separador de milhares 6 10 5" xfId="19689" xr:uid="{00000000-0005-0000-0000-0000C1560000}"/>
    <cellStyle name="Separador de milhares 6 10 6" xfId="19690" xr:uid="{00000000-0005-0000-0000-0000C2560000}"/>
    <cellStyle name="Separador de milhares 6 10 7" xfId="19691" xr:uid="{00000000-0005-0000-0000-0000C3560000}"/>
    <cellStyle name="Separador de milhares 6 10 8" xfId="19692" xr:uid="{00000000-0005-0000-0000-0000C4560000}"/>
    <cellStyle name="Separador de milhares 6 10 9" xfId="19693" xr:uid="{00000000-0005-0000-0000-0000C5560000}"/>
    <cellStyle name="Separador de milhares 6 11" xfId="19694" xr:uid="{00000000-0005-0000-0000-0000C6560000}"/>
    <cellStyle name="Separador de milhares 6 11 2" xfId="19695" xr:uid="{00000000-0005-0000-0000-0000C7560000}"/>
    <cellStyle name="Separador de milhares 6 11 2 2" xfId="28750" xr:uid="{A4EF0097-3DC9-4639-84DE-F7D9EC69E8BD}"/>
    <cellStyle name="Separador de milhares 6 12" xfId="19696" xr:uid="{00000000-0005-0000-0000-0000C8560000}"/>
    <cellStyle name="Separador de milhares 6 12 2" xfId="19697" xr:uid="{00000000-0005-0000-0000-0000C9560000}"/>
    <cellStyle name="Separador de milhares 6 12 2 2" xfId="28751" xr:uid="{795CC327-3A98-4C03-B71E-49F3E64FCFC5}"/>
    <cellStyle name="Separador de milhares 6 13" xfId="19698" xr:uid="{00000000-0005-0000-0000-0000CA560000}"/>
    <cellStyle name="Separador de milhares 6 13 2" xfId="19699" xr:uid="{00000000-0005-0000-0000-0000CB560000}"/>
    <cellStyle name="Separador de milhares 6 13 2 2" xfId="28752" xr:uid="{9917A818-04A6-4DEF-B598-8517C5F230F0}"/>
    <cellStyle name="Separador de milhares 6 14" xfId="19700" xr:uid="{00000000-0005-0000-0000-0000CC560000}"/>
    <cellStyle name="Separador de milhares 6 14 2" xfId="19701" xr:uid="{00000000-0005-0000-0000-0000CD560000}"/>
    <cellStyle name="Separador de milhares 6 14 2 2" xfId="28753" xr:uid="{C4D4F897-4E4F-40EF-BFF1-CC68DF8F0B5E}"/>
    <cellStyle name="Separador de milhares 6 15" xfId="19702" xr:uid="{00000000-0005-0000-0000-0000CE560000}"/>
    <cellStyle name="Separador de milhares 6 15 2" xfId="19703" xr:uid="{00000000-0005-0000-0000-0000CF560000}"/>
    <cellStyle name="Separador de milhares 6 15 2 2" xfId="28754" xr:uid="{BD3C8E1B-EA73-44A3-9BD2-873A47EDF3F0}"/>
    <cellStyle name="Separador de milhares 6 16" xfId="19704" xr:uid="{00000000-0005-0000-0000-0000D0560000}"/>
    <cellStyle name="Separador de milhares 6 16 2" xfId="19705" xr:uid="{00000000-0005-0000-0000-0000D1560000}"/>
    <cellStyle name="Separador de milhares 6 16 2 2" xfId="28755" xr:uid="{A5FC8F85-182D-45CC-9DBA-2595AB4685E2}"/>
    <cellStyle name="Separador de milhares 6 17" xfId="19706" xr:uid="{00000000-0005-0000-0000-0000D2560000}"/>
    <cellStyle name="Separador de milhares 6 17 2" xfId="19707" xr:uid="{00000000-0005-0000-0000-0000D3560000}"/>
    <cellStyle name="Separador de milhares 6 17 2 2" xfId="28756" xr:uid="{79D5F3E5-5454-498F-9B33-9A13E62FEB50}"/>
    <cellStyle name="Separador de milhares 6 18" xfId="19708" xr:uid="{00000000-0005-0000-0000-0000D4560000}"/>
    <cellStyle name="Separador de milhares 6 18 2" xfId="19709" xr:uid="{00000000-0005-0000-0000-0000D5560000}"/>
    <cellStyle name="Separador de milhares 6 18 2 2" xfId="28757" xr:uid="{3DEDE66E-71E5-44CC-9427-ACB51464E212}"/>
    <cellStyle name="Separador de milhares 6 19" xfId="19710" xr:uid="{00000000-0005-0000-0000-0000D6560000}"/>
    <cellStyle name="Separador de milhares 6 19 2" xfId="19711" xr:uid="{00000000-0005-0000-0000-0000D7560000}"/>
    <cellStyle name="Separador de milhares 6 19 2 2" xfId="28758" xr:uid="{CB0D94DA-6D45-485B-9E13-6784B7D47B46}"/>
    <cellStyle name="Separador de milhares 6 2" xfId="807" xr:uid="{00000000-0005-0000-0000-0000D8560000}"/>
    <cellStyle name="Separador de milhares 6 2 10" xfId="19713" xr:uid="{00000000-0005-0000-0000-0000D9560000}"/>
    <cellStyle name="Separador de milhares 6 2 10 2" xfId="19714" xr:uid="{00000000-0005-0000-0000-0000DA560000}"/>
    <cellStyle name="Separador de milhares 6 2 10 2 2" xfId="28760" xr:uid="{E582EF87-BA4D-4785-9D32-86245D885EFF}"/>
    <cellStyle name="Separador de milhares 6 2 11" xfId="19715" xr:uid="{00000000-0005-0000-0000-0000DB560000}"/>
    <cellStyle name="Separador de milhares 6 2 11 2" xfId="19716" xr:uid="{00000000-0005-0000-0000-0000DC560000}"/>
    <cellStyle name="Separador de milhares 6 2 11 2 2" xfId="28761" xr:uid="{543E7F49-45E7-42F0-A5B6-8AD144E09E70}"/>
    <cellStyle name="Separador de milhares 6 2 12" xfId="19717" xr:uid="{00000000-0005-0000-0000-0000DD560000}"/>
    <cellStyle name="Separador de milhares 6 2 12 2" xfId="19718" xr:uid="{00000000-0005-0000-0000-0000DE560000}"/>
    <cellStyle name="Separador de milhares 6 2 12 2 2" xfId="28762" xr:uid="{EEE38C7B-8B56-4DF8-9EDA-12022F6421FE}"/>
    <cellStyle name="Separador de milhares 6 2 13" xfId="19719" xr:uid="{00000000-0005-0000-0000-0000DF560000}"/>
    <cellStyle name="Separador de milhares 6 2 13 2" xfId="19720" xr:uid="{00000000-0005-0000-0000-0000E0560000}"/>
    <cellStyle name="Separador de milhares 6 2 13 2 2" xfId="28763" xr:uid="{001AD7CC-EBE3-43E9-8A69-559F2FAC185A}"/>
    <cellStyle name="Separador de milhares 6 2 14" xfId="19721" xr:uid="{00000000-0005-0000-0000-0000E1560000}"/>
    <cellStyle name="Separador de milhares 6 2 14 2" xfId="19722" xr:uid="{00000000-0005-0000-0000-0000E2560000}"/>
    <cellStyle name="Separador de milhares 6 2 14 2 2" xfId="28764" xr:uid="{8C848781-5E51-467B-85D5-9299BEAEA869}"/>
    <cellStyle name="Separador de milhares 6 2 15" xfId="19723" xr:uid="{00000000-0005-0000-0000-0000E3560000}"/>
    <cellStyle name="Separador de milhares 6 2 15 2" xfId="19724" xr:uid="{00000000-0005-0000-0000-0000E4560000}"/>
    <cellStyle name="Separador de milhares 6 2 15 2 2" xfId="28765" xr:uid="{AB508A22-23A4-464A-9D40-EA168000F571}"/>
    <cellStyle name="Separador de milhares 6 2 16" xfId="19725" xr:uid="{00000000-0005-0000-0000-0000E5560000}"/>
    <cellStyle name="Separador de milhares 6 2 16 2" xfId="19726" xr:uid="{00000000-0005-0000-0000-0000E6560000}"/>
    <cellStyle name="Separador de milhares 6 2 16 2 2" xfId="28766" xr:uid="{6B4B558E-71C2-4F91-9EBD-CF9D0D2CDDA3}"/>
    <cellStyle name="Separador de milhares 6 2 17" xfId="19727" xr:uid="{00000000-0005-0000-0000-0000E7560000}"/>
    <cellStyle name="Separador de milhares 6 2 17 2" xfId="19728" xr:uid="{00000000-0005-0000-0000-0000E8560000}"/>
    <cellStyle name="Separador de milhares 6 2 17 2 2" xfId="28768" xr:uid="{74F96CF5-2A6F-4B8F-B950-8F459783E550}"/>
    <cellStyle name="Separador de milhares 6 2 17 3" xfId="28767" xr:uid="{2D3E8269-5629-4285-9FC3-7A02BE57BCF6}"/>
    <cellStyle name="Separador de milhares 6 2 18" xfId="19729" xr:uid="{00000000-0005-0000-0000-0000E9560000}"/>
    <cellStyle name="Separador de milhares 6 2 18 2" xfId="19730" xr:uid="{00000000-0005-0000-0000-0000EA560000}"/>
    <cellStyle name="Separador de milhares 6 2 18 2 2" xfId="28770" xr:uid="{8BD030E8-F7A7-4CDB-95F5-313C973E5C8B}"/>
    <cellStyle name="Separador de milhares 6 2 18 3" xfId="28769" xr:uid="{186E8C96-5A6C-418D-B706-470B0E63796B}"/>
    <cellStyle name="Separador de milhares 6 2 19" xfId="19731" xr:uid="{00000000-0005-0000-0000-0000EB560000}"/>
    <cellStyle name="Separador de milhares 6 2 19 2" xfId="19732" xr:uid="{00000000-0005-0000-0000-0000EC560000}"/>
    <cellStyle name="Separador de milhares 6 2 19 2 2" xfId="28772" xr:uid="{0CE272F9-A492-4ACD-847A-29C098D15E8F}"/>
    <cellStyle name="Separador de milhares 6 2 19 3" xfId="28771" xr:uid="{236B2CC7-12FE-4D39-8592-3DDC7134A95F}"/>
    <cellStyle name="Separador de milhares 6 2 2" xfId="808" xr:uid="{00000000-0005-0000-0000-0000ED560000}"/>
    <cellStyle name="Separador de milhares 6 2 2 10" xfId="19734" xr:uid="{00000000-0005-0000-0000-0000EE560000}"/>
    <cellStyle name="Separador de milhares 6 2 2 10 2" xfId="19735" xr:uid="{00000000-0005-0000-0000-0000EF560000}"/>
    <cellStyle name="Separador de milhares 6 2 2 10 2 2" xfId="28773" xr:uid="{68A0DA90-C7B3-46A6-8DE1-3E631DFBE82A}"/>
    <cellStyle name="Separador de milhares 6 2 2 11" xfId="19736" xr:uid="{00000000-0005-0000-0000-0000F0560000}"/>
    <cellStyle name="Separador de milhares 6 2 2 11 2" xfId="19737" xr:uid="{00000000-0005-0000-0000-0000F1560000}"/>
    <cellStyle name="Separador de milhares 6 2 2 11 2 2" xfId="28775" xr:uid="{3469D7FB-8828-4483-9CC2-AB76BD8573F1}"/>
    <cellStyle name="Separador de milhares 6 2 2 11 3" xfId="28774" xr:uid="{9F17B065-A32D-462D-BE67-5BF1C13CCD24}"/>
    <cellStyle name="Separador de milhares 6 2 2 12" xfId="19738" xr:uid="{00000000-0005-0000-0000-0000F2560000}"/>
    <cellStyle name="Separador de milhares 6 2 2 12 2" xfId="19739" xr:uid="{00000000-0005-0000-0000-0000F3560000}"/>
    <cellStyle name="Separador de milhares 6 2 2 12 2 2" xfId="28777" xr:uid="{FF71FEC5-9666-4F5C-98F5-84FA8F93BEE5}"/>
    <cellStyle name="Separador de milhares 6 2 2 12 3" xfId="28776" xr:uid="{32ACF943-0E66-4379-83B3-78AC10FA0CE4}"/>
    <cellStyle name="Separador de milhares 6 2 2 13" xfId="19740" xr:uid="{00000000-0005-0000-0000-0000F4560000}"/>
    <cellStyle name="Separador de milhares 6 2 2 13 2" xfId="19741" xr:uid="{00000000-0005-0000-0000-0000F5560000}"/>
    <cellStyle name="Separador de milhares 6 2 2 13 2 2" xfId="28779" xr:uid="{B7523D7D-F29C-41CA-BA0E-5FAEF1A057BF}"/>
    <cellStyle name="Separador de milhares 6 2 2 13 3" xfId="28778" xr:uid="{907C1FE9-25B0-450A-83E7-3D46DE2E3592}"/>
    <cellStyle name="Separador de milhares 6 2 2 14" xfId="19742" xr:uid="{00000000-0005-0000-0000-0000F6560000}"/>
    <cellStyle name="Separador de milhares 6 2 2 14 2" xfId="19743" xr:uid="{00000000-0005-0000-0000-0000F7560000}"/>
    <cellStyle name="Separador de milhares 6 2 2 14 2 2" xfId="28781" xr:uid="{A49F95B8-B8FA-4778-9309-C3C607C7D7F9}"/>
    <cellStyle name="Separador de milhares 6 2 2 14 3" xfId="28780" xr:uid="{A2259D11-A467-4134-AA9D-6DD7B03829CB}"/>
    <cellStyle name="Separador de milhares 6 2 2 15" xfId="19744" xr:uid="{00000000-0005-0000-0000-0000F8560000}"/>
    <cellStyle name="Separador de milhares 6 2 2 15 2" xfId="19745" xr:uid="{00000000-0005-0000-0000-0000F9560000}"/>
    <cellStyle name="Separador de milhares 6 2 2 15 2 2" xfId="28783" xr:uid="{1BCC8D02-F8BA-4E7F-89F8-DC5EA1343167}"/>
    <cellStyle name="Separador de milhares 6 2 2 15 3" xfId="28782" xr:uid="{61D70E60-9A5D-4868-8E60-592BBB2EBD0D}"/>
    <cellStyle name="Separador de milhares 6 2 2 16" xfId="19746" xr:uid="{00000000-0005-0000-0000-0000FA560000}"/>
    <cellStyle name="Separador de milhares 6 2 2 16 2" xfId="19747" xr:uid="{00000000-0005-0000-0000-0000FB560000}"/>
    <cellStyle name="Separador de milhares 6 2 2 16 2 2" xfId="28785" xr:uid="{21215CAC-6BB8-45E8-94DE-80DC2E626FB5}"/>
    <cellStyle name="Separador de milhares 6 2 2 16 3" xfId="28784" xr:uid="{3FD2E304-081E-4B82-9731-2423466C08E1}"/>
    <cellStyle name="Separador de milhares 6 2 2 17" xfId="19748" xr:uid="{00000000-0005-0000-0000-0000FC560000}"/>
    <cellStyle name="Separador de milhares 6 2 2 17 2" xfId="19749" xr:uid="{00000000-0005-0000-0000-0000FD560000}"/>
    <cellStyle name="Separador de milhares 6 2 2 17 2 2" xfId="28787" xr:uid="{1CB355B2-74FC-460C-96EA-A6821284CC1F}"/>
    <cellStyle name="Separador de milhares 6 2 2 17 3" xfId="28786" xr:uid="{327BF919-4C99-4721-89D9-DE2BD54A855F}"/>
    <cellStyle name="Separador de milhares 6 2 2 18" xfId="19750" xr:uid="{00000000-0005-0000-0000-0000FE560000}"/>
    <cellStyle name="Separador de milhares 6 2 2 18 2" xfId="19751" xr:uid="{00000000-0005-0000-0000-0000FF560000}"/>
    <cellStyle name="Separador de milhares 6 2 2 18 2 2" xfId="28789" xr:uid="{B9B86BC8-24A0-401C-A990-A195D9EF8B12}"/>
    <cellStyle name="Separador de milhares 6 2 2 18 3" xfId="28788" xr:uid="{17DD5577-3C96-461C-8339-FAB4901C05A7}"/>
    <cellStyle name="Separador de milhares 6 2 2 19" xfId="19752" xr:uid="{00000000-0005-0000-0000-000000570000}"/>
    <cellStyle name="Separador de milhares 6 2 2 19 2" xfId="19753" xr:uid="{00000000-0005-0000-0000-000001570000}"/>
    <cellStyle name="Separador de milhares 6 2 2 19 2 2" xfId="28791" xr:uid="{257BA255-5BC8-481B-9758-D11B4DAFE65F}"/>
    <cellStyle name="Separador de milhares 6 2 2 19 3" xfId="28790" xr:uid="{80E28A02-F549-42A0-A8CD-ED9752FD9350}"/>
    <cellStyle name="Separador de milhares 6 2 2 2" xfId="809" xr:uid="{00000000-0005-0000-0000-000002570000}"/>
    <cellStyle name="Separador de milhares 6 2 2 2 2" xfId="810" xr:uid="{00000000-0005-0000-0000-000003570000}"/>
    <cellStyle name="Separador de milhares 6 2 2 2 2 2" xfId="19755" xr:uid="{00000000-0005-0000-0000-000004570000}"/>
    <cellStyle name="Separador de milhares 6 2 2 2 2 2 2" xfId="28792" xr:uid="{A9746CBE-AA18-46CE-B0F7-24A54D856C6C}"/>
    <cellStyle name="Separador de milhares 6 2 2 2 2 3" xfId="27205" xr:uid="{00000000-0005-0000-0000-000005570000}"/>
    <cellStyle name="Separador de milhares 6 2 2 2 2 3 2" xfId="33047" xr:uid="{6B2D6DCD-AB4E-4508-A3D0-642D182F2E4D}"/>
    <cellStyle name="Separador de milhares 6 2 2 2 2 4" xfId="27385" xr:uid="{00000000-0005-0000-0000-000006570000}"/>
    <cellStyle name="Separador de milhares 6 2 2 2 2 4 2" xfId="33222" xr:uid="{E4E90087-470C-4ABC-A872-B11717503514}"/>
    <cellStyle name="Separador de milhares 6 2 2 2 2 5" xfId="27563" xr:uid="{00000000-0005-0000-0000-000007570000}"/>
    <cellStyle name="Separador de milhares 6 2 2 2 2 5 2" xfId="33375" xr:uid="{721E85C4-0C0A-4316-85ED-DD3F35495755}"/>
    <cellStyle name="Separador de milhares 6 2 2 2 2 6" xfId="27714" xr:uid="{00000000-0005-0000-0000-000008570000}"/>
    <cellStyle name="Separador de milhares 6 2 2 2 2 6 2" xfId="33525" xr:uid="{35AFD166-4143-453B-B491-BF1CAEF5B14A}"/>
    <cellStyle name="Separador de milhares 6 2 2 2 2 7" xfId="28045" xr:uid="{F81A66F1-0B27-455F-9EC4-C2BB25FE3E44}"/>
    <cellStyle name="Separador de milhares 6 2 2 2 3" xfId="19754" xr:uid="{00000000-0005-0000-0000-000009570000}"/>
    <cellStyle name="Separador de milhares 6 2 2 2 4" xfId="27204" xr:uid="{00000000-0005-0000-0000-00000A570000}"/>
    <cellStyle name="Separador de milhares 6 2 2 2 4 2" xfId="33046" xr:uid="{274455BD-068D-4C0F-A940-AA8F9E8BB89C}"/>
    <cellStyle name="Separador de milhares 6 2 2 2 5" xfId="27384" xr:uid="{00000000-0005-0000-0000-00000B570000}"/>
    <cellStyle name="Separador de milhares 6 2 2 2 5 2" xfId="33221" xr:uid="{691E6F2C-6245-408F-ACC1-0AE0A0A2323E}"/>
    <cellStyle name="Separador de milhares 6 2 2 2 6" xfId="27562" xr:uid="{00000000-0005-0000-0000-00000C570000}"/>
    <cellStyle name="Separador de milhares 6 2 2 2 6 2" xfId="33374" xr:uid="{D3A6988A-83E5-47B1-A9FC-6B611EF1D5B3}"/>
    <cellStyle name="Separador de milhares 6 2 2 2 7" xfId="27713" xr:uid="{00000000-0005-0000-0000-00000D570000}"/>
    <cellStyle name="Separador de milhares 6 2 2 2 7 2" xfId="33524" xr:uid="{17A99D9B-9880-4088-93F9-6E0D2FFF19F7}"/>
    <cellStyle name="Separador de milhares 6 2 2 2 8" xfId="28044" xr:uid="{DB6C6599-7E9C-40C2-84AF-FEA602909259}"/>
    <cellStyle name="Separador de milhares 6 2 2 20" xfId="19756" xr:uid="{00000000-0005-0000-0000-00000E570000}"/>
    <cellStyle name="Separador de milhares 6 2 2 20 2" xfId="19757" xr:uid="{00000000-0005-0000-0000-00000F570000}"/>
    <cellStyle name="Separador de milhares 6 2 2 20 2 2" xfId="28794" xr:uid="{A9D9CE82-9A6A-4D8E-9D15-FC3FABCBD7AD}"/>
    <cellStyle name="Separador de milhares 6 2 2 20 3" xfId="28793" xr:uid="{C6666459-4512-4BA6-A4E7-75C93909FDC5}"/>
    <cellStyle name="Separador de milhares 6 2 2 21" xfId="19758" xr:uid="{00000000-0005-0000-0000-000010570000}"/>
    <cellStyle name="Separador de milhares 6 2 2 21 2" xfId="19759" xr:uid="{00000000-0005-0000-0000-000011570000}"/>
    <cellStyle name="Separador de milhares 6 2 2 21 2 2" xfId="28796" xr:uid="{804724D3-DCF1-46AC-9AE6-FDDA7BA9FF5B}"/>
    <cellStyle name="Separador de milhares 6 2 2 21 3" xfId="28795" xr:uid="{A749221D-4A22-4567-8396-9914D1F547AD}"/>
    <cellStyle name="Separador de milhares 6 2 2 22" xfId="19760" xr:uid="{00000000-0005-0000-0000-000012570000}"/>
    <cellStyle name="Separador de milhares 6 2 2 22 2" xfId="19761" xr:uid="{00000000-0005-0000-0000-000013570000}"/>
    <cellStyle name="Separador de milhares 6 2 2 22 2 2" xfId="28798" xr:uid="{C8938251-2DCC-4796-8B10-348DC3ED0AD0}"/>
    <cellStyle name="Separador de milhares 6 2 2 22 3" xfId="28797" xr:uid="{3F5A9777-AB0F-4A68-AE21-A2BABB3EEB16}"/>
    <cellStyle name="Separador de milhares 6 2 2 23" xfId="19762" xr:uid="{00000000-0005-0000-0000-000014570000}"/>
    <cellStyle name="Separador de milhares 6 2 2 23 2" xfId="19763" xr:uid="{00000000-0005-0000-0000-000015570000}"/>
    <cellStyle name="Separador de milhares 6 2 2 23 2 2" xfId="28800" xr:uid="{B1801ED6-4B64-40B6-A4E3-F6FD773D348F}"/>
    <cellStyle name="Separador de milhares 6 2 2 23 3" xfId="28799" xr:uid="{E8A6D387-A614-44F5-9B75-F8283C8A235E}"/>
    <cellStyle name="Separador de milhares 6 2 2 24" xfId="19764" xr:uid="{00000000-0005-0000-0000-000016570000}"/>
    <cellStyle name="Separador de milhares 6 2 2 24 2" xfId="19765" xr:uid="{00000000-0005-0000-0000-000017570000}"/>
    <cellStyle name="Separador de milhares 6 2 2 24 2 2" xfId="28802" xr:uid="{759C8F38-891B-4907-BED5-2D0B48289505}"/>
    <cellStyle name="Separador de milhares 6 2 2 24 3" xfId="28801" xr:uid="{801D2CE3-2155-4FF0-A330-E0914F30EF9D}"/>
    <cellStyle name="Separador de milhares 6 2 2 25" xfId="19766" xr:uid="{00000000-0005-0000-0000-000018570000}"/>
    <cellStyle name="Separador de milhares 6 2 2 25 2" xfId="19767" xr:uid="{00000000-0005-0000-0000-000019570000}"/>
    <cellStyle name="Separador de milhares 6 2 2 25 2 2" xfId="28804" xr:uid="{CFEB86E3-2BB5-4E4D-8551-49026469E66B}"/>
    <cellStyle name="Separador de milhares 6 2 2 25 3" xfId="28803" xr:uid="{382E33DF-0D8C-4609-A8B2-3EB6ECEA6991}"/>
    <cellStyle name="Separador de milhares 6 2 2 26" xfId="19768" xr:uid="{00000000-0005-0000-0000-00001A570000}"/>
    <cellStyle name="Separador de milhares 6 2 2 26 2" xfId="19769" xr:uid="{00000000-0005-0000-0000-00001B570000}"/>
    <cellStyle name="Separador de milhares 6 2 2 26 2 2" xfId="28806" xr:uid="{409FD9D9-61D1-4D43-81BC-3171B2923C4C}"/>
    <cellStyle name="Separador de milhares 6 2 2 26 3" xfId="28805" xr:uid="{2760A2DB-4294-44A2-901E-F78A8E9C6812}"/>
    <cellStyle name="Separador de milhares 6 2 2 27" xfId="19770" xr:uid="{00000000-0005-0000-0000-00001C570000}"/>
    <cellStyle name="Separador de milhares 6 2 2 27 2" xfId="19771" xr:uid="{00000000-0005-0000-0000-00001D570000}"/>
    <cellStyle name="Separador de milhares 6 2 2 27 2 2" xfId="28808" xr:uid="{D903511E-1C79-4D7E-8475-F7485EEC48AD}"/>
    <cellStyle name="Separador de milhares 6 2 2 27 3" xfId="28807" xr:uid="{6D84B48F-9134-43DB-9C15-85BA79C501B1}"/>
    <cellStyle name="Separador de milhares 6 2 2 28" xfId="19772" xr:uid="{00000000-0005-0000-0000-00001E570000}"/>
    <cellStyle name="Separador de milhares 6 2 2 28 2" xfId="19773" xr:uid="{00000000-0005-0000-0000-00001F570000}"/>
    <cellStyle name="Separador de milhares 6 2 2 28 2 2" xfId="28810" xr:uid="{AD76DC4B-775D-4F1F-AC20-E62040A7B6E5}"/>
    <cellStyle name="Separador de milhares 6 2 2 28 3" xfId="28809" xr:uid="{55C50BD5-0EC9-4C6E-BBE5-AFB4835379BD}"/>
    <cellStyle name="Separador de milhares 6 2 2 29" xfId="19774" xr:uid="{00000000-0005-0000-0000-000020570000}"/>
    <cellStyle name="Separador de milhares 6 2 2 29 2" xfId="19775" xr:uid="{00000000-0005-0000-0000-000021570000}"/>
    <cellStyle name="Separador de milhares 6 2 2 29 2 2" xfId="28812" xr:uid="{575DCBD0-277A-4A41-9C21-53920F3C0CE0}"/>
    <cellStyle name="Separador de milhares 6 2 2 29 3" xfId="28811" xr:uid="{69E838CC-D2EB-492A-9AB8-7DEFF1E40777}"/>
    <cellStyle name="Separador de milhares 6 2 2 3" xfId="811" xr:uid="{00000000-0005-0000-0000-000022570000}"/>
    <cellStyle name="Separador de milhares 6 2 2 3 2" xfId="19777" xr:uid="{00000000-0005-0000-0000-000023570000}"/>
    <cellStyle name="Separador de milhares 6 2 2 3 2 2" xfId="28813" xr:uid="{928A2078-67A9-4386-B99C-0FF27C9A68CF}"/>
    <cellStyle name="Separador de milhares 6 2 2 3 3" xfId="19776" xr:uid="{00000000-0005-0000-0000-000024570000}"/>
    <cellStyle name="Separador de milhares 6 2 2 3 4" xfId="27206" xr:uid="{00000000-0005-0000-0000-000025570000}"/>
    <cellStyle name="Separador de milhares 6 2 2 3 4 2" xfId="33048" xr:uid="{D17DADE0-6CEB-45F1-B7A4-70B40D7A5A8D}"/>
    <cellStyle name="Separador de milhares 6 2 2 3 5" xfId="27386" xr:uid="{00000000-0005-0000-0000-000026570000}"/>
    <cellStyle name="Separador de milhares 6 2 2 3 5 2" xfId="33223" xr:uid="{8B0748BB-1BEB-49A1-B3F3-62C0FF5A481F}"/>
    <cellStyle name="Separador de milhares 6 2 2 3 6" xfId="27564" xr:uid="{00000000-0005-0000-0000-000027570000}"/>
    <cellStyle name="Separador de milhares 6 2 2 3 6 2" xfId="33376" xr:uid="{8BC11025-9DB1-492C-89F4-3402E32930A0}"/>
    <cellStyle name="Separador de milhares 6 2 2 3 7" xfId="27715" xr:uid="{00000000-0005-0000-0000-000028570000}"/>
    <cellStyle name="Separador de milhares 6 2 2 3 7 2" xfId="33526" xr:uid="{F1BEF463-612B-4188-A62B-69D8CEB9E2E0}"/>
    <cellStyle name="Separador de milhares 6 2 2 3 8" xfId="28046" xr:uid="{900D8664-1236-4567-82AD-274499F1B33E}"/>
    <cellStyle name="Separador de milhares 6 2 2 30" xfId="19778" xr:uid="{00000000-0005-0000-0000-000029570000}"/>
    <cellStyle name="Separador de milhares 6 2 2 30 2" xfId="19779" xr:uid="{00000000-0005-0000-0000-00002A570000}"/>
    <cellStyle name="Separador de milhares 6 2 2 30 2 2" xfId="28815" xr:uid="{F7FEBAE1-330C-41F7-BF20-6F1D73FEFB97}"/>
    <cellStyle name="Separador de milhares 6 2 2 30 3" xfId="28814" xr:uid="{CABE1907-B1EF-4D2D-B2BC-083F8FF54A12}"/>
    <cellStyle name="Separador de milhares 6 2 2 31" xfId="19780" xr:uid="{00000000-0005-0000-0000-00002B570000}"/>
    <cellStyle name="Separador de milhares 6 2 2 31 2" xfId="19781" xr:uid="{00000000-0005-0000-0000-00002C570000}"/>
    <cellStyle name="Separador de milhares 6 2 2 31 2 2" xfId="28817" xr:uid="{2C2ADA88-7BC7-4045-B1D9-93D944D14592}"/>
    <cellStyle name="Separador de milhares 6 2 2 31 3" xfId="28816" xr:uid="{715A06DE-A8DD-4127-A18E-FE90F60A4CD0}"/>
    <cellStyle name="Separador de milhares 6 2 2 32" xfId="19782" xr:uid="{00000000-0005-0000-0000-00002D570000}"/>
    <cellStyle name="Separador de milhares 6 2 2 32 2" xfId="19783" xr:uid="{00000000-0005-0000-0000-00002E570000}"/>
    <cellStyle name="Separador de milhares 6 2 2 32 2 2" xfId="28819" xr:uid="{FFBD8188-E111-4DBC-BD3A-5E67AB755521}"/>
    <cellStyle name="Separador de milhares 6 2 2 32 3" xfId="28818" xr:uid="{58DAEDEE-11B0-4737-904B-D2EC8276DEF4}"/>
    <cellStyle name="Separador de milhares 6 2 2 33" xfId="19784" xr:uid="{00000000-0005-0000-0000-00002F570000}"/>
    <cellStyle name="Separador de milhares 6 2 2 33 2" xfId="19785" xr:uid="{00000000-0005-0000-0000-000030570000}"/>
    <cellStyle name="Separador de milhares 6 2 2 33 2 2" xfId="28821" xr:uid="{467CE4C0-7196-4E7B-888D-3BB219DC8564}"/>
    <cellStyle name="Separador de milhares 6 2 2 33 3" xfId="28820" xr:uid="{FE083422-A798-467A-B1E6-F289DCB011F8}"/>
    <cellStyle name="Separador de milhares 6 2 2 34" xfId="19786" xr:uid="{00000000-0005-0000-0000-000031570000}"/>
    <cellStyle name="Separador de milhares 6 2 2 34 2" xfId="19787" xr:uid="{00000000-0005-0000-0000-000032570000}"/>
    <cellStyle name="Separador de milhares 6 2 2 34 2 2" xfId="28823" xr:uid="{247A507D-6443-46B1-8068-5A297FEF489C}"/>
    <cellStyle name="Separador de milhares 6 2 2 34 3" xfId="28822" xr:uid="{1CF56549-C7C0-44F1-ABAE-68AF8B00C8E5}"/>
    <cellStyle name="Separador de milhares 6 2 2 35" xfId="19788" xr:uid="{00000000-0005-0000-0000-000033570000}"/>
    <cellStyle name="Separador de milhares 6 2 2 35 2" xfId="28824" xr:uid="{10F6B406-2445-4985-9E89-DEF78840450A}"/>
    <cellStyle name="Separador de milhares 6 2 2 36" xfId="19733" xr:uid="{00000000-0005-0000-0000-000034570000}"/>
    <cellStyle name="Separador de milhares 6 2 2 37" xfId="27203" xr:uid="{00000000-0005-0000-0000-000035570000}"/>
    <cellStyle name="Separador de milhares 6 2 2 37 2" xfId="33045" xr:uid="{4196CC0D-8F72-4A3C-83A9-87A99D10AC72}"/>
    <cellStyle name="Separador de milhares 6 2 2 38" xfId="27383" xr:uid="{00000000-0005-0000-0000-000036570000}"/>
    <cellStyle name="Separador de milhares 6 2 2 38 2" xfId="33220" xr:uid="{D076DFC5-9611-40A0-9B0F-B10E8ABD0D66}"/>
    <cellStyle name="Separador de milhares 6 2 2 39" xfId="27561" xr:uid="{00000000-0005-0000-0000-000037570000}"/>
    <cellStyle name="Separador de milhares 6 2 2 39 2" xfId="33373" xr:uid="{BF73E2B1-6AB2-4FFB-ABD1-37789140682E}"/>
    <cellStyle name="Separador de milhares 6 2 2 4" xfId="19789" xr:uid="{00000000-0005-0000-0000-000038570000}"/>
    <cellStyle name="Separador de milhares 6 2 2 4 2" xfId="19790" xr:uid="{00000000-0005-0000-0000-000039570000}"/>
    <cellStyle name="Separador de milhares 6 2 2 4 2 2" xfId="28825" xr:uid="{385D9D6C-DCE5-4847-9D68-68BB2CCBF671}"/>
    <cellStyle name="Separador de milhares 6 2 2 40" xfId="27712" xr:uid="{00000000-0005-0000-0000-00003A570000}"/>
    <cellStyle name="Separador de milhares 6 2 2 40 2" xfId="33523" xr:uid="{DB3BC7E1-2634-4B6D-8AAD-172C6DDD2DB1}"/>
    <cellStyle name="Separador de milhares 6 2 2 41" xfId="28043" xr:uid="{1ACC14F6-AABE-4F6F-A957-8984C234DA20}"/>
    <cellStyle name="Separador de milhares 6 2 2 5" xfId="19791" xr:uid="{00000000-0005-0000-0000-00003B570000}"/>
    <cellStyle name="Separador de milhares 6 2 2 5 2" xfId="19792" xr:uid="{00000000-0005-0000-0000-00003C570000}"/>
    <cellStyle name="Separador de milhares 6 2 2 5 2 2" xfId="28826" xr:uid="{FDFD2D09-528F-4FBB-861C-AF721E97EB32}"/>
    <cellStyle name="Separador de milhares 6 2 2 6" xfId="19793" xr:uid="{00000000-0005-0000-0000-00003D570000}"/>
    <cellStyle name="Separador de milhares 6 2 2 6 2" xfId="19794" xr:uid="{00000000-0005-0000-0000-00003E570000}"/>
    <cellStyle name="Separador de milhares 6 2 2 6 2 2" xfId="28827" xr:uid="{1413C425-2018-45AE-BA4D-45E3248CF33E}"/>
    <cellStyle name="Separador de milhares 6 2 2 7" xfId="19795" xr:uid="{00000000-0005-0000-0000-00003F570000}"/>
    <cellStyle name="Separador de milhares 6 2 2 7 2" xfId="19796" xr:uid="{00000000-0005-0000-0000-000040570000}"/>
    <cellStyle name="Separador de milhares 6 2 2 7 2 2" xfId="28828" xr:uid="{7A230632-6906-4E14-9FD1-71A3593428BB}"/>
    <cellStyle name="Separador de milhares 6 2 2 8" xfId="19797" xr:uid="{00000000-0005-0000-0000-000041570000}"/>
    <cellStyle name="Separador de milhares 6 2 2 8 2" xfId="19798" xr:uid="{00000000-0005-0000-0000-000042570000}"/>
    <cellStyle name="Separador de milhares 6 2 2 8 2 2" xfId="28829" xr:uid="{E4758F1E-88F0-4C83-BA34-9FD3514A7FCD}"/>
    <cellStyle name="Separador de milhares 6 2 2 9" xfId="19799" xr:uid="{00000000-0005-0000-0000-000043570000}"/>
    <cellStyle name="Separador de milhares 6 2 2 9 2" xfId="19800" xr:uid="{00000000-0005-0000-0000-000044570000}"/>
    <cellStyle name="Separador de milhares 6 2 2 9 2 2" xfId="28830" xr:uid="{8D8934D5-527C-4A61-89F7-1923E28272E7}"/>
    <cellStyle name="Separador de milhares 6 2 20" xfId="19801" xr:uid="{00000000-0005-0000-0000-000045570000}"/>
    <cellStyle name="Separador de milhares 6 2 20 2" xfId="19802" xr:uid="{00000000-0005-0000-0000-000046570000}"/>
    <cellStyle name="Separador de milhares 6 2 20 2 2" xfId="28832" xr:uid="{AD9DE39D-F197-4DEF-ACC9-85B46859B838}"/>
    <cellStyle name="Separador de milhares 6 2 20 3" xfId="28831" xr:uid="{52E429FD-C4D5-491B-81A8-626F5E8AA530}"/>
    <cellStyle name="Separador de milhares 6 2 21" xfId="19803" xr:uid="{00000000-0005-0000-0000-000047570000}"/>
    <cellStyle name="Separador de milhares 6 2 21 2" xfId="19804" xr:uid="{00000000-0005-0000-0000-000048570000}"/>
    <cellStyle name="Separador de milhares 6 2 21 2 2" xfId="28834" xr:uid="{8384845C-6EC1-4BE0-AA8C-D3488B131B64}"/>
    <cellStyle name="Separador de milhares 6 2 21 3" xfId="28833" xr:uid="{BAFEA23C-D1BF-4192-BC5E-B8BD54D0BECD}"/>
    <cellStyle name="Separador de milhares 6 2 22" xfId="19805" xr:uid="{00000000-0005-0000-0000-000049570000}"/>
    <cellStyle name="Separador de milhares 6 2 22 2" xfId="19806" xr:uid="{00000000-0005-0000-0000-00004A570000}"/>
    <cellStyle name="Separador de milhares 6 2 22 2 2" xfId="28836" xr:uid="{34C29D66-08F3-4B72-BE61-7090B941E833}"/>
    <cellStyle name="Separador de milhares 6 2 22 3" xfId="28835" xr:uid="{08D07491-05F5-452B-A392-8D264151F469}"/>
    <cellStyle name="Separador de milhares 6 2 23" xfId="19807" xr:uid="{00000000-0005-0000-0000-00004B570000}"/>
    <cellStyle name="Separador de milhares 6 2 23 2" xfId="19808" xr:uid="{00000000-0005-0000-0000-00004C570000}"/>
    <cellStyle name="Separador de milhares 6 2 23 2 2" xfId="28838" xr:uid="{0567E4AA-9788-412B-8F90-1F3952948810}"/>
    <cellStyle name="Separador de milhares 6 2 23 3" xfId="28837" xr:uid="{9A9D70C5-2859-4BFD-B2DB-BD4144935A70}"/>
    <cellStyle name="Separador de milhares 6 2 24" xfId="19809" xr:uid="{00000000-0005-0000-0000-00004D570000}"/>
    <cellStyle name="Separador de milhares 6 2 24 2" xfId="19810" xr:uid="{00000000-0005-0000-0000-00004E570000}"/>
    <cellStyle name="Separador de milhares 6 2 24 2 2" xfId="28840" xr:uid="{5E18CD45-BF18-4645-9B4E-AA244C09BD75}"/>
    <cellStyle name="Separador de milhares 6 2 24 3" xfId="28839" xr:uid="{3C9D6CF9-8EFD-404D-B63B-60DACE28B52E}"/>
    <cellStyle name="Separador de milhares 6 2 25" xfId="19811" xr:uid="{00000000-0005-0000-0000-00004F570000}"/>
    <cellStyle name="Separador de milhares 6 2 25 2" xfId="19812" xr:uid="{00000000-0005-0000-0000-000050570000}"/>
    <cellStyle name="Separador de milhares 6 2 25 2 2" xfId="28842" xr:uid="{4ADE0381-A61D-4449-9CF7-2F6943848E9A}"/>
    <cellStyle name="Separador de milhares 6 2 25 3" xfId="28841" xr:uid="{C76FAB4E-2E57-4F68-91AE-E4E3923C00C3}"/>
    <cellStyle name="Separador de milhares 6 2 26" xfId="19813" xr:uid="{00000000-0005-0000-0000-000051570000}"/>
    <cellStyle name="Separador de milhares 6 2 26 2" xfId="19814" xr:uid="{00000000-0005-0000-0000-000052570000}"/>
    <cellStyle name="Separador de milhares 6 2 26 2 2" xfId="28844" xr:uid="{15AC92A9-1BF9-40C5-AE91-D3432472A6EA}"/>
    <cellStyle name="Separador de milhares 6 2 26 3" xfId="28843" xr:uid="{B7F679DF-EDDF-4C6C-9700-87317FE197DD}"/>
    <cellStyle name="Separador de milhares 6 2 27" xfId="19815" xr:uid="{00000000-0005-0000-0000-000053570000}"/>
    <cellStyle name="Separador de milhares 6 2 27 2" xfId="19816" xr:uid="{00000000-0005-0000-0000-000054570000}"/>
    <cellStyle name="Separador de milhares 6 2 27 2 2" xfId="28846" xr:uid="{B7CF7B39-9681-4290-8A3B-BBE7ACD45D15}"/>
    <cellStyle name="Separador de milhares 6 2 27 3" xfId="28845" xr:uid="{6FA3BAEF-8442-4823-995A-BEB07E63B334}"/>
    <cellStyle name="Separador de milhares 6 2 28" xfId="19817" xr:uid="{00000000-0005-0000-0000-000055570000}"/>
    <cellStyle name="Separador de milhares 6 2 28 2" xfId="19818" xr:uid="{00000000-0005-0000-0000-000056570000}"/>
    <cellStyle name="Separador de milhares 6 2 28 2 2" xfId="28848" xr:uid="{8FA4926D-5E60-4D00-A6CC-57D5AE7C99A8}"/>
    <cellStyle name="Separador de milhares 6 2 28 3" xfId="28847" xr:uid="{8887A73C-C616-4BFC-AB62-BA7186D8F535}"/>
    <cellStyle name="Separador de milhares 6 2 29" xfId="19819" xr:uid="{00000000-0005-0000-0000-000057570000}"/>
    <cellStyle name="Separador de milhares 6 2 29 2" xfId="19820" xr:uid="{00000000-0005-0000-0000-000058570000}"/>
    <cellStyle name="Separador de milhares 6 2 29 2 2" xfId="28850" xr:uid="{BD12FC86-8EA6-444D-9C38-D4747E173FDD}"/>
    <cellStyle name="Separador de milhares 6 2 29 3" xfId="28849" xr:uid="{953176E3-F693-48CA-A376-770E8AD33965}"/>
    <cellStyle name="Separador de milhares 6 2 3" xfId="812" xr:uid="{00000000-0005-0000-0000-000059570000}"/>
    <cellStyle name="Separador de milhares 6 2 3 10" xfId="19822" xr:uid="{00000000-0005-0000-0000-00005A570000}"/>
    <cellStyle name="Separador de milhares 6 2 3 10 2" xfId="19823" xr:uid="{00000000-0005-0000-0000-00005B570000}"/>
    <cellStyle name="Separador de milhares 6 2 3 10 2 2" xfId="28851" xr:uid="{CC659D73-97A0-4994-9231-2E123158FF4F}"/>
    <cellStyle name="Separador de milhares 6 2 3 11" xfId="19824" xr:uid="{00000000-0005-0000-0000-00005C570000}"/>
    <cellStyle name="Separador de milhares 6 2 3 11 2" xfId="19825" xr:uid="{00000000-0005-0000-0000-00005D570000}"/>
    <cellStyle name="Separador de milhares 6 2 3 11 2 2" xfId="28853" xr:uid="{F4B4C586-56CF-4F65-BAAC-1EF5511376C6}"/>
    <cellStyle name="Separador de milhares 6 2 3 11 3" xfId="28852" xr:uid="{FDB08581-85C1-41FF-9EAF-F6CB4E6C8659}"/>
    <cellStyle name="Separador de milhares 6 2 3 12" xfId="19826" xr:uid="{00000000-0005-0000-0000-00005E570000}"/>
    <cellStyle name="Separador de milhares 6 2 3 12 2" xfId="19827" xr:uid="{00000000-0005-0000-0000-00005F570000}"/>
    <cellStyle name="Separador de milhares 6 2 3 12 2 2" xfId="28855" xr:uid="{CCE6E316-8D01-441E-A96A-2D23C4E0210E}"/>
    <cellStyle name="Separador de milhares 6 2 3 12 3" xfId="28854" xr:uid="{8AD7B9A9-1888-46B6-8855-9FBFBEDBEF63}"/>
    <cellStyle name="Separador de milhares 6 2 3 13" xfId="19828" xr:uid="{00000000-0005-0000-0000-000060570000}"/>
    <cellStyle name="Separador de milhares 6 2 3 13 2" xfId="19829" xr:uid="{00000000-0005-0000-0000-000061570000}"/>
    <cellStyle name="Separador de milhares 6 2 3 13 2 2" xfId="28857" xr:uid="{D2EE3A80-A58F-4F2C-88CA-0E60C6E14E18}"/>
    <cellStyle name="Separador de milhares 6 2 3 13 3" xfId="28856" xr:uid="{2AE339C9-8591-4F2A-84BA-6FF059651AE9}"/>
    <cellStyle name="Separador de milhares 6 2 3 14" xfId="19830" xr:uid="{00000000-0005-0000-0000-000062570000}"/>
    <cellStyle name="Separador de milhares 6 2 3 14 2" xfId="19831" xr:uid="{00000000-0005-0000-0000-000063570000}"/>
    <cellStyle name="Separador de milhares 6 2 3 14 2 2" xfId="28859" xr:uid="{C6172662-24FD-44E4-979B-F6793176652E}"/>
    <cellStyle name="Separador de milhares 6 2 3 14 3" xfId="28858" xr:uid="{41792107-7673-40BF-9E7A-9F60F602433C}"/>
    <cellStyle name="Separador de milhares 6 2 3 15" xfId="19832" xr:uid="{00000000-0005-0000-0000-000064570000}"/>
    <cellStyle name="Separador de milhares 6 2 3 15 2" xfId="19833" xr:uid="{00000000-0005-0000-0000-000065570000}"/>
    <cellStyle name="Separador de milhares 6 2 3 15 2 2" xfId="28861" xr:uid="{746723EB-F163-48B7-B58D-99CF657D20BB}"/>
    <cellStyle name="Separador de milhares 6 2 3 15 3" xfId="28860" xr:uid="{C131B027-FEB1-4180-9628-E94A0AEED2E2}"/>
    <cellStyle name="Separador de milhares 6 2 3 16" xfId="19834" xr:uid="{00000000-0005-0000-0000-000066570000}"/>
    <cellStyle name="Separador de milhares 6 2 3 16 2" xfId="19835" xr:uid="{00000000-0005-0000-0000-000067570000}"/>
    <cellStyle name="Separador de milhares 6 2 3 16 2 2" xfId="28863" xr:uid="{DDE903B5-80AF-47A1-8443-A84A7D71F8CA}"/>
    <cellStyle name="Separador de milhares 6 2 3 16 3" xfId="28862" xr:uid="{CD175444-E9BE-42A6-990D-B90CDA0EC3A2}"/>
    <cellStyle name="Separador de milhares 6 2 3 17" xfId="19836" xr:uid="{00000000-0005-0000-0000-000068570000}"/>
    <cellStyle name="Separador de milhares 6 2 3 17 2" xfId="19837" xr:uid="{00000000-0005-0000-0000-000069570000}"/>
    <cellStyle name="Separador de milhares 6 2 3 17 2 2" xfId="28865" xr:uid="{FF204172-8257-48A0-817B-6FAEACF0B426}"/>
    <cellStyle name="Separador de milhares 6 2 3 17 3" xfId="28864" xr:uid="{BF157806-392D-4B9A-B7D3-23A07D515739}"/>
    <cellStyle name="Separador de milhares 6 2 3 18" xfId="19838" xr:uid="{00000000-0005-0000-0000-00006A570000}"/>
    <cellStyle name="Separador de milhares 6 2 3 18 2" xfId="19839" xr:uid="{00000000-0005-0000-0000-00006B570000}"/>
    <cellStyle name="Separador de milhares 6 2 3 18 2 2" xfId="28867" xr:uid="{6E3D7D6C-D149-4747-88AF-1CA79BDDE3AA}"/>
    <cellStyle name="Separador de milhares 6 2 3 18 3" xfId="28866" xr:uid="{66B83C35-4053-43E5-BD11-85D6959FC5AA}"/>
    <cellStyle name="Separador de milhares 6 2 3 19" xfId="19840" xr:uid="{00000000-0005-0000-0000-00006C570000}"/>
    <cellStyle name="Separador de milhares 6 2 3 19 2" xfId="19841" xr:uid="{00000000-0005-0000-0000-00006D570000}"/>
    <cellStyle name="Separador de milhares 6 2 3 19 2 2" xfId="28869" xr:uid="{0C9B6562-B4EA-4003-8206-087F132E0FEB}"/>
    <cellStyle name="Separador de milhares 6 2 3 19 3" xfId="28868" xr:uid="{DECA42C0-9EDF-4187-9D3D-569FD58BA671}"/>
    <cellStyle name="Separador de milhares 6 2 3 2" xfId="813" xr:uid="{00000000-0005-0000-0000-00006E570000}"/>
    <cellStyle name="Separador de milhares 6 2 3 2 2" xfId="19843" xr:uid="{00000000-0005-0000-0000-00006F570000}"/>
    <cellStyle name="Separador de milhares 6 2 3 2 2 2" xfId="28870" xr:uid="{BF2C5449-FB94-4366-90E7-476E9FBF3310}"/>
    <cellStyle name="Separador de milhares 6 2 3 2 3" xfId="19842" xr:uid="{00000000-0005-0000-0000-000070570000}"/>
    <cellStyle name="Separador de milhares 6 2 3 2 4" xfId="27208" xr:uid="{00000000-0005-0000-0000-000071570000}"/>
    <cellStyle name="Separador de milhares 6 2 3 2 4 2" xfId="33050" xr:uid="{BF55CFE6-671C-4F4C-B6E3-378771E2BA5E}"/>
    <cellStyle name="Separador de milhares 6 2 3 2 5" xfId="27388" xr:uid="{00000000-0005-0000-0000-000072570000}"/>
    <cellStyle name="Separador de milhares 6 2 3 2 5 2" xfId="33225" xr:uid="{8C1E74A5-FD5F-4B43-B668-FD72DF0807AF}"/>
    <cellStyle name="Separador de milhares 6 2 3 2 6" xfId="27566" xr:uid="{00000000-0005-0000-0000-000073570000}"/>
    <cellStyle name="Separador de milhares 6 2 3 2 6 2" xfId="33378" xr:uid="{4F169DEA-C9F5-46B8-9150-71B7B778F54E}"/>
    <cellStyle name="Separador de milhares 6 2 3 2 7" xfId="27717" xr:uid="{00000000-0005-0000-0000-000074570000}"/>
    <cellStyle name="Separador de milhares 6 2 3 2 7 2" xfId="33528" xr:uid="{541B21AE-6F25-4063-954A-66E10B19DE1D}"/>
    <cellStyle name="Separador de milhares 6 2 3 2 8" xfId="28048" xr:uid="{1F639C0C-C0BD-4467-B604-C74D81BFCFE1}"/>
    <cellStyle name="Separador de milhares 6 2 3 20" xfId="19844" xr:uid="{00000000-0005-0000-0000-000075570000}"/>
    <cellStyle name="Separador de milhares 6 2 3 20 2" xfId="19845" xr:uid="{00000000-0005-0000-0000-000076570000}"/>
    <cellStyle name="Separador de milhares 6 2 3 20 2 2" xfId="28872" xr:uid="{37BB9AC5-CAB2-4A22-8FBC-40537900AC39}"/>
    <cellStyle name="Separador de milhares 6 2 3 20 3" xfId="28871" xr:uid="{35114D72-924D-4AFB-93B5-2EA29A56A490}"/>
    <cellStyle name="Separador de milhares 6 2 3 21" xfId="19846" xr:uid="{00000000-0005-0000-0000-000077570000}"/>
    <cellStyle name="Separador de milhares 6 2 3 21 2" xfId="19847" xr:uid="{00000000-0005-0000-0000-000078570000}"/>
    <cellStyle name="Separador de milhares 6 2 3 21 2 2" xfId="28874" xr:uid="{DE5DA1AE-1E64-4EF4-AB6B-A873B11787AC}"/>
    <cellStyle name="Separador de milhares 6 2 3 21 3" xfId="28873" xr:uid="{7E7B52A9-F0B3-42A9-809D-F77B08ACBC07}"/>
    <cellStyle name="Separador de milhares 6 2 3 22" xfId="19848" xr:uid="{00000000-0005-0000-0000-000079570000}"/>
    <cellStyle name="Separador de milhares 6 2 3 22 2" xfId="19849" xr:uid="{00000000-0005-0000-0000-00007A570000}"/>
    <cellStyle name="Separador de milhares 6 2 3 22 2 2" xfId="28876" xr:uid="{E187D88D-97A4-4BDF-985B-0B68A35F2131}"/>
    <cellStyle name="Separador de milhares 6 2 3 22 3" xfId="28875" xr:uid="{A31B2717-92AA-4F42-81AE-9E105EF38CAF}"/>
    <cellStyle name="Separador de milhares 6 2 3 23" xfId="19850" xr:uid="{00000000-0005-0000-0000-00007B570000}"/>
    <cellStyle name="Separador de milhares 6 2 3 23 2" xfId="19851" xr:uid="{00000000-0005-0000-0000-00007C570000}"/>
    <cellStyle name="Separador de milhares 6 2 3 23 2 2" xfId="28878" xr:uid="{1D967A73-9B9A-4AEB-B724-0725F301495E}"/>
    <cellStyle name="Separador de milhares 6 2 3 23 3" xfId="28877" xr:uid="{EA9D8DE8-D251-4220-953E-6783C081C98E}"/>
    <cellStyle name="Separador de milhares 6 2 3 24" xfId="19852" xr:uid="{00000000-0005-0000-0000-00007D570000}"/>
    <cellStyle name="Separador de milhares 6 2 3 24 2" xfId="19853" xr:uid="{00000000-0005-0000-0000-00007E570000}"/>
    <cellStyle name="Separador de milhares 6 2 3 24 2 2" xfId="28880" xr:uid="{7C558816-580C-4F79-A596-63147619FF92}"/>
    <cellStyle name="Separador de milhares 6 2 3 24 3" xfId="28879" xr:uid="{EC35536A-42EB-44F0-8D85-7BD0B6900852}"/>
    <cellStyle name="Separador de milhares 6 2 3 25" xfId="19854" xr:uid="{00000000-0005-0000-0000-00007F570000}"/>
    <cellStyle name="Separador de milhares 6 2 3 25 2" xfId="19855" xr:uid="{00000000-0005-0000-0000-000080570000}"/>
    <cellStyle name="Separador de milhares 6 2 3 25 2 2" xfId="28882" xr:uid="{D166A24C-4774-4D5F-941A-2BD1C0EE444C}"/>
    <cellStyle name="Separador de milhares 6 2 3 25 3" xfId="28881" xr:uid="{053E4C80-907A-42DA-B978-04ADAA1C6A62}"/>
    <cellStyle name="Separador de milhares 6 2 3 26" xfId="19856" xr:uid="{00000000-0005-0000-0000-000081570000}"/>
    <cellStyle name="Separador de milhares 6 2 3 26 2" xfId="19857" xr:uid="{00000000-0005-0000-0000-000082570000}"/>
    <cellStyle name="Separador de milhares 6 2 3 26 2 2" xfId="28884" xr:uid="{37790CA8-E119-4B12-A6F0-1EF00EB8B718}"/>
    <cellStyle name="Separador de milhares 6 2 3 26 3" xfId="28883" xr:uid="{3CFF90EF-7B1C-427B-8083-385DCF733408}"/>
    <cellStyle name="Separador de milhares 6 2 3 27" xfId="19858" xr:uid="{00000000-0005-0000-0000-000083570000}"/>
    <cellStyle name="Separador de milhares 6 2 3 27 2" xfId="19859" xr:uid="{00000000-0005-0000-0000-000084570000}"/>
    <cellStyle name="Separador de milhares 6 2 3 27 2 2" xfId="28886" xr:uid="{8DFC58B4-C443-4F34-9E90-57168FE09E66}"/>
    <cellStyle name="Separador de milhares 6 2 3 27 3" xfId="28885" xr:uid="{FEEA9450-C8ED-4096-A22A-68EFE38B4C8F}"/>
    <cellStyle name="Separador de milhares 6 2 3 28" xfId="19860" xr:uid="{00000000-0005-0000-0000-000085570000}"/>
    <cellStyle name="Separador de milhares 6 2 3 28 2" xfId="19861" xr:uid="{00000000-0005-0000-0000-000086570000}"/>
    <cellStyle name="Separador de milhares 6 2 3 28 2 2" xfId="28888" xr:uid="{73C40D5E-51F4-440D-A5DC-D02071F93B0D}"/>
    <cellStyle name="Separador de milhares 6 2 3 28 3" xfId="28887" xr:uid="{100EF1D3-A480-4659-8B87-BAED0D01E757}"/>
    <cellStyle name="Separador de milhares 6 2 3 29" xfId="19862" xr:uid="{00000000-0005-0000-0000-000087570000}"/>
    <cellStyle name="Separador de milhares 6 2 3 29 2" xfId="19863" xr:uid="{00000000-0005-0000-0000-000088570000}"/>
    <cellStyle name="Separador de milhares 6 2 3 29 2 2" xfId="28890" xr:uid="{432012A9-9E8E-48A4-A78B-72B57E49FDC0}"/>
    <cellStyle name="Separador de milhares 6 2 3 29 3" xfId="28889" xr:uid="{F9D21ED4-8D3F-45A1-BF62-E15CA5453110}"/>
    <cellStyle name="Separador de milhares 6 2 3 3" xfId="19864" xr:uid="{00000000-0005-0000-0000-000089570000}"/>
    <cellStyle name="Separador de milhares 6 2 3 3 2" xfId="19865" xr:uid="{00000000-0005-0000-0000-00008A570000}"/>
    <cellStyle name="Separador de milhares 6 2 3 3 2 2" xfId="28891" xr:uid="{B20707F5-ABE4-4CB6-80A2-F0B429EE9A70}"/>
    <cellStyle name="Separador de milhares 6 2 3 30" xfId="19866" xr:uid="{00000000-0005-0000-0000-00008B570000}"/>
    <cellStyle name="Separador de milhares 6 2 3 30 2" xfId="19867" xr:uid="{00000000-0005-0000-0000-00008C570000}"/>
    <cellStyle name="Separador de milhares 6 2 3 30 2 2" xfId="28893" xr:uid="{F7624354-7C24-4F63-8189-18A6BB62F252}"/>
    <cellStyle name="Separador de milhares 6 2 3 30 3" xfId="28892" xr:uid="{0FA80EDE-B4BB-4224-89B9-D1C1C1A9A73F}"/>
    <cellStyle name="Separador de milhares 6 2 3 31" xfId="19868" xr:uid="{00000000-0005-0000-0000-00008D570000}"/>
    <cellStyle name="Separador de milhares 6 2 3 31 2" xfId="19869" xr:uid="{00000000-0005-0000-0000-00008E570000}"/>
    <cellStyle name="Separador de milhares 6 2 3 31 2 2" xfId="28895" xr:uid="{6EEBE6BC-E0AE-4F43-AC0C-18BB8621A54D}"/>
    <cellStyle name="Separador de milhares 6 2 3 31 3" xfId="28894" xr:uid="{A1430924-2A51-41BC-B698-1F5F27F6DF22}"/>
    <cellStyle name="Separador de milhares 6 2 3 32" xfId="19870" xr:uid="{00000000-0005-0000-0000-00008F570000}"/>
    <cellStyle name="Separador de milhares 6 2 3 32 2" xfId="19871" xr:uid="{00000000-0005-0000-0000-000090570000}"/>
    <cellStyle name="Separador de milhares 6 2 3 32 2 2" xfId="28897" xr:uid="{66D819C7-B9D8-4DBB-B7C7-6A154D64EC26}"/>
    <cellStyle name="Separador de milhares 6 2 3 32 3" xfId="28896" xr:uid="{866D8B61-6A29-44D7-834E-49A56AACEF53}"/>
    <cellStyle name="Separador de milhares 6 2 3 33" xfId="19872" xr:uid="{00000000-0005-0000-0000-000091570000}"/>
    <cellStyle name="Separador de milhares 6 2 3 33 2" xfId="19873" xr:uid="{00000000-0005-0000-0000-000092570000}"/>
    <cellStyle name="Separador de milhares 6 2 3 33 2 2" xfId="28899" xr:uid="{6BE5AC99-769C-4D2C-95BB-2FC9AE66FE2D}"/>
    <cellStyle name="Separador de milhares 6 2 3 33 3" xfId="28898" xr:uid="{35695493-CC85-4AE4-9BC7-1512519FFC29}"/>
    <cellStyle name="Separador de milhares 6 2 3 34" xfId="19874" xr:uid="{00000000-0005-0000-0000-000093570000}"/>
    <cellStyle name="Separador de milhares 6 2 3 34 2" xfId="19875" xr:uid="{00000000-0005-0000-0000-000094570000}"/>
    <cellStyle name="Separador de milhares 6 2 3 34 2 2" xfId="28901" xr:uid="{8058CDD5-CB16-4AAF-83FB-647C42E5EC27}"/>
    <cellStyle name="Separador de milhares 6 2 3 34 3" xfId="28900" xr:uid="{7167E643-D6EB-4650-BC41-90E5FDE487C1}"/>
    <cellStyle name="Separador de milhares 6 2 3 35" xfId="19876" xr:uid="{00000000-0005-0000-0000-000095570000}"/>
    <cellStyle name="Separador de milhares 6 2 3 35 2" xfId="28902" xr:uid="{2A92FF77-513F-4357-ABFA-0DB4752C2123}"/>
    <cellStyle name="Separador de milhares 6 2 3 36" xfId="19821" xr:uid="{00000000-0005-0000-0000-000096570000}"/>
    <cellStyle name="Separador de milhares 6 2 3 37" xfId="27207" xr:uid="{00000000-0005-0000-0000-000097570000}"/>
    <cellStyle name="Separador de milhares 6 2 3 37 2" xfId="33049" xr:uid="{8AD34EB2-9194-4C98-BC11-F0D3A8838B80}"/>
    <cellStyle name="Separador de milhares 6 2 3 38" xfId="27387" xr:uid="{00000000-0005-0000-0000-000098570000}"/>
    <cellStyle name="Separador de milhares 6 2 3 38 2" xfId="33224" xr:uid="{283F9C3A-B734-4250-BBF4-4B7AE02550C8}"/>
    <cellStyle name="Separador de milhares 6 2 3 39" xfId="27565" xr:uid="{00000000-0005-0000-0000-000099570000}"/>
    <cellStyle name="Separador de milhares 6 2 3 39 2" xfId="33377" xr:uid="{846ACB12-5287-415A-A322-655E04BD5E7B}"/>
    <cellStyle name="Separador de milhares 6 2 3 4" xfId="19877" xr:uid="{00000000-0005-0000-0000-00009A570000}"/>
    <cellStyle name="Separador de milhares 6 2 3 4 2" xfId="19878" xr:uid="{00000000-0005-0000-0000-00009B570000}"/>
    <cellStyle name="Separador de milhares 6 2 3 4 2 2" xfId="28903" xr:uid="{E7E8BD7C-2EC4-41BA-8F91-1896920E5E3C}"/>
    <cellStyle name="Separador de milhares 6 2 3 40" xfId="27716" xr:uid="{00000000-0005-0000-0000-00009C570000}"/>
    <cellStyle name="Separador de milhares 6 2 3 40 2" xfId="33527" xr:uid="{8FC5AC1C-89A1-4F9E-86D7-C26EF879386D}"/>
    <cellStyle name="Separador de milhares 6 2 3 41" xfId="28047" xr:uid="{C478CA2B-1227-444C-AAA2-C73D587B19E0}"/>
    <cellStyle name="Separador de milhares 6 2 3 5" xfId="19879" xr:uid="{00000000-0005-0000-0000-00009D570000}"/>
    <cellStyle name="Separador de milhares 6 2 3 5 2" xfId="19880" xr:uid="{00000000-0005-0000-0000-00009E570000}"/>
    <cellStyle name="Separador de milhares 6 2 3 5 2 2" xfId="28904" xr:uid="{603CEFC7-98B5-46A3-948D-C4260A328D90}"/>
    <cellStyle name="Separador de milhares 6 2 3 6" xfId="19881" xr:uid="{00000000-0005-0000-0000-00009F570000}"/>
    <cellStyle name="Separador de milhares 6 2 3 6 2" xfId="19882" xr:uid="{00000000-0005-0000-0000-0000A0570000}"/>
    <cellStyle name="Separador de milhares 6 2 3 6 2 2" xfId="28905" xr:uid="{1F79C8AE-82C0-427C-AB69-7437A8A705E1}"/>
    <cellStyle name="Separador de milhares 6 2 3 7" xfId="19883" xr:uid="{00000000-0005-0000-0000-0000A1570000}"/>
    <cellStyle name="Separador de milhares 6 2 3 7 2" xfId="19884" xr:uid="{00000000-0005-0000-0000-0000A2570000}"/>
    <cellStyle name="Separador de milhares 6 2 3 7 2 2" xfId="28906" xr:uid="{BD95D6B4-1275-4808-84B0-F63D0C58130A}"/>
    <cellStyle name="Separador de milhares 6 2 3 8" xfId="19885" xr:uid="{00000000-0005-0000-0000-0000A3570000}"/>
    <cellStyle name="Separador de milhares 6 2 3 8 2" xfId="19886" xr:uid="{00000000-0005-0000-0000-0000A4570000}"/>
    <cellStyle name="Separador de milhares 6 2 3 8 2 2" xfId="28907" xr:uid="{2838F168-6AAE-4E01-925A-ABCC1B51AC9A}"/>
    <cellStyle name="Separador de milhares 6 2 3 9" xfId="19887" xr:uid="{00000000-0005-0000-0000-0000A5570000}"/>
    <cellStyle name="Separador de milhares 6 2 3 9 2" xfId="19888" xr:uid="{00000000-0005-0000-0000-0000A6570000}"/>
    <cellStyle name="Separador de milhares 6 2 3 9 2 2" xfId="28908" xr:uid="{B697150E-592B-4004-B0A3-86AB359D17FC}"/>
    <cellStyle name="Separador de milhares 6 2 30" xfId="19889" xr:uid="{00000000-0005-0000-0000-0000A7570000}"/>
    <cellStyle name="Separador de milhares 6 2 30 2" xfId="19890" xr:uid="{00000000-0005-0000-0000-0000A8570000}"/>
    <cellStyle name="Separador de milhares 6 2 30 2 2" xfId="28910" xr:uid="{CEAA51DA-4EC2-42FA-B809-789E8F4B964F}"/>
    <cellStyle name="Separador de milhares 6 2 30 3" xfId="28909" xr:uid="{73E7469F-02EA-4749-A3CE-3D0F5F379C59}"/>
    <cellStyle name="Separador de milhares 6 2 31" xfId="19891" xr:uid="{00000000-0005-0000-0000-0000A9570000}"/>
    <cellStyle name="Separador de milhares 6 2 31 2" xfId="19892" xr:uid="{00000000-0005-0000-0000-0000AA570000}"/>
    <cellStyle name="Separador de milhares 6 2 31 2 2" xfId="28912" xr:uid="{6A0B3068-DB06-4765-8793-2B95F6FF2676}"/>
    <cellStyle name="Separador de milhares 6 2 31 3" xfId="28911" xr:uid="{246FC7C2-7CD4-4F10-8E42-D4AE676F3351}"/>
    <cellStyle name="Separador de milhares 6 2 32" xfId="19893" xr:uid="{00000000-0005-0000-0000-0000AB570000}"/>
    <cellStyle name="Separador de milhares 6 2 32 2" xfId="19894" xr:uid="{00000000-0005-0000-0000-0000AC570000}"/>
    <cellStyle name="Separador de milhares 6 2 32 2 2" xfId="28914" xr:uid="{92749846-E8B3-4675-AB7D-E9CE4D90A407}"/>
    <cellStyle name="Separador de milhares 6 2 32 3" xfId="28913" xr:uid="{E8E834DB-480F-4D1B-B6B5-79DFFDC4E523}"/>
    <cellStyle name="Separador de milhares 6 2 33" xfId="19895" xr:uid="{00000000-0005-0000-0000-0000AD570000}"/>
    <cellStyle name="Separador de milhares 6 2 33 2" xfId="19896" xr:uid="{00000000-0005-0000-0000-0000AE570000}"/>
    <cellStyle name="Separador de milhares 6 2 33 2 2" xfId="28916" xr:uid="{05C50E2E-972C-476B-AD03-8B7D9DE357A7}"/>
    <cellStyle name="Separador de milhares 6 2 33 3" xfId="28915" xr:uid="{B812B347-47DF-450A-8439-FCB1ADA6020A}"/>
    <cellStyle name="Separador de milhares 6 2 34" xfId="19897" xr:uid="{00000000-0005-0000-0000-0000AF570000}"/>
    <cellStyle name="Separador de milhares 6 2 34 2" xfId="19898" xr:uid="{00000000-0005-0000-0000-0000B0570000}"/>
    <cellStyle name="Separador de milhares 6 2 34 2 2" xfId="28918" xr:uid="{CB575852-EEF7-43A6-9AFB-9D19129145AE}"/>
    <cellStyle name="Separador de milhares 6 2 34 3" xfId="28917" xr:uid="{8639853E-E526-4C29-B2C9-8ACA5CFC9521}"/>
    <cellStyle name="Separador de milhares 6 2 35" xfId="19899" xr:uid="{00000000-0005-0000-0000-0000B1570000}"/>
    <cellStyle name="Separador de milhares 6 2 35 2" xfId="19900" xr:uid="{00000000-0005-0000-0000-0000B2570000}"/>
    <cellStyle name="Separador de milhares 6 2 35 2 2" xfId="28920" xr:uid="{4797C069-943F-4F0F-B305-CFD74787552E}"/>
    <cellStyle name="Separador de milhares 6 2 35 3" xfId="28919" xr:uid="{AC7D7EE0-3DFA-4B04-B7A3-B802966D33CE}"/>
    <cellStyle name="Separador de milhares 6 2 36" xfId="19901" xr:uid="{00000000-0005-0000-0000-0000B3570000}"/>
    <cellStyle name="Separador de milhares 6 2 36 2" xfId="19902" xr:uid="{00000000-0005-0000-0000-0000B4570000}"/>
    <cellStyle name="Separador de milhares 6 2 36 2 2" xfId="28922" xr:uid="{6C8DE693-7A14-405C-986E-1B14D0B6BCE3}"/>
    <cellStyle name="Separador de milhares 6 2 36 3" xfId="28921" xr:uid="{43B34167-D4A6-439C-ACAE-CC80AD6C8E06}"/>
    <cellStyle name="Separador de milhares 6 2 37" xfId="19903" xr:uid="{00000000-0005-0000-0000-0000B5570000}"/>
    <cellStyle name="Separador de milhares 6 2 37 2" xfId="19904" xr:uid="{00000000-0005-0000-0000-0000B6570000}"/>
    <cellStyle name="Separador de milhares 6 2 37 2 2" xfId="28924" xr:uid="{E033758A-E262-495C-B246-785776086C18}"/>
    <cellStyle name="Separador de milhares 6 2 37 3" xfId="28923" xr:uid="{C5A42B22-A7D2-4858-B7AB-CD400DBCB1FD}"/>
    <cellStyle name="Separador de milhares 6 2 38" xfId="19905" xr:uid="{00000000-0005-0000-0000-0000B7570000}"/>
    <cellStyle name="Separador de milhares 6 2 38 2" xfId="19906" xr:uid="{00000000-0005-0000-0000-0000B8570000}"/>
    <cellStyle name="Separador de milhares 6 2 38 2 2" xfId="28926" xr:uid="{E255072F-FE50-49B5-B506-B3B77F80D922}"/>
    <cellStyle name="Separador de milhares 6 2 38 3" xfId="28925" xr:uid="{75F56205-987F-4C05-B680-A5B994973667}"/>
    <cellStyle name="Separador de milhares 6 2 39" xfId="19907" xr:uid="{00000000-0005-0000-0000-0000B9570000}"/>
    <cellStyle name="Separador de milhares 6 2 39 2" xfId="19908" xr:uid="{00000000-0005-0000-0000-0000BA570000}"/>
    <cellStyle name="Separador de milhares 6 2 39 2 2" xfId="28928" xr:uid="{4F861EDD-4194-4BAF-BFBE-A9FFB76B09E8}"/>
    <cellStyle name="Separador de milhares 6 2 39 3" xfId="28927" xr:uid="{C954685B-8BF7-4C91-9AE6-89473E383094}"/>
    <cellStyle name="Separador de milhares 6 2 4" xfId="814" xr:uid="{00000000-0005-0000-0000-0000BB570000}"/>
    <cellStyle name="Separador de milhares 6 2 4 10" xfId="27567" xr:uid="{00000000-0005-0000-0000-0000BC570000}"/>
    <cellStyle name="Separador de milhares 6 2 4 10 2" xfId="33379" xr:uid="{717E18BB-25AD-4E26-84B3-1E61A487F6C5}"/>
    <cellStyle name="Separador de milhares 6 2 4 11" xfId="27718" xr:uid="{00000000-0005-0000-0000-0000BD570000}"/>
    <cellStyle name="Separador de milhares 6 2 4 11 2" xfId="33529" xr:uid="{475BB2AC-7EA4-4A5C-B068-60C08EC60AC3}"/>
    <cellStyle name="Separador de milhares 6 2 4 12" xfId="28049" xr:uid="{91CC2920-FE95-419C-93FA-8C34D47B3CA7}"/>
    <cellStyle name="Separador de milhares 6 2 4 2" xfId="19910" xr:uid="{00000000-0005-0000-0000-0000BE570000}"/>
    <cellStyle name="Separador de milhares 6 2 4 2 2" xfId="19911" xr:uid="{00000000-0005-0000-0000-0000BF570000}"/>
    <cellStyle name="Separador de milhares 6 2 4 2 2 2" xfId="28929" xr:uid="{F18D0C07-37E1-45D4-A35D-857A5E628EB2}"/>
    <cellStyle name="Separador de milhares 6 2 4 3" xfId="19912" xr:uid="{00000000-0005-0000-0000-0000C0570000}"/>
    <cellStyle name="Separador de milhares 6 2 4 3 2" xfId="19913" xr:uid="{00000000-0005-0000-0000-0000C1570000}"/>
    <cellStyle name="Separador de milhares 6 2 4 3 2 2" xfId="28930" xr:uid="{887EFCEE-EBDE-4E2B-83A1-F36151E0EC03}"/>
    <cellStyle name="Separador de milhares 6 2 4 4" xfId="19914" xr:uid="{00000000-0005-0000-0000-0000C2570000}"/>
    <cellStyle name="Separador de milhares 6 2 4 4 2" xfId="19915" xr:uid="{00000000-0005-0000-0000-0000C3570000}"/>
    <cellStyle name="Separador de milhares 6 2 4 4 2 2" xfId="28931" xr:uid="{BD1F7EFD-8C7B-4F85-9EE5-D089F6E1C0CF}"/>
    <cellStyle name="Separador de milhares 6 2 4 5" xfId="19916" xr:uid="{00000000-0005-0000-0000-0000C4570000}"/>
    <cellStyle name="Separador de milhares 6 2 4 5 2" xfId="19917" xr:uid="{00000000-0005-0000-0000-0000C5570000}"/>
    <cellStyle name="Separador de milhares 6 2 4 5 2 2" xfId="28933" xr:uid="{926B04FA-ABC4-4488-AFD5-A5D60B50FFE5}"/>
    <cellStyle name="Separador de milhares 6 2 4 5 3" xfId="28932" xr:uid="{D8B6DD4E-F896-427B-9084-09109F091884}"/>
    <cellStyle name="Separador de milhares 6 2 4 6" xfId="19918" xr:uid="{00000000-0005-0000-0000-0000C6570000}"/>
    <cellStyle name="Separador de milhares 6 2 4 6 2" xfId="28934" xr:uid="{8824AEFC-CB3B-449E-8A8E-F0CEFE4B1978}"/>
    <cellStyle name="Separador de milhares 6 2 4 7" xfId="19909" xr:uid="{00000000-0005-0000-0000-0000C7570000}"/>
    <cellStyle name="Separador de milhares 6 2 4 8" xfId="27209" xr:uid="{00000000-0005-0000-0000-0000C8570000}"/>
    <cellStyle name="Separador de milhares 6 2 4 8 2" xfId="33051" xr:uid="{88E48A4E-0B5C-4FDF-A505-DBCB6C4E3889}"/>
    <cellStyle name="Separador de milhares 6 2 4 9" xfId="27389" xr:uid="{00000000-0005-0000-0000-0000C9570000}"/>
    <cellStyle name="Separador de milhares 6 2 4 9 2" xfId="33226" xr:uid="{40412E25-4CED-4FB9-BD3D-51C977758273}"/>
    <cellStyle name="Separador de milhares 6 2 40" xfId="19919" xr:uid="{00000000-0005-0000-0000-0000CA570000}"/>
    <cellStyle name="Separador de milhares 6 2 40 2" xfId="19920" xr:uid="{00000000-0005-0000-0000-0000CB570000}"/>
    <cellStyle name="Separador de milhares 6 2 40 2 2" xfId="28936" xr:uid="{29CEBB4F-2640-4677-B1DB-2EED1B396B2E}"/>
    <cellStyle name="Separador de milhares 6 2 40 3" xfId="28935" xr:uid="{45C9FFD3-AB44-4826-AF46-8B9A6F6E706B}"/>
    <cellStyle name="Separador de milhares 6 2 41" xfId="19921" xr:uid="{00000000-0005-0000-0000-0000CC570000}"/>
    <cellStyle name="Separador de milhares 6 2 41 2" xfId="19922" xr:uid="{00000000-0005-0000-0000-0000CD570000}"/>
    <cellStyle name="Separador de milhares 6 2 41 2 2" xfId="28938" xr:uid="{C3EC4F0E-B2CC-4E99-9A40-FE012E70874D}"/>
    <cellStyle name="Separador de milhares 6 2 41 3" xfId="28937" xr:uid="{4A88E9BE-A079-4A16-B4D9-5CD0A8B91731}"/>
    <cellStyle name="Separador de milhares 6 2 42" xfId="19923" xr:uid="{00000000-0005-0000-0000-0000CE570000}"/>
    <cellStyle name="Separador de milhares 6 2 42 2" xfId="19924" xr:uid="{00000000-0005-0000-0000-0000CF570000}"/>
    <cellStyle name="Separador de milhares 6 2 42 2 2" xfId="28940" xr:uid="{ECFCDD4D-408D-4C20-8C71-24A5EB8D1B8E}"/>
    <cellStyle name="Separador de milhares 6 2 42 3" xfId="28939" xr:uid="{270C2984-5076-495A-BB8E-40A29190C939}"/>
    <cellStyle name="Separador de milhares 6 2 43" xfId="19925" xr:uid="{00000000-0005-0000-0000-0000D0570000}"/>
    <cellStyle name="Separador de milhares 6 2 43 2" xfId="19926" xr:uid="{00000000-0005-0000-0000-0000D1570000}"/>
    <cellStyle name="Separador de milhares 6 2 43 2 2" xfId="28942" xr:uid="{BC2FD284-84F4-41E7-AFF9-DB7721AC4E2F}"/>
    <cellStyle name="Separador de milhares 6 2 43 3" xfId="28941" xr:uid="{75CAD4B9-E6FB-4323-BB74-F9F2381374FD}"/>
    <cellStyle name="Separador de milhares 6 2 44" xfId="19927" xr:uid="{00000000-0005-0000-0000-0000D2570000}"/>
    <cellStyle name="Separador de milhares 6 2 44 2" xfId="19928" xr:uid="{00000000-0005-0000-0000-0000D3570000}"/>
    <cellStyle name="Separador de milhares 6 2 44 2 2" xfId="28944" xr:uid="{38249CCC-3719-4456-890F-E5D91377C904}"/>
    <cellStyle name="Separador de milhares 6 2 44 3" xfId="28943" xr:uid="{CC088483-4831-42E3-9213-78EA34B2D2C7}"/>
    <cellStyle name="Separador de milhares 6 2 45" xfId="19929" xr:uid="{00000000-0005-0000-0000-0000D4570000}"/>
    <cellStyle name="Separador de milhares 6 2 45 2" xfId="19930" xr:uid="{00000000-0005-0000-0000-0000D5570000}"/>
    <cellStyle name="Separador de milhares 6 2 45 2 2" xfId="28946" xr:uid="{21232C9F-ECB4-4902-AA61-6215FAAC9AA4}"/>
    <cellStyle name="Separador de milhares 6 2 45 3" xfId="28945" xr:uid="{F80F9269-3198-476E-AB4E-12999C03A0FD}"/>
    <cellStyle name="Separador de milhares 6 2 46" xfId="19931" xr:uid="{00000000-0005-0000-0000-0000D6570000}"/>
    <cellStyle name="Separador de milhares 6 2 46 2" xfId="19932" xr:uid="{00000000-0005-0000-0000-0000D7570000}"/>
    <cellStyle name="Separador de milhares 6 2 46 2 2" xfId="28948" xr:uid="{8061EED6-BD43-4E8F-BCCC-4BB323EC2AD1}"/>
    <cellStyle name="Separador de milhares 6 2 46 3" xfId="28947" xr:uid="{E2BDFAB1-1B20-4342-8082-D8FC9B5874EC}"/>
    <cellStyle name="Separador de milhares 6 2 47" xfId="19933" xr:uid="{00000000-0005-0000-0000-0000D8570000}"/>
    <cellStyle name="Separador de milhares 6 2 47 2" xfId="28949" xr:uid="{04B95A19-ECD4-443C-B8F1-949E51CBE897}"/>
    <cellStyle name="Separador de milhares 6 2 48" xfId="19712" xr:uid="{00000000-0005-0000-0000-0000D9570000}"/>
    <cellStyle name="Separador de milhares 6 2 48 2" xfId="28759" xr:uid="{DA3F37BD-D215-441B-A3EA-83199021CB50}"/>
    <cellStyle name="Separador de milhares 6 2 49" xfId="27202" xr:uid="{00000000-0005-0000-0000-0000DA570000}"/>
    <cellStyle name="Separador de milhares 6 2 49 2" xfId="33044" xr:uid="{FE6BDF00-F169-44E8-AD27-AF8EF34F35B9}"/>
    <cellStyle name="Separador de milhares 6 2 5" xfId="19934" xr:uid="{00000000-0005-0000-0000-0000DB570000}"/>
    <cellStyle name="Separador de milhares 6 2 5 2" xfId="19935" xr:uid="{00000000-0005-0000-0000-0000DC570000}"/>
    <cellStyle name="Separador de milhares 6 2 5 3" xfId="19936" xr:uid="{00000000-0005-0000-0000-0000DD570000}"/>
    <cellStyle name="Separador de milhares 6 2 5 4" xfId="19937" xr:uid="{00000000-0005-0000-0000-0000DE570000}"/>
    <cellStyle name="Separador de milhares 6 2 50" xfId="27382" xr:uid="{00000000-0005-0000-0000-0000DF570000}"/>
    <cellStyle name="Separador de milhares 6 2 50 2" xfId="33219" xr:uid="{139056B4-F3A0-4FE6-B598-09F05AC07D0C}"/>
    <cellStyle name="Separador de milhares 6 2 51" xfId="27560" xr:uid="{00000000-0005-0000-0000-0000E0570000}"/>
    <cellStyle name="Separador de milhares 6 2 51 2" xfId="33372" xr:uid="{81E45B7C-E105-444E-9EF4-4E75537D5109}"/>
    <cellStyle name="Separador de milhares 6 2 52" xfId="27711" xr:uid="{00000000-0005-0000-0000-0000E1570000}"/>
    <cellStyle name="Separador de milhares 6 2 52 2" xfId="33522" xr:uid="{2FB69A43-B8C8-4DD8-BED9-B3BDFBADFCC1}"/>
    <cellStyle name="Separador de milhares 6 2 53" xfId="28042" xr:uid="{7EDAAA80-7AA4-4790-A7E3-53ABCB6C7F86}"/>
    <cellStyle name="Separador de milhares 6 2 6" xfId="19938" xr:uid="{00000000-0005-0000-0000-0000E2570000}"/>
    <cellStyle name="Separador de milhares 6 2 6 2" xfId="19939" xr:uid="{00000000-0005-0000-0000-0000E3570000}"/>
    <cellStyle name="Separador de milhares 6 2 6 3" xfId="19940" xr:uid="{00000000-0005-0000-0000-0000E4570000}"/>
    <cellStyle name="Separador de milhares 6 2 6 4" xfId="19941" xr:uid="{00000000-0005-0000-0000-0000E5570000}"/>
    <cellStyle name="Separador de milhares 6 2 7" xfId="19942" xr:uid="{00000000-0005-0000-0000-0000E6570000}"/>
    <cellStyle name="Separador de milhares 6 2 7 2" xfId="19943" xr:uid="{00000000-0005-0000-0000-0000E7570000}"/>
    <cellStyle name="Separador de milhares 6 2 7 3" xfId="19944" xr:uid="{00000000-0005-0000-0000-0000E8570000}"/>
    <cellStyle name="Separador de milhares 6 2 7 4" xfId="19945" xr:uid="{00000000-0005-0000-0000-0000E9570000}"/>
    <cellStyle name="Separador de milhares 6 2 8" xfId="19946" xr:uid="{00000000-0005-0000-0000-0000EA570000}"/>
    <cellStyle name="Separador de milhares 6 2 8 2" xfId="19947" xr:uid="{00000000-0005-0000-0000-0000EB570000}"/>
    <cellStyle name="Separador de milhares 6 2 8 3" xfId="19948" xr:uid="{00000000-0005-0000-0000-0000EC570000}"/>
    <cellStyle name="Separador de milhares 6 2 8 4" xfId="19949" xr:uid="{00000000-0005-0000-0000-0000ED570000}"/>
    <cellStyle name="Separador de milhares 6 2 9" xfId="19950" xr:uid="{00000000-0005-0000-0000-0000EE570000}"/>
    <cellStyle name="Separador de milhares 6 2 9 2" xfId="19951" xr:uid="{00000000-0005-0000-0000-0000EF570000}"/>
    <cellStyle name="Separador de milhares 6 2 9 2 2" xfId="28950" xr:uid="{DD38500E-54CD-4A07-A789-EE0A342A5B45}"/>
    <cellStyle name="Separador de milhares 6 20" xfId="19952" xr:uid="{00000000-0005-0000-0000-0000F0570000}"/>
    <cellStyle name="Separador de milhares 6 20 2" xfId="19953" xr:uid="{00000000-0005-0000-0000-0000F1570000}"/>
    <cellStyle name="Separador de milhares 6 20 2 2" xfId="28951" xr:uid="{5B3483E0-F89E-4C45-9FD2-E93E95254B0B}"/>
    <cellStyle name="Separador de milhares 6 21" xfId="19954" xr:uid="{00000000-0005-0000-0000-0000F2570000}"/>
    <cellStyle name="Separador de milhares 6 21 2" xfId="19955" xr:uid="{00000000-0005-0000-0000-0000F3570000}"/>
    <cellStyle name="Separador de milhares 6 21 2 2" xfId="28952" xr:uid="{D55DC85D-18CD-4ADF-863E-9B6CE57B2FBB}"/>
    <cellStyle name="Separador de milhares 6 22" xfId="19956" xr:uid="{00000000-0005-0000-0000-0000F4570000}"/>
    <cellStyle name="Separador de milhares 6 22 2" xfId="19957" xr:uid="{00000000-0005-0000-0000-0000F5570000}"/>
    <cellStyle name="Separador de milhares 6 22 2 2" xfId="28953" xr:uid="{EB00217C-0D28-4745-975F-8B0343C39ABF}"/>
    <cellStyle name="Separador de milhares 6 23" xfId="19958" xr:uid="{00000000-0005-0000-0000-0000F6570000}"/>
    <cellStyle name="Separador de milhares 6 23 2" xfId="19959" xr:uid="{00000000-0005-0000-0000-0000F7570000}"/>
    <cellStyle name="Separador de milhares 6 23 2 2" xfId="28954" xr:uid="{2698D090-B6D8-404D-868E-66AE878A95CF}"/>
    <cellStyle name="Separador de milhares 6 24" xfId="19960" xr:uid="{00000000-0005-0000-0000-0000F8570000}"/>
    <cellStyle name="Separador de milhares 6 24 2" xfId="19961" xr:uid="{00000000-0005-0000-0000-0000F9570000}"/>
    <cellStyle name="Separador de milhares 6 24 2 2" xfId="28955" xr:uid="{45AB286E-D239-48EE-A7FB-801C23560E14}"/>
    <cellStyle name="Separador de milhares 6 25" xfId="19962" xr:uid="{00000000-0005-0000-0000-0000FA570000}"/>
    <cellStyle name="Separador de milhares 6 25 2" xfId="19963" xr:uid="{00000000-0005-0000-0000-0000FB570000}"/>
    <cellStyle name="Separador de milhares 6 25 2 2" xfId="28956" xr:uid="{F5056ABB-2998-4E88-A586-7B2AEC1D192B}"/>
    <cellStyle name="Separador de milhares 6 26" xfId="19964" xr:uid="{00000000-0005-0000-0000-0000FC570000}"/>
    <cellStyle name="Separador de milhares 6 26 2" xfId="19965" xr:uid="{00000000-0005-0000-0000-0000FD570000}"/>
    <cellStyle name="Separador de milhares 6 26 2 2" xfId="28958" xr:uid="{1B941A56-A287-4092-A975-94A79DB78C7C}"/>
    <cellStyle name="Separador de milhares 6 26 3" xfId="28957" xr:uid="{A58B0A4A-9179-4DC3-A5E5-C1663BF3F343}"/>
    <cellStyle name="Separador de milhares 6 27" xfId="19966" xr:uid="{00000000-0005-0000-0000-0000FE570000}"/>
    <cellStyle name="Separador de milhares 6 27 2" xfId="19967" xr:uid="{00000000-0005-0000-0000-0000FF570000}"/>
    <cellStyle name="Separador de milhares 6 27 2 2" xfId="28960" xr:uid="{69D933CD-B40D-4EE6-9C61-7A3B64379ADE}"/>
    <cellStyle name="Separador de milhares 6 27 3" xfId="28959" xr:uid="{C3ADEE90-8A12-442E-9822-90287654B999}"/>
    <cellStyle name="Separador de milhares 6 28" xfId="19968" xr:uid="{00000000-0005-0000-0000-000000580000}"/>
    <cellStyle name="Separador de milhares 6 28 2" xfId="19969" xr:uid="{00000000-0005-0000-0000-000001580000}"/>
    <cellStyle name="Separador de milhares 6 28 2 2" xfId="28962" xr:uid="{6D100DFC-A864-4817-A125-D852015526FE}"/>
    <cellStyle name="Separador de milhares 6 28 3" xfId="28961" xr:uid="{37BB9EB2-7B12-4D77-B6FC-D8C5B0CCD5B2}"/>
    <cellStyle name="Separador de milhares 6 29" xfId="19970" xr:uid="{00000000-0005-0000-0000-000002580000}"/>
    <cellStyle name="Separador de milhares 6 29 2" xfId="19971" xr:uid="{00000000-0005-0000-0000-000003580000}"/>
    <cellStyle name="Separador de milhares 6 29 2 2" xfId="28964" xr:uid="{D2D3FEEF-5BFB-4D37-9D1E-7083C3944744}"/>
    <cellStyle name="Separador de milhares 6 29 3" xfId="28963" xr:uid="{EF0ACF86-9781-4AFE-97C9-7EABF5C3C8A9}"/>
    <cellStyle name="Separador de milhares 6 3" xfId="815" xr:uid="{00000000-0005-0000-0000-000004580000}"/>
    <cellStyle name="Separador de milhares 6 3 10" xfId="19973" xr:uid="{00000000-0005-0000-0000-000005580000}"/>
    <cellStyle name="Separador de milhares 6 3 10 2" xfId="19974" xr:uid="{00000000-0005-0000-0000-000006580000}"/>
    <cellStyle name="Separador de milhares 6 3 10 2 2" xfId="28966" xr:uid="{EF324B6A-3F25-4212-BD34-34669A2BE858}"/>
    <cellStyle name="Separador de milhares 6 3 11" xfId="19975" xr:uid="{00000000-0005-0000-0000-000007580000}"/>
    <cellStyle name="Separador de milhares 6 3 11 2" xfId="19976" xr:uid="{00000000-0005-0000-0000-000008580000}"/>
    <cellStyle name="Separador de milhares 6 3 11 2 2" xfId="28968" xr:uid="{0124071C-DB05-41D1-91D7-A939817DE186}"/>
    <cellStyle name="Separador de milhares 6 3 11 3" xfId="28967" xr:uid="{B36B5860-E591-4845-A7B1-A6139159FEA6}"/>
    <cellStyle name="Separador de milhares 6 3 12" xfId="19977" xr:uid="{00000000-0005-0000-0000-000009580000}"/>
    <cellStyle name="Separador de milhares 6 3 12 2" xfId="19978" xr:uid="{00000000-0005-0000-0000-00000A580000}"/>
    <cellStyle name="Separador de milhares 6 3 12 2 2" xfId="28970" xr:uid="{51998DC6-B130-4F6B-8C2E-35AFB5DC0F51}"/>
    <cellStyle name="Separador de milhares 6 3 12 3" xfId="28969" xr:uid="{02E5CC6F-68AD-43ED-B8F1-F43F0DB89E3A}"/>
    <cellStyle name="Separador de milhares 6 3 13" xfId="19979" xr:uid="{00000000-0005-0000-0000-00000B580000}"/>
    <cellStyle name="Separador de milhares 6 3 13 2" xfId="19980" xr:uid="{00000000-0005-0000-0000-00000C580000}"/>
    <cellStyle name="Separador de milhares 6 3 13 2 2" xfId="28972" xr:uid="{C6E09168-9C8A-405E-8FA7-F20FEE1ADBDD}"/>
    <cellStyle name="Separador de milhares 6 3 13 3" xfId="28971" xr:uid="{89166E66-1E4C-4860-8E4C-9E98FF9CD8F5}"/>
    <cellStyle name="Separador de milhares 6 3 14" xfId="19981" xr:uid="{00000000-0005-0000-0000-00000D580000}"/>
    <cellStyle name="Separador de milhares 6 3 14 2" xfId="19982" xr:uid="{00000000-0005-0000-0000-00000E580000}"/>
    <cellStyle name="Separador de milhares 6 3 14 2 2" xfId="28974" xr:uid="{07A89A93-3B09-4BEE-B0FB-00A1378F832A}"/>
    <cellStyle name="Separador de milhares 6 3 14 3" xfId="28973" xr:uid="{9D3C4232-9E78-4C1A-95BD-EC9FEA88FF3C}"/>
    <cellStyle name="Separador de milhares 6 3 15" xfId="19983" xr:uid="{00000000-0005-0000-0000-00000F580000}"/>
    <cellStyle name="Separador de milhares 6 3 15 2" xfId="19984" xr:uid="{00000000-0005-0000-0000-000010580000}"/>
    <cellStyle name="Separador de milhares 6 3 15 2 2" xfId="28976" xr:uid="{31D6F118-2F8A-4ED7-9036-E16EE20D3D97}"/>
    <cellStyle name="Separador de milhares 6 3 15 3" xfId="28975" xr:uid="{8C66F1EA-EC8E-4061-B91D-E4C4255DE7DC}"/>
    <cellStyle name="Separador de milhares 6 3 16" xfId="19985" xr:uid="{00000000-0005-0000-0000-000011580000}"/>
    <cellStyle name="Separador de milhares 6 3 16 2" xfId="19986" xr:uid="{00000000-0005-0000-0000-000012580000}"/>
    <cellStyle name="Separador de milhares 6 3 16 2 2" xfId="28978" xr:uid="{6DF9D63E-8580-4226-A4B6-DCDCCC67FD8A}"/>
    <cellStyle name="Separador de milhares 6 3 16 3" xfId="28977" xr:uid="{E72E3C6E-5B69-4450-BFB8-B403E5B249AF}"/>
    <cellStyle name="Separador de milhares 6 3 17" xfId="19987" xr:uid="{00000000-0005-0000-0000-000013580000}"/>
    <cellStyle name="Separador de milhares 6 3 17 2" xfId="19988" xr:uid="{00000000-0005-0000-0000-000014580000}"/>
    <cellStyle name="Separador de milhares 6 3 17 2 2" xfId="28980" xr:uid="{6D12AE76-9964-4C5B-995A-3B1B39FB9DFA}"/>
    <cellStyle name="Separador de milhares 6 3 17 3" xfId="28979" xr:uid="{3B82E3BD-9BF6-4239-B21F-6BBEDD675401}"/>
    <cellStyle name="Separador de milhares 6 3 18" xfId="19989" xr:uid="{00000000-0005-0000-0000-000015580000}"/>
    <cellStyle name="Separador de milhares 6 3 18 2" xfId="19990" xr:uid="{00000000-0005-0000-0000-000016580000}"/>
    <cellStyle name="Separador de milhares 6 3 18 2 2" xfId="28982" xr:uid="{CBD623B2-8510-4265-BB28-AEA0F02CECEE}"/>
    <cellStyle name="Separador de milhares 6 3 18 3" xfId="28981" xr:uid="{9DD80D61-4197-45A4-88F2-2829C495FB19}"/>
    <cellStyle name="Separador de milhares 6 3 19" xfId="19991" xr:uid="{00000000-0005-0000-0000-000017580000}"/>
    <cellStyle name="Separador de milhares 6 3 19 2" xfId="19992" xr:uid="{00000000-0005-0000-0000-000018580000}"/>
    <cellStyle name="Separador de milhares 6 3 19 2 2" xfId="28984" xr:uid="{A4075058-ACE1-4AB2-8F34-D5F7EB63D1F1}"/>
    <cellStyle name="Separador de milhares 6 3 19 3" xfId="28983" xr:uid="{C3DDB785-03BA-4B41-B8D0-C11CB52B38DE}"/>
    <cellStyle name="Separador de milhares 6 3 2" xfId="816" xr:uid="{00000000-0005-0000-0000-000019580000}"/>
    <cellStyle name="Separador de milhares 6 3 2 10" xfId="19994" xr:uid="{00000000-0005-0000-0000-00001A580000}"/>
    <cellStyle name="Separador de milhares 6 3 2 10 2" xfId="19995" xr:uid="{00000000-0005-0000-0000-00001B580000}"/>
    <cellStyle name="Separador de milhares 6 3 2 10 2 2" xfId="28986" xr:uid="{2F8BF0B2-3DAC-4AA7-BBA6-987A3EC178A9}"/>
    <cellStyle name="Separador de milhares 6 3 2 10 3" xfId="28985" xr:uid="{5DBF53EE-E2A7-4538-BCFD-DE134575A234}"/>
    <cellStyle name="Separador de milhares 6 3 2 11" xfId="19996" xr:uid="{00000000-0005-0000-0000-00001C580000}"/>
    <cellStyle name="Separador de milhares 6 3 2 11 2" xfId="19997" xr:uid="{00000000-0005-0000-0000-00001D580000}"/>
    <cellStyle name="Separador de milhares 6 3 2 11 2 2" xfId="28988" xr:uid="{6BFE21DC-4304-4085-8C64-A091B86E7634}"/>
    <cellStyle name="Separador de milhares 6 3 2 11 3" xfId="28987" xr:uid="{73E65DF1-717B-4D1B-BB9F-65F900CF4703}"/>
    <cellStyle name="Separador de milhares 6 3 2 12" xfId="19998" xr:uid="{00000000-0005-0000-0000-00001E580000}"/>
    <cellStyle name="Separador de milhares 6 3 2 12 2" xfId="19999" xr:uid="{00000000-0005-0000-0000-00001F580000}"/>
    <cellStyle name="Separador de milhares 6 3 2 12 2 2" xfId="28990" xr:uid="{51744DDF-6B96-4524-8644-3A8FE0EE1D96}"/>
    <cellStyle name="Separador de milhares 6 3 2 12 3" xfId="28989" xr:uid="{426E431A-1DC2-4B12-B51C-581F2C83C578}"/>
    <cellStyle name="Separador de milhares 6 3 2 13" xfId="20000" xr:uid="{00000000-0005-0000-0000-000020580000}"/>
    <cellStyle name="Separador de milhares 6 3 2 13 2" xfId="20001" xr:uid="{00000000-0005-0000-0000-000021580000}"/>
    <cellStyle name="Separador de milhares 6 3 2 13 2 2" xfId="28992" xr:uid="{A57BB4FA-0356-49B2-A9B2-738AEE790FA2}"/>
    <cellStyle name="Separador de milhares 6 3 2 13 3" xfId="28991" xr:uid="{E7016E20-A9BC-4702-83E9-FBD9B0881729}"/>
    <cellStyle name="Separador de milhares 6 3 2 14" xfId="20002" xr:uid="{00000000-0005-0000-0000-000022580000}"/>
    <cellStyle name="Separador de milhares 6 3 2 14 2" xfId="20003" xr:uid="{00000000-0005-0000-0000-000023580000}"/>
    <cellStyle name="Separador de milhares 6 3 2 14 2 2" xfId="28994" xr:uid="{2AD799A4-06BE-48E0-BD33-8199F1531104}"/>
    <cellStyle name="Separador de milhares 6 3 2 14 3" xfId="28993" xr:uid="{51F8E41B-6C00-4C79-AAED-BD0C421EB8E0}"/>
    <cellStyle name="Separador de milhares 6 3 2 15" xfId="20004" xr:uid="{00000000-0005-0000-0000-000024580000}"/>
    <cellStyle name="Separador de milhares 6 3 2 15 2" xfId="20005" xr:uid="{00000000-0005-0000-0000-000025580000}"/>
    <cellStyle name="Separador de milhares 6 3 2 15 2 2" xfId="28996" xr:uid="{9DD2CB2B-D288-4789-A4DB-FC9794F7320B}"/>
    <cellStyle name="Separador de milhares 6 3 2 15 3" xfId="28995" xr:uid="{4CF181D4-6327-409E-A424-5D085E146F27}"/>
    <cellStyle name="Separador de milhares 6 3 2 16" xfId="20006" xr:uid="{00000000-0005-0000-0000-000026580000}"/>
    <cellStyle name="Separador de milhares 6 3 2 16 2" xfId="20007" xr:uid="{00000000-0005-0000-0000-000027580000}"/>
    <cellStyle name="Separador de milhares 6 3 2 16 2 2" xfId="28998" xr:uid="{0937BFA4-C5E3-4C24-A203-FCB8E692188E}"/>
    <cellStyle name="Separador de milhares 6 3 2 16 3" xfId="28997" xr:uid="{8C2580F8-3316-40C4-B313-C6B95B21B42B}"/>
    <cellStyle name="Separador de milhares 6 3 2 17" xfId="20008" xr:uid="{00000000-0005-0000-0000-000028580000}"/>
    <cellStyle name="Separador de milhares 6 3 2 17 2" xfId="20009" xr:uid="{00000000-0005-0000-0000-000029580000}"/>
    <cellStyle name="Separador de milhares 6 3 2 17 2 2" xfId="29000" xr:uid="{E8985693-FE57-4153-A4D8-6619581C4B98}"/>
    <cellStyle name="Separador de milhares 6 3 2 17 3" xfId="28999" xr:uid="{DB270E67-8E3B-4FFA-A92A-E49FE843D86D}"/>
    <cellStyle name="Separador de milhares 6 3 2 18" xfId="20010" xr:uid="{00000000-0005-0000-0000-00002A580000}"/>
    <cellStyle name="Separador de milhares 6 3 2 18 2" xfId="20011" xr:uid="{00000000-0005-0000-0000-00002B580000}"/>
    <cellStyle name="Separador de milhares 6 3 2 18 2 2" xfId="29002" xr:uid="{5BE547BE-D9C4-491A-BBAB-2157840BF050}"/>
    <cellStyle name="Separador de milhares 6 3 2 18 3" xfId="29001" xr:uid="{987ACAF0-4B60-4F0F-A447-01D4EC1F8722}"/>
    <cellStyle name="Separador de milhares 6 3 2 19" xfId="20012" xr:uid="{00000000-0005-0000-0000-00002C580000}"/>
    <cellStyle name="Separador de milhares 6 3 2 19 2" xfId="20013" xr:uid="{00000000-0005-0000-0000-00002D580000}"/>
    <cellStyle name="Separador de milhares 6 3 2 19 2 2" xfId="29004" xr:uid="{F55B576E-49FD-4EED-8F6D-A52F6E99ECA7}"/>
    <cellStyle name="Separador de milhares 6 3 2 19 3" xfId="29003" xr:uid="{721380C0-DBDA-45AA-A94B-DAF5CA80841D}"/>
    <cellStyle name="Separador de milhares 6 3 2 2" xfId="817" xr:uid="{00000000-0005-0000-0000-00002E580000}"/>
    <cellStyle name="Separador de milhares 6 3 2 2 2" xfId="818" xr:uid="{00000000-0005-0000-0000-00002F580000}"/>
    <cellStyle name="Separador de milhares 6 3 2 2 2 2" xfId="20015" xr:uid="{00000000-0005-0000-0000-000030580000}"/>
    <cellStyle name="Separador de milhares 6 3 2 2 2 2 2" xfId="29006" xr:uid="{66944D87-8D62-49FD-A052-A398F91832B4}"/>
    <cellStyle name="Separador de milhares 6 3 2 2 2 3" xfId="28053" xr:uid="{4EF451DB-A6BE-47B3-89D1-56F24B8DED6D}"/>
    <cellStyle name="Separador de milhares 6 3 2 2 3" xfId="20014" xr:uid="{00000000-0005-0000-0000-000031580000}"/>
    <cellStyle name="Separador de milhares 6 3 2 2 3 2" xfId="29005" xr:uid="{155CABA3-7B21-4E07-8A6F-1B64A1E36393}"/>
    <cellStyle name="Separador de milhares 6 3 2 2 4" xfId="27212" xr:uid="{00000000-0005-0000-0000-000032580000}"/>
    <cellStyle name="Separador de milhares 6 3 2 2 4 2" xfId="33054" xr:uid="{AD3A8B06-F290-4DB9-A9EE-3B34E0A0D76A}"/>
    <cellStyle name="Separador de milhares 6 3 2 2 5" xfId="27392" xr:uid="{00000000-0005-0000-0000-000033580000}"/>
    <cellStyle name="Separador de milhares 6 3 2 2 5 2" xfId="33229" xr:uid="{E326F843-8D7B-4CFC-8DDB-86F6168999DA}"/>
    <cellStyle name="Separador de milhares 6 3 2 2 6" xfId="27570" xr:uid="{00000000-0005-0000-0000-000034580000}"/>
    <cellStyle name="Separador de milhares 6 3 2 2 6 2" xfId="33382" xr:uid="{33B274EE-43A4-4A3C-9854-BFFDC731D26D}"/>
    <cellStyle name="Separador de milhares 6 3 2 2 7" xfId="27721" xr:uid="{00000000-0005-0000-0000-000035580000}"/>
    <cellStyle name="Separador de milhares 6 3 2 2 7 2" xfId="33532" xr:uid="{C929B755-B9E3-4423-9D61-93ABE22744AF}"/>
    <cellStyle name="Separador de milhares 6 3 2 2 8" xfId="28052" xr:uid="{30D1ECD6-00B6-4A1D-BC64-F26ECFCFD5D8}"/>
    <cellStyle name="Separador de milhares 6 3 2 20" xfId="20016" xr:uid="{00000000-0005-0000-0000-000036580000}"/>
    <cellStyle name="Separador de milhares 6 3 2 20 2" xfId="20017" xr:uid="{00000000-0005-0000-0000-000037580000}"/>
    <cellStyle name="Separador de milhares 6 3 2 20 2 2" xfId="29008" xr:uid="{97DE38BB-5091-47ED-95F4-55F5C863AF17}"/>
    <cellStyle name="Separador de milhares 6 3 2 20 3" xfId="29007" xr:uid="{9C32674E-969C-4BB1-A742-4A2180DFEDF8}"/>
    <cellStyle name="Separador de milhares 6 3 2 21" xfId="20018" xr:uid="{00000000-0005-0000-0000-000038580000}"/>
    <cellStyle name="Separador de milhares 6 3 2 21 2" xfId="20019" xr:uid="{00000000-0005-0000-0000-000039580000}"/>
    <cellStyle name="Separador de milhares 6 3 2 21 2 2" xfId="29010" xr:uid="{F2B67D0F-6A3B-410A-A52C-CC45D40F6202}"/>
    <cellStyle name="Separador de milhares 6 3 2 21 3" xfId="29009" xr:uid="{33A2F948-0572-44CC-B9E7-40AE73FEA545}"/>
    <cellStyle name="Separador de milhares 6 3 2 22" xfId="20020" xr:uid="{00000000-0005-0000-0000-00003A580000}"/>
    <cellStyle name="Separador de milhares 6 3 2 22 2" xfId="20021" xr:uid="{00000000-0005-0000-0000-00003B580000}"/>
    <cellStyle name="Separador de milhares 6 3 2 22 2 2" xfId="29012" xr:uid="{820E2449-3413-412F-90FC-AFD36F4DADEA}"/>
    <cellStyle name="Separador de milhares 6 3 2 22 3" xfId="29011" xr:uid="{4408A8FA-F108-4F23-97BA-456993306719}"/>
    <cellStyle name="Separador de milhares 6 3 2 23" xfId="20022" xr:uid="{00000000-0005-0000-0000-00003C580000}"/>
    <cellStyle name="Separador de milhares 6 3 2 23 2" xfId="20023" xr:uid="{00000000-0005-0000-0000-00003D580000}"/>
    <cellStyle name="Separador de milhares 6 3 2 23 2 2" xfId="29014" xr:uid="{86511D05-898A-4252-919A-B25706ED0782}"/>
    <cellStyle name="Separador de milhares 6 3 2 23 3" xfId="29013" xr:uid="{4894B188-80C6-4819-8EAB-479BEB24C28D}"/>
    <cellStyle name="Separador de milhares 6 3 2 24" xfId="20024" xr:uid="{00000000-0005-0000-0000-00003E580000}"/>
    <cellStyle name="Separador de milhares 6 3 2 24 2" xfId="20025" xr:uid="{00000000-0005-0000-0000-00003F580000}"/>
    <cellStyle name="Separador de milhares 6 3 2 24 2 2" xfId="29016" xr:uid="{12A6D211-40E8-40FA-BCEF-916BB726BF62}"/>
    <cellStyle name="Separador de milhares 6 3 2 24 3" xfId="29015" xr:uid="{0CB0DE11-FBA2-4965-AE1E-5B06A4B16F99}"/>
    <cellStyle name="Separador de milhares 6 3 2 25" xfId="20026" xr:uid="{00000000-0005-0000-0000-000040580000}"/>
    <cellStyle name="Separador de milhares 6 3 2 25 2" xfId="20027" xr:uid="{00000000-0005-0000-0000-000041580000}"/>
    <cellStyle name="Separador de milhares 6 3 2 25 2 2" xfId="29018" xr:uid="{698E0038-38DB-4D6B-B6B8-BE40B90ECEFE}"/>
    <cellStyle name="Separador de milhares 6 3 2 25 3" xfId="29017" xr:uid="{95D6A078-5E68-4138-9623-DDE620918268}"/>
    <cellStyle name="Separador de milhares 6 3 2 26" xfId="20028" xr:uid="{00000000-0005-0000-0000-000042580000}"/>
    <cellStyle name="Separador de milhares 6 3 2 26 2" xfId="20029" xr:uid="{00000000-0005-0000-0000-000043580000}"/>
    <cellStyle name="Separador de milhares 6 3 2 26 2 2" xfId="29020" xr:uid="{909ED508-133C-449F-BEAB-F68F31001AA2}"/>
    <cellStyle name="Separador de milhares 6 3 2 26 3" xfId="29019" xr:uid="{2FE94860-A8D8-4634-9C66-1DF7EAE6070F}"/>
    <cellStyle name="Separador de milhares 6 3 2 27" xfId="20030" xr:uid="{00000000-0005-0000-0000-000044580000}"/>
    <cellStyle name="Separador de milhares 6 3 2 27 2" xfId="20031" xr:uid="{00000000-0005-0000-0000-000045580000}"/>
    <cellStyle name="Separador de milhares 6 3 2 27 2 2" xfId="29022" xr:uid="{4C71EFE8-B76D-4DD9-A2EB-FB66E6D0E1BF}"/>
    <cellStyle name="Separador de milhares 6 3 2 27 3" xfId="29021" xr:uid="{7E6D5B19-3080-472B-BB65-A8E68BF921EE}"/>
    <cellStyle name="Separador de milhares 6 3 2 28" xfId="20032" xr:uid="{00000000-0005-0000-0000-000046580000}"/>
    <cellStyle name="Separador de milhares 6 3 2 28 2" xfId="20033" xr:uid="{00000000-0005-0000-0000-000047580000}"/>
    <cellStyle name="Separador de milhares 6 3 2 28 2 2" xfId="29024" xr:uid="{EB5EDCD2-C190-4517-9ED8-D1C21824AF40}"/>
    <cellStyle name="Separador de milhares 6 3 2 28 3" xfId="29023" xr:uid="{D81B2399-BD42-4C3A-A161-14046E2676D4}"/>
    <cellStyle name="Separador de milhares 6 3 2 29" xfId="20034" xr:uid="{00000000-0005-0000-0000-000048580000}"/>
    <cellStyle name="Separador de milhares 6 3 2 29 2" xfId="20035" xr:uid="{00000000-0005-0000-0000-000049580000}"/>
    <cellStyle name="Separador de milhares 6 3 2 29 2 2" xfId="29026" xr:uid="{8284D509-3B32-43B0-8DD2-32F9603BF352}"/>
    <cellStyle name="Separador de milhares 6 3 2 29 3" xfId="29025" xr:uid="{07BC5860-6BA0-43DD-B48E-D6A5536A6C0F}"/>
    <cellStyle name="Separador de milhares 6 3 2 3" xfId="819" xr:uid="{00000000-0005-0000-0000-00004A580000}"/>
    <cellStyle name="Separador de milhares 6 3 2 3 2" xfId="20037" xr:uid="{00000000-0005-0000-0000-00004B580000}"/>
    <cellStyle name="Separador de milhares 6 3 2 3 2 2" xfId="29028" xr:uid="{8E4334CE-39DC-403E-8127-E6B3E6E19471}"/>
    <cellStyle name="Separador de milhares 6 3 2 3 3" xfId="20036" xr:uid="{00000000-0005-0000-0000-00004C580000}"/>
    <cellStyle name="Separador de milhares 6 3 2 3 3 2" xfId="29027" xr:uid="{8A8EC6D7-BA08-4438-B47A-3A603C0BE065}"/>
    <cellStyle name="Separador de milhares 6 3 2 3 4" xfId="28054" xr:uid="{A43A5A21-991D-4786-B3DD-0087CB8F5484}"/>
    <cellStyle name="Separador de milhares 6 3 2 30" xfId="20038" xr:uid="{00000000-0005-0000-0000-00004D580000}"/>
    <cellStyle name="Separador de milhares 6 3 2 30 2" xfId="20039" xr:uid="{00000000-0005-0000-0000-00004E580000}"/>
    <cellStyle name="Separador de milhares 6 3 2 30 2 2" xfId="29030" xr:uid="{9110A0A5-BE16-46B5-97E6-92050BF2F03A}"/>
    <cellStyle name="Separador de milhares 6 3 2 30 3" xfId="29029" xr:uid="{C411A4BE-5C19-4B80-BEF8-1FFE830A3F80}"/>
    <cellStyle name="Separador de milhares 6 3 2 31" xfId="20040" xr:uid="{00000000-0005-0000-0000-00004F580000}"/>
    <cellStyle name="Separador de milhares 6 3 2 31 2" xfId="20041" xr:uid="{00000000-0005-0000-0000-000050580000}"/>
    <cellStyle name="Separador de milhares 6 3 2 31 2 2" xfId="29032" xr:uid="{672D0729-A2B9-43F0-BE3E-6ABBE34DF5F6}"/>
    <cellStyle name="Separador de milhares 6 3 2 31 3" xfId="29031" xr:uid="{4EF1C1E1-7AE1-400C-8B27-6FA735FA09B6}"/>
    <cellStyle name="Separador de milhares 6 3 2 32" xfId="20042" xr:uid="{00000000-0005-0000-0000-000051580000}"/>
    <cellStyle name="Separador de milhares 6 3 2 32 2" xfId="20043" xr:uid="{00000000-0005-0000-0000-000052580000}"/>
    <cellStyle name="Separador de milhares 6 3 2 32 2 2" xfId="29034" xr:uid="{C7E05E2B-432A-4D2F-91D6-E38EBB37A303}"/>
    <cellStyle name="Separador de milhares 6 3 2 32 3" xfId="29033" xr:uid="{E51F9209-6669-41EC-BD9B-3129F50822D7}"/>
    <cellStyle name="Separador de milhares 6 3 2 33" xfId="20044" xr:uid="{00000000-0005-0000-0000-000053580000}"/>
    <cellStyle name="Separador de milhares 6 3 2 33 2" xfId="20045" xr:uid="{00000000-0005-0000-0000-000054580000}"/>
    <cellStyle name="Separador de milhares 6 3 2 33 2 2" xfId="29036" xr:uid="{5FD009C1-8F31-431B-989B-118724DA3386}"/>
    <cellStyle name="Separador de milhares 6 3 2 33 3" xfId="29035" xr:uid="{FD41E85E-E01B-4C53-88FC-BBB3A022DEAF}"/>
    <cellStyle name="Separador de milhares 6 3 2 34" xfId="20046" xr:uid="{00000000-0005-0000-0000-000055580000}"/>
    <cellStyle name="Separador de milhares 6 3 2 34 2" xfId="20047" xr:uid="{00000000-0005-0000-0000-000056580000}"/>
    <cellStyle name="Separador de milhares 6 3 2 34 2 2" xfId="29038" xr:uid="{0D89A426-4248-4367-B893-961F7ECE36D9}"/>
    <cellStyle name="Separador de milhares 6 3 2 34 3" xfId="29037" xr:uid="{537F521C-BA80-4CAB-BE89-5E1F236102C3}"/>
    <cellStyle name="Separador de milhares 6 3 2 35" xfId="20048" xr:uid="{00000000-0005-0000-0000-000057580000}"/>
    <cellStyle name="Separador de milhares 6 3 2 35 2" xfId="29039" xr:uid="{A1F43AB3-302A-4B39-B142-F958D7E13860}"/>
    <cellStyle name="Separador de milhares 6 3 2 36" xfId="19993" xr:uid="{00000000-0005-0000-0000-000058580000}"/>
    <cellStyle name="Separador de milhares 6 3 2 37" xfId="27211" xr:uid="{00000000-0005-0000-0000-000059580000}"/>
    <cellStyle name="Separador de milhares 6 3 2 37 2" xfId="33053" xr:uid="{B1932B44-713F-4EEE-B94F-F8DE498331A0}"/>
    <cellStyle name="Separador de milhares 6 3 2 38" xfId="27391" xr:uid="{00000000-0005-0000-0000-00005A580000}"/>
    <cellStyle name="Separador de milhares 6 3 2 38 2" xfId="33228" xr:uid="{4810DA36-8A20-4237-ADB8-67CAB32BA33B}"/>
    <cellStyle name="Separador de milhares 6 3 2 39" xfId="27569" xr:uid="{00000000-0005-0000-0000-00005B580000}"/>
    <cellStyle name="Separador de milhares 6 3 2 39 2" xfId="33381" xr:uid="{86849C45-74AB-4AFA-9D0B-BEC207B07508}"/>
    <cellStyle name="Separador de milhares 6 3 2 4" xfId="20049" xr:uid="{00000000-0005-0000-0000-00005C580000}"/>
    <cellStyle name="Separador de milhares 6 3 2 4 2" xfId="20050" xr:uid="{00000000-0005-0000-0000-00005D580000}"/>
    <cellStyle name="Separador de milhares 6 3 2 4 2 2" xfId="29041" xr:uid="{1F20F099-0548-4A7A-90DD-D5BAC03F3C06}"/>
    <cellStyle name="Separador de milhares 6 3 2 4 3" xfId="29040" xr:uid="{E9B25027-4BF2-4EF3-9B14-5EF59641CB7E}"/>
    <cellStyle name="Separador de milhares 6 3 2 40" xfId="27720" xr:uid="{00000000-0005-0000-0000-00005E580000}"/>
    <cellStyle name="Separador de milhares 6 3 2 40 2" xfId="33531" xr:uid="{D7B3C3A3-3381-4F7D-9DEB-460643CDA3AE}"/>
    <cellStyle name="Separador de milhares 6 3 2 41" xfId="28051" xr:uid="{A4E6EBEF-B414-4E46-AF9D-86BCBC568544}"/>
    <cellStyle name="Separador de milhares 6 3 2 5" xfId="20051" xr:uid="{00000000-0005-0000-0000-00005F580000}"/>
    <cellStyle name="Separador de milhares 6 3 2 5 2" xfId="20052" xr:uid="{00000000-0005-0000-0000-000060580000}"/>
    <cellStyle name="Separador de milhares 6 3 2 5 2 2" xfId="29043" xr:uid="{1DF4CE67-7EE4-4EC5-8D95-2F816E7BAAEC}"/>
    <cellStyle name="Separador de milhares 6 3 2 5 3" xfId="29042" xr:uid="{017FF7E3-B596-4A6B-866B-BC04A0B59083}"/>
    <cellStyle name="Separador de milhares 6 3 2 6" xfId="20053" xr:uid="{00000000-0005-0000-0000-000061580000}"/>
    <cellStyle name="Separador de milhares 6 3 2 6 2" xfId="20054" xr:uid="{00000000-0005-0000-0000-000062580000}"/>
    <cellStyle name="Separador de milhares 6 3 2 6 2 2" xfId="29045" xr:uid="{1C55E7A1-62C3-416A-B009-76A51E531639}"/>
    <cellStyle name="Separador de milhares 6 3 2 6 3" xfId="29044" xr:uid="{70ABB739-5897-42F5-8FB9-6C5FC6DB1929}"/>
    <cellStyle name="Separador de milhares 6 3 2 7" xfId="20055" xr:uid="{00000000-0005-0000-0000-000063580000}"/>
    <cellStyle name="Separador de milhares 6 3 2 7 2" xfId="20056" xr:uid="{00000000-0005-0000-0000-000064580000}"/>
    <cellStyle name="Separador de milhares 6 3 2 7 2 2" xfId="29047" xr:uid="{F8B67E8D-91A5-4429-A6F8-E45DA843FA54}"/>
    <cellStyle name="Separador de milhares 6 3 2 7 3" xfId="29046" xr:uid="{748C330C-338C-44A9-90C9-22E9DE9D98CB}"/>
    <cellStyle name="Separador de milhares 6 3 2 8" xfId="20057" xr:uid="{00000000-0005-0000-0000-000065580000}"/>
    <cellStyle name="Separador de milhares 6 3 2 8 2" xfId="20058" xr:uid="{00000000-0005-0000-0000-000066580000}"/>
    <cellStyle name="Separador de milhares 6 3 2 8 2 2" xfId="29049" xr:uid="{241EF438-CD04-4B7F-8C6D-900CB80795B3}"/>
    <cellStyle name="Separador de milhares 6 3 2 8 3" xfId="29048" xr:uid="{FE2862AC-D0ED-49BC-BD98-E3341667B41C}"/>
    <cellStyle name="Separador de milhares 6 3 2 9" xfId="20059" xr:uid="{00000000-0005-0000-0000-000067580000}"/>
    <cellStyle name="Separador de milhares 6 3 2 9 2" xfId="20060" xr:uid="{00000000-0005-0000-0000-000068580000}"/>
    <cellStyle name="Separador de milhares 6 3 2 9 2 2" xfId="29051" xr:uid="{848F8768-2F89-4EA1-9CCC-5D30F6C2C9C9}"/>
    <cellStyle name="Separador de milhares 6 3 2 9 3" xfId="29050" xr:uid="{A52910ED-08B0-4410-9F3D-B67D189F2069}"/>
    <cellStyle name="Separador de milhares 6 3 20" xfId="20061" xr:uid="{00000000-0005-0000-0000-000069580000}"/>
    <cellStyle name="Separador de milhares 6 3 20 2" xfId="20062" xr:uid="{00000000-0005-0000-0000-00006A580000}"/>
    <cellStyle name="Separador de milhares 6 3 20 2 2" xfId="29053" xr:uid="{E5D04655-9F69-4FEA-BCAA-1666E2A3A6D4}"/>
    <cellStyle name="Separador de milhares 6 3 20 3" xfId="29052" xr:uid="{64E42C63-D74B-499E-A718-EB578CE44138}"/>
    <cellStyle name="Separador de milhares 6 3 21" xfId="20063" xr:uid="{00000000-0005-0000-0000-00006B580000}"/>
    <cellStyle name="Separador de milhares 6 3 21 2" xfId="20064" xr:uid="{00000000-0005-0000-0000-00006C580000}"/>
    <cellStyle name="Separador de milhares 6 3 21 2 2" xfId="29055" xr:uid="{503C57BA-16DA-4695-8C59-AB3123E37038}"/>
    <cellStyle name="Separador de milhares 6 3 21 3" xfId="29054" xr:uid="{D892056D-1588-4423-AB4D-F36E71EA0459}"/>
    <cellStyle name="Separador de milhares 6 3 22" xfId="20065" xr:uid="{00000000-0005-0000-0000-00006D580000}"/>
    <cellStyle name="Separador de milhares 6 3 22 2" xfId="20066" xr:uid="{00000000-0005-0000-0000-00006E580000}"/>
    <cellStyle name="Separador de milhares 6 3 22 2 2" xfId="29057" xr:uid="{A7BA161C-285B-43A5-86AE-D9B9BE60D5A9}"/>
    <cellStyle name="Separador de milhares 6 3 22 3" xfId="29056" xr:uid="{743B9173-65F9-4E69-A579-B1FEFDCCFCEF}"/>
    <cellStyle name="Separador de milhares 6 3 23" xfId="20067" xr:uid="{00000000-0005-0000-0000-00006F580000}"/>
    <cellStyle name="Separador de milhares 6 3 23 2" xfId="20068" xr:uid="{00000000-0005-0000-0000-000070580000}"/>
    <cellStyle name="Separador de milhares 6 3 23 2 2" xfId="29059" xr:uid="{6FD738D9-735A-4592-A6DD-4D56E9CCD86F}"/>
    <cellStyle name="Separador de milhares 6 3 23 3" xfId="29058" xr:uid="{A6E91409-95B0-4DA1-9A1A-E5253326C47E}"/>
    <cellStyle name="Separador de milhares 6 3 24" xfId="20069" xr:uid="{00000000-0005-0000-0000-000071580000}"/>
    <cellStyle name="Separador de milhares 6 3 24 2" xfId="20070" xr:uid="{00000000-0005-0000-0000-000072580000}"/>
    <cellStyle name="Separador de milhares 6 3 24 2 2" xfId="29061" xr:uid="{F7B7417B-9233-4DA9-AE38-4DF158E47324}"/>
    <cellStyle name="Separador de milhares 6 3 24 3" xfId="29060" xr:uid="{E37BF622-2C89-43FA-8935-6334DEA853E3}"/>
    <cellStyle name="Separador de milhares 6 3 25" xfId="20071" xr:uid="{00000000-0005-0000-0000-000073580000}"/>
    <cellStyle name="Separador de milhares 6 3 25 2" xfId="20072" xr:uid="{00000000-0005-0000-0000-000074580000}"/>
    <cellStyle name="Separador de milhares 6 3 25 2 2" xfId="29063" xr:uid="{F47837A2-FA80-4EDA-8167-B4E408C3CB94}"/>
    <cellStyle name="Separador de milhares 6 3 25 3" xfId="29062" xr:uid="{8CE451C8-69C9-4767-BB6C-DED19C9F6945}"/>
    <cellStyle name="Separador de milhares 6 3 26" xfId="20073" xr:uid="{00000000-0005-0000-0000-000075580000}"/>
    <cellStyle name="Separador de milhares 6 3 26 2" xfId="20074" xr:uid="{00000000-0005-0000-0000-000076580000}"/>
    <cellStyle name="Separador de milhares 6 3 26 2 2" xfId="29065" xr:uid="{7BAB7F9D-72CF-4C05-85C0-8B69BDD97505}"/>
    <cellStyle name="Separador de milhares 6 3 26 3" xfId="29064" xr:uid="{BF130E7F-2A83-4703-A333-8CEC4600BD53}"/>
    <cellStyle name="Separador de milhares 6 3 27" xfId="20075" xr:uid="{00000000-0005-0000-0000-000077580000}"/>
    <cellStyle name="Separador de milhares 6 3 27 2" xfId="20076" xr:uid="{00000000-0005-0000-0000-000078580000}"/>
    <cellStyle name="Separador de milhares 6 3 27 2 2" xfId="29067" xr:uid="{3D068692-E98D-4F03-8189-80D6924404A2}"/>
    <cellStyle name="Separador de milhares 6 3 27 3" xfId="29066" xr:uid="{0E177E59-1DC9-4B6E-803A-0AAFB8FA406A}"/>
    <cellStyle name="Separador de milhares 6 3 28" xfId="20077" xr:uid="{00000000-0005-0000-0000-000079580000}"/>
    <cellStyle name="Separador de milhares 6 3 28 2" xfId="20078" xr:uid="{00000000-0005-0000-0000-00007A580000}"/>
    <cellStyle name="Separador de milhares 6 3 28 2 2" xfId="29069" xr:uid="{651A2296-CCAB-45C7-9921-4CF1AE60A634}"/>
    <cellStyle name="Separador de milhares 6 3 28 3" xfId="29068" xr:uid="{4BBD59DA-ED0A-4915-9E00-212609713005}"/>
    <cellStyle name="Separador de milhares 6 3 29" xfId="20079" xr:uid="{00000000-0005-0000-0000-00007B580000}"/>
    <cellStyle name="Separador de milhares 6 3 29 2" xfId="20080" xr:uid="{00000000-0005-0000-0000-00007C580000}"/>
    <cellStyle name="Separador de milhares 6 3 29 2 2" xfId="29071" xr:uid="{446061C8-6D43-41CC-839D-4AFC41A456F8}"/>
    <cellStyle name="Separador de milhares 6 3 29 3" xfId="29070" xr:uid="{813EE791-50A0-4D46-AD4C-A6EF2F80FC6D}"/>
    <cellStyle name="Separador de milhares 6 3 3" xfId="820" xr:uid="{00000000-0005-0000-0000-00007D580000}"/>
    <cellStyle name="Separador de milhares 6 3 3 10" xfId="20082" xr:uid="{00000000-0005-0000-0000-00007E580000}"/>
    <cellStyle name="Separador de milhares 6 3 3 10 2" xfId="20083" xr:uid="{00000000-0005-0000-0000-00007F580000}"/>
    <cellStyle name="Separador de milhares 6 3 3 10 2 2" xfId="29073" xr:uid="{2584179F-8BCE-4EDA-915C-8BCF8AB5B74F}"/>
    <cellStyle name="Separador de milhares 6 3 3 10 3" xfId="29072" xr:uid="{14A18558-EE16-4199-9076-6AD93D3AB290}"/>
    <cellStyle name="Separador de milhares 6 3 3 11" xfId="20084" xr:uid="{00000000-0005-0000-0000-000080580000}"/>
    <cellStyle name="Separador de milhares 6 3 3 11 2" xfId="20085" xr:uid="{00000000-0005-0000-0000-000081580000}"/>
    <cellStyle name="Separador de milhares 6 3 3 11 2 2" xfId="29075" xr:uid="{14893935-E475-49EA-A692-87B5DE10F8A9}"/>
    <cellStyle name="Separador de milhares 6 3 3 11 3" xfId="29074" xr:uid="{9C9367A1-A7C8-47DA-A220-40D9C79BF3E7}"/>
    <cellStyle name="Separador de milhares 6 3 3 12" xfId="20086" xr:uid="{00000000-0005-0000-0000-000082580000}"/>
    <cellStyle name="Separador de milhares 6 3 3 12 2" xfId="20087" xr:uid="{00000000-0005-0000-0000-000083580000}"/>
    <cellStyle name="Separador de milhares 6 3 3 12 2 2" xfId="29077" xr:uid="{0519010D-0D3B-4B6B-A3EB-7A40CDEAFD44}"/>
    <cellStyle name="Separador de milhares 6 3 3 12 3" xfId="29076" xr:uid="{5430A702-F3AC-4445-A396-C6AD4872AF25}"/>
    <cellStyle name="Separador de milhares 6 3 3 13" xfId="20088" xr:uid="{00000000-0005-0000-0000-000084580000}"/>
    <cellStyle name="Separador de milhares 6 3 3 13 2" xfId="20089" xr:uid="{00000000-0005-0000-0000-000085580000}"/>
    <cellStyle name="Separador de milhares 6 3 3 13 2 2" xfId="29079" xr:uid="{FC974529-CED5-40AE-910B-3578D45D9403}"/>
    <cellStyle name="Separador de milhares 6 3 3 13 3" xfId="29078" xr:uid="{D23D481C-89DD-4595-A08E-ADEC2F5B1BF1}"/>
    <cellStyle name="Separador de milhares 6 3 3 14" xfId="20090" xr:uid="{00000000-0005-0000-0000-000086580000}"/>
    <cellStyle name="Separador de milhares 6 3 3 14 2" xfId="20091" xr:uid="{00000000-0005-0000-0000-000087580000}"/>
    <cellStyle name="Separador de milhares 6 3 3 14 2 2" xfId="29081" xr:uid="{DCE26C39-30FE-42B3-85F7-E64A55DC9D7E}"/>
    <cellStyle name="Separador de milhares 6 3 3 14 3" xfId="29080" xr:uid="{E8678989-AC61-49B9-993C-792AC313C0F6}"/>
    <cellStyle name="Separador de milhares 6 3 3 15" xfId="20092" xr:uid="{00000000-0005-0000-0000-000088580000}"/>
    <cellStyle name="Separador de milhares 6 3 3 15 2" xfId="20093" xr:uid="{00000000-0005-0000-0000-000089580000}"/>
    <cellStyle name="Separador de milhares 6 3 3 15 2 2" xfId="29083" xr:uid="{F69D0EC5-DBF7-43BA-A975-ADCBB8AEE53D}"/>
    <cellStyle name="Separador de milhares 6 3 3 15 3" xfId="29082" xr:uid="{2C346F3B-02F3-4A6D-AEBB-548BA5F0FCB1}"/>
    <cellStyle name="Separador de milhares 6 3 3 16" xfId="20094" xr:uid="{00000000-0005-0000-0000-00008A580000}"/>
    <cellStyle name="Separador de milhares 6 3 3 16 2" xfId="20095" xr:uid="{00000000-0005-0000-0000-00008B580000}"/>
    <cellStyle name="Separador de milhares 6 3 3 16 2 2" xfId="29085" xr:uid="{629143B9-F347-4FA5-AE8A-9DA2FFB475BA}"/>
    <cellStyle name="Separador de milhares 6 3 3 16 3" xfId="29084" xr:uid="{807F06BC-C904-49B3-8D02-D61182B20F85}"/>
    <cellStyle name="Separador de milhares 6 3 3 17" xfId="20096" xr:uid="{00000000-0005-0000-0000-00008C580000}"/>
    <cellStyle name="Separador de milhares 6 3 3 17 2" xfId="20097" xr:uid="{00000000-0005-0000-0000-00008D580000}"/>
    <cellStyle name="Separador de milhares 6 3 3 17 2 2" xfId="29087" xr:uid="{0B6E0FDE-2FE8-466B-9D74-A9BF46E2B59E}"/>
    <cellStyle name="Separador de milhares 6 3 3 17 3" xfId="29086" xr:uid="{CC4C0901-6C23-4448-8DB7-C3F9D3365AEA}"/>
    <cellStyle name="Separador de milhares 6 3 3 18" xfId="20098" xr:uid="{00000000-0005-0000-0000-00008E580000}"/>
    <cellStyle name="Separador de milhares 6 3 3 18 2" xfId="20099" xr:uid="{00000000-0005-0000-0000-00008F580000}"/>
    <cellStyle name="Separador de milhares 6 3 3 18 2 2" xfId="29089" xr:uid="{B5761A34-B88C-4349-8289-F08878FF2D4D}"/>
    <cellStyle name="Separador de milhares 6 3 3 18 3" xfId="29088" xr:uid="{7C72E147-CEBE-47FA-B371-A02B45D6D488}"/>
    <cellStyle name="Separador de milhares 6 3 3 19" xfId="20100" xr:uid="{00000000-0005-0000-0000-000090580000}"/>
    <cellStyle name="Separador de milhares 6 3 3 19 2" xfId="20101" xr:uid="{00000000-0005-0000-0000-000091580000}"/>
    <cellStyle name="Separador de milhares 6 3 3 19 2 2" xfId="29091" xr:uid="{2AF48F69-9195-497E-9C2B-E957C619BD8A}"/>
    <cellStyle name="Separador de milhares 6 3 3 19 3" xfId="29090" xr:uid="{EF99A60C-361E-4B22-80A2-55C8FA3FB892}"/>
    <cellStyle name="Separador de milhares 6 3 3 2" xfId="821" xr:uid="{00000000-0005-0000-0000-000092580000}"/>
    <cellStyle name="Separador de milhares 6 3 3 2 2" xfId="20103" xr:uid="{00000000-0005-0000-0000-000093580000}"/>
    <cellStyle name="Separador de milhares 6 3 3 2 2 2" xfId="29093" xr:uid="{8F3A3AA6-C39C-4404-AEA6-61B6C0A5825D}"/>
    <cellStyle name="Separador de milhares 6 3 3 2 3" xfId="20102" xr:uid="{00000000-0005-0000-0000-000094580000}"/>
    <cellStyle name="Separador de milhares 6 3 3 2 3 2" xfId="29092" xr:uid="{F1001F57-162E-4792-9EC8-0A33DB820DA8}"/>
    <cellStyle name="Separador de milhares 6 3 3 2 4" xfId="28056" xr:uid="{717EA132-4E5C-4CC8-97E5-A6CECB959379}"/>
    <cellStyle name="Separador de milhares 6 3 3 20" xfId="20104" xr:uid="{00000000-0005-0000-0000-000095580000}"/>
    <cellStyle name="Separador de milhares 6 3 3 20 2" xfId="20105" xr:uid="{00000000-0005-0000-0000-000096580000}"/>
    <cellStyle name="Separador de milhares 6 3 3 20 2 2" xfId="29095" xr:uid="{7C212371-F84F-4AE1-951A-5DC4636B69C8}"/>
    <cellStyle name="Separador de milhares 6 3 3 20 3" xfId="29094" xr:uid="{AD99177C-20E2-4A56-BCCF-0E17C34ED66F}"/>
    <cellStyle name="Separador de milhares 6 3 3 21" xfId="20106" xr:uid="{00000000-0005-0000-0000-000097580000}"/>
    <cellStyle name="Separador de milhares 6 3 3 21 2" xfId="20107" xr:uid="{00000000-0005-0000-0000-000098580000}"/>
    <cellStyle name="Separador de milhares 6 3 3 21 2 2" xfId="29097" xr:uid="{D11DCF31-4286-4CBE-8E24-16E46C6374BA}"/>
    <cellStyle name="Separador de milhares 6 3 3 21 3" xfId="29096" xr:uid="{BC28BC5A-E8CB-4537-BE65-3A2CB5B2DFA1}"/>
    <cellStyle name="Separador de milhares 6 3 3 22" xfId="20108" xr:uid="{00000000-0005-0000-0000-000099580000}"/>
    <cellStyle name="Separador de milhares 6 3 3 22 2" xfId="20109" xr:uid="{00000000-0005-0000-0000-00009A580000}"/>
    <cellStyle name="Separador de milhares 6 3 3 22 2 2" xfId="29099" xr:uid="{493B9913-C589-4119-B51F-B37BACA0EC33}"/>
    <cellStyle name="Separador de milhares 6 3 3 22 3" xfId="29098" xr:uid="{29B1228B-3AE4-4350-871A-2F3260E31795}"/>
    <cellStyle name="Separador de milhares 6 3 3 23" xfId="20110" xr:uid="{00000000-0005-0000-0000-00009B580000}"/>
    <cellStyle name="Separador de milhares 6 3 3 23 2" xfId="20111" xr:uid="{00000000-0005-0000-0000-00009C580000}"/>
    <cellStyle name="Separador de milhares 6 3 3 23 2 2" xfId="29101" xr:uid="{41CC507B-5970-419C-8BE5-43D284C27297}"/>
    <cellStyle name="Separador de milhares 6 3 3 23 3" xfId="29100" xr:uid="{2309FA0C-97CB-4350-A685-917438C2CA4C}"/>
    <cellStyle name="Separador de milhares 6 3 3 24" xfId="20112" xr:uid="{00000000-0005-0000-0000-00009D580000}"/>
    <cellStyle name="Separador de milhares 6 3 3 24 2" xfId="20113" xr:uid="{00000000-0005-0000-0000-00009E580000}"/>
    <cellStyle name="Separador de milhares 6 3 3 24 2 2" xfId="29103" xr:uid="{00615B6C-DF46-4BA0-A161-F234309DAADD}"/>
    <cellStyle name="Separador de milhares 6 3 3 24 3" xfId="29102" xr:uid="{70F24DEE-AEAF-4AB3-92D4-E9B24A34F826}"/>
    <cellStyle name="Separador de milhares 6 3 3 25" xfId="20114" xr:uid="{00000000-0005-0000-0000-00009F580000}"/>
    <cellStyle name="Separador de milhares 6 3 3 25 2" xfId="20115" xr:uid="{00000000-0005-0000-0000-0000A0580000}"/>
    <cellStyle name="Separador de milhares 6 3 3 25 2 2" xfId="29105" xr:uid="{0EC09A48-0802-4BB9-92CA-17BF801160DC}"/>
    <cellStyle name="Separador de milhares 6 3 3 25 3" xfId="29104" xr:uid="{DE0BF05B-210F-4DD3-B28A-AED430232E5B}"/>
    <cellStyle name="Separador de milhares 6 3 3 26" xfId="20116" xr:uid="{00000000-0005-0000-0000-0000A1580000}"/>
    <cellStyle name="Separador de milhares 6 3 3 26 2" xfId="20117" xr:uid="{00000000-0005-0000-0000-0000A2580000}"/>
    <cellStyle name="Separador de milhares 6 3 3 26 2 2" xfId="29107" xr:uid="{43DEB55B-471B-4E7A-B312-76AF30AC74A8}"/>
    <cellStyle name="Separador de milhares 6 3 3 26 3" xfId="29106" xr:uid="{660C3C17-3F53-4B0E-8708-4920005F499C}"/>
    <cellStyle name="Separador de milhares 6 3 3 27" xfId="20118" xr:uid="{00000000-0005-0000-0000-0000A3580000}"/>
    <cellStyle name="Separador de milhares 6 3 3 27 2" xfId="20119" xr:uid="{00000000-0005-0000-0000-0000A4580000}"/>
    <cellStyle name="Separador de milhares 6 3 3 27 2 2" xfId="29109" xr:uid="{1C44F213-058B-49EA-B413-1CA02A25D307}"/>
    <cellStyle name="Separador de milhares 6 3 3 27 3" xfId="29108" xr:uid="{2C00947D-4465-4F16-8E6A-87534DD26A2D}"/>
    <cellStyle name="Separador de milhares 6 3 3 28" xfId="20120" xr:uid="{00000000-0005-0000-0000-0000A5580000}"/>
    <cellStyle name="Separador de milhares 6 3 3 28 2" xfId="20121" xr:uid="{00000000-0005-0000-0000-0000A6580000}"/>
    <cellStyle name="Separador de milhares 6 3 3 28 2 2" xfId="29111" xr:uid="{A4BBF96D-93AC-46CC-AA00-B8D891DEC9AD}"/>
    <cellStyle name="Separador de milhares 6 3 3 28 3" xfId="29110" xr:uid="{37E9B034-7C84-42A5-A838-5BD9B80DFDD4}"/>
    <cellStyle name="Separador de milhares 6 3 3 29" xfId="20122" xr:uid="{00000000-0005-0000-0000-0000A7580000}"/>
    <cellStyle name="Separador de milhares 6 3 3 29 2" xfId="20123" xr:uid="{00000000-0005-0000-0000-0000A8580000}"/>
    <cellStyle name="Separador de milhares 6 3 3 29 2 2" xfId="29113" xr:uid="{7EACD9E7-B6C1-4712-BC4B-6CB3F42DE554}"/>
    <cellStyle name="Separador de milhares 6 3 3 29 3" xfId="29112" xr:uid="{16148245-35A6-48EC-8E7C-E6E809C8BBA9}"/>
    <cellStyle name="Separador de milhares 6 3 3 3" xfId="20124" xr:uid="{00000000-0005-0000-0000-0000A9580000}"/>
    <cellStyle name="Separador de milhares 6 3 3 3 2" xfId="20125" xr:uid="{00000000-0005-0000-0000-0000AA580000}"/>
    <cellStyle name="Separador de milhares 6 3 3 3 2 2" xfId="29115" xr:uid="{232115D9-C851-4956-B89F-C90013EC15F9}"/>
    <cellStyle name="Separador de milhares 6 3 3 3 3" xfId="29114" xr:uid="{9B1630E4-18C2-440D-8F5E-C06815554CBE}"/>
    <cellStyle name="Separador de milhares 6 3 3 30" xfId="20126" xr:uid="{00000000-0005-0000-0000-0000AB580000}"/>
    <cellStyle name="Separador de milhares 6 3 3 30 2" xfId="20127" xr:uid="{00000000-0005-0000-0000-0000AC580000}"/>
    <cellStyle name="Separador de milhares 6 3 3 30 2 2" xfId="29117" xr:uid="{BE80026F-5503-4F96-BE79-4CFB596D540D}"/>
    <cellStyle name="Separador de milhares 6 3 3 30 3" xfId="29116" xr:uid="{DB60EC07-1C70-4732-94DF-D13BA8FE3B65}"/>
    <cellStyle name="Separador de milhares 6 3 3 31" xfId="20128" xr:uid="{00000000-0005-0000-0000-0000AD580000}"/>
    <cellStyle name="Separador de milhares 6 3 3 31 2" xfId="20129" xr:uid="{00000000-0005-0000-0000-0000AE580000}"/>
    <cellStyle name="Separador de milhares 6 3 3 31 2 2" xfId="29119" xr:uid="{F232421B-A92C-4D79-853F-A54FAEC5B127}"/>
    <cellStyle name="Separador de milhares 6 3 3 31 3" xfId="29118" xr:uid="{1FBFAF0F-4073-4574-9482-FAA2976E00AE}"/>
    <cellStyle name="Separador de milhares 6 3 3 32" xfId="20130" xr:uid="{00000000-0005-0000-0000-0000AF580000}"/>
    <cellStyle name="Separador de milhares 6 3 3 32 2" xfId="20131" xr:uid="{00000000-0005-0000-0000-0000B0580000}"/>
    <cellStyle name="Separador de milhares 6 3 3 32 2 2" xfId="29121" xr:uid="{BA7254C2-1C90-4A55-B6C6-84B60F58F1B3}"/>
    <cellStyle name="Separador de milhares 6 3 3 32 3" xfId="29120" xr:uid="{07ECE748-1082-4BEA-A7A8-997F14BF4473}"/>
    <cellStyle name="Separador de milhares 6 3 3 33" xfId="20132" xr:uid="{00000000-0005-0000-0000-0000B1580000}"/>
    <cellStyle name="Separador de milhares 6 3 3 33 2" xfId="20133" xr:uid="{00000000-0005-0000-0000-0000B2580000}"/>
    <cellStyle name="Separador de milhares 6 3 3 33 2 2" xfId="29123" xr:uid="{423CC2B3-5C2E-4318-A065-4159245A106B}"/>
    <cellStyle name="Separador de milhares 6 3 3 33 3" xfId="29122" xr:uid="{05484DF6-FE0A-4027-A9AD-61E025BDF18E}"/>
    <cellStyle name="Separador de milhares 6 3 3 34" xfId="20134" xr:uid="{00000000-0005-0000-0000-0000B3580000}"/>
    <cellStyle name="Separador de milhares 6 3 3 34 2" xfId="20135" xr:uid="{00000000-0005-0000-0000-0000B4580000}"/>
    <cellStyle name="Separador de milhares 6 3 3 34 2 2" xfId="29125" xr:uid="{9E49CE34-2022-4CC4-9518-228B2E963536}"/>
    <cellStyle name="Separador de milhares 6 3 3 34 3" xfId="29124" xr:uid="{05DAA411-753A-4BB9-AAB2-E4665DBC6ED2}"/>
    <cellStyle name="Separador de milhares 6 3 3 35" xfId="20136" xr:uid="{00000000-0005-0000-0000-0000B5580000}"/>
    <cellStyle name="Separador de milhares 6 3 3 35 2" xfId="29126" xr:uid="{37437693-B845-41D4-BDBA-9E334C0D2F5A}"/>
    <cellStyle name="Separador de milhares 6 3 3 36" xfId="20081" xr:uid="{00000000-0005-0000-0000-0000B6580000}"/>
    <cellStyle name="Separador de milhares 6 3 3 37" xfId="27213" xr:uid="{00000000-0005-0000-0000-0000B7580000}"/>
    <cellStyle name="Separador de milhares 6 3 3 37 2" xfId="33055" xr:uid="{DD2EB37D-A709-402A-A4A4-9E902D5AE298}"/>
    <cellStyle name="Separador de milhares 6 3 3 38" xfId="27393" xr:uid="{00000000-0005-0000-0000-0000B8580000}"/>
    <cellStyle name="Separador de milhares 6 3 3 38 2" xfId="33230" xr:uid="{3918F9F0-CFBD-4771-9540-748FBEA319DB}"/>
    <cellStyle name="Separador de milhares 6 3 3 39" xfId="27571" xr:uid="{00000000-0005-0000-0000-0000B9580000}"/>
    <cellStyle name="Separador de milhares 6 3 3 39 2" xfId="33383" xr:uid="{BD890B73-70CB-4EB1-9A61-2C396213A2E7}"/>
    <cellStyle name="Separador de milhares 6 3 3 4" xfId="20137" xr:uid="{00000000-0005-0000-0000-0000BA580000}"/>
    <cellStyle name="Separador de milhares 6 3 3 4 2" xfId="20138" xr:uid="{00000000-0005-0000-0000-0000BB580000}"/>
    <cellStyle name="Separador de milhares 6 3 3 4 2 2" xfId="29128" xr:uid="{F93D7E73-DE63-49E8-A461-B9EAD8659C99}"/>
    <cellStyle name="Separador de milhares 6 3 3 4 3" xfId="29127" xr:uid="{C3EEDF10-6C7B-4B5E-95C6-457A5B1A7CD7}"/>
    <cellStyle name="Separador de milhares 6 3 3 40" xfId="27722" xr:uid="{00000000-0005-0000-0000-0000BC580000}"/>
    <cellStyle name="Separador de milhares 6 3 3 40 2" xfId="33533" xr:uid="{714E6B19-9031-42D9-B8D6-C0A185037C26}"/>
    <cellStyle name="Separador de milhares 6 3 3 41" xfId="28055" xr:uid="{2A97E0C0-6B68-44F9-B1B2-E6D49129657B}"/>
    <cellStyle name="Separador de milhares 6 3 3 5" xfId="20139" xr:uid="{00000000-0005-0000-0000-0000BD580000}"/>
    <cellStyle name="Separador de milhares 6 3 3 5 2" xfId="20140" xr:uid="{00000000-0005-0000-0000-0000BE580000}"/>
    <cellStyle name="Separador de milhares 6 3 3 5 2 2" xfId="29130" xr:uid="{95C641CE-91E6-46DC-9240-450956EE997A}"/>
    <cellStyle name="Separador de milhares 6 3 3 5 3" xfId="29129" xr:uid="{3D5FC339-FCC3-4A9A-9882-C10CF1F32434}"/>
    <cellStyle name="Separador de milhares 6 3 3 6" xfId="20141" xr:uid="{00000000-0005-0000-0000-0000BF580000}"/>
    <cellStyle name="Separador de milhares 6 3 3 6 2" xfId="20142" xr:uid="{00000000-0005-0000-0000-0000C0580000}"/>
    <cellStyle name="Separador de milhares 6 3 3 6 2 2" xfId="29132" xr:uid="{3D891D55-E409-4A49-AB48-B929B55359DF}"/>
    <cellStyle name="Separador de milhares 6 3 3 6 3" xfId="29131" xr:uid="{D85399FB-F9E4-439A-91AF-16F83F7A8735}"/>
    <cellStyle name="Separador de milhares 6 3 3 7" xfId="20143" xr:uid="{00000000-0005-0000-0000-0000C1580000}"/>
    <cellStyle name="Separador de milhares 6 3 3 7 2" xfId="20144" xr:uid="{00000000-0005-0000-0000-0000C2580000}"/>
    <cellStyle name="Separador de milhares 6 3 3 7 2 2" xfId="29134" xr:uid="{745140D2-7E3D-4280-809C-25153206C2E5}"/>
    <cellStyle name="Separador de milhares 6 3 3 7 3" xfId="29133" xr:uid="{4C7423EB-4D6E-41C1-AC7F-9512C7AFEE4D}"/>
    <cellStyle name="Separador de milhares 6 3 3 8" xfId="20145" xr:uid="{00000000-0005-0000-0000-0000C3580000}"/>
    <cellStyle name="Separador de milhares 6 3 3 8 2" xfId="20146" xr:uid="{00000000-0005-0000-0000-0000C4580000}"/>
    <cellStyle name="Separador de milhares 6 3 3 8 2 2" xfId="29136" xr:uid="{050E156A-3274-433D-8A7F-F73029E3F1A0}"/>
    <cellStyle name="Separador de milhares 6 3 3 8 3" xfId="29135" xr:uid="{5428E979-437C-40CC-81F6-46663CAD98C3}"/>
    <cellStyle name="Separador de milhares 6 3 3 9" xfId="20147" xr:uid="{00000000-0005-0000-0000-0000C5580000}"/>
    <cellStyle name="Separador de milhares 6 3 3 9 2" xfId="20148" xr:uid="{00000000-0005-0000-0000-0000C6580000}"/>
    <cellStyle name="Separador de milhares 6 3 3 9 2 2" xfId="29138" xr:uid="{F31EE14C-F93A-4845-91B1-6A0CA2CE233F}"/>
    <cellStyle name="Separador de milhares 6 3 3 9 3" xfId="29137" xr:uid="{F2D2B1F7-4FF4-4593-84FE-3662B6CC7882}"/>
    <cellStyle name="Separador de milhares 6 3 30" xfId="20149" xr:uid="{00000000-0005-0000-0000-0000C7580000}"/>
    <cellStyle name="Separador de milhares 6 3 30 2" xfId="20150" xr:uid="{00000000-0005-0000-0000-0000C8580000}"/>
    <cellStyle name="Separador de milhares 6 3 30 2 2" xfId="29140" xr:uid="{A1ECC4A6-753D-4A65-8C52-146EF5E66911}"/>
    <cellStyle name="Separador de milhares 6 3 30 3" xfId="29139" xr:uid="{166E3707-E819-4FD8-9A2B-F9E0DAE4DC42}"/>
    <cellStyle name="Separador de milhares 6 3 31" xfId="20151" xr:uid="{00000000-0005-0000-0000-0000C9580000}"/>
    <cellStyle name="Separador de milhares 6 3 31 2" xfId="20152" xr:uid="{00000000-0005-0000-0000-0000CA580000}"/>
    <cellStyle name="Separador de milhares 6 3 31 2 2" xfId="29142" xr:uid="{A835D421-DC8C-487D-AAA0-62A8BE7FCCD6}"/>
    <cellStyle name="Separador de milhares 6 3 31 3" xfId="29141" xr:uid="{12C07ED3-7F60-44A8-85F4-2FB257CFDB3C}"/>
    <cellStyle name="Separador de milhares 6 3 32" xfId="20153" xr:uid="{00000000-0005-0000-0000-0000CB580000}"/>
    <cellStyle name="Separador de milhares 6 3 32 2" xfId="20154" xr:uid="{00000000-0005-0000-0000-0000CC580000}"/>
    <cellStyle name="Separador de milhares 6 3 32 2 2" xfId="29144" xr:uid="{100CC043-078F-4044-B9FB-9BAD02A3F48E}"/>
    <cellStyle name="Separador de milhares 6 3 32 3" xfId="29143" xr:uid="{86BE2204-9086-4166-9962-750E74267CFE}"/>
    <cellStyle name="Separador de milhares 6 3 33" xfId="20155" xr:uid="{00000000-0005-0000-0000-0000CD580000}"/>
    <cellStyle name="Separador de milhares 6 3 33 2" xfId="20156" xr:uid="{00000000-0005-0000-0000-0000CE580000}"/>
    <cellStyle name="Separador de milhares 6 3 33 2 2" xfId="29146" xr:uid="{9B0A7BAF-7EB6-44CF-ADFF-505BB300DC96}"/>
    <cellStyle name="Separador de milhares 6 3 33 3" xfId="29145" xr:uid="{72022EF7-A472-47A4-B4C2-7C20DA0CBCC5}"/>
    <cellStyle name="Separador de milhares 6 3 34" xfId="20157" xr:uid="{00000000-0005-0000-0000-0000CF580000}"/>
    <cellStyle name="Separador de milhares 6 3 34 2" xfId="20158" xr:uid="{00000000-0005-0000-0000-0000D0580000}"/>
    <cellStyle name="Separador de milhares 6 3 34 2 2" xfId="29148" xr:uid="{A43E546C-170B-4E50-970F-4DF13849FF29}"/>
    <cellStyle name="Separador de milhares 6 3 34 3" xfId="29147" xr:uid="{7C0DBEE1-7D7B-4862-9569-DD3858332B1C}"/>
    <cellStyle name="Separador de milhares 6 3 35" xfId="20159" xr:uid="{00000000-0005-0000-0000-0000D1580000}"/>
    <cellStyle name="Separador de milhares 6 3 35 2" xfId="20160" xr:uid="{00000000-0005-0000-0000-0000D2580000}"/>
    <cellStyle name="Separador de milhares 6 3 35 2 2" xfId="29150" xr:uid="{D2180829-195A-44CC-898C-8E448972458C}"/>
    <cellStyle name="Separador de milhares 6 3 35 3" xfId="29149" xr:uid="{7825C2D9-6BDB-45B2-8235-2514C0099335}"/>
    <cellStyle name="Separador de milhares 6 3 36" xfId="20161" xr:uid="{00000000-0005-0000-0000-0000D3580000}"/>
    <cellStyle name="Separador de milhares 6 3 36 2" xfId="20162" xr:uid="{00000000-0005-0000-0000-0000D4580000}"/>
    <cellStyle name="Separador de milhares 6 3 36 2 2" xfId="29152" xr:uid="{3F4256FB-33E0-4795-8D2F-6743B996E9F4}"/>
    <cellStyle name="Separador de milhares 6 3 36 3" xfId="29151" xr:uid="{178D776C-7F88-44AF-B45C-CAF739658DE9}"/>
    <cellStyle name="Separador de milhares 6 3 37" xfId="20163" xr:uid="{00000000-0005-0000-0000-0000D5580000}"/>
    <cellStyle name="Separador de milhares 6 3 37 2" xfId="20164" xr:uid="{00000000-0005-0000-0000-0000D6580000}"/>
    <cellStyle name="Separador de milhares 6 3 37 2 2" xfId="29154" xr:uid="{4E9E57B5-0238-492A-99CF-B104E70638F2}"/>
    <cellStyle name="Separador de milhares 6 3 37 3" xfId="29153" xr:uid="{CD3240B4-07D8-4F47-9B1C-71086F125175}"/>
    <cellStyle name="Separador de milhares 6 3 38" xfId="20165" xr:uid="{00000000-0005-0000-0000-0000D7580000}"/>
    <cellStyle name="Separador de milhares 6 3 38 2" xfId="20166" xr:uid="{00000000-0005-0000-0000-0000D8580000}"/>
    <cellStyle name="Separador de milhares 6 3 38 2 2" xfId="29156" xr:uid="{0F5FEA86-C39A-4572-9C18-5124809F79CE}"/>
    <cellStyle name="Separador de milhares 6 3 38 3" xfId="29155" xr:uid="{423506AD-0208-4F13-B64A-286A713878E3}"/>
    <cellStyle name="Separador de milhares 6 3 39" xfId="20167" xr:uid="{00000000-0005-0000-0000-0000D9580000}"/>
    <cellStyle name="Separador de milhares 6 3 39 2" xfId="20168" xr:uid="{00000000-0005-0000-0000-0000DA580000}"/>
    <cellStyle name="Separador de milhares 6 3 39 2 2" xfId="29158" xr:uid="{66AB6817-BB33-4919-A9D9-0D93E2547B4E}"/>
    <cellStyle name="Separador de milhares 6 3 39 3" xfId="29157" xr:uid="{D5C87241-B9DD-44B6-9651-AAEBCF4B0BD8}"/>
    <cellStyle name="Separador de milhares 6 3 4" xfId="822" xr:uid="{00000000-0005-0000-0000-0000DB580000}"/>
    <cellStyle name="Separador de milhares 6 3 4 2" xfId="20170" xr:uid="{00000000-0005-0000-0000-0000DC580000}"/>
    <cellStyle name="Separador de milhares 6 3 4 2 2" xfId="20171" xr:uid="{00000000-0005-0000-0000-0000DD580000}"/>
    <cellStyle name="Separador de milhares 6 3 4 2 2 2" xfId="29160" xr:uid="{80206466-8254-4F29-8880-0DEFF62D159A}"/>
    <cellStyle name="Separador de milhares 6 3 4 2 3" xfId="29159" xr:uid="{6AC2F049-1209-42A1-83C7-E2E9ACD71D72}"/>
    <cellStyle name="Separador de milhares 6 3 4 3" xfId="20172" xr:uid="{00000000-0005-0000-0000-0000DE580000}"/>
    <cellStyle name="Separador de milhares 6 3 4 3 2" xfId="20173" xr:uid="{00000000-0005-0000-0000-0000DF580000}"/>
    <cellStyle name="Separador de milhares 6 3 4 3 2 2" xfId="29162" xr:uid="{C0643D03-2B67-4A9A-9F88-F5D5B9D0E5B6}"/>
    <cellStyle name="Separador de milhares 6 3 4 3 3" xfId="29161" xr:uid="{5F3C6A8F-8A5E-4C96-B753-92B7F7874CA4}"/>
    <cellStyle name="Separador de milhares 6 3 4 4" xfId="20174" xr:uid="{00000000-0005-0000-0000-0000E0580000}"/>
    <cellStyle name="Separador de milhares 6 3 4 4 2" xfId="20175" xr:uid="{00000000-0005-0000-0000-0000E1580000}"/>
    <cellStyle name="Separador de milhares 6 3 4 4 2 2" xfId="29164" xr:uid="{EEDE303A-B0F6-446B-A569-26C58BA98556}"/>
    <cellStyle name="Separador de milhares 6 3 4 4 3" xfId="29163" xr:uid="{DAF0ADDB-B814-4C8B-8926-51E024331B0F}"/>
    <cellStyle name="Separador de milhares 6 3 4 5" xfId="20176" xr:uid="{00000000-0005-0000-0000-0000E2580000}"/>
    <cellStyle name="Separador de milhares 6 3 4 5 2" xfId="20177" xr:uid="{00000000-0005-0000-0000-0000E3580000}"/>
    <cellStyle name="Separador de milhares 6 3 4 5 2 2" xfId="29166" xr:uid="{66F0988A-D1C5-4134-BB87-A0D4C435BD70}"/>
    <cellStyle name="Separador de milhares 6 3 4 5 3" xfId="29165" xr:uid="{7286EAA8-032D-42C3-86EE-CE9683688252}"/>
    <cellStyle name="Separador de milhares 6 3 4 6" xfId="20178" xr:uid="{00000000-0005-0000-0000-0000E4580000}"/>
    <cellStyle name="Separador de milhares 6 3 4 6 2" xfId="29167" xr:uid="{89B04475-F881-45B7-A024-EF33942684FF}"/>
    <cellStyle name="Separador de milhares 6 3 4 7" xfId="20169" xr:uid="{00000000-0005-0000-0000-0000E5580000}"/>
    <cellStyle name="Separador de milhares 6 3 4 8" xfId="28057" xr:uid="{A09E6F93-26A8-40AC-8541-086774DE4DA7}"/>
    <cellStyle name="Separador de milhares 6 3 40" xfId="20179" xr:uid="{00000000-0005-0000-0000-0000E6580000}"/>
    <cellStyle name="Separador de milhares 6 3 40 2" xfId="20180" xr:uid="{00000000-0005-0000-0000-0000E7580000}"/>
    <cellStyle name="Separador de milhares 6 3 40 2 2" xfId="29169" xr:uid="{DE973128-EB05-4D77-855F-0FF8F4CB1EE1}"/>
    <cellStyle name="Separador de milhares 6 3 40 3" xfId="29168" xr:uid="{B436A093-2450-437E-AFF3-D5F23AA18703}"/>
    <cellStyle name="Separador de milhares 6 3 41" xfId="20181" xr:uid="{00000000-0005-0000-0000-0000E8580000}"/>
    <cellStyle name="Separador de milhares 6 3 41 2" xfId="20182" xr:uid="{00000000-0005-0000-0000-0000E9580000}"/>
    <cellStyle name="Separador de milhares 6 3 41 2 2" xfId="29171" xr:uid="{1CECB5B9-8EFD-44F6-A5D8-F6921C24B237}"/>
    <cellStyle name="Separador de milhares 6 3 41 3" xfId="29170" xr:uid="{9E11BE26-9968-4A37-936A-09A218E74C79}"/>
    <cellStyle name="Separador de milhares 6 3 42" xfId="20183" xr:uid="{00000000-0005-0000-0000-0000EA580000}"/>
    <cellStyle name="Separador de milhares 6 3 42 2" xfId="20184" xr:uid="{00000000-0005-0000-0000-0000EB580000}"/>
    <cellStyle name="Separador de milhares 6 3 42 2 2" xfId="29173" xr:uid="{ED91F469-02B6-4263-8D76-71770D92DEF1}"/>
    <cellStyle name="Separador de milhares 6 3 42 3" xfId="29172" xr:uid="{96A3C812-3CF7-47EE-A7EE-4A43A0323AB9}"/>
    <cellStyle name="Separador de milhares 6 3 43" xfId="20185" xr:uid="{00000000-0005-0000-0000-0000EC580000}"/>
    <cellStyle name="Separador de milhares 6 3 43 2" xfId="20186" xr:uid="{00000000-0005-0000-0000-0000ED580000}"/>
    <cellStyle name="Separador de milhares 6 3 43 2 2" xfId="29175" xr:uid="{F6176166-4188-46F8-B1C7-12B6A3E1EE9F}"/>
    <cellStyle name="Separador de milhares 6 3 43 3" xfId="29174" xr:uid="{AF8022E3-7F32-4FC9-8855-244129F58109}"/>
    <cellStyle name="Separador de milhares 6 3 44" xfId="20187" xr:uid="{00000000-0005-0000-0000-0000EE580000}"/>
    <cellStyle name="Separador de milhares 6 3 44 2" xfId="20188" xr:uid="{00000000-0005-0000-0000-0000EF580000}"/>
    <cellStyle name="Separador de milhares 6 3 44 2 2" xfId="29177" xr:uid="{426ADCEB-F315-49D5-9962-769B523C513D}"/>
    <cellStyle name="Separador de milhares 6 3 44 3" xfId="29176" xr:uid="{197EA946-732F-4225-8298-7A10A047C849}"/>
    <cellStyle name="Separador de milhares 6 3 45" xfId="20189" xr:uid="{00000000-0005-0000-0000-0000F0580000}"/>
    <cellStyle name="Separador de milhares 6 3 45 2" xfId="20190" xr:uid="{00000000-0005-0000-0000-0000F1580000}"/>
    <cellStyle name="Separador de milhares 6 3 45 2 2" xfId="29179" xr:uid="{5917B463-1475-4A9B-B5AF-E7FB6A0481C8}"/>
    <cellStyle name="Separador de milhares 6 3 45 3" xfId="29178" xr:uid="{FFDE7D49-DCF1-4B05-85FE-465C877F0F38}"/>
    <cellStyle name="Separador de milhares 6 3 46" xfId="20191" xr:uid="{00000000-0005-0000-0000-0000F2580000}"/>
    <cellStyle name="Separador de milhares 6 3 46 2" xfId="20192" xr:uid="{00000000-0005-0000-0000-0000F3580000}"/>
    <cellStyle name="Separador de milhares 6 3 46 2 2" xfId="29181" xr:uid="{C59F3382-4725-4886-81BE-E6DD6F0C67A4}"/>
    <cellStyle name="Separador de milhares 6 3 46 3" xfId="29180" xr:uid="{5A0DC6AD-8B5D-48CF-91D1-90E00F2DD5FB}"/>
    <cellStyle name="Separador de milhares 6 3 47" xfId="20193" xr:uid="{00000000-0005-0000-0000-0000F4580000}"/>
    <cellStyle name="Separador de milhares 6 3 47 2" xfId="29182" xr:uid="{9979DE1A-7430-43F3-9095-E8A02739CD63}"/>
    <cellStyle name="Separador de milhares 6 3 48" xfId="19972" xr:uid="{00000000-0005-0000-0000-0000F5580000}"/>
    <cellStyle name="Separador de milhares 6 3 48 2" xfId="28965" xr:uid="{EB9DAF94-71F2-4053-97C0-18C7241D43E7}"/>
    <cellStyle name="Separador de milhares 6 3 49" xfId="27210" xr:uid="{00000000-0005-0000-0000-0000F6580000}"/>
    <cellStyle name="Separador de milhares 6 3 49 2" xfId="33052" xr:uid="{F193FDA2-1450-40C6-9F7C-67A1ECA4193C}"/>
    <cellStyle name="Separador de milhares 6 3 5" xfId="20194" xr:uid="{00000000-0005-0000-0000-0000F7580000}"/>
    <cellStyle name="Separador de milhares 6 3 5 2" xfId="20195" xr:uid="{00000000-0005-0000-0000-0000F8580000}"/>
    <cellStyle name="Separador de milhares 6 3 5 2 2" xfId="29183" xr:uid="{D4F6A824-E8BC-4DC0-BB93-E2CBF6905174}"/>
    <cellStyle name="Separador de milhares 6 3 50" xfId="27390" xr:uid="{00000000-0005-0000-0000-0000F9580000}"/>
    <cellStyle name="Separador de milhares 6 3 50 2" xfId="33227" xr:uid="{350B58F0-A94B-454C-841B-F9925DAB8565}"/>
    <cellStyle name="Separador de milhares 6 3 51" xfId="27568" xr:uid="{00000000-0005-0000-0000-0000FA580000}"/>
    <cellStyle name="Separador de milhares 6 3 51 2" xfId="33380" xr:uid="{3225CCFD-92CC-4CB7-A872-83918AA3C2AF}"/>
    <cellStyle name="Separador de milhares 6 3 52" xfId="27719" xr:uid="{00000000-0005-0000-0000-0000FB580000}"/>
    <cellStyle name="Separador de milhares 6 3 52 2" xfId="33530" xr:uid="{BDAECA2E-584A-4BBB-BAE7-5CFBCF981B6E}"/>
    <cellStyle name="Separador de milhares 6 3 53" xfId="28050" xr:uid="{A16CA2E9-D12E-47EA-A725-6ACB47705D70}"/>
    <cellStyle name="Separador de milhares 6 3 6" xfId="20196" xr:uid="{00000000-0005-0000-0000-0000FC580000}"/>
    <cellStyle name="Separador de milhares 6 3 6 2" xfId="20197" xr:uid="{00000000-0005-0000-0000-0000FD580000}"/>
    <cellStyle name="Separador de milhares 6 3 6 2 2" xfId="29184" xr:uid="{9FA9AFA9-7156-461A-873F-970FEFAFCB50}"/>
    <cellStyle name="Separador de milhares 6 3 7" xfId="20198" xr:uid="{00000000-0005-0000-0000-0000FE580000}"/>
    <cellStyle name="Separador de milhares 6 3 7 2" xfId="20199" xr:uid="{00000000-0005-0000-0000-0000FF580000}"/>
    <cellStyle name="Separador de milhares 6 3 7 2 2" xfId="29185" xr:uid="{7569BEE8-27E4-40B3-A8EE-B555B1B4032F}"/>
    <cellStyle name="Separador de milhares 6 3 8" xfId="20200" xr:uid="{00000000-0005-0000-0000-000000590000}"/>
    <cellStyle name="Separador de milhares 6 3 8 2" xfId="20201" xr:uid="{00000000-0005-0000-0000-000001590000}"/>
    <cellStyle name="Separador de milhares 6 3 8 2 2" xfId="29186" xr:uid="{E58C269E-04CC-4C60-8517-4C1D2AEEAD22}"/>
    <cellStyle name="Separador de milhares 6 3 9" xfId="20202" xr:uid="{00000000-0005-0000-0000-000002590000}"/>
    <cellStyle name="Separador de milhares 6 3 9 2" xfId="20203" xr:uid="{00000000-0005-0000-0000-000003590000}"/>
    <cellStyle name="Separador de milhares 6 3 9 2 2" xfId="29187" xr:uid="{E7D404A4-2572-45C3-BE2C-327874D1BDFB}"/>
    <cellStyle name="Separador de milhares 6 30" xfId="20204" xr:uid="{00000000-0005-0000-0000-000004590000}"/>
    <cellStyle name="Separador de milhares 6 30 2" xfId="20205" xr:uid="{00000000-0005-0000-0000-000005590000}"/>
    <cellStyle name="Separador de milhares 6 30 2 2" xfId="29189" xr:uid="{64CD151F-4B06-4306-92F9-91991B8D8510}"/>
    <cellStyle name="Separador de milhares 6 30 3" xfId="29188" xr:uid="{4FF5837B-DC32-404D-B68B-4F1D20487FCA}"/>
    <cellStyle name="Separador de milhares 6 31" xfId="20206" xr:uid="{00000000-0005-0000-0000-000006590000}"/>
    <cellStyle name="Separador de milhares 6 31 2" xfId="20207" xr:uid="{00000000-0005-0000-0000-000007590000}"/>
    <cellStyle name="Separador de milhares 6 31 2 2" xfId="29191" xr:uid="{2196A9C0-81FD-49AA-AE56-FCFFE222829E}"/>
    <cellStyle name="Separador de milhares 6 31 3" xfId="29190" xr:uid="{DEC5F75E-AE56-4E17-85BF-4E900E327D0E}"/>
    <cellStyle name="Separador de milhares 6 32" xfId="20208" xr:uid="{00000000-0005-0000-0000-000008590000}"/>
    <cellStyle name="Separador de milhares 6 32 2" xfId="20209" xr:uid="{00000000-0005-0000-0000-000009590000}"/>
    <cellStyle name="Separador de milhares 6 32 2 2" xfId="29193" xr:uid="{2085D83C-FFC6-463D-949C-C4077A43239A}"/>
    <cellStyle name="Separador de milhares 6 32 3" xfId="29192" xr:uid="{E27A8A43-15B6-4EC0-926E-2F04CC7FCB7B}"/>
    <cellStyle name="Separador de milhares 6 33" xfId="20210" xr:uid="{00000000-0005-0000-0000-00000A590000}"/>
    <cellStyle name="Separador de milhares 6 33 2" xfId="20211" xr:uid="{00000000-0005-0000-0000-00000B590000}"/>
    <cellStyle name="Separador de milhares 6 33 2 2" xfId="29195" xr:uid="{CBF4039C-94D5-4829-B4B5-A29D138F1D3A}"/>
    <cellStyle name="Separador de milhares 6 33 3" xfId="29194" xr:uid="{3BDA9A1F-370D-4DF9-8911-5070B9D8EFD0}"/>
    <cellStyle name="Separador de milhares 6 34" xfId="20212" xr:uid="{00000000-0005-0000-0000-00000C590000}"/>
    <cellStyle name="Separador de milhares 6 34 2" xfId="20213" xr:uid="{00000000-0005-0000-0000-00000D590000}"/>
    <cellStyle name="Separador de milhares 6 34 2 2" xfId="29197" xr:uid="{27957EC5-0913-4E69-AFA8-5B46CC59C992}"/>
    <cellStyle name="Separador de milhares 6 34 3" xfId="29196" xr:uid="{37EA9009-C3BC-4C95-B0B3-2CB808E271B2}"/>
    <cellStyle name="Separador de milhares 6 35" xfId="20214" xr:uid="{00000000-0005-0000-0000-00000E590000}"/>
    <cellStyle name="Separador de milhares 6 35 2" xfId="20215" xr:uid="{00000000-0005-0000-0000-00000F590000}"/>
    <cellStyle name="Separador de milhares 6 35 2 2" xfId="29199" xr:uid="{80291A3D-FCBD-4534-BE4A-A41909D57209}"/>
    <cellStyle name="Separador de milhares 6 35 3" xfId="29198" xr:uid="{D44127C2-3918-4F4E-9D93-3C2EFC5C75D8}"/>
    <cellStyle name="Separador de milhares 6 36" xfId="20216" xr:uid="{00000000-0005-0000-0000-000010590000}"/>
    <cellStyle name="Separador de milhares 6 36 2" xfId="20217" xr:uid="{00000000-0005-0000-0000-000011590000}"/>
    <cellStyle name="Separador de milhares 6 36 2 2" xfId="29201" xr:uid="{58BF8EA7-BA8E-4FE3-B876-523EA340E8CA}"/>
    <cellStyle name="Separador de milhares 6 36 3" xfId="29200" xr:uid="{71B4E8FD-FDE1-49D7-ACEC-401DDE3B858D}"/>
    <cellStyle name="Separador de milhares 6 37" xfId="20218" xr:uid="{00000000-0005-0000-0000-000012590000}"/>
    <cellStyle name="Separador de milhares 6 37 2" xfId="20219" xr:uid="{00000000-0005-0000-0000-000013590000}"/>
    <cellStyle name="Separador de milhares 6 37 2 2" xfId="29203" xr:uid="{F5A63738-3C80-4A67-BAC5-D3CDD9912203}"/>
    <cellStyle name="Separador de milhares 6 37 3" xfId="29202" xr:uid="{400E1BFF-FCC9-447D-A851-29B230AADF24}"/>
    <cellStyle name="Separador de milhares 6 38" xfId="20220" xr:uid="{00000000-0005-0000-0000-000014590000}"/>
    <cellStyle name="Separador de milhares 6 38 2" xfId="20221" xr:uid="{00000000-0005-0000-0000-000015590000}"/>
    <cellStyle name="Separador de milhares 6 38 2 2" xfId="29205" xr:uid="{6886A177-E59F-4A59-9431-4C7E444A1DC4}"/>
    <cellStyle name="Separador de milhares 6 38 3" xfId="29204" xr:uid="{9F386C11-7863-4D55-9063-3A6E6D7F2D4D}"/>
    <cellStyle name="Separador de milhares 6 39" xfId="20222" xr:uid="{00000000-0005-0000-0000-000016590000}"/>
    <cellStyle name="Separador de milhares 6 39 2" xfId="20223" xr:uid="{00000000-0005-0000-0000-000017590000}"/>
    <cellStyle name="Separador de milhares 6 39 2 2" xfId="29207" xr:uid="{98DB0A52-FFA4-4B9C-8B68-BD9ED1FBF285}"/>
    <cellStyle name="Separador de milhares 6 39 3" xfId="29206" xr:uid="{CF260A2C-F536-4D7C-AB47-82C488224428}"/>
    <cellStyle name="Separador de milhares 6 4" xfId="823" xr:uid="{00000000-0005-0000-0000-000018590000}"/>
    <cellStyle name="Separador de milhares 6 4 10" xfId="20225" xr:uid="{00000000-0005-0000-0000-000019590000}"/>
    <cellStyle name="Separador de milhares 6 4 10 2" xfId="20226" xr:uid="{00000000-0005-0000-0000-00001A590000}"/>
    <cellStyle name="Separador de milhares 6 4 10 2 2" xfId="29209" xr:uid="{1241C0BF-A6BC-470E-98ED-6B8269EF16C8}"/>
    <cellStyle name="Separador de milhares 6 4 11" xfId="20227" xr:uid="{00000000-0005-0000-0000-00001B590000}"/>
    <cellStyle name="Separador de milhares 6 4 11 2" xfId="20228" xr:uid="{00000000-0005-0000-0000-00001C590000}"/>
    <cellStyle name="Separador de milhares 6 4 11 2 2" xfId="29211" xr:uid="{30995419-A0A3-4B9C-ACC4-456BE295A607}"/>
    <cellStyle name="Separador de milhares 6 4 11 3" xfId="29210" xr:uid="{00E42D22-D874-4196-B385-D755D5D6BE61}"/>
    <cellStyle name="Separador de milhares 6 4 12" xfId="20229" xr:uid="{00000000-0005-0000-0000-00001D590000}"/>
    <cellStyle name="Separador de milhares 6 4 12 2" xfId="20230" xr:uid="{00000000-0005-0000-0000-00001E590000}"/>
    <cellStyle name="Separador de milhares 6 4 12 2 2" xfId="29213" xr:uid="{FE28F660-B861-4372-A679-C5F5B3BC50A2}"/>
    <cellStyle name="Separador de milhares 6 4 12 3" xfId="29212" xr:uid="{D0D6D1B8-C6AB-413D-8B31-C913A0296822}"/>
    <cellStyle name="Separador de milhares 6 4 13" xfId="20231" xr:uid="{00000000-0005-0000-0000-00001F590000}"/>
    <cellStyle name="Separador de milhares 6 4 13 2" xfId="20232" xr:uid="{00000000-0005-0000-0000-000020590000}"/>
    <cellStyle name="Separador de milhares 6 4 13 2 2" xfId="29215" xr:uid="{D2C4CF84-2B29-459F-AF44-FD4E9E32EE58}"/>
    <cellStyle name="Separador de milhares 6 4 13 3" xfId="29214" xr:uid="{18F7AB96-2F45-475B-A703-CF145C459698}"/>
    <cellStyle name="Separador de milhares 6 4 14" xfId="20233" xr:uid="{00000000-0005-0000-0000-000021590000}"/>
    <cellStyle name="Separador de milhares 6 4 14 2" xfId="20234" xr:uid="{00000000-0005-0000-0000-000022590000}"/>
    <cellStyle name="Separador de milhares 6 4 14 2 2" xfId="29217" xr:uid="{2D680FE1-9149-44C9-BEF4-F532B43D4838}"/>
    <cellStyle name="Separador de milhares 6 4 14 3" xfId="29216" xr:uid="{3C5D9C11-86E9-4F0E-BEBF-E491932ABFE3}"/>
    <cellStyle name="Separador de milhares 6 4 15" xfId="20235" xr:uid="{00000000-0005-0000-0000-000023590000}"/>
    <cellStyle name="Separador de milhares 6 4 15 2" xfId="20236" xr:uid="{00000000-0005-0000-0000-000024590000}"/>
    <cellStyle name="Separador de milhares 6 4 15 2 2" xfId="29219" xr:uid="{05BCDE33-C65D-4276-8920-01328DB36E21}"/>
    <cellStyle name="Separador de milhares 6 4 15 3" xfId="29218" xr:uid="{FF272A5B-CFC8-4E52-9922-2BB6A0846C63}"/>
    <cellStyle name="Separador de milhares 6 4 16" xfId="20237" xr:uid="{00000000-0005-0000-0000-000025590000}"/>
    <cellStyle name="Separador de milhares 6 4 16 2" xfId="20238" xr:uid="{00000000-0005-0000-0000-000026590000}"/>
    <cellStyle name="Separador de milhares 6 4 16 2 2" xfId="29221" xr:uid="{C4262EAF-361F-476D-8F77-51BFE7760FB2}"/>
    <cellStyle name="Separador de milhares 6 4 16 3" xfId="29220" xr:uid="{46532A5C-D2F6-408C-9A6C-4DFAD01175C7}"/>
    <cellStyle name="Separador de milhares 6 4 17" xfId="20239" xr:uid="{00000000-0005-0000-0000-000027590000}"/>
    <cellStyle name="Separador de milhares 6 4 17 2" xfId="20240" xr:uid="{00000000-0005-0000-0000-000028590000}"/>
    <cellStyle name="Separador de milhares 6 4 17 2 2" xfId="29223" xr:uid="{8DB0AE63-3E90-4994-8544-82AFDB7B04F9}"/>
    <cellStyle name="Separador de milhares 6 4 17 3" xfId="29222" xr:uid="{C547EFA0-3C68-46D2-920B-7D9550F8F11B}"/>
    <cellStyle name="Separador de milhares 6 4 18" xfId="20241" xr:uid="{00000000-0005-0000-0000-000029590000}"/>
    <cellStyle name="Separador de milhares 6 4 18 2" xfId="20242" xr:uid="{00000000-0005-0000-0000-00002A590000}"/>
    <cellStyle name="Separador de milhares 6 4 18 2 2" xfId="29225" xr:uid="{E1217C2C-3376-491E-9003-FC7838F4815E}"/>
    <cellStyle name="Separador de milhares 6 4 18 3" xfId="29224" xr:uid="{BF8041AD-86AE-4EDA-A7F3-675D36F979E5}"/>
    <cellStyle name="Separador de milhares 6 4 19" xfId="20243" xr:uid="{00000000-0005-0000-0000-00002B590000}"/>
    <cellStyle name="Separador de milhares 6 4 19 2" xfId="20244" xr:uid="{00000000-0005-0000-0000-00002C590000}"/>
    <cellStyle name="Separador de milhares 6 4 19 2 2" xfId="29227" xr:uid="{5F6B3196-B54D-4BD8-A472-FECBA56C74EE}"/>
    <cellStyle name="Separador de milhares 6 4 19 3" xfId="29226" xr:uid="{37544D65-889C-484E-8D67-0CEEEB9C1B5C}"/>
    <cellStyle name="Separador de milhares 6 4 2" xfId="824" xr:uid="{00000000-0005-0000-0000-00002D590000}"/>
    <cellStyle name="Separador de milhares 6 4 2 10" xfId="27573" xr:uid="{00000000-0005-0000-0000-00002E590000}"/>
    <cellStyle name="Separador de milhares 6 4 2 10 2" xfId="33385" xr:uid="{BA63FD9F-85AC-4284-81AF-23222F7BF81A}"/>
    <cellStyle name="Separador de milhares 6 4 2 11" xfId="27724" xr:uid="{00000000-0005-0000-0000-00002F590000}"/>
    <cellStyle name="Separador de milhares 6 4 2 11 2" xfId="33535" xr:uid="{7AE46A56-5105-481C-9365-6535DC5562A0}"/>
    <cellStyle name="Separador de milhares 6 4 2 12" xfId="28059" xr:uid="{B407E4DB-E210-4840-9142-0DDE8490329E}"/>
    <cellStyle name="Separador de milhares 6 4 2 2" xfId="825" xr:uid="{00000000-0005-0000-0000-000030590000}"/>
    <cellStyle name="Separador de milhares 6 4 2 2 2" xfId="20247" xr:uid="{00000000-0005-0000-0000-000031590000}"/>
    <cellStyle name="Separador de milhares 6 4 2 2 2 2" xfId="29230" xr:uid="{1F21A6E4-3F41-4A86-B7E0-4786CA2F3C26}"/>
    <cellStyle name="Separador de milhares 6 4 2 2 3" xfId="20246" xr:uid="{00000000-0005-0000-0000-000032590000}"/>
    <cellStyle name="Separador de milhares 6 4 2 2 3 2" xfId="29229" xr:uid="{0FA142C5-A376-471B-8895-F31EC2E441E9}"/>
    <cellStyle name="Separador de milhares 6 4 2 2 4" xfId="28060" xr:uid="{07E7554B-F7E5-4150-A3C3-E6B9B755AD42}"/>
    <cellStyle name="Separador de milhares 6 4 2 3" xfId="20248" xr:uid="{00000000-0005-0000-0000-000033590000}"/>
    <cellStyle name="Separador de milhares 6 4 2 3 2" xfId="20249" xr:uid="{00000000-0005-0000-0000-000034590000}"/>
    <cellStyle name="Separador de milhares 6 4 2 3 2 2" xfId="29232" xr:uid="{812A1B6D-3E01-46A6-9CE8-5D7857ABEEBA}"/>
    <cellStyle name="Separador de milhares 6 4 2 3 3" xfId="29231" xr:uid="{3243C0C4-99C5-4A79-9D30-52BE80565219}"/>
    <cellStyle name="Separador de milhares 6 4 2 4" xfId="20250" xr:uid="{00000000-0005-0000-0000-000035590000}"/>
    <cellStyle name="Separador de milhares 6 4 2 4 2" xfId="20251" xr:uid="{00000000-0005-0000-0000-000036590000}"/>
    <cellStyle name="Separador de milhares 6 4 2 4 2 2" xfId="29234" xr:uid="{9DFE580F-2269-43F2-83CE-9A8AC1CE091E}"/>
    <cellStyle name="Separador de milhares 6 4 2 4 3" xfId="29233" xr:uid="{EA7C4644-0951-42DC-B995-36301CC7B853}"/>
    <cellStyle name="Separador de milhares 6 4 2 5" xfId="20252" xr:uid="{00000000-0005-0000-0000-000037590000}"/>
    <cellStyle name="Separador de milhares 6 4 2 5 2" xfId="20253" xr:uid="{00000000-0005-0000-0000-000038590000}"/>
    <cellStyle name="Separador de milhares 6 4 2 5 2 2" xfId="29236" xr:uid="{0FFEBB76-AF6F-4171-B454-A4F182C2826E}"/>
    <cellStyle name="Separador de milhares 6 4 2 5 3" xfId="29235" xr:uid="{F9BAEB82-FC86-46BD-BA9C-CA758183BB85}"/>
    <cellStyle name="Separador de milhares 6 4 2 6" xfId="20254" xr:uid="{00000000-0005-0000-0000-000039590000}"/>
    <cellStyle name="Separador de milhares 6 4 2 6 2" xfId="29237" xr:uid="{D7459793-917E-4DFF-8F99-794F736BC643}"/>
    <cellStyle name="Separador de milhares 6 4 2 7" xfId="20245" xr:uid="{00000000-0005-0000-0000-00003A590000}"/>
    <cellStyle name="Separador de milhares 6 4 2 7 2" xfId="29228" xr:uid="{6BC141A8-E649-467C-A7C0-A81079AF622A}"/>
    <cellStyle name="Separador de milhares 6 4 2 8" xfId="27215" xr:uid="{00000000-0005-0000-0000-00003B590000}"/>
    <cellStyle name="Separador de milhares 6 4 2 8 2" xfId="33057" xr:uid="{866FA5EA-B1B1-4F54-9378-F7BAD11602DB}"/>
    <cellStyle name="Separador de milhares 6 4 2 9" xfId="27395" xr:uid="{00000000-0005-0000-0000-00003C590000}"/>
    <cellStyle name="Separador de milhares 6 4 2 9 2" xfId="33232" xr:uid="{EA78F5CF-D1AD-460B-921E-405AEB1374E4}"/>
    <cellStyle name="Separador de milhares 6 4 20" xfId="20255" xr:uid="{00000000-0005-0000-0000-00003D590000}"/>
    <cellStyle name="Separador de milhares 6 4 20 2" xfId="20256" xr:uid="{00000000-0005-0000-0000-00003E590000}"/>
    <cellStyle name="Separador de milhares 6 4 20 2 2" xfId="29239" xr:uid="{C024DC67-0369-4394-89DD-C14128EEFA89}"/>
    <cellStyle name="Separador de milhares 6 4 20 3" xfId="29238" xr:uid="{93756387-D909-482B-A424-77076F4D862E}"/>
    <cellStyle name="Separador de milhares 6 4 21" xfId="20257" xr:uid="{00000000-0005-0000-0000-00003F590000}"/>
    <cellStyle name="Separador de milhares 6 4 21 2" xfId="20258" xr:uid="{00000000-0005-0000-0000-000040590000}"/>
    <cellStyle name="Separador de milhares 6 4 21 2 2" xfId="29241" xr:uid="{F0DB85A9-C97D-4AFE-9AC0-D7356464154F}"/>
    <cellStyle name="Separador de milhares 6 4 21 3" xfId="29240" xr:uid="{2E982E8F-B285-4D97-A506-E7DF5A7F644E}"/>
    <cellStyle name="Separador de milhares 6 4 22" xfId="20259" xr:uid="{00000000-0005-0000-0000-000041590000}"/>
    <cellStyle name="Separador de milhares 6 4 22 2" xfId="20260" xr:uid="{00000000-0005-0000-0000-000042590000}"/>
    <cellStyle name="Separador de milhares 6 4 22 2 2" xfId="29243" xr:uid="{53CBDE54-59C9-45BE-A8DE-91824D37DFD6}"/>
    <cellStyle name="Separador de milhares 6 4 22 3" xfId="29242" xr:uid="{68E4E059-3AD5-41E7-8E46-8B4697068A11}"/>
    <cellStyle name="Separador de milhares 6 4 23" xfId="20261" xr:uid="{00000000-0005-0000-0000-000043590000}"/>
    <cellStyle name="Separador de milhares 6 4 23 2" xfId="20262" xr:uid="{00000000-0005-0000-0000-000044590000}"/>
    <cellStyle name="Separador de milhares 6 4 23 2 2" xfId="29245" xr:uid="{103D0E73-7B4F-4979-9686-F65660325D51}"/>
    <cellStyle name="Separador de milhares 6 4 23 3" xfId="29244" xr:uid="{AB1136A0-B00A-4BA4-B766-E54030344090}"/>
    <cellStyle name="Separador de milhares 6 4 24" xfId="20263" xr:uid="{00000000-0005-0000-0000-000045590000}"/>
    <cellStyle name="Separador de milhares 6 4 24 2" xfId="20264" xr:uid="{00000000-0005-0000-0000-000046590000}"/>
    <cellStyle name="Separador de milhares 6 4 24 2 2" xfId="29247" xr:uid="{6DAC9DC1-257F-409D-AE47-AA42D1AD82C0}"/>
    <cellStyle name="Separador de milhares 6 4 24 3" xfId="29246" xr:uid="{ED75AB11-35E7-48FD-95D9-E31199064B58}"/>
    <cellStyle name="Separador de milhares 6 4 25" xfId="20265" xr:uid="{00000000-0005-0000-0000-000047590000}"/>
    <cellStyle name="Separador de milhares 6 4 25 2" xfId="20266" xr:uid="{00000000-0005-0000-0000-000048590000}"/>
    <cellStyle name="Separador de milhares 6 4 25 2 2" xfId="29249" xr:uid="{93A6461F-8C0A-4BB3-A999-C171FFD3EC9D}"/>
    <cellStyle name="Separador de milhares 6 4 25 3" xfId="29248" xr:uid="{DD1258EA-2C23-4C4B-B675-35EFCA466AAE}"/>
    <cellStyle name="Separador de milhares 6 4 26" xfId="20267" xr:uid="{00000000-0005-0000-0000-000049590000}"/>
    <cellStyle name="Separador de milhares 6 4 26 2" xfId="20268" xr:uid="{00000000-0005-0000-0000-00004A590000}"/>
    <cellStyle name="Separador de milhares 6 4 26 2 2" xfId="29251" xr:uid="{52808F40-756F-4591-8268-43341693F578}"/>
    <cellStyle name="Separador de milhares 6 4 26 3" xfId="29250" xr:uid="{5112C317-152A-400B-AC4D-3DF0E496F23A}"/>
    <cellStyle name="Separador de milhares 6 4 27" xfId="20269" xr:uid="{00000000-0005-0000-0000-00004B590000}"/>
    <cellStyle name="Separador de milhares 6 4 27 2" xfId="20270" xr:uid="{00000000-0005-0000-0000-00004C590000}"/>
    <cellStyle name="Separador de milhares 6 4 27 2 2" xfId="29253" xr:uid="{4A06DDC5-E3BC-4819-AC70-FC75BF962E0E}"/>
    <cellStyle name="Separador de milhares 6 4 27 3" xfId="29252" xr:uid="{BAC6F004-5542-4317-8392-45C362E750A2}"/>
    <cellStyle name="Separador de milhares 6 4 28" xfId="20271" xr:uid="{00000000-0005-0000-0000-00004D590000}"/>
    <cellStyle name="Separador de milhares 6 4 28 2" xfId="20272" xr:uid="{00000000-0005-0000-0000-00004E590000}"/>
    <cellStyle name="Separador de milhares 6 4 28 2 2" xfId="29255" xr:uid="{9A1E0494-6C77-48F0-99F2-81D98F565D31}"/>
    <cellStyle name="Separador de milhares 6 4 28 3" xfId="29254" xr:uid="{FDAA851F-0675-4397-8F7E-E41231506192}"/>
    <cellStyle name="Separador de milhares 6 4 29" xfId="20273" xr:uid="{00000000-0005-0000-0000-00004F590000}"/>
    <cellStyle name="Separador de milhares 6 4 29 2" xfId="20274" xr:uid="{00000000-0005-0000-0000-000050590000}"/>
    <cellStyle name="Separador de milhares 6 4 29 2 2" xfId="29257" xr:uid="{7B77865A-D9D3-4377-9D26-DDAFB6C6F51B}"/>
    <cellStyle name="Separador de milhares 6 4 29 3" xfId="29256" xr:uid="{676D1DE1-0740-4E96-ACF2-416B445CE933}"/>
    <cellStyle name="Separador de milhares 6 4 3" xfId="826" xr:uid="{00000000-0005-0000-0000-000051590000}"/>
    <cellStyle name="Separador de milhares 6 4 3 2" xfId="20276" xr:uid="{00000000-0005-0000-0000-000052590000}"/>
    <cellStyle name="Separador de milhares 6 4 3 2 2" xfId="20277" xr:uid="{00000000-0005-0000-0000-000053590000}"/>
    <cellStyle name="Separador de milhares 6 4 3 2 2 2" xfId="29259" xr:uid="{6D46220C-D052-42D4-B685-CDD75FF543E7}"/>
    <cellStyle name="Separador de milhares 6 4 3 2 3" xfId="29258" xr:uid="{F4C9E571-D4FF-4595-96D4-679AF73C40F1}"/>
    <cellStyle name="Separador de milhares 6 4 3 3" xfId="20278" xr:uid="{00000000-0005-0000-0000-000054590000}"/>
    <cellStyle name="Separador de milhares 6 4 3 3 2" xfId="20279" xr:uid="{00000000-0005-0000-0000-000055590000}"/>
    <cellStyle name="Separador de milhares 6 4 3 3 2 2" xfId="29261" xr:uid="{241F510D-5034-4858-9175-E03D8AAF3BA1}"/>
    <cellStyle name="Separador de milhares 6 4 3 3 3" xfId="29260" xr:uid="{F91DF9D2-DC13-4525-8492-9FB485B80E5D}"/>
    <cellStyle name="Separador de milhares 6 4 3 4" xfId="20280" xr:uid="{00000000-0005-0000-0000-000056590000}"/>
    <cellStyle name="Separador de milhares 6 4 3 4 2" xfId="20281" xr:uid="{00000000-0005-0000-0000-000057590000}"/>
    <cellStyle name="Separador de milhares 6 4 3 4 2 2" xfId="29263" xr:uid="{FCED2A13-2C28-4819-B69D-DAB7EDCA2650}"/>
    <cellStyle name="Separador de milhares 6 4 3 4 3" xfId="29262" xr:uid="{AF4A35FE-C89C-4981-8DB8-4D1A0FE13BC6}"/>
    <cellStyle name="Separador de milhares 6 4 3 5" xfId="20282" xr:uid="{00000000-0005-0000-0000-000058590000}"/>
    <cellStyle name="Separador de milhares 6 4 3 5 2" xfId="20283" xr:uid="{00000000-0005-0000-0000-000059590000}"/>
    <cellStyle name="Separador de milhares 6 4 3 5 2 2" xfId="29265" xr:uid="{C62BD26E-342F-4A73-B8F4-F627017217C1}"/>
    <cellStyle name="Separador de milhares 6 4 3 5 3" xfId="29264" xr:uid="{6403F50B-3FF3-421C-A84C-B2B22BD5D4DB}"/>
    <cellStyle name="Separador de milhares 6 4 3 6" xfId="20284" xr:uid="{00000000-0005-0000-0000-00005A590000}"/>
    <cellStyle name="Separador de milhares 6 4 3 6 2" xfId="29266" xr:uid="{E9381909-6F62-42D1-838D-6D750564F997}"/>
    <cellStyle name="Separador de milhares 6 4 3 7" xfId="20275" xr:uid="{00000000-0005-0000-0000-00005B590000}"/>
    <cellStyle name="Separador de milhares 6 4 3 8" xfId="28061" xr:uid="{6980B8A4-03E1-4731-B262-2B229E692F6A}"/>
    <cellStyle name="Separador de milhares 6 4 30" xfId="20285" xr:uid="{00000000-0005-0000-0000-00005C590000}"/>
    <cellStyle name="Separador de milhares 6 4 30 2" xfId="20286" xr:uid="{00000000-0005-0000-0000-00005D590000}"/>
    <cellStyle name="Separador de milhares 6 4 30 2 2" xfId="29268" xr:uid="{C79F2687-2949-4556-93D8-7BF4F54C0883}"/>
    <cellStyle name="Separador de milhares 6 4 30 3" xfId="29267" xr:uid="{F106B948-D39D-49EE-AFBA-E54D6AFA4F03}"/>
    <cellStyle name="Separador de milhares 6 4 31" xfId="20287" xr:uid="{00000000-0005-0000-0000-00005E590000}"/>
    <cellStyle name="Separador de milhares 6 4 31 2" xfId="20288" xr:uid="{00000000-0005-0000-0000-00005F590000}"/>
    <cellStyle name="Separador de milhares 6 4 31 2 2" xfId="29270" xr:uid="{F9934DEB-1C40-4BFF-B4FB-51CE91A89F4D}"/>
    <cellStyle name="Separador de milhares 6 4 31 3" xfId="29269" xr:uid="{F60BBD07-A4EE-461B-A732-C986A8519502}"/>
    <cellStyle name="Separador de milhares 6 4 32" xfId="20289" xr:uid="{00000000-0005-0000-0000-000060590000}"/>
    <cellStyle name="Separador de milhares 6 4 32 2" xfId="20290" xr:uid="{00000000-0005-0000-0000-000061590000}"/>
    <cellStyle name="Separador de milhares 6 4 32 2 2" xfId="29272" xr:uid="{9EF78AA2-9007-4DD3-AF1E-FF2F8CBFF3BC}"/>
    <cellStyle name="Separador de milhares 6 4 32 3" xfId="29271" xr:uid="{3F1BD09D-25F6-42EB-A46E-E481411204BF}"/>
    <cellStyle name="Separador de milhares 6 4 33" xfId="20291" xr:uid="{00000000-0005-0000-0000-000062590000}"/>
    <cellStyle name="Separador de milhares 6 4 33 2" xfId="20292" xr:uid="{00000000-0005-0000-0000-000063590000}"/>
    <cellStyle name="Separador de milhares 6 4 33 2 2" xfId="29274" xr:uid="{C9B21A24-5E26-446C-9522-B9503E6C33F4}"/>
    <cellStyle name="Separador de milhares 6 4 33 3" xfId="29273" xr:uid="{2A80C358-9A4C-4557-ABA7-0ED925F6B1B3}"/>
    <cellStyle name="Separador de milhares 6 4 34" xfId="20293" xr:uid="{00000000-0005-0000-0000-000064590000}"/>
    <cellStyle name="Separador de milhares 6 4 34 2" xfId="20294" xr:uid="{00000000-0005-0000-0000-000065590000}"/>
    <cellStyle name="Separador de milhares 6 4 34 2 2" xfId="29276" xr:uid="{7542DC9E-F5EB-4207-AEE0-D5AB8BBC717F}"/>
    <cellStyle name="Separador de milhares 6 4 34 3" xfId="29275" xr:uid="{742C27D2-D695-40CB-AE2D-119D9D228BE8}"/>
    <cellStyle name="Separador de milhares 6 4 35" xfId="20295" xr:uid="{00000000-0005-0000-0000-000066590000}"/>
    <cellStyle name="Separador de milhares 6 4 35 2" xfId="20296" xr:uid="{00000000-0005-0000-0000-000067590000}"/>
    <cellStyle name="Separador de milhares 6 4 35 2 2" xfId="29278" xr:uid="{78484F89-148F-4A66-BE3B-AA54D0A7C007}"/>
    <cellStyle name="Separador de milhares 6 4 35 3" xfId="29277" xr:uid="{93AF7E7E-A9DB-4168-80C4-E738569B7814}"/>
    <cellStyle name="Separador de milhares 6 4 36" xfId="20297" xr:uid="{00000000-0005-0000-0000-000068590000}"/>
    <cellStyle name="Separador de milhares 6 4 36 2" xfId="20298" xr:uid="{00000000-0005-0000-0000-000069590000}"/>
    <cellStyle name="Separador de milhares 6 4 36 2 2" xfId="29280" xr:uid="{F2753030-5447-40E9-A47B-98692CD4DD2D}"/>
    <cellStyle name="Separador de milhares 6 4 36 3" xfId="29279" xr:uid="{27E336E7-B04B-431C-B48B-2B658C1D9F6D}"/>
    <cellStyle name="Separador de milhares 6 4 37" xfId="20299" xr:uid="{00000000-0005-0000-0000-00006A590000}"/>
    <cellStyle name="Separador de milhares 6 4 37 2" xfId="20300" xr:uid="{00000000-0005-0000-0000-00006B590000}"/>
    <cellStyle name="Separador de milhares 6 4 37 2 2" xfId="29282" xr:uid="{4FB83B3F-C67E-4E2F-B60B-F8D4F563BABC}"/>
    <cellStyle name="Separador de milhares 6 4 37 3" xfId="29281" xr:uid="{E81A87FA-A4D6-43D8-BDD1-A42BCFEBB4F2}"/>
    <cellStyle name="Separador de milhares 6 4 38" xfId="20301" xr:uid="{00000000-0005-0000-0000-00006C590000}"/>
    <cellStyle name="Separador de milhares 6 4 38 2" xfId="20302" xr:uid="{00000000-0005-0000-0000-00006D590000}"/>
    <cellStyle name="Separador de milhares 6 4 38 2 2" xfId="29284" xr:uid="{33FABF06-15C9-426E-A190-A53E838E114E}"/>
    <cellStyle name="Separador de milhares 6 4 38 3" xfId="29283" xr:uid="{30CB9123-8A37-4CA8-AF81-7972A12165F5}"/>
    <cellStyle name="Separador de milhares 6 4 39" xfId="20303" xr:uid="{00000000-0005-0000-0000-00006E590000}"/>
    <cellStyle name="Separador de milhares 6 4 39 2" xfId="20304" xr:uid="{00000000-0005-0000-0000-00006F590000}"/>
    <cellStyle name="Separador de milhares 6 4 39 2 2" xfId="29286" xr:uid="{A0DF7B07-79F2-4B79-ADB1-F6EF51F24B5A}"/>
    <cellStyle name="Separador de milhares 6 4 39 3" xfId="29285" xr:uid="{AB447256-36F6-42E7-9386-1155979F6A96}"/>
    <cellStyle name="Separador de milhares 6 4 4" xfId="20305" xr:uid="{00000000-0005-0000-0000-000070590000}"/>
    <cellStyle name="Separador de milhares 6 4 4 2" xfId="20306" xr:uid="{00000000-0005-0000-0000-000071590000}"/>
    <cellStyle name="Separador de milhares 6 4 4 2 2" xfId="20307" xr:uid="{00000000-0005-0000-0000-000072590000}"/>
    <cellStyle name="Separador de milhares 6 4 4 2 2 2" xfId="29288" xr:uid="{1494A275-94D0-425F-AA6F-FC3A9EF1D7BB}"/>
    <cellStyle name="Separador de milhares 6 4 4 2 3" xfId="29287" xr:uid="{01B60AC9-7510-4F9E-99CE-36F85AA56FC3}"/>
    <cellStyle name="Separador de milhares 6 4 4 3" xfId="20308" xr:uid="{00000000-0005-0000-0000-000073590000}"/>
    <cellStyle name="Separador de milhares 6 4 4 3 2" xfId="20309" xr:uid="{00000000-0005-0000-0000-000074590000}"/>
    <cellStyle name="Separador de milhares 6 4 4 3 2 2" xfId="29290" xr:uid="{40B7F1C0-A498-40A0-AA56-4021B2580D27}"/>
    <cellStyle name="Separador de milhares 6 4 4 3 3" xfId="29289" xr:uid="{16DA8F90-D2B7-4A01-A813-2776ADEC1D5C}"/>
    <cellStyle name="Separador de milhares 6 4 4 4" xfId="20310" xr:uid="{00000000-0005-0000-0000-000075590000}"/>
    <cellStyle name="Separador de milhares 6 4 4 4 2" xfId="20311" xr:uid="{00000000-0005-0000-0000-000076590000}"/>
    <cellStyle name="Separador de milhares 6 4 4 4 2 2" xfId="29292" xr:uid="{6949CF9C-3030-4C18-8021-757D57861046}"/>
    <cellStyle name="Separador de milhares 6 4 4 4 3" xfId="29291" xr:uid="{6EBAD3E7-97CF-4E43-B7A3-266FE13E2DB8}"/>
    <cellStyle name="Separador de milhares 6 4 4 5" xfId="20312" xr:uid="{00000000-0005-0000-0000-000077590000}"/>
    <cellStyle name="Separador de milhares 6 4 4 5 2" xfId="20313" xr:uid="{00000000-0005-0000-0000-000078590000}"/>
    <cellStyle name="Separador de milhares 6 4 4 5 2 2" xfId="29294" xr:uid="{122C6E57-9BD7-416E-A937-6447CCFF2BA2}"/>
    <cellStyle name="Separador de milhares 6 4 4 5 3" xfId="29293" xr:uid="{33A30CBD-293C-4CBA-81F7-ED6F1B0D5795}"/>
    <cellStyle name="Separador de milhares 6 4 4 6" xfId="20314" xr:uid="{00000000-0005-0000-0000-000079590000}"/>
    <cellStyle name="Separador de milhares 6 4 4 6 2" xfId="29295" xr:uid="{2DCFCD28-C52E-4B94-9CDB-7CA4C07CE80A}"/>
    <cellStyle name="Separador de milhares 6 4 40" xfId="20315" xr:uid="{00000000-0005-0000-0000-00007A590000}"/>
    <cellStyle name="Separador de milhares 6 4 40 2" xfId="20316" xr:uid="{00000000-0005-0000-0000-00007B590000}"/>
    <cellStyle name="Separador de milhares 6 4 40 2 2" xfId="29297" xr:uid="{112CE5F3-CE98-495E-B91C-65C5B6557107}"/>
    <cellStyle name="Separador de milhares 6 4 40 3" xfId="29296" xr:uid="{D387001E-E93A-47A8-A6FE-8B132066A6E3}"/>
    <cellStyle name="Separador de milhares 6 4 41" xfId="20317" xr:uid="{00000000-0005-0000-0000-00007C590000}"/>
    <cellStyle name="Separador de milhares 6 4 41 2" xfId="20318" xr:uid="{00000000-0005-0000-0000-00007D590000}"/>
    <cellStyle name="Separador de milhares 6 4 41 2 2" xfId="29299" xr:uid="{0830E6AF-5147-4683-83A1-35D95A348B34}"/>
    <cellStyle name="Separador de milhares 6 4 41 3" xfId="29298" xr:uid="{F63F1D7F-CD88-46D7-8E08-80D0E518A21F}"/>
    <cellStyle name="Separador de milhares 6 4 42" xfId="20319" xr:uid="{00000000-0005-0000-0000-00007E590000}"/>
    <cellStyle name="Separador de milhares 6 4 42 2" xfId="20320" xr:uid="{00000000-0005-0000-0000-00007F590000}"/>
    <cellStyle name="Separador de milhares 6 4 42 2 2" xfId="29301" xr:uid="{3D4C7796-90CF-4398-9C5B-E29D69127D81}"/>
    <cellStyle name="Separador de milhares 6 4 42 3" xfId="29300" xr:uid="{BAA28997-4D8B-418B-806C-5B024DD297DD}"/>
    <cellStyle name="Separador de milhares 6 4 43" xfId="20321" xr:uid="{00000000-0005-0000-0000-000080590000}"/>
    <cellStyle name="Separador de milhares 6 4 43 2" xfId="20322" xr:uid="{00000000-0005-0000-0000-000081590000}"/>
    <cellStyle name="Separador de milhares 6 4 43 2 2" xfId="29303" xr:uid="{7EF3F6D9-0286-43DB-AC66-568BBFF5A811}"/>
    <cellStyle name="Separador de milhares 6 4 43 3" xfId="29302" xr:uid="{81602381-DCDE-4EA4-80A2-3318ADCF663F}"/>
    <cellStyle name="Separador de milhares 6 4 44" xfId="20323" xr:uid="{00000000-0005-0000-0000-000082590000}"/>
    <cellStyle name="Separador de milhares 6 4 44 2" xfId="20324" xr:uid="{00000000-0005-0000-0000-000083590000}"/>
    <cellStyle name="Separador de milhares 6 4 44 2 2" xfId="29305" xr:uid="{0D091986-B2E3-4039-9B0E-259370654BBC}"/>
    <cellStyle name="Separador de milhares 6 4 44 3" xfId="29304" xr:uid="{0F831C88-2DE6-4B93-9A70-CD17323AF2A8}"/>
    <cellStyle name="Separador de milhares 6 4 45" xfId="20325" xr:uid="{00000000-0005-0000-0000-000084590000}"/>
    <cellStyle name="Separador de milhares 6 4 45 2" xfId="20326" xr:uid="{00000000-0005-0000-0000-000085590000}"/>
    <cellStyle name="Separador de milhares 6 4 45 2 2" xfId="29307" xr:uid="{D8132CCD-1FD7-4D43-B089-1C9C49919AD3}"/>
    <cellStyle name="Separador de milhares 6 4 45 3" xfId="29306" xr:uid="{E0D9A9D6-D129-47D2-8CCC-FCDBB200F66B}"/>
    <cellStyle name="Separador de milhares 6 4 46" xfId="20327" xr:uid="{00000000-0005-0000-0000-000086590000}"/>
    <cellStyle name="Separador de milhares 6 4 46 2" xfId="29308" xr:uid="{2812E4A4-44E3-41B0-80B4-00B14AB7B993}"/>
    <cellStyle name="Separador de milhares 6 4 47" xfId="20224" xr:uid="{00000000-0005-0000-0000-000087590000}"/>
    <cellStyle name="Separador de milhares 6 4 47 2" xfId="29208" xr:uid="{0095B31D-1EB8-4D6A-B426-B9726C4F497C}"/>
    <cellStyle name="Separador de milhares 6 4 48" xfId="27214" xr:uid="{00000000-0005-0000-0000-000088590000}"/>
    <cellStyle name="Separador de milhares 6 4 48 2" xfId="33056" xr:uid="{B907A6EF-B2DE-4F0C-9707-8FCBA7956A43}"/>
    <cellStyle name="Separador de milhares 6 4 49" xfId="27394" xr:uid="{00000000-0005-0000-0000-000089590000}"/>
    <cellStyle name="Separador de milhares 6 4 49 2" xfId="33231" xr:uid="{E59EF57D-47AC-4615-91D8-95BC6B3F0F17}"/>
    <cellStyle name="Separador de milhares 6 4 5" xfId="20328" xr:uid="{00000000-0005-0000-0000-00008A590000}"/>
    <cellStyle name="Separador de milhares 6 4 5 2" xfId="20329" xr:uid="{00000000-0005-0000-0000-00008B590000}"/>
    <cellStyle name="Separador de milhares 6 4 5 2 2" xfId="29309" xr:uid="{D9C39A34-96BC-4E98-A147-A2E8437C989E}"/>
    <cellStyle name="Separador de milhares 6 4 50" xfId="27572" xr:uid="{00000000-0005-0000-0000-00008C590000}"/>
    <cellStyle name="Separador de milhares 6 4 50 2" xfId="33384" xr:uid="{14D54DF9-2A42-40A0-94D1-D811FAFD0FE9}"/>
    <cellStyle name="Separador de milhares 6 4 51" xfId="27723" xr:uid="{00000000-0005-0000-0000-00008D590000}"/>
    <cellStyle name="Separador de milhares 6 4 51 2" xfId="33534" xr:uid="{BE662EF3-2287-48E4-A2A6-E43371C54791}"/>
    <cellStyle name="Separador de milhares 6 4 52" xfId="28058" xr:uid="{1546CD4E-555A-479F-AA59-9A87313DD59E}"/>
    <cellStyle name="Separador de milhares 6 4 6" xfId="20330" xr:uid="{00000000-0005-0000-0000-00008E590000}"/>
    <cellStyle name="Separador de milhares 6 4 6 2" xfId="20331" xr:uid="{00000000-0005-0000-0000-00008F590000}"/>
    <cellStyle name="Separador de milhares 6 4 6 2 2" xfId="29310" xr:uid="{C69C3FA1-11F4-494B-A2B3-834F4F575321}"/>
    <cellStyle name="Separador de milhares 6 4 7" xfId="20332" xr:uid="{00000000-0005-0000-0000-000090590000}"/>
    <cellStyle name="Separador de milhares 6 4 7 2" xfId="20333" xr:uid="{00000000-0005-0000-0000-000091590000}"/>
    <cellStyle name="Separador de milhares 6 4 7 2 2" xfId="29311" xr:uid="{9FE6F986-2311-4953-B3D5-A33D26FE5FA9}"/>
    <cellStyle name="Separador de milhares 6 4 8" xfId="20334" xr:uid="{00000000-0005-0000-0000-000092590000}"/>
    <cellStyle name="Separador de milhares 6 4 8 2" xfId="20335" xr:uid="{00000000-0005-0000-0000-000093590000}"/>
    <cellStyle name="Separador de milhares 6 4 8 2 2" xfId="29312" xr:uid="{EE2108D9-5D54-4B84-81FD-F4C4D0F22F73}"/>
    <cellStyle name="Separador de milhares 6 4 9" xfId="20336" xr:uid="{00000000-0005-0000-0000-000094590000}"/>
    <cellStyle name="Separador de milhares 6 4 9 2" xfId="20337" xr:uid="{00000000-0005-0000-0000-000095590000}"/>
    <cellStyle name="Separador de milhares 6 4 9 2 2" xfId="29313" xr:uid="{3C2113E2-B6C6-4E69-979D-0307BB6892A9}"/>
    <cellStyle name="Separador de milhares 6 40" xfId="20338" xr:uid="{00000000-0005-0000-0000-000096590000}"/>
    <cellStyle name="Separador de milhares 6 40 2" xfId="20339" xr:uid="{00000000-0005-0000-0000-000097590000}"/>
    <cellStyle name="Separador de milhares 6 40 2 2" xfId="29315" xr:uid="{28C33D33-8973-4CB1-A1F9-C85DBC9549F5}"/>
    <cellStyle name="Separador de milhares 6 40 3" xfId="29314" xr:uid="{A6CAFBA2-5793-4F6F-BAF6-DC690E8B9832}"/>
    <cellStyle name="Separador de milhares 6 41" xfId="20340" xr:uid="{00000000-0005-0000-0000-000098590000}"/>
    <cellStyle name="Separador de milhares 6 41 2" xfId="20341" xr:uid="{00000000-0005-0000-0000-000099590000}"/>
    <cellStyle name="Separador de milhares 6 41 2 2" xfId="29317" xr:uid="{817BF2F7-7572-4AFE-9E80-9638C2781E85}"/>
    <cellStyle name="Separador de milhares 6 41 3" xfId="29316" xr:uid="{664AC3A5-5B22-44A2-97D9-52DC58E4F076}"/>
    <cellStyle name="Separador de milhares 6 42" xfId="20342" xr:uid="{00000000-0005-0000-0000-00009A590000}"/>
    <cellStyle name="Separador de milhares 6 42 2" xfId="20343" xr:uid="{00000000-0005-0000-0000-00009B590000}"/>
    <cellStyle name="Separador de milhares 6 42 2 2" xfId="29319" xr:uid="{F1A4008B-3C2D-4DD0-A5A3-89432987EFDB}"/>
    <cellStyle name="Separador de milhares 6 42 3" xfId="29318" xr:uid="{A0CB9715-697B-4D45-BCFD-F8B017687019}"/>
    <cellStyle name="Separador de milhares 6 43" xfId="20344" xr:uid="{00000000-0005-0000-0000-00009C590000}"/>
    <cellStyle name="Separador de milhares 6 43 2" xfId="20345" xr:uid="{00000000-0005-0000-0000-00009D590000}"/>
    <cellStyle name="Separador de milhares 6 43 2 2" xfId="29321" xr:uid="{1BD7DBA3-F8F0-4E54-B37A-954F6B39A3C6}"/>
    <cellStyle name="Separador de milhares 6 43 3" xfId="29320" xr:uid="{906664BF-49B9-4150-AFDB-E999EB0DC4CE}"/>
    <cellStyle name="Separador de milhares 6 44" xfId="20346" xr:uid="{00000000-0005-0000-0000-00009E590000}"/>
    <cellStyle name="Separador de milhares 6 44 2" xfId="20347" xr:uid="{00000000-0005-0000-0000-00009F590000}"/>
    <cellStyle name="Separador de milhares 6 44 2 2" xfId="29323" xr:uid="{2DC0FFB0-7A83-4F9E-891B-BA1F454F66C5}"/>
    <cellStyle name="Separador de milhares 6 44 3" xfId="29322" xr:uid="{56262A94-13F6-4C4B-A03E-FE01BEB58B79}"/>
    <cellStyle name="Separador de milhares 6 45" xfId="20348" xr:uid="{00000000-0005-0000-0000-0000A0590000}"/>
    <cellStyle name="Separador de milhares 6 45 2" xfId="20349" xr:uid="{00000000-0005-0000-0000-0000A1590000}"/>
    <cellStyle name="Separador de milhares 6 45 2 2" xfId="29325" xr:uid="{426D6F6E-0A40-4544-BC6A-E52AFA7325FD}"/>
    <cellStyle name="Separador de milhares 6 45 3" xfId="29324" xr:uid="{25CE409F-9BDB-49AE-8A79-A11F0B7AB17E}"/>
    <cellStyle name="Separador de milhares 6 46" xfId="20350" xr:uid="{00000000-0005-0000-0000-0000A2590000}"/>
    <cellStyle name="Separador de milhares 6 46 2" xfId="20351" xr:uid="{00000000-0005-0000-0000-0000A3590000}"/>
    <cellStyle name="Separador de milhares 6 46 2 2" xfId="29327" xr:uid="{870660B8-F928-4362-9422-43E78D4AEE55}"/>
    <cellStyle name="Separador de milhares 6 46 3" xfId="29326" xr:uid="{0A6F961D-D44D-4006-B43C-2E4E10E7ED86}"/>
    <cellStyle name="Separador de milhares 6 47" xfId="20352" xr:uid="{00000000-0005-0000-0000-0000A4590000}"/>
    <cellStyle name="Separador de milhares 6 47 2" xfId="20353" xr:uid="{00000000-0005-0000-0000-0000A5590000}"/>
    <cellStyle name="Separador de milhares 6 47 2 2" xfId="29329" xr:uid="{2C37A033-C6A5-4099-9296-CF75610333FF}"/>
    <cellStyle name="Separador de milhares 6 47 3" xfId="29328" xr:uid="{0184E5E3-1044-4F97-A98F-8AF981FD6C67}"/>
    <cellStyle name="Separador de milhares 6 48" xfId="20354" xr:uid="{00000000-0005-0000-0000-0000A6590000}"/>
    <cellStyle name="Separador de milhares 6 48 2" xfId="20355" xr:uid="{00000000-0005-0000-0000-0000A7590000}"/>
    <cellStyle name="Separador de milhares 6 48 2 2" xfId="29331" xr:uid="{C84091F4-214D-4142-8254-5B93E011CA14}"/>
    <cellStyle name="Separador de milhares 6 48 3" xfId="29330" xr:uid="{93050BDD-CCE2-4C4B-B6BD-F48CB9321039}"/>
    <cellStyle name="Separador de milhares 6 49" xfId="20356" xr:uid="{00000000-0005-0000-0000-0000A8590000}"/>
    <cellStyle name="Separador de milhares 6 49 2" xfId="20357" xr:uid="{00000000-0005-0000-0000-0000A9590000}"/>
    <cellStyle name="Separador de milhares 6 49 2 2" xfId="29333" xr:uid="{83806B5D-774C-4712-BCED-54F4E1709407}"/>
    <cellStyle name="Separador de milhares 6 49 3" xfId="29332" xr:uid="{1C8D65A9-9BDB-4176-90E0-29B36F881617}"/>
    <cellStyle name="Separador de milhares 6 5" xfId="827" xr:uid="{00000000-0005-0000-0000-0000AA590000}"/>
    <cellStyle name="Separador de milhares 6 5 10" xfId="20359" xr:uid="{00000000-0005-0000-0000-0000AB590000}"/>
    <cellStyle name="Separador de milhares 6 5 10 2" xfId="20360" xr:uid="{00000000-0005-0000-0000-0000AC590000}"/>
    <cellStyle name="Separador de milhares 6 5 10 2 2" xfId="29336" xr:uid="{E0B16208-61A8-450F-89E4-4C886F626D17}"/>
    <cellStyle name="Separador de milhares 6 5 10 3" xfId="29335" xr:uid="{6CDA7378-E5A7-4173-AC7A-64BF57F354CE}"/>
    <cellStyle name="Separador de milhares 6 5 11" xfId="20361" xr:uid="{00000000-0005-0000-0000-0000AD590000}"/>
    <cellStyle name="Separador de milhares 6 5 11 2" xfId="20362" xr:uid="{00000000-0005-0000-0000-0000AE590000}"/>
    <cellStyle name="Separador de milhares 6 5 11 2 2" xfId="29338" xr:uid="{38A18B76-2533-4910-840E-04F0F4C306F9}"/>
    <cellStyle name="Separador de milhares 6 5 11 3" xfId="29337" xr:uid="{49A82075-1BE4-47B6-BDAB-3F1D7AADCE2D}"/>
    <cellStyle name="Separador de milhares 6 5 12" xfId="20363" xr:uid="{00000000-0005-0000-0000-0000AF590000}"/>
    <cellStyle name="Separador de milhares 6 5 12 2" xfId="20364" xr:uid="{00000000-0005-0000-0000-0000B0590000}"/>
    <cellStyle name="Separador de milhares 6 5 12 2 2" xfId="29340" xr:uid="{D7E66D98-8C0E-4C34-B8B1-3F8564D5EB65}"/>
    <cellStyle name="Separador de milhares 6 5 12 3" xfId="29339" xr:uid="{F7588044-7429-48B7-83C8-1E78D0B77489}"/>
    <cellStyle name="Separador de milhares 6 5 13" xfId="20365" xr:uid="{00000000-0005-0000-0000-0000B1590000}"/>
    <cellStyle name="Separador de milhares 6 5 13 2" xfId="20366" xr:uid="{00000000-0005-0000-0000-0000B2590000}"/>
    <cellStyle name="Separador de milhares 6 5 13 2 2" xfId="29342" xr:uid="{AE6BEC22-988B-4E06-B51C-7DA2058AAA0C}"/>
    <cellStyle name="Separador de milhares 6 5 13 3" xfId="29341" xr:uid="{E9C80473-DC6F-4ACF-B876-DE1DE5155C1F}"/>
    <cellStyle name="Separador de milhares 6 5 14" xfId="20367" xr:uid="{00000000-0005-0000-0000-0000B3590000}"/>
    <cellStyle name="Separador de milhares 6 5 14 2" xfId="20368" xr:uid="{00000000-0005-0000-0000-0000B4590000}"/>
    <cellStyle name="Separador de milhares 6 5 14 2 2" xfId="29344" xr:uid="{56923D5A-482A-49F8-95A2-056BAEB0CBB4}"/>
    <cellStyle name="Separador de milhares 6 5 14 3" xfId="29343" xr:uid="{0A15A679-F2F8-45E8-AC4F-0646DCBC0D3C}"/>
    <cellStyle name="Separador de milhares 6 5 15" xfId="20369" xr:uid="{00000000-0005-0000-0000-0000B5590000}"/>
    <cellStyle name="Separador de milhares 6 5 15 2" xfId="20370" xr:uid="{00000000-0005-0000-0000-0000B6590000}"/>
    <cellStyle name="Separador de milhares 6 5 15 2 2" xfId="29346" xr:uid="{5B0C2BAA-843C-4F22-BBE8-816312FED305}"/>
    <cellStyle name="Separador de milhares 6 5 15 3" xfId="29345" xr:uid="{94BCEDF2-9F4A-43B8-9698-5E18D3AA693A}"/>
    <cellStyle name="Separador de milhares 6 5 16" xfId="20371" xr:uid="{00000000-0005-0000-0000-0000B7590000}"/>
    <cellStyle name="Separador de milhares 6 5 16 2" xfId="20372" xr:uid="{00000000-0005-0000-0000-0000B8590000}"/>
    <cellStyle name="Separador de milhares 6 5 16 2 2" xfId="29348" xr:uid="{10413977-381C-46B0-AFCF-0E00301A905A}"/>
    <cellStyle name="Separador de milhares 6 5 16 3" xfId="29347" xr:uid="{7E6C0EB2-9EA8-4681-9F8D-4301EE52C2B9}"/>
    <cellStyle name="Separador de milhares 6 5 17" xfId="20373" xr:uid="{00000000-0005-0000-0000-0000B9590000}"/>
    <cellStyle name="Separador de milhares 6 5 17 2" xfId="20374" xr:uid="{00000000-0005-0000-0000-0000BA590000}"/>
    <cellStyle name="Separador de milhares 6 5 17 2 2" xfId="29350" xr:uid="{2335FBAB-5904-436E-87BF-CD1CA3B50773}"/>
    <cellStyle name="Separador de milhares 6 5 17 3" xfId="29349" xr:uid="{CC3B8DD4-1F81-4EC3-B397-13B18C61B7E6}"/>
    <cellStyle name="Separador de milhares 6 5 18" xfId="20375" xr:uid="{00000000-0005-0000-0000-0000BB590000}"/>
    <cellStyle name="Separador de milhares 6 5 18 2" xfId="20376" xr:uid="{00000000-0005-0000-0000-0000BC590000}"/>
    <cellStyle name="Separador de milhares 6 5 18 2 2" xfId="29352" xr:uid="{F3E37F0D-F06B-4175-9833-46CBFECFF381}"/>
    <cellStyle name="Separador de milhares 6 5 18 3" xfId="29351" xr:uid="{225284B7-4B9A-4FCE-8F9C-003725BADC36}"/>
    <cellStyle name="Separador de milhares 6 5 19" xfId="20377" xr:uid="{00000000-0005-0000-0000-0000BD590000}"/>
    <cellStyle name="Separador de milhares 6 5 19 2" xfId="20378" xr:uid="{00000000-0005-0000-0000-0000BE590000}"/>
    <cellStyle name="Separador de milhares 6 5 19 2 2" xfId="29354" xr:uid="{1D832862-4B86-4F03-A793-7524768EE8C4}"/>
    <cellStyle name="Separador de milhares 6 5 19 3" xfId="29353" xr:uid="{2DF7CFCA-E258-4602-ADCC-4A34422D4256}"/>
    <cellStyle name="Separador de milhares 6 5 2" xfId="828" xr:uid="{00000000-0005-0000-0000-0000BF590000}"/>
    <cellStyle name="Separador de milhares 6 5 2 2" xfId="20380" xr:uid="{00000000-0005-0000-0000-0000C0590000}"/>
    <cellStyle name="Separador de milhares 6 5 2 2 2" xfId="29356" xr:uid="{91BE887D-35BE-4DA2-8D05-67E3D72A7288}"/>
    <cellStyle name="Separador de milhares 6 5 2 3" xfId="20379" xr:uid="{00000000-0005-0000-0000-0000C1590000}"/>
    <cellStyle name="Separador de milhares 6 5 2 3 2" xfId="29355" xr:uid="{7C6F01C7-9D22-422D-A12D-49772B8522DE}"/>
    <cellStyle name="Separador de milhares 6 5 2 4" xfId="28063" xr:uid="{F5EFC27A-A15A-411E-80E1-7E89556C3542}"/>
    <cellStyle name="Separador de milhares 6 5 20" xfId="20381" xr:uid="{00000000-0005-0000-0000-0000C2590000}"/>
    <cellStyle name="Separador de milhares 6 5 20 2" xfId="20382" xr:uid="{00000000-0005-0000-0000-0000C3590000}"/>
    <cellStyle name="Separador de milhares 6 5 20 2 2" xfId="29358" xr:uid="{59E6427A-B668-4EBD-978B-40989112A38A}"/>
    <cellStyle name="Separador de milhares 6 5 20 3" xfId="29357" xr:uid="{5FCE6880-E62F-471A-8D02-7D571E05C8F8}"/>
    <cellStyle name="Separador de milhares 6 5 21" xfId="20383" xr:uid="{00000000-0005-0000-0000-0000C4590000}"/>
    <cellStyle name="Separador de milhares 6 5 21 2" xfId="20384" xr:uid="{00000000-0005-0000-0000-0000C5590000}"/>
    <cellStyle name="Separador de milhares 6 5 21 2 2" xfId="29360" xr:uid="{8AA17213-8DD6-44C8-B880-D88D4B57C70F}"/>
    <cellStyle name="Separador de milhares 6 5 21 3" xfId="29359" xr:uid="{866E60AC-AE14-4884-9AE1-5FE6F786EB79}"/>
    <cellStyle name="Separador de milhares 6 5 22" xfId="20385" xr:uid="{00000000-0005-0000-0000-0000C6590000}"/>
    <cellStyle name="Separador de milhares 6 5 22 2" xfId="20386" xr:uid="{00000000-0005-0000-0000-0000C7590000}"/>
    <cellStyle name="Separador de milhares 6 5 22 2 2" xfId="29362" xr:uid="{16459E8F-9C71-494D-855A-549B46671D3C}"/>
    <cellStyle name="Separador de milhares 6 5 22 3" xfId="29361" xr:uid="{15E253CE-A595-4865-96B0-B97801F9FCA3}"/>
    <cellStyle name="Separador de milhares 6 5 23" xfId="20387" xr:uid="{00000000-0005-0000-0000-0000C8590000}"/>
    <cellStyle name="Separador de milhares 6 5 23 2" xfId="20388" xr:uid="{00000000-0005-0000-0000-0000C9590000}"/>
    <cellStyle name="Separador de milhares 6 5 23 2 2" xfId="29364" xr:uid="{C1B8B3B7-1E31-4BC0-B267-34F001A4AD8E}"/>
    <cellStyle name="Separador de milhares 6 5 23 3" xfId="29363" xr:uid="{36999EB0-E8BB-48AC-8F1F-D0E787BF24DA}"/>
    <cellStyle name="Separador de milhares 6 5 24" xfId="20389" xr:uid="{00000000-0005-0000-0000-0000CA590000}"/>
    <cellStyle name="Separador de milhares 6 5 24 2" xfId="20390" xr:uid="{00000000-0005-0000-0000-0000CB590000}"/>
    <cellStyle name="Separador de milhares 6 5 24 2 2" xfId="29366" xr:uid="{03420BFB-69D4-472D-B164-805DCD03B4D9}"/>
    <cellStyle name="Separador de milhares 6 5 24 3" xfId="29365" xr:uid="{2B9220AD-D1B2-46B6-9C24-868646B91DB5}"/>
    <cellStyle name="Separador de milhares 6 5 25" xfId="20391" xr:uid="{00000000-0005-0000-0000-0000CC590000}"/>
    <cellStyle name="Separador de milhares 6 5 25 2" xfId="20392" xr:uid="{00000000-0005-0000-0000-0000CD590000}"/>
    <cellStyle name="Separador de milhares 6 5 25 2 2" xfId="29368" xr:uid="{01D5149B-FD05-4344-873F-B2206B6E1B81}"/>
    <cellStyle name="Separador de milhares 6 5 25 3" xfId="29367" xr:uid="{ECA3DBAE-8D60-4892-AFEF-81A475EFC6F1}"/>
    <cellStyle name="Separador de milhares 6 5 26" xfId="20393" xr:uid="{00000000-0005-0000-0000-0000CE590000}"/>
    <cellStyle name="Separador de milhares 6 5 26 2" xfId="20394" xr:uid="{00000000-0005-0000-0000-0000CF590000}"/>
    <cellStyle name="Separador de milhares 6 5 26 2 2" xfId="29370" xr:uid="{01EE5CB6-D3E3-40D9-BB94-C5367D5AE23D}"/>
    <cellStyle name="Separador de milhares 6 5 26 3" xfId="29369" xr:uid="{7F440315-429C-41C5-BDC0-F60516987F35}"/>
    <cellStyle name="Separador de milhares 6 5 27" xfId="20395" xr:uid="{00000000-0005-0000-0000-0000D0590000}"/>
    <cellStyle name="Separador de milhares 6 5 27 2" xfId="20396" xr:uid="{00000000-0005-0000-0000-0000D1590000}"/>
    <cellStyle name="Separador de milhares 6 5 27 2 2" xfId="29372" xr:uid="{2C0AB94B-FC14-42FB-84F2-E13E25B015EE}"/>
    <cellStyle name="Separador de milhares 6 5 27 3" xfId="29371" xr:uid="{305C420E-1594-411E-8C2C-C9A4239EEB01}"/>
    <cellStyle name="Separador de milhares 6 5 28" xfId="20397" xr:uid="{00000000-0005-0000-0000-0000D2590000}"/>
    <cellStyle name="Separador de milhares 6 5 28 2" xfId="20398" xr:uid="{00000000-0005-0000-0000-0000D3590000}"/>
    <cellStyle name="Separador de milhares 6 5 28 2 2" xfId="29374" xr:uid="{DDD31947-B0D1-43F6-A6A8-3D664E093164}"/>
    <cellStyle name="Separador de milhares 6 5 28 3" xfId="29373" xr:uid="{406500CA-D7F0-4DBD-829D-37E6671E4114}"/>
    <cellStyle name="Separador de milhares 6 5 29" xfId="20399" xr:uid="{00000000-0005-0000-0000-0000D4590000}"/>
    <cellStyle name="Separador de milhares 6 5 29 2" xfId="20400" xr:uid="{00000000-0005-0000-0000-0000D5590000}"/>
    <cellStyle name="Separador de milhares 6 5 29 2 2" xfId="29376" xr:uid="{CC82ACF2-BF54-4E3A-B934-A348C7DF2660}"/>
    <cellStyle name="Separador de milhares 6 5 29 3" xfId="29375" xr:uid="{8822C2BA-CE0A-484D-B405-E55637A9DDC1}"/>
    <cellStyle name="Separador de milhares 6 5 3" xfId="20401" xr:uid="{00000000-0005-0000-0000-0000D6590000}"/>
    <cellStyle name="Separador de milhares 6 5 3 2" xfId="20402" xr:uid="{00000000-0005-0000-0000-0000D7590000}"/>
    <cellStyle name="Separador de milhares 6 5 3 2 2" xfId="29378" xr:uid="{D11627B6-ACA6-4809-A958-8BEC002002A4}"/>
    <cellStyle name="Separador de milhares 6 5 3 3" xfId="29377" xr:uid="{E0A945C8-8042-4752-9B00-12A72C5F94AF}"/>
    <cellStyle name="Separador de milhares 6 5 30" xfId="20403" xr:uid="{00000000-0005-0000-0000-0000D8590000}"/>
    <cellStyle name="Separador de milhares 6 5 30 2" xfId="20404" xr:uid="{00000000-0005-0000-0000-0000D9590000}"/>
    <cellStyle name="Separador de milhares 6 5 30 2 2" xfId="29380" xr:uid="{F074FAD0-67D8-4E4B-809D-0FB3514E9B7A}"/>
    <cellStyle name="Separador de milhares 6 5 30 3" xfId="29379" xr:uid="{7D5597A2-B829-41E2-96F6-2655046FD826}"/>
    <cellStyle name="Separador de milhares 6 5 31" xfId="20405" xr:uid="{00000000-0005-0000-0000-0000DA590000}"/>
    <cellStyle name="Separador de milhares 6 5 31 2" xfId="20406" xr:uid="{00000000-0005-0000-0000-0000DB590000}"/>
    <cellStyle name="Separador de milhares 6 5 31 2 2" xfId="29382" xr:uid="{AB9FD384-3110-4763-BC84-71D0BED6208E}"/>
    <cellStyle name="Separador de milhares 6 5 31 3" xfId="29381" xr:uid="{075CE5F9-4C0B-402D-9281-55CF0C64A1B7}"/>
    <cellStyle name="Separador de milhares 6 5 32" xfId="20407" xr:uid="{00000000-0005-0000-0000-0000DC590000}"/>
    <cellStyle name="Separador de milhares 6 5 32 2" xfId="20408" xr:uid="{00000000-0005-0000-0000-0000DD590000}"/>
    <cellStyle name="Separador de milhares 6 5 32 2 2" xfId="29384" xr:uid="{EE0EB385-3DA4-4764-9972-C9F92AB5260F}"/>
    <cellStyle name="Separador de milhares 6 5 32 3" xfId="29383" xr:uid="{D53A56A4-3226-4844-962F-B51BE64120BF}"/>
    <cellStyle name="Separador de milhares 6 5 33" xfId="20409" xr:uid="{00000000-0005-0000-0000-0000DE590000}"/>
    <cellStyle name="Separador de milhares 6 5 33 2" xfId="20410" xr:uid="{00000000-0005-0000-0000-0000DF590000}"/>
    <cellStyle name="Separador de milhares 6 5 33 2 2" xfId="29386" xr:uid="{0568B3CF-F186-4555-A111-E5D2329E711F}"/>
    <cellStyle name="Separador de milhares 6 5 33 3" xfId="29385" xr:uid="{BA5FD15C-3A8D-48B3-A8D6-CE0233FA70C5}"/>
    <cellStyle name="Separador de milhares 6 5 34" xfId="20411" xr:uid="{00000000-0005-0000-0000-0000E0590000}"/>
    <cellStyle name="Separador de milhares 6 5 34 2" xfId="20412" xr:uid="{00000000-0005-0000-0000-0000E1590000}"/>
    <cellStyle name="Separador de milhares 6 5 34 2 2" xfId="29388" xr:uid="{B3DAE632-455B-4404-B65F-D2F2A93D2F7A}"/>
    <cellStyle name="Separador de milhares 6 5 34 3" xfId="29387" xr:uid="{6128FEAF-0ADF-4308-B3E7-C2FEE2BAADCC}"/>
    <cellStyle name="Separador de milhares 6 5 35" xfId="20413" xr:uid="{00000000-0005-0000-0000-0000E2590000}"/>
    <cellStyle name="Separador de milhares 6 5 35 2" xfId="29389" xr:uid="{CFBE2CFE-87C1-4D21-BBD7-C850AE0F99F9}"/>
    <cellStyle name="Separador de milhares 6 5 36" xfId="20358" xr:uid="{00000000-0005-0000-0000-0000E3590000}"/>
    <cellStyle name="Separador de milhares 6 5 36 2" xfId="29334" xr:uid="{C2D6A2D5-7426-46F1-AADC-2AB8918AE612}"/>
    <cellStyle name="Separador de milhares 6 5 37" xfId="27216" xr:uid="{00000000-0005-0000-0000-0000E4590000}"/>
    <cellStyle name="Separador de milhares 6 5 37 2" xfId="33058" xr:uid="{4702E6E9-4464-4578-BE51-0F7968FFFB26}"/>
    <cellStyle name="Separador de milhares 6 5 38" xfId="27396" xr:uid="{00000000-0005-0000-0000-0000E5590000}"/>
    <cellStyle name="Separador de milhares 6 5 38 2" xfId="33233" xr:uid="{D0A69284-A6CF-4E36-9D62-08CE7B8DE6AF}"/>
    <cellStyle name="Separador de milhares 6 5 39" xfId="27574" xr:uid="{00000000-0005-0000-0000-0000E6590000}"/>
    <cellStyle name="Separador de milhares 6 5 39 2" xfId="33386" xr:uid="{4D7DCFB9-69D2-4A45-B32F-A24F7F376EA7}"/>
    <cellStyle name="Separador de milhares 6 5 4" xfId="20414" xr:uid="{00000000-0005-0000-0000-0000E7590000}"/>
    <cellStyle name="Separador de milhares 6 5 4 2" xfId="20415" xr:uid="{00000000-0005-0000-0000-0000E8590000}"/>
    <cellStyle name="Separador de milhares 6 5 4 2 2" xfId="29391" xr:uid="{29668A0F-D165-4A5C-BB32-2F30ECA9D3C9}"/>
    <cellStyle name="Separador de milhares 6 5 4 3" xfId="29390" xr:uid="{867D6EBC-B378-421E-8F4E-8B25BDBC62AA}"/>
    <cellStyle name="Separador de milhares 6 5 40" xfId="27725" xr:uid="{00000000-0005-0000-0000-0000E9590000}"/>
    <cellStyle name="Separador de milhares 6 5 40 2" xfId="33536" xr:uid="{3C45682B-6C79-4F94-9F1F-F7CE6C1510AE}"/>
    <cellStyle name="Separador de milhares 6 5 41" xfId="28062" xr:uid="{DFDD5C1D-4074-4C3F-B389-2758EC7748C0}"/>
    <cellStyle name="Separador de milhares 6 5 5" xfId="20416" xr:uid="{00000000-0005-0000-0000-0000EA590000}"/>
    <cellStyle name="Separador de milhares 6 5 5 2" xfId="20417" xr:uid="{00000000-0005-0000-0000-0000EB590000}"/>
    <cellStyle name="Separador de milhares 6 5 5 2 2" xfId="29393" xr:uid="{6CD7B52F-ED53-45C5-8B42-E285BB6521C5}"/>
    <cellStyle name="Separador de milhares 6 5 5 3" xfId="29392" xr:uid="{04C513B5-E849-4AF0-8E61-0FDB03D32E77}"/>
    <cellStyle name="Separador de milhares 6 5 6" xfId="20418" xr:uid="{00000000-0005-0000-0000-0000EC590000}"/>
    <cellStyle name="Separador de milhares 6 5 6 2" xfId="20419" xr:uid="{00000000-0005-0000-0000-0000ED590000}"/>
    <cellStyle name="Separador de milhares 6 5 6 2 2" xfId="29395" xr:uid="{87392B0E-58F5-40AD-BD7A-098EA5CF4FAF}"/>
    <cellStyle name="Separador de milhares 6 5 6 3" xfId="29394" xr:uid="{56109A97-E332-428F-9AF4-281D84DB82F2}"/>
    <cellStyle name="Separador de milhares 6 5 7" xfId="20420" xr:uid="{00000000-0005-0000-0000-0000EE590000}"/>
    <cellStyle name="Separador de milhares 6 5 7 2" xfId="20421" xr:uid="{00000000-0005-0000-0000-0000EF590000}"/>
    <cellStyle name="Separador de milhares 6 5 7 2 2" xfId="29397" xr:uid="{5A349D56-417B-428D-B678-23FEFADB62E6}"/>
    <cellStyle name="Separador de milhares 6 5 7 3" xfId="29396" xr:uid="{9285C094-6D4B-4E8F-A0B3-A1F5AA46D328}"/>
    <cellStyle name="Separador de milhares 6 5 8" xfId="20422" xr:uid="{00000000-0005-0000-0000-0000F0590000}"/>
    <cellStyle name="Separador de milhares 6 5 8 2" xfId="20423" xr:uid="{00000000-0005-0000-0000-0000F1590000}"/>
    <cellStyle name="Separador de milhares 6 5 8 2 2" xfId="29399" xr:uid="{E94CC990-E735-4314-A062-21652CD8145A}"/>
    <cellStyle name="Separador de milhares 6 5 8 3" xfId="29398" xr:uid="{FB893F05-5BD6-4CE4-8697-6E7C4E7D9717}"/>
    <cellStyle name="Separador de milhares 6 5 9" xfId="20424" xr:uid="{00000000-0005-0000-0000-0000F2590000}"/>
    <cellStyle name="Separador de milhares 6 5 9 2" xfId="20425" xr:uid="{00000000-0005-0000-0000-0000F3590000}"/>
    <cellStyle name="Separador de milhares 6 5 9 2 2" xfId="29401" xr:uid="{056FBB87-4BAC-4C07-9643-39EFFCD58B3C}"/>
    <cellStyle name="Separador de milhares 6 5 9 3" xfId="29400" xr:uid="{4AD31A71-8876-4B98-809A-850019728FC9}"/>
    <cellStyle name="Separador de milhares 6 50" xfId="20426" xr:uid="{00000000-0005-0000-0000-0000F4590000}"/>
    <cellStyle name="Separador de milhares 6 50 2" xfId="20427" xr:uid="{00000000-0005-0000-0000-0000F5590000}"/>
    <cellStyle name="Separador de milhares 6 50 2 2" xfId="29403" xr:uid="{5FFCAF07-9987-41AA-AC1D-578FB4F2FB1C}"/>
    <cellStyle name="Separador de milhares 6 50 3" xfId="29402" xr:uid="{FBB173F3-6806-4249-870A-5EE3C2CC9392}"/>
    <cellStyle name="Separador de milhares 6 51" xfId="20428" xr:uid="{00000000-0005-0000-0000-0000F6590000}"/>
    <cellStyle name="Separador de milhares 6 51 2" xfId="29404" xr:uid="{6330349A-A584-4470-97C0-E3BAF96F0774}"/>
    <cellStyle name="Separador de milhares 6 52" xfId="27201" xr:uid="{00000000-0005-0000-0000-0000F7590000}"/>
    <cellStyle name="Separador de milhares 6 52 2" xfId="33043" xr:uid="{C6B8E182-F670-4492-BF0D-8D0C6CD1E42A}"/>
    <cellStyle name="Separador de milhares 6 53" xfId="27381" xr:uid="{00000000-0005-0000-0000-0000F8590000}"/>
    <cellStyle name="Separador de milhares 6 53 2" xfId="33218" xr:uid="{B2723EC4-838D-4931-9609-BA5119897E09}"/>
    <cellStyle name="Separador de milhares 6 54" xfId="27559" xr:uid="{00000000-0005-0000-0000-0000F9590000}"/>
    <cellStyle name="Separador de milhares 6 54 2" xfId="33371" xr:uid="{C79ACEB7-2239-4AD0-9D3C-47BCB658985A}"/>
    <cellStyle name="Separador de milhares 6 55" xfId="27710" xr:uid="{00000000-0005-0000-0000-0000FA590000}"/>
    <cellStyle name="Separador de milhares 6 55 2" xfId="33521" xr:uid="{889450FB-C256-47C3-8B94-FE2BED844DBD}"/>
    <cellStyle name="Separador de milhares 6 56" xfId="28041" xr:uid="{34CDB2EF-C2BC-4C0C-8B4C-9DDCCEF54709}"/>
    <cellStyle name="Separador de milhares 6 6" xfId="829" xr:uid="{00000000-0005-0000-0000-0000FB590000}"/>
    <cellStyle name="Separador de milhares 6 6 10" xfId="27492" xr:uid="{00000000-0005-0000-0000-0000FC590000}"/>
    <cellStyle name="Separador de milhares 6 6 10 2" xfId="33329" xr:uid="{89F5345B-93FC-4838-AF0C-38F8CFA0D5CE}"/>
    <cellStyle name="Separador de milhares 6 6 11" xfId="27661" xr:uid="{00000000-0005-0000-0000-0000FD590000}"/>
    <cellStyle name="Separador de milhares 6 6 11 2" xfId="33472" xr:uid="{239AE2F4-B7B1-4CB6-B7CE-1B7A302D90DD}"/>
    <cellStyle name="Separador de milhares 6 6 12" xfId="27818" xr:uid="{00000000-0005-0000-0000-0000FE590000}"/>
    <cellStyle name="Separador de milhares 6 6 12 2" xfId="33629" xr:uid="{BB80AC0F-F973-4A2B-BD5C-729A8487D7E8}"/>
    <cellStyle name="Separador de milhares 6 6 2" xfId="20430" xr:uid="{00000000-0005-0000-0000-0000FF590000}"/>
    <cellStyle name="Separador de milhares 6 6 2 2" xfId="20431" xr:uid="{00000000-0005-0000-0000-0000005A0000}"/>
    <cellStyle name="Separador de milhares 6 6 2 2 2" xfId="29406" xr:uid="{7DED41FC-A181-4BBF-B851-D47AF17870C7}"/>
    <cellStyle name="Separador de milhares 6 6 2 3" xfId="29405" xr:uid="{38508870-FA70-432A-A492-DD50B4DBABCB}"/>
    <cellStyle name="Separador de milhares 6 6 3" xfId="20432" xr:uid="{00000000-0005-0000-0000-0000015A0000}"/>
    <cellStyle name="Separador de milhares 6 6 3 2" xfId="20433" xr:uid="{00000000-0005-0000-0000-0000025A0000}"/>
    <cellStyle name="Separador de milhares 6 6 3 2 2" xfId="29408" xr:uid="{03684F56-AE16-495B-A2A1-5496F278C11E}"/>
    <cellStyle name="Separador de milhares 6 6 3 3" xfId="29407" xr:uid="{3E9F664D-72A6-4ECC-9A5E-799AECC770D2}"/>
    <cellStyle name="Separador de milhares 6 6 4" xfId="20434" xr:uid="{00000000-0005-0000-0000-0000035A0000}"/>
    <cellStyle name="Separador de milhares 6 6 4 2" xfId="20435" xr:uid="{00000000-0005-0000-0000-0000045A0000}"/>
    <cellStyle name="Separador de milhares 6 6 4 2 2" xfId="29410" xr:uid="{795CF630-12CB-4CDA-9F76-6D004567B5E3}"/>
    <cellStyle name="Separador de milhares 6 6 4 3" xfId="29409" xr:uid="{D878AC68-7DBB-40FE-BC8E-924996034096}"/>
    <cellStyle name="Separador de milhares 6 6 5" xfId="20436" xr:uid="{00000000-0005-0000-0000-0000055A0000}"/>
    <cellStyle name="Separador de milhares 6 6 5 2" xfId="20437" xr:uid="{00000000-0005-0000-0000-0000065A0000}"/>
    <cellStyle name="Separador de milhares 6 6 5 2 2" xfId="29412" xr:uid="{BF22795B-5984-4A48-B794-174FC264A0D1}"/>
    <cellStyle name="Separador de milhares 6 6 5 3" xfId="29411" xr:uid="{86BECBDD-E83C-43A9-93AD-D92C3DAA8277}"/>
    <cellStyle name="Separador de milhares 6 6 6" xfId="20438" xr:uid="{00000000-0005-0000-0000-0000075A0000}"/>
    <cellStyle name="Separador de milhares 6 6 6 2" xfId="29413" xr:uid="{6B676D32-38A2-4359-AFB6-A66E1A1DF2D4}"/>
    <cellStyle name="Separador de milhares 6 6 7" xfId="20429" xr:uid="{00000000-0005-0000-0000-0000085A0000}"/>
    <cellStyle name="Separador de milhares 6 6 8" xfId="27133" xr:uid="{00000000-0005-0000-0000-0000095A0000}"/>
    <cellStyle name="Separador de milhares 6 6 8 2" xfId="32992" xr:uid="{01B5D97D-D6F4-4EAC-A576-FADA82DCD748}"/>
    <cellStyle name="Separador de milhares 6 6 9" xfId="27321" xr:uid="{00000000-0005-0000-0000-00000A5A0000}"/>
    <cellStyle name="Separador de milhares 6 6 9 2" xfId="33158" xr:uid="{332000A1-5292-487F-9E3A-3B86B719EEDC}"/>
    <cellStyle name="Separador de milhares 6 7" xfId="830" xr:uid="{00000000-0005-0000-0000-00000B5A0000}"/>
    <cellStyle name="Separador de milhares 6 7 2" xfId="20440" xr:uid="{00000000-0005-0000-0000-00000C5A0000}"/>
    <cellStyle name="Separador de milhares 6 7 2 2" xfId="20441" xr:uid="{00000000-0005-0000-0000-00000D5A0000}"/>
    <cellStyle name="Separador de milhares 6 7 2 2 2" xfId="29415" xr:uid="{DD20BBE9-4379-4689-8475-3B2E9D5FB9EF}"/>
    <cellStyle name="Separador de milhares 6 7 2 3" xfId="29414" xr:uid="{7392CFC6-FAB3-48C4-A954-DBEA7841CA07}"/>
    <cellStyle name="Separador de milhares 6 7 3" xfId="20442" xr:uid="{00000000-0005-0000-0000-00000E5A0000}"/>
    <cellStyle name="Separador de milhares 6 7 3 2" xfId="20443" xr:uid="{00000000-0005-0000-0000-00000F5A0000}"/>
    <cellStyle name="Separador de milhares 6 7 3 2 2" xfId="29417" xr:uid="{9C5497B4-93CD-4353-B1BF-AAAF9855B5CE}"/>
    <cellStyle name="Separador de milhares 6 7 3 3" xfId="29416" xr:uid="{BAF44E20-6B1E-4DE1-8A67-D44C76A4812F}"/>
    <cellStyle name="Separador de milhares 6 7 4" xfId="20444" xr:uid="{00000000-0005-0000-0000-0000105A0000}"/>
    <cellStyle name="Separador de milhares 6 7 4 2" xfId="20445" xr:uid="{00000000-0005-0000-0000-0000115A0000}"/>
    <cellStyle name="Separador de milhares 6 7 4 2 2" xfId="29419" xr:uid="{FA3F4835-4188-46CC-8124-6BC6B9380A24}"/>
    <cellStyle name="Separador de milhares 6 7 4 3" xfId="29418" xr:uid="{873BC447-35D0-4B3C-9D76-D0F8D976C868}"/>
    <cellStyle name="Separador de milhares 6 7 5" xfId="20446" xr:uid="{00000000-0005-0000-0000-0000125A0000}"/>
    <cellStyle name="Separador de milhares 6 7 5 2" xfId="20447" xr:uid="{00000000-0005-0000-0000-0000135A0000}"/>
    <cellStyle name="Separador de milhares 6 7 5 2 2" xfId="29421" xr:uid="{70444E87-04B8-4783-8659-82BF14A135E9}"/>
    <cellStyle name="Separador de milhares 6 7 5 3" xfId="29420" xr:uid="{31DE0F68-8D7E-47F1-AAF6-880674FB5457}"/>
    <cellStyle name="Separador de milhares 6 7 6" xfId="20448" xr:uid="{00000000-0005-0000-0000-0000145A0000}"/>
    <cellStyle name="Separador de milhares 6 7 6 2" xfId="29422" xr:uid="{6373E685-11B9-4CAF-895C-B369191E226A}"/>
    <cellStyle name="Separador de milhares 6 7 7" xfId="20439" xr:uid="{00000000-0005-0000-0000-0000155A0000}"/>
    <cellStyle name="Separador de milhares 6 7 8" xfId="28064" xr:uid="{99515598-53BD-44A9-AD24-DC61B373852F}"/>
    <cellStyle name="Separador de milhares 6 8" xfId="831" xr:uid="{00000000-0005-0000-0000-0000165A0000}"/>
    <cellStyle name="Separador de milhares 6 8 2" xfId="20450" xr:uid="{00000000-0005-0000-0000-0000175A0000}"/>
    <cellStyle name="Separador de milhares 6 8 2 2" xfId="29423" xr:uid="{54B09A52-A561-4223-86D9-0388341481A2}"/>
    <cellStyle name="Separador de milhares 6 8 3" xfId="20449" xr:uid="{00000000-0005-0000-0000-0000185A0000}"/>
    <cellStyle name="Separador de milhares 6 8 4" xfId="28065" xr:uid="{71755B3B-654C-45C4-86E9-9123CA9EAF92}"/>
    <cellStyle name="Separador de milhares 6 9" xfId="20451" xr:uid="{00000000-0005-0000-0000-0000195A0000}"/>
    <cellStyle name="Separador de milhares 6 9 2" xfId="20452" xr:uid="{00000000-0005-0000-0000-00001A5A0000}"/>
    <cellStyle name="Separador de milhares 6 9 3" xfId="20453" xr:uid="{00000000-0005-0000-0000-00001B5A0000}"/>
    <cellStyle name="Separador de milhares 6 9 4" xfId="20454" xr:uid="{00000000-0005-0000-0000-00001C5A0000}"/>
    <cellStyle name="Separador de milhares 60" xfId="20455" xr:uid="{00000000-0005-0000-0000-00001D5A0000}"/>
    <cellStyle name="Separador de milhares 60 2" xfId="20456" xr:uid="{00000000-0005-0000-0000-00001E5A0000}"/>
    <cellStyle name="Separador de milhares 60 2 2" xfId="29425" xr:uid="{9EEF0E2C-9EEC-4F05-A813-F8BBE47EEE5A}"/>
    <cellStyle name="Separador de milhares 60 3" xfId="29424" xr:uid="{3841F82F-1331-467F-9B83-4BEBE4BC4D0D}"/>
    <cellStyle name="Separador de milhares 61" xfId="20457" xr:uid="{00000000-0005-0000-0000-00001F5A0000}"/>
    <cellStyle name="Separador de milhares 61 2" xfId="29426" xr:uid="{ED8BBF5B-76CF-4B60-9AEB-448B77D8FF4A}"/>
    <cellStyle name="Separador de milhares 62" xfId="20458" xr:uid="{00000000-0005-0000-0000-0000205A0000}"/>
    <cellStyle name="Separador de milhares 62 2" xfId="29427" xr:uid="{33715A31-5D69-4103-9A66-B9E4C98E9F86}"/>
    <cellStyle name="Separador de milhares 63" xfId="20459" xr:uid="{00000000-0005-0000-0000-0000215A0000}"/>
    <cellStyle name="Separador de milhares 63 2" xfId="29428" xr:uid="{480E2F2C-1026-47DE-B0A9-A7E2950D4F07}"/>
    <cellStyle name="Separador de milhares 64" xfId="20460" xr:uid="{00000000-0005-0000-0000-0000225A0000}"/>
    <cellStyle name="Separador de milhares 64 2" xfId="29429" xr:uid="{C3FAC15D-E0F5-4BFD-B06D-32E8BE3AE23C}"/>
    <cellStyle name="Separador de milhares 65" xfId="20461" xr:uid="{00000000-0005-0000-0000-0000235A0000}"/>
    <cellStyle name="Separador de milhares 65 2" xfId="29430" xr:uid="{CB04BA93-687B-4568-A9FF-B51FB710C7CF}"/>
    <cellStyle name="Separador de milhares 66" xfId="20462" xr:uid="{00000000-0005-0000-0000-0000245A0000}"/>
    <cellStyle name="Separador de milhares 66 2" xfId="29431" xr:uid="{1C9D2418-B853-401D-B129-867D1D34D5DA}"/>
    <cellStyle name="Separador de milhares 67" xfId="20463" xr:uid="{00000000-0005-0000-0000-0000255A0000}"/>
    <cellStyle name="Separador de milhares 67 2" xfId="29432" xr:uid="{444D2014-8786-4E7E-90C1-68F5FDE6042E}"/>
    <cellStyle name="Separador de milhares 68" xfId="20464" xr:uid="{00000000-0005-0000-0000-0000265A0000}"/>
    <cellStyle name="Separador de milhares 68 2" xfId="29433" xr:uid="{44287349-9048-4B86-A697-89EC8F7DC7DF}"/>
    <cellStyle name="Separador de milhares 69" xfId="20465" xr:uid="{00000000-0005-0000-0000-0000275A0000}"/>
    <cellStyle name="Separador de milhares 69 2" xfId="29434" xr:uid="{468F4977-8244-443B-9C99-4A0BB61ABAD6}"/>
    <cellStyle name="Separador de milhares 7" xfId="832" xr:uid="{00000000-0005-0000-0000-0000285A0000}"/>
    <cellStyle name="Separador de milhares 7 10" xfId="20466" xr:uid="{00000000-0005-0000-0000-0000295A0000}"/>
    <cellStyle name="Separador de milhares 7 10 10" xfId="20467" xr:uid="{00000000-0005-0000-0000-00002A5A0000}"/>
    <cellStyle name="Separador de milhares 7 10 11" xfId="20468" xr:uid="{00000000-0005-0000-0000-00002B5A0000}"/>
    <cellStyle name="Separador de milhares 7 10 12" xfId="20469" xr:uid="{00000000-0005-0000-0000-00002C5A0000}"/>
    <cellStyle name="Separador de milhares 7 10 13" xfId="20470" xr:uid="{00000000-0005-0000-0000-00002D5A0000}"/>
    <cellStyle name="Separador de milhares 7 10 14" xfId="20471" xr:uid="{00000000-0005-0000-0000-00002E5A0000}"/>
    <cellStyle name="Separador de milhares 7 10 15" xfId="20472" xr:uid="{00000000-0005-0000-0000-00002F5A0000}"/>
    <cellStyle name="Separador de milhares 7 10 16" xfId="20473" xr:uid="{00000000-0005-0000-0000-0000305A0000}"/>
    <cellStyle name="Separador de milhares 7 10 17" xfId="20474" xr:uid="{00000000-0005-0000-0000-0000315A0000}"/>
    <cellStyle name="Separador de milhares 7 10 18" xfId="20475" xr:uid="{00000000-0005-0000-0000-0000325A0000}"/>
    <cellStyle name="Separador de milhares 7 10 19" xfId="20476" xr:uid="{00000000-0005-0000-0000-0000335A0000}"/>
    <cellStyle name="Separador de milhares 7 10 2" xfId="20477" xr:uid="{00000000-0005-0000-0000-0000345A0000}"/>
    <cellStyle name="Separador de milhares 7 10 2 10" xfId="20478" xr:uid="{00000000-0005-0000-0000-0000355A0000}"/>
    <cellStyle name="Separador de milhares 7 10 2 11" xfId="20479" xr:uid="{00000000-0005-0000-0000-0000365A0000}"/>
    <cellStyle name="Separador de milhares 7 10 2 12" xfId="20480" xr:uid="{00000000-0005-0000-0000-0000375A0000}"/>
    <cellStyle name="Separador de milhares 7 10 2 13" xfId="20481" xr:uid="{00000000-0005-0000-0000-0000385A0000}"/>
    <cellStyle name="Separador de milhares 7 10 2 14" xfId="20482" xr:uid="{00000000-0005-0000-0000-0000395A0000}"/>
    <cellStyle name="Separador de milhares 7 10 2 15" xfId="20483" xr:uid="{00000000-0005-0000-0000-00003A5A0000}"/>
    <cellStyle name="Separador de milhares 7 10 2 16" xfId="20484" xr:uid="{00000000-0005-0000-0000-00003B5A0000}"/>
    <cellStyle name="Separador de milhares 7 10 2 17" xfId="20485" xr:uid="{00000000-0005-0000-0000-00003C5A0000}"/>
    <cellStyle name="Separador de milhares 7 10 2 18" xfId="20486" xr:uid="{00000000-0005-0000-0000-00003D5A0000}"/>
    <cellStyle name="Separador de milhares 7 10 2 19" xfId="20487" xr:uid="{00000000-0005-0000-0000-00003E5A0000}"/>
    <cellStyle name="Separador de milhares 7 10 2 2" xfId="20488" xr:uid="{00000000-0005-0000-0000-00003F5A0000}"/>
    <cellStyle name="Separador de milhares 7 10 2 20" xfId="20489" xr:uid="{00000000-0005-0000-0000-0000405A0000}"/>
    <cellStyle name="Separador de milhares 7 10 2 21" xfId="20490" xr:uid="{00000000-0005-0000-0000-0000415A0000}"/>
    <cellStyle name="Separador de milhares 7 10 2 3" xfId="20491" xr:uid="{00000000-0005-0000-0000-0000425A0000}"/>
    <cellStyle name="Separador de milhares 7 10 2 4" xfId="20492" xr:uid="{00000000-0005-0000-0000-0000435A0000}"/>
    <cellStyle name="Separador de milhares 7 10 2 5" xfId="20493" xr:uid="{00000000-0005-0000-0000-0000445A0000}"/>
    <cellStyle name="Separador de milhares 7 10 2 6" xfId="20494" xr:uid="{00000000-0005-0000-0000-0000455A0000}"/>
    <cellStyle name="Separador de milhares 7 10 2 7" xfId="20495" xr:uid="{00000000-0005-0000-0000-0000465A0000}"/>
    <cellStyle name="Separador de milhares 7 10 2 8" xfId="20496" xr:uid="{00000000-0005-0000-0000-0000475A0000}"/>
    <cellStyle name="Separador de milhares 7 10 2 9" xfId="20497" xr:uid="{00000000-0005-0000-0000-0000485A0000}"/>
    <cellStyle name="Separador de milhares 7 10 20" xfId="20498" xr:uid="{00000000-0005-0000-0000-0000495A0000}"/>
    <cellStyle name="Separador de milhares 7 10 21" xfId="20499" xr:uid="{00000000-0005-0000-0000-00004A5A0000}"/>
    <cellStyle name="Separador de milhares 7 10 22" xfId="20500" xr:uid="{00000000-0005-0000-0000-00004B5A0000}"/>
    <cellStyle name="Separador de milhares 7 10 23" xfId="20501" xr:uid="{00000000-0005-0000-0000-00004C5A0000}"/>
    <cellStyle name="Separador de milhares 7 10 24" xfId="20502" xr:uid="{00000000-0005-0000-0000-00004D5A0000}"/>
    <cellStyle name="Separador de milhares 7 10 25" xfId="20503" xr:uid="{00000000-0005-0000-0000-00004E5A0000}"/>
    <cellStyle name="Separador de milhares 7 10 26" xfId="20504" xr:uid="{00000000-0005-0000-0000-00004F5A0000}"/>
    <cellStyle name="Separador de milhares 7 10 27" xfId="20505" xr:uid="{00000000-0005-0000-0000-0000505A0000}"/>
    <cellStyle name="Separador de milhares 7 10 28" xfId="20506" xr:uid="{00000000-0005-0000-0000-0000515A0000}"/>
    <cellStyle name="Separador de milhares 7 10 29" xfId="20507" xr:uid="{00000000-0005-0000-0000-0000525A0000}"/>
    <cellStyle name="Separador de milhares 7 10 3" xfId="20508" xr:uid="{00000000-0005-0000-0000-0000535A0000}"/>
    <cellStyle name="Separador de milhares 7 10 3 2" xfId="20509" xr:uid="{00000000-0005-0000-0000-0000545A0000}"/>
    <cellStyle name="Separador de milhares 7 10 3 2 2" xfId="29435" xr:uid="{2725B09A-698A-4020-A268-B309B4B8979A}"/>
    <cellStyle name="Separador de milhares 7 10 30" xfId="20510" xr:uid="{00000000-0005-0000-0000-0000555A0000}"/>
    <cellStyle name="Separador de milhares 7 10 31" xfId="20511" xr:uid="{00000000-0005-0000-0000-0000565A0000}"/>
    <cellStyle name="Separador de milhares 7 10 32" xfId="20512" xr:uid="{00000000-0005-0000-0000-0000575A0000}"/>
    <cellStyle name="Separador de milhares 7 10 33" xfId="20513" xr:uid="{00000000-0005-0000-0000-0000585A0000}"/>
    <cellStyle name="Separador de milhares 7 10 34" xfId="20514" xr:uid="{00000000-0005-0000-0000-0000595A0000}"/>
    <cellStyle name="Separador de milhares 7 10 4" xfId="20515" xr:uid="{00000000-0005-0000-0000-00005A5A0000}"/>
    <cellStyle name="Separador de milhares 7 10 4 2" xfId="20516" xr:uid="{00000000-0005-0000-0000-00005B5A0000}"/>
    <cellStyle name="Separador de milhares 7 10 4 3" xfId="20517" xr:uid="{00000000-0005-0000-0000-00005C5A0000}"/>
    <cellStyle name="Separador de milhares 7 10 4 4" xfId="20518" xr:uid="{00000000-0005-0000-0000-00005D5A0000}"/>
    <cellStyle name="Separador de milhares 7 10 5" xfId="20519" xr:uid="{00000000-0005-0000-0000-00005E5A0000}"/>
    <cellStyle name="Separador de milhares 7 10 5 2" xfId="20520" xr:uid="{00000000-0005-0000-0000-00005F5A0000}"/>
    <cellStyle name="Separador de milhares 7 10 5 2 2" xfId="29436" xr:uid="{EB8BF208-F92C-4BCB-AD0F-77A48FE8FA26}"/>
    <cellStyle name="Separador de milhares 7 10 6" xfId="20521" xr:uid="{00000000-0005-0000-0000-0000605A0000}"/>
    <cellStyle name="Separador de milhares 7 10 7" xfId="20522" xr:uid="{00000000-0005-0000-0000-0000615A0000}"/>
    <cellStyle name="Separador de milhares 7 10 8" xfId="20523" xr:uid="{00000000-0005-0000-0000-0000625A0000}"/>
    <cellStyle name="Separador de milhares 7 10 9" xfId="20524" xr:uid="{00000000-0005-0000-0000-0000635A0000}"/>
    <cellStyle name="Separador de milhares 7 11" xfId="20525" xr:uid="{00000000-0005-0000-0000-0000645A0000}"/>
    <cellStyle name="Separador de milhares 7 11 2" xfId="20526" xr:uid="{00000000-0005-0000-0000-0000655A0000}"/>
    <cellStyle name="Separador de milhares 7 11 2 2" xfId="29437" xr:uid="{675EB84E-E9E5-427C-B096-FEA0C86F86CD}"/>
    <cellStyle name="Separador de milhares 7 12" xfId="20527" xr:uid="{00000000-0005-0000-0000-0000665A0000}"/>
    <cellStyle name="Separador de milhares 7 12 2" xfId="20528" xr:uid="{00000000-0005-0000-0000-0000675A0000}"/>
    <cellStyle name="Separador de milhares 7 12 2 2" xfId="29438" xr:uid="{344E0332-0E24-42CB-A711-21FB8730ABCA}"/>
    <cellStyle name="Separador de milhares 7 13" xfId="20529" xr:uid="{00000000-0005-0000-0000-0000685A0000}"/>
    <cellStyle name="Separador de milhares 7 13 2" xfId="20530" xr:uid="{00000000-0005-0000-0000-0000695A0000}"/>
    <cellStyle name="Separador de milhares 7 13 2 2" xfId="29439" xr:uid="{255F399E-7EB5-49D0-A497-BA2915176977}"/>
    <cellStyle name="Separador de milhares 7 14" xfId="20531" xr:uid="{00000000-0005-0000-0000-00006A5A0000}"/>
    <cellStyle name="Separador de milhares 7 14 2" xfId="20532" xr:uid="{00000000-0005-0000-0000-00006B5A0000}"/>
    <cellStyle name="Separador de milhares 7 14 2 2" xfId="29440" xr:uid="{DBC6BDA0-A8AA-49BE-92D5-C7CE6F815913}"/>
    <cellStyle name="Separador de milhares 7 15" xfId="20533" xr:uid="{00000000-0005-0000-0000-00006C5A0000}"/>
    <cellStyle name="Separador de milhares 7 15 2" xfId="20534" xr:uid="{00000000-0005-0000-0000-00006D5A0000}"/>
    <cellStyle name="Separador de milhares 7 15 2 2" xfId="29441" xr:uid="{50406CFB-4850-4B1A-93BC-9A8F5B071CD8}"/>
    <cellStyle name="Separador de milhares 7 16" xfId="20535" xr:uid="{00000000-0005-0000-0000-00006E5A0000}"/>
    <cellStyle name="Separador de milhares 7 16 2" xfId="20536" xr:uid="{00000000-0005-0000-0000-00006F5A0000}"/>
    <cellStyle name="Separador de milhares 7 16 2 2" xfId="29442" xr:uid="{9CC3FF11-7810-4544-9FA7-17E488D4154D}"/>
    <cellStyle name="Separador de milhares 7 17" xfId="20537" xr:uid="{00000000-0005-0000-0000-0000705A0000}"/>
    <cellStyle name="Separador de milhares 7 17 2" xfId="20538" xr:uid="{00000000-0005-0000-0000-0000715A0000}"/>
    <cellStyle name="Separador de milhares 7 17 2 2" xfId="29443" xr:uid="{EB2B8133-1467-429F-9BD4-0213D7A2A9DA}"/>
    <cellStyle name="Separador de milhares 7 18" xfId="20539" xr:uid="{00000000-0005-0000-0000-0000725A0000}"/>
    <cellStyle name="Separador de milhares 7 18 2" xfId="20540" xr:uid="{00000000-0005-0000-0000-0000735A0000}"/>
    <cellStyle name="Separador de milhares 7 18 2 2" xfId="29444" xr:uid="{5E1A3692-B8A2-44E2-982F-E4E33C6BA456}"/>
    <cellStyle name="Separador de milhares 7 19" xfId="20541" xr:uid="{00000000-0005-0000-0000-0000745A0000}"/>
    <cellStyle name="Separador de milhares 7 19 2" xfId="20542" xr:uid="{00000000-0005-0000-0000-0000755A0000}"/>
    <cellStyle name="Separador de milhares 7 19 2 2" xfId="29445" xr:uid="{6AB43694-41BA-4AAB-AB6D-7C0D6DD9E4D6}"/>
    <cellStyle name="Separador de milhares 7 2" xfId="833" xr:uid="{00000000-0005-0000-0000-0000765A0000}"/>
    <cellStyle name="Separador de milhares 7 2 10" xfId="20544" xr:uid="{00000000-0005-0000-0000-0000775A0000}"/>
    <cellStyle name="Separador de milhares 7 2 10 2" xfId="20545" xr:uid="{00000000-0005-0000-0000-0000785A0000}"/>
    <cellStyle name="Separador de milhares 7 2 10 2 2" xfId="29447" xr:uid="{D8973FDB-DAAD-4C0F-82AE-7EF6BE6F39A4}"/>
    <cellStyle name="Separador de milhares 7 2 11" xfId="20546" xr:uid="{00000000-0005-0000-0000-0000795A0000}"/>
    <cellStyle name="Separador de milhares 7 2 11 2" xfId="20547" xr:uid="{00000000-0005-0000-0000-00007A5A0000}"/>
    <cellStyle name="Separador de milhares 7 2 11 2 2" xfId="29448" xr:uid="{3667641F-7D99-45DB-99DD-F62BEB2C24AC}"/>
    <cellStyle name="Separador de milhares 7 2 12" xfId="20548" xr:uid="{00000000-0005-0000-0000-00007B5A0000}"/>
    <cellStyle name="Separador de milhares 7 2 12 2" xfId="20549" xr:uid="{00000000-0005-0000-0000-00007C5A0000}"/>
    <cellStyle name="Separador de milhares 7 2 12 2 2" xfId="29449" xr:uid="{6A877967-4915-4F3E-9081-3CCEE585949E}"/>
    <cellStyle name="Separador de milhares 7 2 13" xfId="20550" xr:uid="{00000000-0005-0000-0000-00007D5A0000}"/>
    <cellStyle name="Separador de milhares 7 2 13 2" xfId="20551" xr:uid="{00000000-0005-0000-0000-00007E5A0000}"/>
    <cellStyle name="Separador de milhares 7 2 13 2 2" xfId="29450" xr:uid="{D68B0879-7846-43E6-BBD9-2802CB57ECCF}"/>
    <cellStyle name="Separador de milhares 7 2 14" xfId="20552" xr:uid="{00000000-0005-0000-0000-00007F5A0000}"/>
    <cellStyle name="Separador de milhares 7 2 14 2" xfId="20553" xr:uid="{00000000-0005-0000-0000-0000805A0000}"/>
    <cellStyle name="Separador de milhares 7 2 14 2 2" xfId="29451" xr:uid="{85CC6C79-5723-45DA-9AEB-64BEBD383047}"/>
    <cellStyle name="Separador de milhares 7 2 15" xfId="20554" xr:uid="{00000000-0005-0000-0000-0000815A0000}"/>
    <cellStyle name="Separador de milhares 7 2 15 2" xfId="20555" xr:uid="{00000000-0005-0000-0000-0000825A0000}"/>
    <cellStyle name="Separador de milhares 7 2 15 2 2" xfId="29452" xr:uid="{DCDE0C53-A7D2-4D07-9B8C-ECDB1C849A9A}"/>
    <cellStyle name="Separador de milhares 7 2 16" xfId="20556" xr:uid="{00000000-0005-0000-0000-0000835A0000}"/>
    <cellStyle name="Separador de milhares 7 2 16 2" xfId="20557" xr:uid="{00000000-0005-0000-0000-0000845A0000}"/>
    <cellStyle name="Separador de milhares 7 2 16 2 2" xfId="29453" xr:uid="{78FD509A-8803-4E84-B38D-47E985B95564}"/>
    <cellStyle name="Separador de milhares 7 2 17" xfId="20558" xr:uid="{00000000-0005-0000-0000-0000855A0000}"/>
    <cellStyle name="Separador de milhares 7 2 17 2" xfId="20559" xr:uid="{00000000-0005-0000-0000-0000865A0000}"/>
    <cellStyle name="Separador de milhares 7 2 17 2 2" xfId="29455" xr:uid="{2A53EC9E-CFEB-4034-95E4-5F4B42D474B6}"/>
    <cellStyle name="Separador de milhares 7 2 17 3" xfId="29454" xr:uid="{9BF5261A-E126-41F2-B972-C18CC81751DB}"/>
    <cellStyle name="Separador de milhares 7 2 18" xfId="20560" xr:uid="{00000000-0005-0000-0000-0000875A0000}"/>
    <cellStyle name="Separador de milhares 7 2 18 2" xfId="20561" xr:uid="{00000000-0005-0000-0000-0000885A0000}"/>
    <cellStyle name="Separador de milhares 7 2 18 2 2" xfId="29457" xr:uid="{8D6A9EBC-8DA4-4026-A613-B00EFABD94A7}"/>
    <cellStyle name="Separador de milhares 7 2 18 3" xfId="29456" xr:uid="{DC3204F0-C7A9-42E7-8DBD-9C669A5D2B63}"/>
    <cellStyle name="Separador de milhares 7 2 19" xfId="20562" xr:uid="{00000000-0005-0000-0000-0000895A0000}"/>
    <cellStyle name="Separador de milhares 7 2 19 2" xfId="20563" xr:uid="{00000000-0005-0000-0000-00008A5A0000}"/>
    <cellStyle name="Separador de milhares 7 2 19 2 2" xfId="29459" xr:uid="{6134D5FF-B99C-4CC8-8193-9F954E6CCBF4}"/>
    <cellStyle name="Separador de milhares 7 2 19 3" xfId="29458" xr:uid="{F451043E-5C21-49CA-B2A8-D3D8A354526E}"/>
    <cellStyle name="Separador de milhares 7 2 2" xfId="834" xr:uid="{00000000-0005-0000-0000-00008B5A0000}"/>
    <cellStyle name="Separador de milhares 7 2 2 10" xfId="20565" xr:uid="{00000000-0005-0000-0000-00008C5A0000}"/>
    <cellStyle name="Separador de milhares 7 2 2 10 2" xfId="20566" xr:uid="{00000000-0005-0000-0000-00008D5A0000}"/>
    <cellStyle name="Separador de milhares 7 2 2 10 2 2" xfId="29460" xr:uid="{C1348167-CEE2-4306-BC8F-5D4EDC6CFE41}"/>
    <cellStyle name="Separador de milhares 7 2 2 11" xfId="20567" xr:uid="{00000000-0005-0000-0000-00008E5A0000}"/>
    <cellStyle name="Separador de milhares 7 2 2 11 2" xfId="20568" xr:uid="{00000000-0005-0000-0000-00008F5A0000}"/>
    <cellStyle name="Separador de milhares 7 2 2 11 2 2" xfId="29462" xr:uid="{3BD1314E-C8E8-4A31-9758-941A601F7205}"/>
    <cellStyle name="Separador de milhares 7 2 2 11 3" xfId="29461" xr:uid="{D9B05207-02D1-4960-A5C2-FCE3B0A20A81}"/>
    <cellStyle name="Separador de milhares 7 2 2 12" xfId="20569" xr:uid="{00000000-0005-0000-0000-0000905A0000}"/>
    <cellStyle name="Separador de milhares 7 2 2 12 2" xfId="20570" xr:uid="{00000000-0005-0000-0000-0000915A0000}"/>
    <cellStyle name="Separador de milhares 7 2 2 12 2 2" xfId="29464" xr:uid="{3F4D9C32-2540-4059-B626-C11C89196103}"/>
    <cellStyle name="Separador de milhares 7 2 2 12 3" xfId="29463" xr:uid="{63E99385-AE04-4C61-BC08-833E1C074C1A}"/>
    <cellStyle name="Separador de milhares 7 2 2 13" xfId="20571" xr:uid="{00000000-0005-0000-0000-0000925A0000}"/>
    <cellStyle name="Separador de milhares 7 2 2 13 2" xfId="20572" xr:uid="{00000000-0005-0000-0000-0000935A0000}"/>
    <cellStyle name="Separador de milhares 7 2 2 13 2 2" xfId="29466" xr:uid="{56340E06-CA7A-4328-B77F-D972BD373333}"/>
    <cellStyle name="Separador de milhares 7 2 2 13 3" xfId="29465" xr:uid="{C439B791-3841-4704-AFEE-B07A4477070F}"/>
    <cellStyle name="Separador de milhares 7 2 2 14" xfId="20573" xr:uid="{00000000-0005-0000-0000-0000945A0000}"/>
    <cellStyle name="Separador de milhares 7 2 2 14 2" xfId="20574" xr:uid="{00000000-0005-0000-0000-0000955A0000}"/>
    <cellStyle name="Separador de milhares 7 2 2 14 2 2" xfId="29468" xr:uid="{B51F98FB-DBEE-41BE-B4E4-B6367F424C55}"/>
    <cellStyle name="Separador de milhares 7 2 2 14 3" xfId="29467" xr:uid="{211C6548-661A-4D88-AEE1-ED393618DB61}"/>
    <cellStyle name="Separador de milhares 7 2 2 15" xfId="20575" xr:uid="{00000000-0005-0000-0000-0000965A0000}"/>
    <cellStyle name="Separador de milhares 7 2 2 15 2" xfId="20576" xr:uid="{00000000-0005-0000-0000-0000975A0000}"/>
    <cellStyle name="Separador de milhares 7 2 2 15 2 2" xfId="29470" xr:uid="{6AE03691-BB40-475F-B961-EDA306D9BF16}"/>
    <cellStyle name="Separador de milhares 7 2 2 15 3" xfId="29469" xr:uid="{C50D9774-48AF-46A3-AFA5-C65ED314F83D}"/>
    <cellStyle name="Separador de milhares 7 2 2 16" xfId="20577" xr:uid="{00000000-0005-0000-0000-0000985A0000}"/>
    <cellStyle name="Separador de milhares 7 2 2 16 2" xfId="20578" xr:uid="{00000000-0005-0000-0000-0000995A0000}"/>
    <cellStyle name="Separador de milhares 7 2 2 16 2 2" xfId="29472" xr:uid="{1E3F5BDC-BD2E-4C4F-A323-A98C2F5808AF}"/>
    <cellStyle name="Separador de milhares 7 2 2 16 3" xfId="29471" xr:uid="{606A813E-5C6A-41FE-8A43-98FE2D748628}"/>
    <cellStyle name="Separador de milhares 7 2 2 17" xfId="20579" xr:uid="{00000000-0005-0000-0000-00009A5A0000}"/>
    <cellStyle name="Separador de milhares 7 2 2 17 2" xfId="20580" xr:uid="{00000000-0005-0000-0000-00009B5A0000}"/>
    <cellStyle name="Separador de milhares 7 2 2 17 2 2" xfId="29474" xr:uid="{E93C1403-A020-42B3-9439-598EB1F968EE}"/>
    <cellStyle name="Separador de milhares 7 2 2 17 3" xfId="29473" xr:uid="{1708EE27-1EA4-4ADB-A0C7-CDD51143EE25}"/>
    <cellStyle name="Separador de milhares 7 2 2 18" xfId="20581" xr:uid="{00000000-0005-0000-0000-00009C5A0000}"/>
    <cellStyle name="Separador de milhares 7 2 2 18 2" xfId="20582" xr:uid="{00000000-0005-0000-0000-00009D5A0000}"/>
    <cellStyle name="Separador de milhares 7 2 2 18 2 2" xfId="29476" xr:uid="{8CBADA38-46DA-461B-9EAD-BFD186AC3EB7}"/>
    <cellStyle name="Separador de milhares 7 2 2 18 3" xfId="29475" xr:uid="{DCD2B2FA-35A1-49F7-A6EC-4788AF093058}"/>
    <cellStyle name="Separador de milhares 7 2 2 19" xfId="20583" xr:uid="{00000000-0005-0000-0000-00009E5A0000}"/>
    <cellStyle name="Separador de milhares 7 2 2 19 2" xfId="20584" xr:uid="{00000000-0005-0000-0000-00009F5A0000}"/>
    <cellStyle name="Separador de milhares 7 2 2 19 2 2" xfId="29478" xr:uid="{4599C50B-D54F-4FDD-B90A-C93EA7E3E767}"/>
    <cellStyle name="Separador de milhares 7 2 2 19 3" xfId="29477" xr:uid="{4985CAFA-75B6-447F-98DA-156A541A94DA}"/>
    <cellStyle name="Separador de milhares 7 2 2 2" xfId="835" xr:uid="{00000000-0005-0000-0000-0000A05A0000}"/>
    <cellStyle name="Separador de milhares 7 2 2 2 10" xfId="20586" xr:uid="{00000000-0005-0000-0000-0000A15A0000}"/>
    <cellStyle name="Separador de milhares 7 2 2 2 10 2" xfId="20587" xr:uid="{00000000-0005-0000-0000-0000A25A0000}"/>
    <cellStyle name="Separador de milhares 7 2 2 2 10 2 2" xfId="29480" xr:uid="{0968524C-25CC-4852-A7D2-878E41C1B4BD}"/>
    <cellStyle name="Separador de milhares 7 2 2 2 10 3" xfId="29479" xr:uid="{18F2BE3B-92F1-45E7-9A84-A950B73EF3CE}"/>
    <cellStyle name="Separador de milhares 7 2 2 2 11" xfId="20588" xr:uid="{00000000-0005-0000-0000-0000A35A0000}"/>
    <cellStyle name="Separador de milhares 7 2 2 2 11 2" xfId="20589" xr:uid="{00000000-0005-0000-0000-0000A45A0000}"/>
    <cellStyle name="Separador de milhares 7 2 2 2 11 2 2" xfId="29482" xr:uid="{F96D988C-6EDD-4603-B3C8-4A020EEB68B8}"/>
    <cellStyle name="Separador de milhares 7 2 2 2 11 3" xfId="29481" xr:uid="{64AA3F25-B043-42D8-B8B3-A755E9AB9E18}"/>
    <cellStyle name="Separador de milhares 7 2 2 2 12" xfId="20590" xr:uid="{00000000-0005-0000-0000-0000A55A0000}"/>
    <cellStyle name="Separador de milhares 7 2 2 2 12 2" xfId="20591" xr:uid="{00000000-0005-0000-0000-0000A65A0000}"/>
    <cellStyle name="Separador de milhares 7 2 2 2 12 2 2" xfId="29484" xr:uid="{D6054F23-FF20-4ADA-A8D6-0E61453A7F4B}"/>
    <cellStyle name="Separador de milhares 7 2 2 2 12 3" xfId="29483" xr:uid="{B9FD46DB-7375-4230-B231-7EB06DFC6D5F}"/>
    <cellStyle name="Separador de milhares 7 2 2 2 13" xfId="20592" xr:uid="{00000000-0005-0000-0000-0000A75A0000}"/>
    <cellStyle name="Separador de milhares 7 2 2 2 13 2" xfId="20593" xr:uid="{00000000-0005-0000-0000-0000A85A0000}"/>
    <cellStyle name="Separador de milhares 7 2 2 2 13 2 2" xfId="29486" xr:uid="{2F9F8588-6FC7-4E62-B5F3-72E35F7625B6}"/>
    <cellStyle name="Separador de milhares 7 2 2 2 13 3" xfId="29485" xr:uid="{66EA236E-101A-480E-9BFA-020A239354C3}"/>
    <cellStyle name="Separador de milhares 7 2 2 2 14" xfId="20594" xr:uid="{00000000-0005-0000-0000-0000A95A0000}"/>
    <cellStyle name="Separador de milhares 7 2 2 2 14 2" xfId="20595" xr:uid="{00000000-0005-0000-0000-0000AA5A0000}"/>
    <cellStyle name="Separador de milhares 7 2 2 2 14 2 2" xfId="29488" xr:uid="{FE62AD76-F9F9-4D7A-A858-BF9AB5D87A2E}"/>
    <cellStyle name="Separador de milhares 7 2 2 2 14 3" xfId="29487" xr:uid="{0974B32D-4EFB-49BB-8360-59703F726C46}"/>
    <cellStyle name="Separador de milhares 7 2 2 2 15" xfId="20596" xr:uid="{00000000-0005-0000-0000-0000AB5A0000}"/>
    <cellStyle name="Separador de milhares 7 2 2 2 15 2" xfId="20597" xr:uid="{00000000-0005-0000-0000-0000AC5A0000}"/>
    <cellStyle name="Separador de milhares 7 2 2 2 15 2 2" xfId="29490" xr:uid="{813F0CB2-1640-4403-BB53-5A5D7889E7C3}"/>
    <cellStyle name="Separador de milhares 7 2 2 2 15 3" xfId="29489" xr:uid="{91F29608-49D7-4860-AADB-0986B8021A67}"/>
    <cellStyle name="Separador de milhares 7 2 2 2 16" xfId="20598" xr:uid="{00000000-0005-0000-0000-0000AD5A0000}"/>
    <cellStyle name="Separador de milhares 7 2 2 2 16 2" xfId="20599" xr:uid="{00000000-0005-0000-0000-0000AE5A0000}"/>
    <cellStyle name="Separador de milhares 7 2 2 2 16 2 2" xfId="29492" xr:uid="{79449649-2FBF-4A86-93AE-46BACF26AB1C}"/>
    <cellStyle name="Separador de milhares 7 2 2 2 16 3" xfId="29491" xr:uid="{6A1ABBD3-8472-4264-B591-47DBADAFD8E8}"/>
    <cellStyle name="Separador de milhares 7 2 2 2 17" xfId="20600" xr:uid="{00000000-0005-0000-0000-0000AF5A0000}"/>
    <cellStyle name="Separador de milhares 7 2 2 2 17 2" xfId="20601" xr:uid="{00000000-0005-0000-0000-0000B05A0000}"/>
    <cellStyle name="Separador de milhares 7 2 2 2 17 2 2" xfId="29494" xr:uid="{D9A844B2-0302-4ED1-9E40-5E0B5756E7C7}"/>
    <cellStyle name="Separador de milhares 7 2 2 2 17 3" xfId="29493" xr:uid="{3718CB42-F4EE-4A45-8F3F-450FEC07951B}"/>
    <cellStyle name="Separador de milhares 7 2 2 2 18" xfId="20602" xr:uid="{00000000-0005-0000-0000-0000B15A0000}"/>
    <cellStyle name="Separador de milhares 7 2 2 2 18 2" xfId="20603" xr:uid="{00000000-0005-0000-0000-0000B25A0000}"/>
    <cellStyle name="Separador de milhares 7 2 2 2 18 2 2" xfId="29496" xr:uid="{5AF2332A-9C96-4F35-AF0E-8701A990EFD4}"/>
    <cellStyle name="Separador de milhares 7 2 2 2 18 3" xfId="29495" xr:uid="{A5728894-1711-4D54-AEF0-98921F2FBDF4}"/>
    <cellStyle name="Separador de milhares 7 2 2 2 19" xfId="20604" xr:uid="{00000000-0005-0000-0000-0000B35A0000}"/>
    <cellStyle name="Separador de milhares 7 2 2 2 19 2" xfId="20605" xr:uid="{00000000-0005-0000-0000-0000B45A0000}"/>
    <cellStyle name="Separador de milhares 7 2 2 2 19 2 2" xfId="29498" xr:uid="{A8C3CF56-641C-4480-9BB6-A960D18D93F7}"/>
    <cellStyle name="Separador de milhares 7 2 2 2 19 3" xfId="29497" xr:uid="{FE923E02-954A-4DD2-B697-BDE82DDEAFF9}"/>
    <cellStyle name="Separador de milhares 7 2 2 2 2" xfId="836" xr:uid="{00000000-0005-0000-0000-0000B55A0000}"/>
    <cellStyle name="Separador de milhares 7 2 2 2 2 2" xfId="20607" xr:uid="{00000000-0005-0000-0000-0000B65A0000}"/>
    <cellStyle name="Separador de milhares 7 2 2 2 2 2 2" xfId="29500" xr:uid="{BDBBE06E-EF46-4E7C-B46A-BE97A453435C}"/>
    <cellStyle name="Separador de milhares 7 2 2 2 2 3" xfId="20606" xr:uid="{00000000-0005-0000-0000-0000B75A0000}"/>
    <cellStyle name="Separador de milhares 7 2 2 2 2 3 2" xfId="29499" xr:uid="{D0D504C0-E95A-4C1F-9DED-872FF5755CD4}"/>
    <cellStyle name="Separador de milhares 7 2 2 2 2 4" xfId="28070" xr:uid="{4D51CC19-1188-49BD-8CE1-98E2B979DA41}"/>
    <cellStyle name="Separador de milhares 7 2 2 2 20" xfId="20608" xr:uid="{00000000-0005-0000-0000-0000B85A0000}"/>
    <cellStyle name="Separador de milhares 7 2 2 2 20 2" xfId="20609" xr:uid="{00000000-0005-0000-0000-0000B95A0000}"/>
    <cellStyle name="Separador de milhares 7 2 2 2 20 2 2" xfId="29502" xr:uid="{BBC64D5A-009C-4D48-A022-95C3105D8821}"/>
    <cellStyle name="Separador de milhares 7 2 2 2 20 3" xfId="29501" xr:uid="{E147D5FA-45EE-493C-AA4A-82FD37E2CFBA}"/>
    <cellStyle name="Separador de milhares 7 2 2 2 21" xfId="20610" xr:uid="{00000000-0005-0000-0000-0000BA5A0000}"/>
    <cellStyle name="Separador de milhares 7 2 2 2 21 2" xfId="20611" xr:uid="{00000000-0005-0000-0000-0000BB5A0000}"/>
    <cellStyle name="Separador de milhares 7 2 2 2 21 2 2" xfId="29504" xr:uid="{2C3D13AA-F42F-4326-A620-07AA7CA57958}"/>
    <cellStyle name="Separador de milhares 7 2 2 2 21 3" xfId="29503" xr:uid="{5E16CB43-9E66-4B6F-A11A-353FC79EDA5A}"/>
    <cellStyle name="Separador de milhares 7 2 2 2 22" xfId="20612" xr:uid="{00000000-0005-0000-0000-0000BC5A0000}"/>
    <cellStyle name="Separador de milhares 7 2 2 2 22 2" xfId="20613" xr:uid="{00000000-0005-0000-0000-0000BD5A0000}"/>
    <cellStyle name="Separador de milhares 7 2 2 2 22 2 2" xfId="29506" xr:uid="{C2ABC3BF-AF35-4C87-A302-5AD740156AE7}"/>
    <cellStyle name="Separador de milhares 7 2 2 2 22 3" xfId="29505" xr:uid="{04371E38-1599-4A00-8B5D-E83845220657}"/>
    <cellStyle name="Separador de milhares 7 2 2 2 23" xfId="20614" xr:uid="{00000000-0005-0000-0000-0000BE5A0000}"/>
    <cellStyle name="Separador de milhares 7 2 2 2 23 2" xfId="20615" xr:uid="{00000000-0005-0000-0000-0000BF5A0000}"/>
    <cellStyle name="Separador de milhares 7 2 2 2 23 2 2" xfId="29508" xr:uid="{D8D5977B-F656-4762-BEF1-9E32884F520D}"/>
    <cellStyle name="Separador de milhares 7 2 2 2 23 3" xfId="29507" xr:uid="{01ADF64E-26C1-4655-9BF4-38B94E1D704D}"/>
    <cellStyle name="Separador de milhares 7 2 2 2 24" xfId="20616" xr:uid="{00000000-0005-0000-0000-0000C05A0000}"/>
    <cellStyle name="Separador de milhares 7 2 2 2 24 2" xfId="20617" xr:uid="{00000000-0005-0000-0000-0000C15A0000}"/>
    <cellStyle name="Separador de milhares 7 2 2 2 24 2 2" xfId="29510" xr:uid="{54DE97F2-ABE0-46FE-9030-4D990360D465}"/>
    <cellStyle name="Separador de milhares 7 2 2 2 24 3" xfId="29509" xr:uid="{396788F3-D5F9-4A8B-ADBB-4E975C404DBE}"/>
    <cellStyle name="Separador de milhares 7 2 2 2 25" xfId="20618" xr:uid="{00000000-0005-0000-0000-0000C25A0000}"/>
    <cellStyle name="Separador de milhares 7 2 2 2 25 2" xfId="20619" xr:uid="{00000000-0005-0000-0000-0000C35A0000}"/>
    <cellStyle name="Separador de milhares 7 2 2 2 25 2 2" xfId="29512" xr:uid="{DA2416AA-BF7A-4F63-9EEC-6C719A5C65C9}"/>
    <cellStyle name="Separador de milhares 7 2 2 2 25 3" xfId="29511" xr:uid="{78DD864F-23B1-4645-9002-FF799FF42858}"/>
    <cellStyle name="Separador de milhares 7 2 2 2 26" xfId="20620" xr:uid="{00000000-0005-0000-0000-0000C45A0000}"/>
    <cellStyle name="Separador de milhares 7 2 2 2 26 2" xfId="20621" xr:uid="{00000000-0005-0000-0000-0000C55A0000}"/>
    <cellStyle name="Separador de milhares 7 2 2 2 26 2 2" xfId="29514" xr:uid="{06228436-1CAF-40B0-928D-58F58F6E97A0}"/>
    <cellStyle name="Separador de milhares 7 2 2 2 26 3" xfId="29513" xr:uid="{EC9116B4-1118-4C2D-A92B-C5948CFC9175}"/>
    <cellStyle name="Separador de milhares 7 2 2 2 27" xfId="20622" xr:uid="{00000000-0005-0000-0000-0000C65A0000}"/>
    <cellStyle name="Separador de milhares 7 2 2 2 27 2" xfId="20623" xr:uid="{00000000-0005-0000-0000-0000C75A0000}"/>
    <cellStyle name="Separador de milhares 7 2 2 2 27 2 2" xfId="29516" xr:uid="{21F4F9B6-5FBA-4B9C-9286-58D1FA5C0ECF}"/>
    <cellStyle name="Separador de milhares 7 2 2 2 27 3" xfId="29515" xr:uid="{2B7AC0CE-49FE-4516-AB9D-7D530B2B977D}"/>
    <cellStyle name="Separador de milhares 7 2 2 2 28" xfId="20624" xr:uid="{00000000-0005-0000-0000-0000C85A0000}"/>
    <cellStyle name="Separador de milhares 7 2 2 2 28 2" xfId="20625" xr:uid="{00000000-0005-0000-0000-0000C95A0000}"/>
    <cellStyle name="Separador de milhares 7 2 2 2 28 2 2" xfId="29518" xr:uid="{24C50EA9-AFD0-4239-B24B-7AC2B8209879}"/>
    <cellStyle name="Separador de milhares 7 2 2 2 28 3" xfId="29517" xr:uid="{7CF6E331-2FD0-4F52-9DF4-C08A739109CE}"/>
    <cellStyle name="Separador de milhares 7 2 2 2 29" xfId="20626" xr:uid="{00000000-0005-0000-0000-0000CA5A0000}"/>
    <cellStyle name="Separador de milhares 7 2 2 2 29 2" xfId="20627" xr:uid="{00000000-0005-0000-0000-0000CB5A0000}"/>
    <cellStyle name="Separador de milhares 7 2 2 2 29 2 2" xfId="29520" xr:uid="{0010B176-65DA-41BA-8A2C-70B5399A86D8}"/>
    <cellStyle name="Separador de milhares 7 2 2 2 29 3" xfId="29519" xr:uid="{1C6EF773-4807-4FBF-BA41-6B2A62B7028C}"/>
    <cellStyle name="Separador de milhares 7 2 2 2 3" xfId="20628" xr:uid="{00000000-0005-0000-0000-0000CC5A0000}"/>
    <cellStyle name="Separador de milhares 7 2 2 2 3 2" xfId="20629" xr:uid="{00000000-0005-0000-0000-0000CD5A0000}"/>
    <cellStyle name="Separador de milhares 7 2 2 2 3 2 2" xfId="29522" xr:uid="{C03DC98C-389D-4C45-9845-98D8ECB54FFC}"/>
    <cellStyle name="Separador de milhares 7 2 2 2 3 3" xfId="29521" xr:uid="{170EE115-EA4F-40C1-BD96-472718BA525A}"/>
    <cellStyle name="Separador de milhares 7 2 2 2 30" xfId="20630" xr:uid="{00000000-0005-0000-0000-0000CE5A0000}"/>
    <cellStyle name="Separador de milhares 7 2 2 2 30 2" xfId="20631" xr:uid="{00000000-0005-0000-0000-0000CF5A0000}"/>
    <cellStyle name="Separador de milhares 7 2 2 2 30 2 2" xfId="29524" xr:uid="{D203A267-89CD-41C5-BA42-69F686216E0F}"/>
    <cellStyle name="Separador de milhares 7 2 2 2 30 3" xfId="29523" xr:uid="{C4D99FC3-A346-42D9-8CA3-20B2DF7F669E}"/>
    <cellStyle name="Separador de milhares 7 2 2 2 31" xfId="20632" xr:uid="{00000000-0005-0000-0000-0000D05A0000}"/>
    <cellStyle name="Separador de milhares 7 2 2 2 31 2" xfId="20633" xr:uid="{00000000-0005-0000-0000-0000D15A0000}"/>
    <cellStyle name="Separador de milhares 7 2 2 2 31 2 2" xfId="29526" xr:uid="{63D0BDBD-A35E-42C8-8B99-E3B1A079CD20}"/>
    <cellStyle name="Separador de milhares 7 2 2 2 31 3" xfId="29525" xr:uid="{9E69B4A3-643D-426B-A790-8D61697C5661}"/>
    <cellStyle name="Separador de milhares 7 2 2 2 32" xfId="20634" xr:uid="{00000000-0005-0000-0000-0000D25A0000}"/>
    <cellStyle name="Separador de milhares 7 2 2 2 32 2" xfId="20635" xr:uid="{00000000-0005-0000-0000-0000D35A0000}"/>
    <cellStyle name="Separador de milhares 7 2 2 2 32 2 2" xfId="29528" xr:uid="{ED1516D4-1A87-4D97-9B92-892E9944DFEC}"/>
    <cellStyle name="Separador de milhares 7 2 2 2 32 3" xfId="29527" xr:uid="{ABC33D03-CD2C-4957-A388-D07FAB436847}"/>
    <cellStyle name="Separador de milhares 7 2 2 2 33" xfId="20636" xr:uid="{00000000-0005-0000-0000-0000D45A0000}"/>
    <cellStyle name="Separador de milhares 7 2 2 2 33 2" xfId="20637" xr:uid="{00000000-0005-0000-0000-0000D55A0000}"/>
    <cellStyle name="Separador de milhares 7 2 2 2 33 2 2" xfId="29530" xr:uid="{170EF305-8FCF-468D-8509-686EDEEC47DF}"/>
    <cellStyle name="Separador de milhares 7 2 2 2 33 3" xfId="29529" xr:uid="{39F253FE-CBDF-428E-A4E8-147FBBDF1B14}"/>
    <cellStyle name="Separador de milhares 7 2 2 2 34" xfId="20638" xr:uid="{00000000-0005-0000-0000-0000D65A0000}"/>
    <cellStyle name="Separador de milhares 7 2 2 2 34 2" xfId="20639" xr:uid="{00000000-0005-0000-0000-0000D75A0000}"/>
    <cellStyle name="Separador de milhares 7 2 2 2 34 2 2" xfId="29532" xr:uid="{09308B66-D0AE-44F8-B7DD-1FC197F77E3F}"/>
    <cellStyle name="Separador de milhares 7 2 2 2 34 3" xfId="29531" xr:uid="{A0A0C29C-EB29-4585-BA1D-01CA8B4962D8}"/>
    <cellStyle name="Separador de milhares 7 2 2 2 35" xfId="20640" xr:uid="{00000000-0005-0000-0000-0000D85A0000}"/>
    <cellStyle name="Separador de milhares 7 2 2 2 35 2" xfId="29533" xr:uid="{4AFA09A9-2509-45C5-A123-C4163D50308A}"/>
    <cellStyle name="Separador de milhares 7 2 2 2 36" xfId="20585" xr:uid="{00000000-0005-0000-0000-0000D95A0000}"/>
    <cellStyle name="Separador de milhares 7 2 2 2 37" xfId="28069" xr:uid="{408C0CCA-570D-45C6-87B8-E92156D8BB83}"/>
    <cellStyle name="Separador de milhares 7 2 2 2 4" xfId="20641" xr:uid="{00000000-0005-0000-0000-0000DA5A0000}"/>
    <cellStyle name="Separador de milhares 7 2 2 2 4 2" xfId="20642" xr:uid="{00000000-0005-0000-0000-0000DB5A0000}"/>
    <cellStyle name="Separador de milhares 7 2 2 2 4 2 2" xfId="29535" xr:uid="{8EC8FA9A-5A54-4DDA-9DE5-8D868B064E58}"/>
    <cellStyle name="Separador de milhares 7 2 2 2 4 3" xfId="29534" xr:uid="{4C8EA855-6284-4F55-87CA-002FD72BA665}"/>
    <cellStyle name="Separador de milhares 7 2 2 2 5" xfId="20643" xr:uid="{00000000-0005-0000-0000-0000DC5A0000}"/>
    <cellStyle name="Separador de milhares 7 2 2 2 5 2" xfId="20644" xr:uid="{00000000-0005-0000-0000-0000DD5A0000}"/>
    <cellStyle name="Separador de milhares 7 2 2 2 5 2 2" xfId="29537" xr:uid="{F449ED88-2FA5-4444-B7A7-A979F47BE7E2}"/>
    <cellStyle name="Separador de milhares 7 2 2 2 5 3" xfId="29536" xr:uid="{7F3AE1E0-93A8-4D64-8061-6D96C453880B}"/>
    <cellStyle name="Separador de milhares 7 2 2 2 6" xfId="20645" xr:uid="{00000000-0005-0000-0000-0000DE5A0000}"/>
    <cellStyle name="Separador de milhares 7 2 2 2 6 2" xfId="20646" xr:uid="{00000000-0005-0000-0000-0000DF5A0000}"/>
    <cellStyle name="Separador de milhares 7 2 2 2 6 2 2" xfId="29539" xr:uid="{25133A72-A3A6-4595-884E-D6955FB655E8}"/>
    <cellStyle name="Separador de milhares 7 2 2 2 6 3" xfId="29538" xr:uid="{07E58004-B752-478D-BF55-DFD5DF6A7414}"/>
    <cellStyle name="Separador de milhares 7 2 2 2 7" xfId="20647" xr:uid="{00000000-0005-0000-0000-0000E05A0000}"/>
    <cellStyle name="Separador de milhares 7 2 2 2 7 2" xfId="20648" xr:uid="{00000000-0005-0000-0000-0000E15A0000}"/>
    <cellStyle name="Separador de milhares 7 2 2 2 7 2 2" xfId="29541" xr:uid="{DBDB96E2-DC82-4C6B-9585-391E349C9BB7}"/>
    <cellStyle name="Separador de milhares 7 2 2 2 7 3" xfId="29540" xr:uid="{4A4FC1D8-EBC3-4DC3-89A1-2C501172C8A5}"/>
    <cellStyle name="Separador de milhares 7 2 2 2 8" xfId="20649" xr:uid="{00000000-0005-0000-0000-0000E25A0000}"/>
    <cellStyle name="Separador de milhares 7 2 2 2 8 2" xfId="20650" xr:uid="{00000000-0005-0000-0000-0000E35A0000}"/>
    <cellStyle name="Separador de milhares 7 2 2 2 8 2 2" xfId="29543" xr:uid="{E30E344F-BD42-461A-A962-6A9EDE0ADCB9}"/>
    <cellStyle name="Separador de milhares 7 2 2 2 8 3" xfId="29542" xr:uid="{F671E507-0F95-4DD8-B3C9-7C1F6F9AC9C9}"/>
    <cellStyle name="Separador de milhares 7 2 2 2 9" xfId="20651" xr:uid="{00000000-0005-0000-0000-0000E45A0000}"/>
    <cellStyle name="Separador de milhares 7 2 2 2 9 2" xfId="20652" xr:uid="{00000000-0005-0000-0000-0000E55A0000}"/>
    <cellStyle name="Separador de milhares 7 2 2 2 9 2 2" xfId="29545" xr:uid="{B2D3193E-2B22-4750-9973-8BBC643C68EC}"/>
    <cellStyle name="Separador de milhares 7 2 2 2 9 3" xfId="29544" xr:uid="{CD72AF53-8651-470A-8C90-234561F5D431}"/>
    <cellStyle name="Separador de milhares 7 2 2 20" xfId="20653" xr:uid="{00000000-0005-0000-0000-0000E65A0000}"/>
    <cellStyle name="Separador de milhares 7 2 2 20 2" xfId="20654" xr:uid="{00000000-0005-0000-0000-0000E75A0000}"/>
    <cellStyle name="Separador de milhares 7 2 2 20 2 2" xfId="29547" xr:uid="{802354B8-125C-493A-92C9-B7455836C1B0}"/>
    <cellStyle name="Separador de milhares 7 2 2 20 3" xfId="29546" xr:uid="{E08E170C-6D4D-43FC-A5BB-46CC18F88BF2}"/>
    <cellStyle name="Separador de milhares 7 2 2 21" xfId="20655" xr:uid="{00000000-0005-0000-0000-0000E85A0000}"/>
    <cellStyle name="Separador de milhares 7 2 2 21 2" xfId="20656" xr:uid="{00000000-0005-0000-0000-0000E95A0000}"/>
    <cellStyle name="Separador de milhares 7 2 2 21 2 2" xfId="29549" xr:uid="{B0A63E7F-B6A4-417A-BD4B-CBB79C63DBF5}"/>
    <cellStyle name="Separador de milhares 7 2 2 21 3" xfId="29548" xr:uid="{8E5F9BAB-5797-4F97-82FC-EAE20D9A48F6}"/>
    <cellStyle name="Separador de milhares 7 2 2 22" xfId="20657" xr:uid="{00000000-0005-0000-0000-0000EA5A0000}"/>
    <cellStyle name="Separador de milhares 7 2 2 22 2" xfId="20658" xr:uid="{00000000-0005-0000-0000-0000EB5A0000}"/>
    <cellStyle name="Separador de milhares 7 2 2 22 2 2" xfId="29551" xr:uid="{4B01DF22-B1DE-47F0-84FF-FD32792ED04F}"/>
    <cellStyle name="Separador de milhares 7 2 2 22 3" xfId="29550" xr:uid="{39A5AFAF-92D0-4249-913F-3DB675EB3464}"/>
    <cellStyle name="Separador de milhares 7 2 2 23" xfId="20659" xr:uid="{00000000-0005-0000-0000-0000EC5A0000}"/>
    <cellStyle name="Separador de milhares 7 2 2 23 2" xfId="20660" xr:uid="{00000000-0005-0000-0000-0000ED5A0000}"/>
    <cellStyle name="Separador de milhares 7 2 2 23 2 2" xfId="29553" xr:uid="{76C7B10F-8489-43E2-88EF-8B0298C4FC67}"/>
    <cellStyle name="Separador de milhares 7 2 2 23 3" xfId="29552" xr:uid="{48E16431-7B66-4571-BF5B-929A12EA15DB}"/>
    <cellStyle name="Separador de milhares 7 2 2 24" xfId="20661" xr:uid="{00000000-0005-0000-0000-0000EE5A0000}"/>
    <cellStyle name="Separador de milhares 7 2 2 24 2" xfId="20662" xr:uid="{00000000-0005-0000-0000-0000EF5A0000}"/>
    <cellStyle name="Separador de milhares 7 2 2 24 2 2" xfId="29555" xr:uid="{BB6A421E-9E69-4EBF-9BE5-A4DC96B30866}"/>
    <cellStyle name="Separador de milhares 7 2 2 24 3" xfId="29554" xr:uid="{E79C9A8C-C17E-4591-B47C-EC40801D0131}"/>
    <cellStyle name="Separador de milhares 7 2 2 25" xfId="20663" xr:uid="{00000000-0005-0000-0000-0000F05A0000}"/>
    <cellStyle name="Separador de milhares 7 2 2 25 2" xfId="20664" xr:uid="{00000000-0005-0000-0000-0000F15A0000}"/>
    <cellStyle name="Separador de milhares 7 2 2 25 2 2" xfId="29557" xr:uid="{85E59788-405F-45B7-91F6-50B5A35972CE}"/>
    <cellStyle name="Separador de milhares 7 2 2 25 3" xfId="29556" xr:uid="{1752966B-960A-4964-AC8E-0508BF123C44}"/>
    <cellStyle name="Separador de milhares 7 2 2 26" xfId="20665" xr:uid="{00000000-0005-0000-0000-0000F25A0000}"/>
    <cellStyle name="Separador de milhares 7 2 2 26 2" xfId="20666" xr:uid="{00000000-0005-0000-0000-0000F35A0000}"/>
    <cellStyle name="Separador de milhares 7 2 2 26 2 2" xfId="29559" xr:uid="{4A10D0E1-880D-479A-89BC-69DE2603CAFE}"/>
    <cellStyle name="Separador de milhares 7 2 2 26 3" xfId="29558" xr:uid="{30E52D7B-D7E9-4370-AB20-C205C483C512}"/>
    <cellStyle name="Separador de milhares 7 2 2 27" xfId="20667" xr:uid="{00000000-0005-0000-0000-0000F45A0000}"/>
    <cellStyle name="Separador de milhares 7 2 2 27 2" xfId="20668" xr:uid="{00000000-0005-0000-0000-0000F55A0000}"/>
    <cellStyle name="Separador de milhares 7 2 2 27 2 2" xfId="29561" xr:uid="{802BB717-A967-471A-9071-96773E1C17D7}"/>
    <cellStyle name="Separador de milhares 7 2 2 27 3" xfId="29560" xr:uid="{4093D0CC-B831-443D-B6FC-FF560246C9C1}"/>
    <cellStyle name="Separador de milhares 7 2 2 28" xfId="20669" xr:uid="{00000000-0005-0000-0000-0000F65A0000}"/>
    <cellStyle name="Separador de milhares 7 2 2 28 2" xfId="20670" xr:uid="{00000000-0005-0000-0000-0000F75A0000}"/>
    <cellStyle name="Separador de milhares 7 2 2 28 2 2" xfId="29563" xr:uid="{136D437E-6E10-4F5E-8700-13DC2C85C4EE}"/>
    <cellStyle name="Separador de milhares 7 2 2 28 3" xfId="29562" xr:uid="{12D4766A-91AE-45A2-B473-ECC9DCB3C46A}"/>
    <cellStyle name="Separador de milhares 7 2 2 29" xfId="20671" xr:uid="{00000000-0005-0000-0000-0000F85A0000}"/>
    <cellStyle name="Separador de milhares 7 2 2 29 2" xfId="20672" xr:uid="{00000000-0005-0000-0000-0000F95A0000}"/>
    <cellStyle name="Separador de milhares 7 2 2 29 2 2" xfId="29565" xr:uid="{11196A09-17F6-4849-8A9F-53EDB399BAAE}"/>
    <cellStyle name="Separador de milhares 7 2 2 29 3" xfId="29564" xr:uid="{C2734B7E-AD44-4F89-9BA1-13069A6C7C6C}"/>
    <cellStyle name="Separador de milhares 7 2 2 3" xfId="837" xr:uid="{00000000-0005-0000-0000-0000FA5A0000}"/>
    <cellStyle name="Separador de milhares 7 2 2 3 10" xfId="20674" xr:uid="{00000000-0005-0000-0000-0000FB5A0000}"/>
    <cellStyle name="Separador de milhares 7 2 2 3 10 2" xfId="20675" xr:uid="{00000000-0005-0000-0000-0000FC5A0000}"/>
    <cellStyle name="Separador de milhares 7 2 2 3 10 2 2" xfId="29567" xr:uid="{A44C76E4-ADF9-48F4-88E9-C9CA71147AA6}"/>
    <cellStyle name="Separador de milhares 7 2 2 3 10 3" xfId="29566" xr:uid="{CEC68B47-28AC-4764-8144-117F1AC85AB4}"/>
    <cellStyle name="Separador de milhares 7 2 2 3 11" xfId="20676" xr:uid="{00000000-0005-0000-0000-0000FD5A0000}"/>
    <cellStyle name="Separador de milhares 7 2 2 3 11 2" xfId="20677" xr:uid="{00000000-0005-0000-0000-0000FE5A0000}"/>
    <cellStyle name="Separador de milhares 7 2 2 3 11 2 2" xfId="29569" xr:uid="{A8BA6E3A-4D7A-4BB7-A89E-ABB567753E23}"/>
    <cellStyle name="Separador de milhares 7 2 2 3 11 3" xfId="29568" xr:uid="{CD12E5FB-6074-4210-98C9-BBA6F03CE347}"/>
    <cellStyle name="Separador de milhares 7 2 2 3 12" xfId="20678" xr:uid="{00000000-0005-0000-0000-0000FF5A0000}"/>
    <cellStyle name="Separador de milhares 7 2 2 3 12 2" xfId="20679" xr:uid="{00000000-0005-0000-0000-0000005B0000}"/>
    <cellStyle name="Separador de milhares 7 2 2 3 12 2 2" xfId="29571" xr:uid="{CD8AE262-198D-40BF-9C61-0E2C4E38DD69}"/>
    <cellStyle name="Separador de milhares 7 2 2 3 12 3" xfId="29570" xr:uid="{679E2E48-0560-4976-A790-74648BC6AC90}"/>
    <cellStyle name="Separador de milhares 7 2 2 3 13" xfId="20680" xr:uid="{00000000-0005-0000-0000-0000015B0000}"/>
    <cellStyle name="Separador de milhares 7 2 2 3 13 2" xfId="20681" xr:uid="{00000000-0005-0000-0000-0000025B0000}"/>
    <cellStyle name="Separador de milhares 7 2 2 3 13 2 2" xfId="29573" xr:uid="{45962A7C-9783-4C5C-BD80-CD96D0D665E7}"/>
    <cellStyle name="Separador de milhares 7 2 2 3 13 3" xfId="29572" xr:uid="{581DD10E-472D-45DB-B1E5-41DC199B3AC2}"/>
    <cellStyle name="Separador de milhares 7 2 2 3 14" xfId="20682" xr:uid="{00000000-0005-0000-0000-0000035B0000}"/>
    <cellStyle name="Separador de milhares 7 2 2 3 14 2" xfId="20683" xr:uid="{00000000-0005-0000-0000-0000045B0000}"/>
    <cellStyle name="Separador de milhares 7 2 2 3 14 2 2" xfId="29575" xr:uid="{9D0DAA37-110C-4594-BAA4-41B4351D055C}"/>
    <cellStyle name="Separador de milhares 7 2 2 3 14 3" xfId="29574" xr:uid="{B209265A-E87F-49A7-AD6C-0CC13EE48D77}"/>
    <cellStyle name="Separador de milhares 7 2 2 3 15" xfId="20684" xr:uid="{00000000-0005-0000-0000-0000055B0000}"/>
    <cellStyle name="Separador de milhares 7 2 2 3 15 2" xfId="20685" xr:uid="{00000000-0005-0000-0000-0000065B0000}"/>
    <cellStyle name="Separador de milhares 7 2 2 3 15 2 2" xfId="29577" xr:uid="{9C97C702-F579-43AD-80AB-67C339FC3D46}"/>
    <cellStyle name="Separador de milhares 7 2 2 3 15 3" xfId="29576" xr:uid="{917E8B6A-721C-44BF-AD02-057016A75DF4}"/>
    <cellStyle name="Separador de milhares 7 2 2 3 16" xfId="20686" xr:uid="{00000000-0005-0000-0000-0000075B0000}"/>
    <cellStyle name="Separador de milhares 7 2 2 3 16 2" xfId="20687" xr:uid="{00000000-0005-0000-0000-0000085B0000}"/>
    <cellStyle name="Separador de milhares 7 2 2 3 16 2 2" xfId="29579" xr:uid="{98137865-132F-4CCA-808F-D987C0D5F821}"/>
    <cellStyle name="Separador de milhares 7 2 2 3 16 3" xfId="29578" xr:uid="{4259BE1A-0C08-47CC-97CE-57AF5937D9EA}"/>
    <cellStyle name="Separador de milhares 7 2 2 3 17" xfId="20688" xr:uid="{00000000-0005-0000-0000-0000095B0000}"/>
    <cellStyle name="Separador de milhares 7 2 2 3 17 2" xfId="20689" xr:uid="{00000000-0005-0000-0000-00000A5B0000}"/>
    <cellStyle name="Separador de milhares 7 2 2 3 17 2 2" xfId="29581" xr:uid="{CBB80C31-F2FC-4A18-ACAE-F3A002D22224}"/>
    <cellStyle name="Separador de milhares 7 2 2 3 17 3" xfId="29580" xr:uid="{7016E39E-607A-4FEB-9898-EC07AD0A18E4}"/>
    <cellStyle name="Separador de milhares 7 2 2 3 18" xfId="20690" xr:uid="{00000000-0005-0000-0000-00000B5B0000}"/>
    <cellStyle name="Separador de milhares 7 2 2 3 18 2" xfId="20691" xr:uid="{00000000-0005-0000-0000-00000C5B0000}"/>
    <cellStyle name="Separador de milhares 7 2 2 3 18 2 2" xfId="29583" xr:uid="{63EF096A-E3E0-4C95-831E-11B322528485}"/>
    <cellStyle name="Separador de milhares 7 2 2 3 18 3" xfId="29582" xr:uid="{B2059F1F-062C-46BE-AFFB-B352C693BF87}"/>
    <cellStyle name="Separador de milhares 7 2 2 3 19" xfId="20692" xr:uid="{00000000-0005-0000-0000-00000D5B0000}"/>
    <cellStyle name="Separador de milhares 7 2 2 3 19 2" xfId="20693" xr:uid="{00000000-0005-0000-0000-00000E5B0000}"/>
    <cellStyle name="Separador de milhares 7 2 2 3 19 2 2" xfId="29585" xr:uid="{4579A5C6-4432-4E7A-BA95-5215BD3C70FE}"/>
    <cellStyle name="Separador de milhares 7 2 2 3 19 3" xfId="29584" xr:uid="{117E12F3-B84D-4D4B-85B5-CC13545EC423}"/>
    <cellStyle name="Separador de milhares 7 2 2 3 2" xfId="20694" xr:uid="{00000000-0005-0000-0000-00000F5B0000}"/>
    <cellStyle name="Separador de milhares 7 2 2 3 2 2" xfId="20695" xr:uid="{00000000-0005-0000-0000-0000105B0000}"/>
    <cellStyle name="Separador de milhares 7 2 2 3 2 2 2" xfId="29587" xr:uid="{C601658D-7F69-4664-B092-B97A26750E18}"/>
    <cellStyle name="Separador de milhares 7 2 2 3 2 3" xfId="29586" xr:uid="{CC7B722F-46BE-4A82-95B6-F27F7E6A1B7A}"/>
    <cellStyle name="Separador de milhares 7 2 2 3 20" xfId="20696" xr:uid="{00000000-0005-0000-0000-0000115B0000}"/>
    <cellStyle name="Separador de milhares 7 2 2 3 20 2" xfId="20697" xr:uid="{00000000-0005-0000-0000-0000125B0000}"/>
    <cellStyle name="Separador de milhares 7 2 2 3 20 2 2" xfId="29589" xr:uid="{C7253DE1-2EB1-4F58-A235-5254623F3E0D}"/>
    <cellStyle name="Separador de milhares 7 2 2 3 20 3" xfId="29588" xr:uid="{A6CB4875-FCD6-444C-B025-F03CC1B485D9}"/>
    <cellStyle name="Separador de milhares 7 2 2 3 21" xfId="20698" xr:uid="{00000000-0005-0000-0000-0000135B0000}"/>
    <cellStyle name="Separador de milhares 7 2 2 3 21 2" xfId="20699" xr:uid="{00000000-0005-0000-0000-0000145B0000}"/>
    <cellStyle name="Separador de milhares 7 2 2 3 21 2 2" xfId="29591" xr:uid="{E1235E97-2E63-4172-ADD4-45F5B6FD5107}"/>
    <cellStyle name="Separador de milhares 7 2 2 3 21 3" xfId="29590" xr:uid="{A15AB0BF-E087-4E9E-8BCC-6AB883AA67C2}"/>
    <cellStyle name="Separador de milhares 7 2 2 3 22" xfId="20700" xr:uid="{00000000-0005-0000-0000-0000155B0000}"/>
    <cellStyle name="Separador de milhares 7 2 2 3 22 2" xfId="20701" xr:uid="{00000000-0005-0000-0000-0000165B0000}"/>
    <cellStyle name="Separador de milhares 7 2 2 3 22 2 2" xfId="29593" xr:uid="{BFEA48C5-633F-4C3D-BA6F-5DDED27D3558}"/>
    <cellStyle name="Separador de milhares 7 2 2 3 22 3" xfId="29592" xr:uid="{18CBBD65-BB82-486F-A617-5A47FEC9A5A4}"/>
    <cellStyle name="Separador de milhares 7 2 2 3 23" xfId="20702" xr:uid="{00000000-0005-0000-0000-0000175B0000}"/>
    <cellStyle name="Separador de milhares 7 2 2 3 23 2" xfId="20703" xr:uid="{00000000-0005-0000-0000-0000185B0000}"/>
    <cellStyle name="Separador de milhares 7 2 2 3 23 2 2" xfId="29595" xr:uid="{1F66DA45-5077-4355-9D38-A09BE064E8D3}"/>
    <cellStyle name="Separador de milhares 7 2 2 3 23 3" xfId="29594" xr:uid="{0A09AD3F-A731-4E0E-B7B5-838917A2971D}"/>
    <cellStyle name="Separador de milhares 7 2 2 3 24" xfId="20704" xr:uid="{00000000-0005-0000-0000-0000195B0000}"/>
    <cellStyle name="Separador de milhares 7 2 2 3 24 2" xfId="20705" xr:uid="{00000000-0005-0000-0000-00001A5B0000}"/>
    <cellStyle name="Separador de milhares 7 2 2 3 24 2 2" xfId="29597" xr:uid="{343F120F-CFCE-4684-AF25-98977ED079F8}"/>
    <cellStyle name="Separador de milhares 7 2 2 3 24 3" xfId="29596" xr:uid="{6420CFD0-933A-4623-AD43-A8E223E05672}"/>
    <cellStyle name="Separador de milhares 7 2 2 3 25" xfId="20706" xr:uid="{00000000-0005-0000-0000-00001B5B0000}"/>
    <cellStyle name="Separador de milhares 7 2 2 3 25 2" xfId="20707" xr:uid="{00000000-0005-0000-0000-00001C5B0000}"/>
    <cellStyle name="Separador de milhares 7 2 2 3 25 2 2" xfId="29599" xr:uid="{662F2FEF-3D63-4BA3-9981-D2F52CB6198F}"/>
    <cellStyle name="Separador de milhares 7 2 2 3 25 3" xfId="29598" xr:uid="{BDFFFDB2-B9E6-4F79-9C75-53FEE1FC3D5B}"/>
    <cellStyle name="Separador de milhares 7 2 2 3 26" xfId="20708" xr:uid="{00000000-0005-0000-0000-00001D5B0000}"/>
    <cellStyle name="Separador de milhares 7 2 2 3 26 2" xfId="20709" xr:uid="{00000000-0005-0000-0000-00001E5B0000}"/>
    <cellStyle name="Separador de milhares 7 2 2 3 26 2 2" xfId="29601" xr:uid="{DE3AEBC1-2C05-4083-ACF0-FDD542504121}"/>
    <cellStyle name="Separador de milhares 7 2 2 3 26 3" xfId="29600" xr:uid="{0AEC99D9-C91D-40A8-A959-3E8604A7A01B}"/>
    <cellStyle name="Separador de milhares 7 2 2 3 27" xfId="20710" xr:uid="{00000000-0005-0000-0000-00001F5B0000}"/>
    <cellStyle name="Separador de milhares 7 2 2 3 27 2" xfId="20711" xr:uid="{00000000-0005-0000-0000-0000205B0000}"/>
    <cellStyle name="Separador de milhares 7 2 2 3 27 2 2" xfId="29603" xr:uid="{B301A686-26F1-4BDA-B20D-02410211999C}"/>
    <cellStyle name="Separador de milhares 7 2 2 3 27 3" xfId="29602" xr:uid="{C4ACA983-54E5-405D-9905-AB3C629855BD}"/>
    <cellStyle name="Separador de milhares 7 2 2 3 28" xfId="20712" xr:uid="{00000000-0005-0000-0000-0000215B0000}"/>
    <cellStyle name="Separador de milhares 7 2 2 3 28 2" xfId="20713" xr:uid="{00000000-0005-0000-0000-0000225B0000}"/>
    <cellStyle name="Separador de milhares 7 2 2 3 28 2 2" xfId="29605" xr:uid="{0D1BE83C-7E29-4C8F-925C-A4ECC2CBD4B4}"/>
    <cellStyle name="Separador de milhares 7 2 2 3 28 3" xfId="29604" xr:uid="{653151E3-7DDB-4F55-BB8C-D2B6ED998E85}"/>
    <cellStyle name="Separador de milhares 7 2 2 3 29" xfId="20714" xr:uid="{00000000-0005-0000-0000-0000235B0000}"/>
    <cellStyle name="Separador de milhares 7 2 2 3 29 2" xfId="20715" xr:uid="{00000000-0005-0000-0000-0000245B0000}"/>
    <cellStyle name="Separador de milhares 7 2 2 3 29 2 2" xfId="29607" xr:uid="{DA14EE83-5914-456C-B441-1E3C1FAAFB54}"/>
    <cellStyle name="Separador de milhares 7 2 2 3 29 3" xfId="29606" xr:uid="{0A0EDB0D-E66A-4E42-80A4-22D3BCF5C335}"/>
    <cellStyle name="Separador de milhares 7 2 2 3 3" xfId="20716" xr:uid="{00000000-0005-0000-0000-0000255B0000}"/>
    <cellStyle name="Separador de milhares 7 2 2 3 3 2" xfId="20717" xr:uid="{00000000-0005-0000-0000-0000265B0000}"/>
    <cellStyle name="Separador de milhares 7 2 2 3 3 2 2" xfId="29609" xr:uid="{F9D76A40-8C29-4B0A-9F7E-BC8051587D79}"/>
    <cellStyle name="Separador de milhares 7 2 2 3 3 3" xfId="29608" xr:uid="{C24D80EC-264B-4311-A258-F75C182697FD}"/>
    <cellStyle name="Separador de milhares 7 2 2 3 30" xfId="20718" xr:uid="{00000000-0005-0000-0000-0000275B0000}"/>
    <cellStyle name="Separador de milhares 7 2 2 3 30 2" xfId="20719" xr:uid="{00000000-0005-0000-0000-0000285B0000}"/>
    <cellStyle name="Separador de milhares 7 2 2 3 30 2 2" xfId="29611" xr:uid="{284FF3EA-592B-4684-95F5-8DB6A8BAA62B}"/>
    <cellStyle name="Separador de milhares 7 2 2 3 30 3" xfId="29610" xr:uid="{1B51E278-1193-4C8D-A49F-8781EFA90BE5}"/>
    <cellStyle name="Separador de milhares 7 2 2 3 31" xfId="20720" xr:uid="{00000000-0005-0000-0000-0000295B0000}"/>
    <cellStyle name="Separador de milhares 7 2 2 3 31 2" xfId="20721" xr:uid="{00000000-0005-0000-0000-00002A5B0000}"/>
    <cellStyle name="Separador de milhares 7 2 2 3 31 2 2" xfId="29613" xr:uid="{8E64FD25-29CA-4E2D-92B4-4EA39DB4A3C9}"/>
    <cellStyle name="Separador de milhares 7 2 2 3 31 3" xfId="29612" xr:uid="{EEA319CE-BC46-41DF-840E-65954FCD915D}"/>
    <cellStyle name="Separador de milhares 7 2 2 3 32" xfId="20722" xr:uid="{00000000-0005-0000-0000-00002B5B0000}"/>
    <cellStyle name="Separador de milhares 7 2 2 3 32 2" xfId="20723" xr:uid="{00000000-0005-0000-0000-00002C5B0000}"/>
    <cellStyle name="Separador de milhares 7 2 2 3 32 2 2" xfId="29615" xr:uid="{228900D8-D76C-493C-B120-9FEC786771DE}"/>
    <cellStyle name="Separador de milhares 7 2 2 3 32 3" xfId="29614" xr:uid="{3E9A9249-D8F1-4958-ABAB-3B457561FC70}"/>
    <cellStyle name="Separador de milhares 7 2 2 3 33" xfId="20724" xr:uid="{00000000-0005-0000-0000-00002D5B0000}"/>
    <cellStyle name="Separador de milhares 7 2 2 3 33 2" xfId="20725" xr:uid="{00000000-0005-0000-0000-00002E5B0000}"/>
    <cellStyle name="Separador de milhares 7 2 2 3 33 2 2" xfId="29617" xr:uid="{6D1768A3-B16F-4713-BA14-A219F59B0082}"/>
    <cellStyle name="Separador de milhares 7 2 2 3 33 3" xfId="29616" xr:uid="{363F1BBE-B4AA-47A6-B161-BF4A313408A7}"/>
    <cellStyle name="Separador de milhares 7 2 2 3 34" xfId="20726" xr:uid="{00000000-0005-0000-0000-00002F5B0000}"/>
    <cellStyle name="Separador de milhares 7 2 2 3 34 2" xfId="20727" xr:uid="{00000000-0005-0000-0000-0000305B0000}"/>
    <cellStyle name="Separador de milhares 7 2 2 3 34 2 2" xfId="29619" xr:uid="{365EE205-34E5-4E7D-A01C-9917D9A08A4B}"/>
    <cellStyle name="Separador de milhares 7 2 2 3 34 3" xfId="29618" xr:uid="{348A63B4-6A6B-4182-9E2F-370028D6F1B5}"/>
    <cellStyle name="Separador de milhares 7 2 2 3 35" xfId="20728" xr:uid="{00000000-0005-0000-0000-0000315B0000}"/>
    <cellStyle name="Separador de milhares 7 2 2 3 35 2" xfId="29620" xr:uid="{B3FB2BA7-580E-40D8-BC88-BF10E39A2BE7}"/>
    <cellStyle name="Separador de milhares 7 2 2 3 36" xfId="20673" xr:uid="{00000000-0005-0000-0000-0000325B0000}"/>
    <cellStyle name="Separador de milhares 7 2 2 3 37" xfId="28071" xr:uid="{6FAE5181-D76C-4E88-97E7-8AB786CA15F6}"/>
    <cellStyle name="Separador de milhares 7 2 2 3 4" xfId="20729" xr:uid="{00000000-0005-0000-0000-0000335B0000}"/>
    <cellStyle name="Separador de milhares 7 2 2 3 4 2" xfId="20730" xr:uid="{00000000-0005-0000-0000-0000345B0000}"/>
    <cellStyle name="Separador de milhares 7 2 2 3 4 2 2" xfId="29622" xr:uid="{6D11DAB8-0754-4DC1-A342-1D921E35E584}"/>
    <cellStyle name="Separador de milhares 7 2 2 3 4 3" xfId="29621" xr:uid="{07F27F38-7123-478D-B1CC-CDBC0730C6DE}"/>
    <cellStyle name="Separador de milhares 7 2 2 3 5" xfId="20731" xr:uid="{00000000-0005-0000-0000-0000355B0000}"/>
    <cellStyle name="Separador de milhares 7 2 2 3 5 2" xfId="20732" xr:uid="{00000000-0005-0000-0000-0000365B0000}"/>
    <cellStyle name="Separador de milhares 7 2 2 3 5 2 2" xfId="29624" xr:uid="{61C80D78-C4DB-48B9-9A67-43264F7C942E}"/>
    <cellStyle name="Separador de milhares 7 2 2 3 5 3" xfId="29623" xr:uid="{AE7DA314-AE18-42D2-84C6-57D708B12C42}"/>
    <cellStyle name="Separador de milhares 7 2 2 3 6" xfId="20733" xr:uid="{00000000-0005-0000-0000-0000375B0000}"/>
    <cellStyle name="Separador de milhares 7 2 2 3 6 2" xfId="20734" xr:uid="{00000000-0005-0000-0000-0000385B0000}"/>
    <cellStyle name="Separador de milhares 7 2 2 3 6 2 2" xfId="29626" xr:uid="{7B681631-8746-4525-8012-BD5F683DA001}"/>
    <cellStyle name="Separador de milhares 7 2 2 3 6 3" xfId="29625" xr:uid="{A415519A-BFC4-44CA-BDD3-59BF85462FC7}"/>
    <cellStyle name="Separador de milhares 7 2 2 3 7" xfId="20735" xr:uid="{00000000-0005-0000-0000-0000395B0000}"/>
    <cellStyle name="Separador de milhares 7 2 2 3 7 2" xfId="20736" xr:uid="{00000000-0005-0000-0000-00003A5B0000}"/>
    <cellStyle name="Separador de milhares 7 2 2 3 7 2 2" xfId="29628" xr:uid="{B9F0D6FC-54DE-46F6-BB12-0230DD27B0BD}"/>
    <cellStyle name="Separador de milhares 7 2 2 3 7 3" xfId="29627" xr:uid="{322C3A21-D162-411C-B4D7-34B710F349A6}"/>
    <cellStyle name="Separador de milhares 7 2 2 3 8" xfId="20737" xr:uid="{00000000-0005-0000-0000-00003B5B0000}"/>
    <cellStyle name="Separador de milhares 7 2 2 3 8 2" xfId="20738" xr:uid="{00000000-0005-0000-0000-00003C5B0000}"/>
    <cellStyle name="Separador de milhares 7 2 2 3 8 2 2" xfId="29630" xr:uid="{059B93D5-4763-4E1A-94E6-53082C1AA9AC}"/>
    <cellStyle name="Separador de milhares 7 2 2 3 8 3" xfId="29629" xr:uid="{2B08CE5B-C9CE-4FF2-91D3-666BD3D38FC1}"/>
    <cellStyle name="Separador de milhares 7 2 2 3 9" xfId="20739" xr:uid="{00000000-0005-0000-0000-00003D5B0000}"/>
    <cellStyle name="Separador de milhares 7 2 2 3 9 2" xfId="20740" xr:uid="{00000000-0005-0000-0000-00003E5B0000}"/>
    <cellStyle name="Separador de milhares 7 2 2 3 9 2 2" xfId="29632" xr:uid="{EC2C54AC-BA37-45BC-863B-04D09A005207}"/>
    <cellStyle name="Separador de milhares 7 2 2 3 9 3" xfId="29631" xr:uid="{8E752246-6E5B-4073-A9D6-14C18B445DC7}"/>
    <cellStyle name="Separador de milhares 7 2 2 30" xfId="20741" xr:uid="{00000000-0005-0000-0000-00003F5B0000}"/>
    <cellStyle name="Separador de milhares 7 2 2 30 2" xfId="20742" xr:uid="{00000000-0005-0000-0000-0000405B0000}"/>
    <cellStyle name="Separador de milhares 7 2 2 30 2 2" xfId="29634" xr:uid="{C4FA8445-6475-4118-AE40-9A2E7A82C09C}"/>
    <cellStyle name="Separador de milhares 7 2 2 30 3" xfId="29633" xr:uid="{479D5C1B-51DA-4191-967B-AE1094FFD510}"/>
    <cellStyle name="Separador de milhares 7 2 2 31" xfId="20743" xr:uid="{00000000-0005-0000-0000-0000415B0000}"/>
    <cellStyle name="Separador de milhares 7 2 2 31 2" xfId="20744" xr:uid="{00000000-0005-0000-0000-0000425B0000}"/>
    <cellStyle name="Separador de milhares 7 2 2 31 2 2" xfId="29636" xr:uid="{95DFE32A-C6E1-48A2-A3E6-D2E547A0C3BA}"/>
    <cellStyle name="Separador de milhares 7 2 2 31 3" xfId="29635" xr:uid="{9A49B00B-E65C-4050-A02B-DD484C5321AD}"/>
    <cellStyle name="Separador de milhares 7 2 2 32" xfId="20745" xr:uid="{00000000-0005-0000-0000-0000435B0000}"/>
    <cellStyle name="Separador de milhares 7 2 2 32 2" xfId="20746" xr:uid="{00000000-0005-0000-0000-0000445B0000}"/>
    <cellStyle name="Separador de milhares 7 2 2 32 2 2" xfId="29638" xr:uid="{34230893-1F56-4C45-9540-2345DDFA8DE4}"/>
    <cellStyle name="Separador de milhares 7 2 2 32 3" xfId="29637" xr:uid="{5DA95500-C522-4BD9-B32D-58D66B0EA2A5}"/>
    <cellStyle name="Separador de milhares 7 2 2 33" xfId="20747" xr:uid="{00000000-0005-0000-0000-0000455B0000}"/>
    <cellStyle name="Separador de milhares 7 2 2 33 2" xfId="20748" xr:uid="{00000000-0005-0000-0000-0000465B0000}"/>
    <cellStyle name="Separador de milhares 7 2 2 33 2 2" xfId="29640" xr:uid="{74FDC9CD-692C-4704-A703-66404AC0046E}"/>
    <cellStyle name="Separador de milhares 7 2 2 33 3" xfId="29639" xr:uid="{8F64B999-F5A2-47CA-AAA3-DC0B87392131}"/>
    <cellStyle name="Separador de milhares 7 2 2 34" xfId="20749" xr:uid="{00000000-0005-0000-0000-0000475B0000}"/>
    <cellStyle name="Separador de milhares 7 2 2 34 2" xfId="20750" xr:uid="{00000000-0005-0000-0000-0000485B0000}"/>
    <cellStyle name="Separador de milhares 7 2 2 34 2 2" xfId="29642" xr:uid="{494FFD85-A6F8-4D2E-804E-CEFF2DD0B061}"/>
    <cellStyle name="Separador de milhares 7 2 2 34 3" xfId="29641" xr:uid="{DBDC5675-44C2-4942-B3E0-61AA92368B6D}"/>
    <cellStyle name="Separador de milhares 7 2 2 35" xfId="20751" xr:uid="{00000000-0005-0000-0000-0000495B0000}"/>
    <cellStyle name="Separador de milhares 7 2 2 35 2" xfId="20752" xr:uid="{00000000-0005-0000-0000-00004A5B0000}"/>
    <cellStyle name="Separador de milhares 7 2 2 35 2 2" xfId="29644" xr:uid="{E704BB05-083F-4E8F-9ED7-BCBD70CED4E7}"/>
    <cellStyle name="Separador de milhares 7 2 2 35 3" xfId="29643" xr:uid="{F2E4550F-3904-4E9B-A3AD-29FFC7FA4811}"/>
    <cellStyle name="Separador de milhares 7 2 2 36" xfId="20753" xr:uid="{00000000-0005-0000-0000-00004B5B0000}"/>
    <cellStyle name="Separador de milhares 7 2 2 36 2" xfId="20754" xr:uid="{00000000-0005-0000-0000-00004C5B0000}"/>
    <cellStyle name="Separador de milhares 7 2 2 36 2 2" xfId="29646" xr:uid="{A0854FCA-96A8-4359-844B-FDA4B711BA00}"/>
    <cellStyle name="Separador de milhares 7 2 2 36 3" xfId="29645" xr:uid="{5FFD08A6-1D25-4CFC-818B-158EA9F1DDD5}"/>
    <cellStyle name="Separador de milhares 7 2 2 37" xfId="20755" xr:uid="{00000000-0005-0000-0000-00004D5B0000}"/>
    <cellStyle name="Separador de milhares 7 2 2 37 2" xfId="20756" xr:uid="{00000000-0005-0000-0000-00004E5B0000}"/>
    <cellStyle name="Separador de milhares 7 2 2 37 2 2" xfId="29648" xr:uid="{A91929F4-DDE4-486D-96FA-5E8075D46322}"/>
    <cellStyle name="Separador de milhares 7 2 2 37 3" xfId="29647" xr:uid="{FC0F58B0-736D-4B63-A6F0-4C0649A65793}"/>
    <cellStyle name="Separador de milhares 7 2 2 38" xfId="20757" xr:uid="{00000000-0005-0000-0000-00004F5B0000}"/>
    <cellStyle name="Separador de milhares 7 2 2 38 2" xfId="20758" xr:uid="{00000000-0005-0000-0000-0000505B0000}"/>
    <cellStyle name="Separador de milhares 7 2 2 38 2 2" xfId="29650" xr:uid="{6435D838-EAD0-495F-BCC5-BF67AAB62E3D}"/>
    <cellStyle name="Separador de milhares 7 2 2 38 3" xfId="29649" xr:uid="{0EFCF653-7812-4729-8FFE-6B3284F78372}"/>
    <cellStyle name="Separador de milhares 7 2 2 39" xfId="20759" xr:uid="{00000000-0005-0000-0000-0000515B0000}"/>
    <cellStyle name="Separador de milhares 7 2 2 39 2" xfId="20760" xr:uid="{00000000-0005-0000-0000-0000525B0000}"/>
    <cellStyle name="Separador de milhares 7 2 2 39 2 2" xfId="29652" xr:uid="{2B8E31D8-0883-46C4-9FE2-490078AE3B64}"/>
    <cellStyle name="Separador de milhares 7 2 2 39 3" xfId="29651" xr:uid="{E0708B14-1E53-461A-8D48-10A7D003351D}"/>
    <cellStyle name="Separador de milhares 7 2 2 4" xfId="20761" xr:uid="{00000000-0005-0000-0000-0000535B0000}"/>
    <cellStyle name="Separador de milhares 7 2 2 4 2" xfId="20762" xr:uid="{00000000-0005-0000-0000-0000545B0000}"/>
    <cellStyle name="Separador de milhares 7 2 2 4 2 2" xfId="20763" xr:uid="{00000000-0005-0000-0000-0000555B0000}"/>
    <cellStyle name="Separador de milhares 7 2 2 4 2 2 2" xfId="29654" xr:uid="{CC8BBC73-7675-44DB-9AC7-2BEFA57CBDCC}"/>
    <cellStyle name="Separador de milhares 7 2 2 4 2 3" xfId="29653" xr:uid="{F1F5A785-A626-4FE2-84E4-5C2A6263B5DD}"/>
    <cellStyle name="Separador de milhares 7 2 2 4 3" xfId="20764" xr:uid="{00000000-0005-0000-0000-0000565B0000}"/>
    <cellStyle name="Separador de milhares 7 2 2 4 3 2" xfId="20765" xr:uid="{00000000-0005-0000-0000-0000575B0000}"/>
    <cellStyle name="Separador de milhares 7 2 2 4 3 2 2" xfId="29656" xr:uid="{4C479D47-334E-4C60-A734-1E4442DE9F5C}"/>
    <cellStyle name="Separador de milhares 7 2 2 4 3 3" xfId="29655" xr:uid="{5DF3DC11-9498-4E6F-97DA-D58A6C457894}"/>
    <cellStyle name="Separador de milhares 7 2 2 4 4" xfId="20766" xr:uid="{00000000-0005-0000-0000-0000585B0000}"/>
    <cellStyle name="Separador de milhares 7 2 2 4 4 2" xfId="20767" xr:uid="{00000000-0005-0000-0000-0000595B0000}"/>
    <cellStyle name="Separador de milhares 7 2 2 4 4 2 2" xfId="29658" xr:uid="{0208B0AC-EE44-48AF-8847-7834C8CB6103}"/>
    <cellStyle name="Separador de milhares 7 2 2 4 4 3" xfId="29657" xr:uid="{4EDC9153-0108-4F8F-A492-738BFF4B7D03}"/>
    <cellStyle name="Separador de milhares 7 2 2 4 5" xfId="20768" xr:uid="{00000000-0005-0000-0000-00005A5B0000}"/>
    <cellStyle name="Separador de milhares 7 2 2 4 5 2" xfId="20769" xr:uid="{00000000-0005-0000-0000-00005B5B0000}"/>
    <cellStyle name="Separador de milhares 7 2 2 4 5 2 2" xfId="29660" xr:uid="{D40F702C-BB08-4CB8-AF34-2E499665D09D}"/>
    <cellStyle name="Separador de milhares 7 2 2 4 5 3" xfId="29659" xr:uid="{531F437B-4604-47CC-A015-6DCCD62FEC51}"/>
    <cellStyle name="Separador de milhares 7 2 2 4 6" xfId="20770" xr:uid="{00000000-0005-0000-0000-00005C5B0000}"/>
    <cellStyle name="Separador de milhares 7 2 2 4 6 2" xfId="29661" xr:uid="{260C87DA-FF6A-4BBA-8A4B-F21B3EC2F755}"/>
    <cellStyle name="Separador de milhares 7 2 2 40" xfId="20771" xr:uid="{00000000-0005-0000-0000-00005D5B0000}"/>
    <cellStyle name="Separador de milhares 7 2 2 40 2" xfId="20772" xr:uid="{00000000-0005-0000-0000-00005E5B0000}"/>
    <cellStyle name="Separador de milhares 7 2 2 40 2 2" xfId="29663" xr:uid="{D7D2BAD2-3F9A-473C-919F-B1764646519A}"/>
    <cellStyle name="Separador de milhares 7 2 2 40 3" xfId="29662" xr:uid="{482F8677-45C5-4497-8F9C-EB64E1DBABA0}"/>
    <cellStyle name="Separador de milhares 7 2 2 41" xfId="20773" xr:uid="{00000000-0005-0000-0000-00005F5B0000}"/>
    <cellStyle name="Separador de milhares 7 2 2 41 2" xfId="20774" xr:uid="{00000000-0005-0000-0000-0000605B0000}"/>
    <cellStyle name="Separador de milhares 7 2 2 41 2 2" xfId="29665" xr:uid="{1ADFD5BC-8766-49A5-B706-FA6FED00E93B}"/>
    <cellStyle name="Separador de milhares 7 2 2 41 3" xfId="29664" xr:uid="{93FA65C0-C059-4EB2-AF57-935B28563EBD}"/>
    <cellStyle name="Separador de milhares 7 2 2 42" xfId="20775" xr:uid="{00000000-0005-0000-0000-0000615B0000}"/>
    <cellStyle name="Separador de milhares 7 2 2 42 2" xfId="20776" xr:uid="{00000000-0005-0000-0000-0000625B0000}"/>
    <cellStyle name="Separador de milhares 7 2 2 42 2 2" xfId="29667" xr:uid="{05CE7600-A491-4560-ADFE-A8A8BCC2317D}"/>
    <cellStyle name="Separador de milhares 7 2 2 42 3" xfId="29666" xr:uid="{C1369615-77E8-4CE3-AB2E-D70D42FA09B9}"/>
    <cellStyle name="Separador de milhares 7 2 2 43" xfId="20777" xr:uid="{00000000-0005-0000-0000-0000635B0000}"/>
    <cellStyle name="Separador de milhares 7 2 2 43 2" xfId="20778" xr:uid="{00000000-0005-0000-0000-0000645B0000}"/>
    <cellStyle name="Separador de milhares 7 2 2 43 2 2" xfId="29669" xr:uid="{5D92EDA1-4828-45B5-91B7-4B068426C3BD}"/>
    <cellStyle name="Separador de milhares 7 2 2 43 3" xfId="29668" xr:uid="{EB5021BB-F540-4205-B934-9A23572878E7}"/>
    <cellStyle name="Separador de milhares 7 2 2 44" xfId="20779" xr:uid="{00000000-0005-0000-0000-0000655B0000}"/>
    <cellStyle name="Separador de milhares 7 2 2 44 2" xfId="20780" xr:uid="{00000000-0005-0000-0000-0000665B0000}"/>
    <cellStyle name="Separador de milhares 7 2 2 44 2 2" xfId="29671" xr:uid="{64A61CC0-59C5-4423-B2B9-AE3D6CCBB71F}"/>
    <cellStyle name="Separador de milhares 7 2 2 44 3" xfId="29670" xr:uid="{AAB3B025-F21C-4311-8A22-F4166A666FC9}"/>
    <cellStyle name="Separador de milhares 7 2 2 45" xfId="20781" xr:uid="{00000000-0005-0000-0000-0000675B0000}"/>
    <cellStyle name="Separador de milhares 7 2 2 45 2" xfId="20782" xr:uid="{00000000-0005-0000-0000-0000685B0000}"/>
    <cellStyle name="Separador de milhares 7 2 2 45 2 2" xfId="29673" xr:uid="{C1E5F7E7-3BD7-4525-A857-DF3A16857FB9}"/>
    <cellStyle name="Separador de milhares 7 2 2 45 3" xfId="29672" xr:uid="{6BEDD78A-8179-4FD9-B8DB-55459CB74104}"/>
    <cellStyle name="Separador de milhares 7 2 2 46" xfId="20783" xr:uid="{00000000-0005-0000-0000-0000695B0000}"/>
    <cellStyle name="Separador de milhares 7 2 2 46 2" xfId="20784" xr:uid="{00000000-0005-0000-0000-00006A5B0000}"/>
    <cellStyle name="Separador de milhares 7 2 2 46 2 2" xfId="29675" xr:uid="{E55C76FA-01B1-4E9A-A2D9-8B2660B11C93}"/>
    <cellStyle name="Separador de milhares 7 2 2 46 3" xfId="29674" xr:uid="{CA54674B-7E57-4B55-A1A0-BEA9508CEF13}"/>
    <cellStyle name="Separador de milhares 7 2 2 47" xfId="20785" xr:uid="{00000000-0005-0000-0000-00006B5B0000}"/>
    <cellStyle name="Separador de milhares 7 2 2 47 2" xfId="29676" xr:uid="{EA7D56E5-6DCF-4973-B8F1-F89D9E6F324F}"/>
    <cellStyle name="Separador de milhares 7 2 2 48" xfId="20564" xr:uid="{00000000-0005-0000-0000-00006C5B0000}"/>
    <cellStyle name="Separador de milhares 7 2 2 49" xfId="28068" xr:uid="{9FBF098C-5EE5-48B2-AD75-1CD9454A703E}"/>
    <cellStyle name="Separador de milhares 7 2 2 5" xfId="20786" xr:uid="{00000000-0005-0000-0000-00006D5B0000}"/>
    <cellStyle name="Separador de milhares 7 2 2 5 2" xfId="20787" xr:uid="{00000000-0005-0000-0000-00006E5B0000}"/>
    <cellStyle name="Separador de milhares 7 2 2 5 2 2" xfId="29677" xr:uid="{C7A0D325-3D7E-4B6A-AA07-3AB09557B8E3}"/>
    <cellStyle name="Separador de milhares 7 2 2 6" xfId="20788" xr:uid="{00000000-0005-0000-0000-00006F5B0000}"/>
    <cellStyle name="Separador de milhares 7 2 2 6 2" xfId="20789" xr:uid="{00000000-0005-0000-0000-0000705B0000}"/>
    <cellStyle name="Separador de milhares 7 2 2 6 2 2" xfId="29678" xr:uid="{48C2DCE7-1567-45DC-9081-34244DAA674C}"/>
    <cellStyle name="Separador de milhares 7 2 2 7" xfId="20790" xr:uid="{00000000-0005-0000-0000-0000715B0000}"/>
    <cellStyle name="Separador de milhares 7 2 2 7 2" xfId="20791" xr:uid="{00000000-0005-0000-0000-0000725B0000}"/>
    <cellStyle name="Separador de milhares 7 2 2 7 2 2" xfId="29679" xr:uid="{42AACE1B-68C3-4359-8ADA-51DF748D4285}"/>
    <cellStyle name="Separador de milhares 7 2 2 8" xfId="20792" xr:uid="{00000000-0005-0000-0000-0000735B0000}"/>
    <cellStyle name="Separador de milhares 7 2 2 8 2" xfId="20793" xr:uid="{00000000-0005-0000-0000-0000745B0000}"/>
    <cellStyle name="Separador de milhares 7 2 2 8 2 2" xfId="29680" xr:uid="{66F84AF0-2778-4938-86E1-FF956B6A60AA}"/>
    <cellStyle name="Separador de milhares 7 2 2 9" xfId="20794" xr:uid="{00000000-0005-0000-0000-0000755B0000}"/>
    <cellStyle name="Separador de milhares 7 2 2 9 2" xfId="20795" xr:uid="{00000000-0005-0000-0000-0000765B0000}"/>
    <cellStyle name="Separador de milhares 7 2 2 9 2 2" xfId="29681" xr:uid="{2142E902-4106-4322-92B7-1933254192F9}"/>
    <cellStyle name="Separador de milhares 7 2 20" xfId="20796" xr:uid="{00000000-0005-0000-0000-0000775B0000}"/>
    <cellStyle name="Separador de milhares 7 2 20 2" xfId="20797" xr:uid="{00000000-0005-0000-0000-0000785B0000}"/>
    <cellStyle name="Separador de milhares 7 2 20 2 2" xfId="29683" xr:uid="{906BAA16-BD5B-486A-86B0-0E3B2800DD0C}"/>
    <cellStyle name="Separador de milhares 7 2 20 3" xfId="29682" xr:uid="{A394AD10-FAC7-4795-B96C-66C3687DD8BF}"/>
    <cellStyle name="Separador de milhares 7 2 21" xfId="20798" xr:uid="{00000000-0005-0000-0000-0000795B0000}"/>
    <cellStyle name="Separador de milhares 7 2 21 2" xfId="20799" xr:uid="{00000000-0005-0000-0000-00007A5B0000}"/>
    <cellStyle name="Separador de milhares 7 2 21 2 2" xfId="29685" xr:uid="{A4319487-0704-4B76-A42D-B95E55661AFC}"/>
    <cellStyle name="Separador de milhares 7 2 21 3" xfId="29684" xr:uid="{1BC75B58-66C7-4C3C-A3FB-FEA601A4E787}"/>
    <cellStyle name="Separador de milhares 7 2 22" xfId="20800" xr:uid="{00000000-0005-0000-0000-00007B5B0000}"/>
    <cellStyle name="Separador de milhares 7 2 22 2" xfId="20801" xr:uid="{00000000-0005-0000-0000-00007C5B0000}"/>
    <cellStyle name="Separador de milhares 7 2 22 2 2" xfId="29687" xr:uid="{293856B5-CFCF-4A1D-9CE3-95DE2342888B}"/>
    <cellStyle name="Separador de milhares 7 2 22 3" xfId="29686" xr:uid="{AA1D230F-FEDB-43B8-9C30-4FB45C50EB05}"/>
    <cellStyle name="Separador de milhares 7 2 23" xfId="20802" xr:uid="{00000000-0005-0000-0000-00007D5B0000}"/>
    <cellStyle name="Separador de milhares 7 2 23 2" xfId="20803" xr:uid="{00000000-0005-0000-0000-00007E5B0000}"/>
    <cellStyle name="Separador de milhares 7 2 23 2 2" xfId="29689" xr:uid="{BE8476FA-9403-4588-B94C-D20E741EB2B5}"/>
    <cellStyle name="Separador de milhares 7 2 23 3" xfId="29688" xr:uid="{BB6F934C-E580-4BFF-B699-05DFDF505705}"/>
    <cellStyle name="Separador de milhares 7 2 24" xfId="20804" xr:uid="{00000000-0005-0000-0000-00007F5B0000}"/>
    <cellStyle name="Separador de milhares 7 2 24 2" xfId="20805" xr:uid="{00000000-0005-0000-0000-0000805B0000}"/>
    <cellStyle name="Separador de milhares 7 2 24 2 2" xfId="29691" xr:uid="{3DC3743E-7BE1-404B-B958-16A4EEB972C7}"/>
    <cellStyle name="Separador de milhares 7 2 24 3" xfId="29690" xr:uid="{283BF111-D23E-4C19-9273-06E1A8ACE46B}"/>
    <cellStyle name="Separador de milhares 7 2 25" xfId="20806" xr:uid="{00000000-0005-0000-0000-0000815B0000}"/>
    <cellStyle name="Separador de milhares 7 2 25 2" xfId="20807" xr:uid="{00000000-0005-0000-0000-0000825B0000}"/>
    <cellStyle name="Separador de milhares 7 2 25 2 2" xfId="29693" xr:uid="{0D1273A8-B460-471A-B755-4A21B88AEE99}"/>
    <cellStyle name="Separador de milhares 7 2 25 3" xfId="29692" xr:uid="{AF7BDAE5-0093-4DF2-BF8C-40ADEB944BF9}"/>
    <cellStyle name="Separador de milhares 7 2 26" xfId="20808" xr:uid="{00000000-0005-0000-0000-0000835B0000}"/>
    <cellStyle name="Separador de milhares 7 2 26 2" xfId="20809" xr:uid="{00000000-0005-0000-0000-0000845B0000}"/>
    <cellStyle name="Separador de milhares 7 2 26 2 2" xfId="29695" xr:uid="{550810CE-5647-4B25-8BB1-ECA576331032}"/>
    <cellStyle name="Separador de milhares 7 2 26 3" xfId="29694" xr:uid="{BD39AC31-58AE-40D9-9EF5-AB32DED820B6}"/>
    <cellStyle name="Separador de milhares 7 2 27" xfId="20810" xr:uid="{00000000-0005-0000-0000-0000855B0000}"/>
    <cellStyle name="Separador de milhares 7 2 27 2" xfId="20811" xr:uid="{00000000-0005-0000-0000-0000865B0000}"/>
    <cellStyle name="Separador de milhares 7 2 27 2 2" xfId="29697" xr:uid="{6EB9D0A0-599E-488E-84FA-F567167D8379}"/>
    <cellStyle name="Separador de milhares 7 2 27 3" xfId="29696" xr:uid="{4778E78B-845B-42CC-A0D5-2B81D0C3345F}"/>
    <cellStyle name="Separador de milhares 7 2 28" xfId="20812" xr:uid="{00000000-0005-0000-0000-0000875B0000}"/>
    <cellStyle name="Separador de milhares 7 2 28 2" xfId="20813" xr:uid="{00000000-0005-0000-0000-0000885B0000}"/>
    <cellStyle name="Separador de milhares 7 2 28 2 2" xfId="29699" xr:uid="{CFD5C107-3DF9-463C-B685-383D89355A01}"/>
    <cellStyle name="Separador de milhares 7 2 28 3" xfId="29698" xr:uid="{0E503EF8-0A23-4D03-985D-828AE472D474}"/>
    <cellStyle name="Separador de milhares 7 2 29" xfId="20814" xr:uid="{00000000-0005-0000-0000-0000895B0000}"/>
    <cellStyle name="Separador de milhares 7 2 29 2" xfId="20815" xr:uid="{00000000-0005-0000-0000-00008A5B0000}"/>
    <cellStyle name="Separador de milhares 7 2 29 2 2" xfId="29701" xr:uid="{3E7C7AB1-D8FF-4494-908B-980FF8DDEC94}"/>
    <cellStyle name="Separador de milhares 7 2 29 3" xfId="29700" xr:uid="{41D14D18-45A6-493A-99B5-4AD58E4DE7A1}"/>
    <cellStyle name="Separador de milhares 7 2 3" xfId="838" xr:uid="{00000000-0005-0000-0000-00008B5B0000}"/>
    <cellStyle name="Separador de milhares 7 2 3 10" xfId="20817" xr:uid="{00000000-0005-0000-0000-00008C5B0000}"/>
    <cellStyle name="Separador de milhares 7 2 3 10 2" xfId="20818" xr:uid="{00000000-0005-0000-0000-00008D5B0000}"/>
    <cellStyle name="Separador de milhares 7 2 3 10 2 2" xfId="29702" xr:uid="{B380F4F3-BD7A-4E22-A8F0-EDA9A07778D7}"/>
    <cellStyle name="Separador de milhares 7 2 3 11" xfId="20819" xr:uid="{00000000-0005-0000-0000-00008E5B0000}"/>
    <cellStyle name="Separador de milhares 7 2 3 11 2" xfId="20820" xr:uid="{00000000-0005-0000-0000-00008F5B0000}"/>
    <cellStyle name="Separador de milhares 7 2 3 11 2 2" xfId="29704" xr:uid="{292398F5-D8C0-41D5-9AA2-ABD37A27F926}"/>
    <cellStyle name="Separador de milhares 7 2 3 11 3" xfId="29703" xr:uid="{6D8750C9-CE7E-4F5A-90C6-1D838B6C152C}"/>
    <cellStyle name="Separador de milhares 7 2 3 12" xfId="20821" xr:uid="{00000000-0005-0000-0000-0000905B0000}"/>
    <cellStyle name="Separador de milhares 7 2 3 12 2" xfId="20822" xr:uid="{00000000-0005-0000-0000-0000915B0000}"/>
    <cellStyle name="Separador de milhares 7 2 3 12 2 2" xfId="29706" xr:uid="{165EC05A-4CCD-44CD-AB3F-566FA73E03CA}"/>
    <cellStyle name="Separador de milhares 7 2 3 12 3" xfId="29705" xr:uid="{0517B3F1-DA30-4128-B5D8-8F8089C3DB5B}"/>
    <cellStyle name="Separador de milhares 7 2 3 13" xfId="20823" xr:uid="{00000000-0005-0000-0000-0000925B0000}"/>
    <cellStyle name="Separador de milhares 7 2 3 13 2" xfId="20824" xr:uid="{00000000-0005-0000-0000-0000935B0000}"/>
    <cellStyle name="Separador de milhares 7 2 3 13 2 2" xfId="29708" xr:uid="{8DC9DAE6-D1B0-49F3-9445-8B43F893C686}"/>
    <cellStyle name="Separador de milhares 7 2 3 13 3" xfId="29707" xr:uid="{4BAEC37F-733D-4535-929E-B5732C810059}"/>
    <cellStyle name="Separador de milhares 7 2 3 14" xfId="20825" xr:uid="{00000000-0005-0000-0000-0000945B0000}"/>
    <cellStyle name="Separador de milhares 7 2 3 14 2" xfId="20826" xr:uid="{00000000-0005-0000-0000-0000955B0000}"/>
    <cellStyle name="Separador de milhares 7 2 3 14 2 2" xfId="29710" xr:uid="{5C23163D-99B8-4C8B-A66C-D6251CDA98F8}"/>
    <cellStyle name="Separador de milhares 7 2 3 14 3" xfId="29709" xr:uid="{853C6CD2-C126-4515-A652-30DC2CDBAB31}"/>
    <cellStyle name="Separador de milhares 7 2 3 15" xfId="20827" xr:uid="{00000000-0005-0000-0000-0000965B0000}"/>
    <cellStyle name="Separador de milhares 7 2 3 15 2" xfId="20828" xr:uid="{00000000-0005-0000-0000-0000975B0000}"/>
    <cellStyle name="Separador de milhares 7 2 3 15 2 2" xfId="29712" xr:uid="{536FEBC9-72C0-4F2E-883A-736CFBC2C7CA}"/>
    <cellStyle name="Separador de milhares 7 2 3 15 3" xfId="29711" xr:uid="{E77A2A18-409F-4B81-A0EF-198567989F09}"/>
    <cellStyle name="Separador de milhares 7 2 3 16" xfId="20829" xr:uid="{00000000-0005-0000-0000-0000985B0000}"/>
    <cellStyle name="Separador de milhares 7 2 3 16 2" xfId="20830" xr:uid="{00000000-0005-0000-0000-0000995B0000}"/>
    <cellStyle name="Separador de milhares 7 2 3 16 2 2" xfId="29714" xr:uid="{E476A8D2-5D7C-4C71-9257-E7A43F72E63A}"/>
    <cellStyle name="Separador de milhares 7 2 3 16 3" xfId="29713" xr:uid="{23DA4724-A55F-40E8-B76D-C11A1656F1E4}"/>
    <cellStyle name="Separador de milhares 7 2 3 17" xfId="20831" xr:uid="{00000000-0005-0000-0000-00009A5B0000}"/>
    <cellStyle name="Separador de milhares 7 2 3 17 2" xfId="20832" xr:uid="{00000000-0005-0000-0000-00009B5B0000}"/>
    <cellStyle name="Separador de milhares 7 2 3 17 2 2" xfId="29716" xr:uid="{6C7E8366-644C-43EB-8BF3-471514364344}"/>
    <cellStyle name="Separador de milhares 7 2 3 17 3" xfId="29715" xr:uid="{EB9C01D2-03F9-4F0C-AE0F-025A36E3F362}"/>
    <cellStyle name="Separador de milhares 7 2 3 18" xfId="20833" xr:uid="{00000000-0005-0000-0000-00009C5B0000}"/>
    <cellStyle name="Separador de milhares 7 2 3 18 2" xfId="20834" xr:uid="{00000000-0005-0000-0000-00009D5B0000}"/>
    <cellStyle name="Separador de milhares 7 2 3 18 2 2" xfId="29718" xr:uid="{8AFBF628-7592-4046-A365-86BA75F24F8E}"/>
    <cellStyle name="Separador de milhares 7 2 3 18 3" xfId="29717" xr:uid="{FCAA8313-4305-4330-BAB2-7CCED98A58E4}"/>
    <cellStyle name="Separador de milhares 7 2 3 19" xfId="20835" xr:uid="{00000000-0005-0000-0000-00009E5B0000}"/>
    <cellStyle name="Separador de milhares 7 2 3 19 2" xfId="20836" xr:uid="{00000000-0005-0000-0000-00009F5B0000}"/>
    <cellStyle name="Separador de milhares 7 2 3 19 2 2" xfId="29720" xr:uid="{675430A6-33B0-4187-A7FF-3A80C12F7E31}"/>
    <cellStyle name="Separador de milhares 7 2 3 19 3" xfId="29719" xr:uid="{E5718C13-2F92-4311-8388-2CCF96066F6B}"/>
    <cellStyle name="Separador de milhares 7 2 3 2" xfId="839" xr:uid="{00000000-0005-0000-0000-0000A05B0000}"/>
    <cellStyle name="Separador de milhares 7 2 3 2 10" xfId="20838" xr:uid="{00000000-0005-0000-0000-0000A15B0000}"/>
    <cellStyle name="Separador de milhares 7 2 3 2 10 2" xfId="20839" xr:uid="{00000000-0005-0000-0000-0000A25B0000}"/>
    <cellStyle name="Separador de milhares 7 2 3 2 10 2 2" xfId="29722" xr:uid="{7C46341E-9B90-4959-827E-18E17AB134C0}"/>
    <cellStyle name="Separador de milhares 7 2 3 2 10 3" xfId="29721" xr:uid="{9D8C81C9-0067-4AE2-AF62-7FEBF21D3F8F}"/>
    <cellStyle name="Separador de milhares 7 2 3 2 11" xfId="20840" xr:uid="{00000000-0005-0000-0000-0000A35B0000}"/>
    <cellStyle name="Separador de milhares 7 2 3 2 11 2" xfId="20841" xr:uid="{00000000-0005-0000-0000-0000A45B0000}"/>
    <cellStyle name="Separador de milhares 7 2 3 2 11 2 2" xfId="29724" xr:uid="{A1A3D813-6CB9-4AF2-94C9-932DF4AF747C}"/>
    <cellStyle name="Separador de milhares 7 2 3 2 11 3" xfId="29723" xr:uid="{9A73D618-7DDC-4AD1-A9E5-80C4C2A8CEF5}"/>
    <cellStyle name="Separador de milhares 7 2 3 2 12" xfId="20842" xr:uid="{00000000-0005-0000-0000-0000A55B0000}"/>
    <cellStyle name="Separador de milhares 7 2 3 2 12 2" xfId="20843" xr:uid="{00000000-0005-0000-0000-0000A65B0000}"/>
    <cellStyle name="Separador de milhares 7 2 3 2 12 2 2" xfId="29726" xr:uid="{A75655E7-94E4-464D-ADAB-E8D715986C8C}"/>
    <cellStyle name="Separador de milhares 7 2 3 2 12 3" xfId="29725" xr:uid="{4E059BEF-966B-4266-BC3E-2B42C3C53761}"/>
    <cellStyle name="Separador de milhares 7 2 3 2 13" xfId="20844" xr:uid="{00000000-0005-0000-0000-0000A75B0000}"/>
    <cellStyle name="Separador de milhares 7 2 3 2 13 2" xfId="20845" xr:uid="{00000000-0005-0000-0000-0000A85B0000}"/>
    <cellStyle name="Separador de milhares 7 2 3 2 13 2 2" xfId="29728" xr:uid="{053FB947-0F94-40B1-91CE-C93C314D9171}"/>
    <cellStyle name="Separador de milhares 7 2 3 2 13 3" xfId="29727" xr:uid="{44565D1B-03DB-4B2C-AB0C-6371BA6591AD}"/>
    <cellStyle name="Separador de milhares 7 2 3 2 14" xfId="20846" xr:uid="{00000000-0005-0000-0000-0000A95B0000}"/>
    <cellStyle name="Separador de milhares 7 2 3 2 14 2" xfId="20847" xr:uid="{00000000-0005-0000-0000-0000AA5B0000}"/>
    <cellStyle name="Separador de milhares 7 2 3 2 14 2 2" xfId="29730" xr:uid="{15B5CABB-EA3C-482E-BA11-CD4DB26D116F}"/>
    <cellStyle name="Separador de milhares 7 2 3 2 14 3" xfId="29729" xr:uid="{D3093DB8-5157-4D5F-B8CB-7420609287F9}"/>
    <cellStyle name="Separador de milhares 7 2 3 2 15" xfId="20848" xr:uid="{00000000-0005-0000-0000-0000AB5B0000}"/>
    <cellStyle name="Separador de milhares 7 2 3 2 15 2" xfId="20849" xr:uid="{00000000-0005-0000-0000-0000AC5B0000}"/>
    <cellStyle name="Separador de milhares 7 2 3 2 15 2 2" xfId="29732" xr:uid="{DE10F943-80A7-484D-87BC-8BCDC91C5B11}"/>
    <cellStyle name="Separador de milhares 7 2 3 2 15 3" xfId="29731" xr:uid="{A059C25A-9D6F-4AD4-B16D-D99AB3A6E7AD}"/>
    <cellStyle name="Separador de milhares 7 2 3 2 16" xfId="20850" xr:uid="{00000000-0005-0000-0000-0000AD5B0000}"/>
    <cellStyle name="Separador de milhares 7 2 3 2 16 2" xfId="20851" xr:uid="{00000000-0005-0000-0000-0000AE5B0000}"/>
    <cellStyle name="Separador de milhares 7 2 3 2 16 2 2" xfId="29734" xr:uid="{7168EE1F-99E2-4C90-AEDE-87CA04F9A545}"/>
    <cellStyle name="Separador de milhares 7 2 3 2 16 3" xfId="29733" xr:uid="{60059A5B-18C5-4C67-A130-BEFEF7E66BC4}"/>
    <cellStyle name="Separador de milhares 7 2 3 2 17" xfId="20852" xr:uid="{00000000-0005-0000-0000-0000AF5B0000}"/>
    <cellStyle name="Separador de milhares 7 2 3 2 17 2" xfId="20853" xr:uid="{00000000-0005-0000-0000-0000B05B0000}"/>
    <cellStyle name="Separador de milhares 7 2 3 2 17 2 2" xfId="29736" xr:uid="{2D2AC572-6D65-4234-BC6D-9E2FAAC18A92}"/>
    <cellStyle name="Separador de milhares 7 2 3 2 17 3" xfId="29735" xr:uid="{ADF32911-BCAB-46F8-B484-693829DE60C6}"/>
    <cellStyle name="Separador de milhares 7 2 3 2 18" xfId="20854" xr:uid="{00000000-0005-0000-0000-0000B15B0000}"/>
    <cellStyle name="Separador de milhares 7 2 3 2 18 2" xfId="20855" xr:uid="{00000000-0005-0000-0000-0000B25B0000}"/>
    <cellStyle name="Separador de milhares 7 2 3 2 18 2 2" xfId="29738" xr:uid="{88A67469-4DE5-43A7-9B8E-D978D814D765}"/>
    <cellStyle name="Separador de milhares 7 2 3 2 18 3" xfId="29737" xr:uid="{629D1FBE-AAFC-4458-9959-272E272DE459}"/>
    <cellStyle name="Separador de milhares 7 2 3 2 19" xfId="20856" xr:uid="{00000000-0005-0000-0000-0000B35B0000}"/>
    <cellStyle name="Separador de milhares 7 2 3 2 19 2" xfId="20857" xr:uid="{00000000-0005-0000-0000-0000B45B0000}"/>
    <cellStyle name="Separador de milhares 7 2 3 2 19 2 2" xfId="29740" xr:uid="{807E749C-0DC1-4B63-B0CC-F7BE11A9D25A}"/>
    <cellStyle name="Separador de milhares 7 2 3 2 19 3" xfId="29739" xr:uid="{917053EE-7ACC-4073-AB38-F8FC8F390F76}"/>
    <cellStyle name="Separador de milhares 7 2 3 2 2" xfId="20858" xr:uid="{00000000-0005-0000-0000-0000B55B0000}"/>
    <cellStyle name="Separador de milhares 7 2 3 2 2 2" xfId="20859" xr:uid="{00000000-0005-0000-0000-0000B65B0000}"/>
    <cellStyle name="Separador de milhares 7 2 3 2 2 2 2" xfId="29742" xr:uid="{BFEEEAD3-E628-4288-AF32-B96718FD5B93}"/>
    <cellStyle name="Separador de milhares 7 2 3 2 2 3" xfId="29741" xr:uid="{0F4BCF88-D296-4D0B-9153-7F8B0F287ADC}"/>
    <cellStyle name="Separador de milhares 7 2 3 2 20" xfId="20860" xr:uid="{00000000-0005-0000-0000-0000B75B0000}"/>
    <cellStyle name="Separador de milhares 7 2 3 2 20 2" xfId="20861" xr:uid="{00000000-0005-0000-0000-0000B85B0000}"/>
    <cellStyle name="Separador de milhares 7 2 3 2 20 2 2" xfId="29744" xr:uid="{1C736A65-08CE-4DF8-B974-DB7AD534994A}"/>
    <cellStyle name="Separador de milhares 7 2 3 2 20 3" xfId="29743" xr:uid="{CB4988DF-50DA-4F5D-AFFD-D624B3C21DC8}"/>
    <cellStyle name="Separador de milhares 7 2 3 2 21" xfId="20862" xr:uid="{00000000-0005-0000-0000-0000B95B0000}"/>
    <cellStyle name="Separador de milhares 7 2 3 2 21 2" xfId="20863" xr:uid="{00000000-0005-0000-0000-0000BA5B0000}"/>
    <cellStyle name="Separador de milhares 7 2 3 2 21 2 2" xfId="29746" xr:uid="{4D015B9D-FFD0-4728-A892-3165DE5E3A5A}"/>
    <cellStyle name="Separador de milhares 7 2 3 2 21 3" xfId="29745" xr:uid="{A46865A1-0F04-4130-84FC-25A5B126452C}"/>
    <cellStyle name="Separador de milhares 7 2 3 2 22" xfId="20864" xr:uid="{00000000-0005-0000-0000-0000BB5B0000}"/>
    <cellStyle name="Separador de milhares 7 2 3 2 22 2" xfId="20865" xr:uid="{00000000-0005-0000-0000-0000BC5B0000}"/>
    <cellStyle name="Separador de milhares 7 2 3 2 22 2 2" xfId="29748" xr:uid="{5E2252AD-B0D6-46AB-85B5-BD6CA2380643}"/>
    <cellStyle name="Separador de milhares 7 2 3 2 22 3" xfId="29747" xr:uid="{EAEC9CA0-614A-4CA3-9F0B-7CA9114900DC}"/>
    <cellStyle name="Separador de milhares 7 2 3 2 23" xfId="20866" xr:uid="{00000000-0005-0000-0000-0000BD5B0000}"/>
    <cellStyle name="Separador de milhares 7 2 3 2 23 2" xfId="20867" xr:uid="{00000000-0005-0000-0000-0000BE5B0000}"/>
    <cellStyle name="Separador de milhares 7 2 3 2 23 2 2" xfId="29750" xr:uid="{821FEDB4-6225-46A0-851E-2AE65AEC86EE}"/>
    <cellStyle name="Separador de milhares 7 2 3 2 23 3" xfId="29749" xr:uid="{21C6B3BE-814F-4A48-B27B-EC0729125357}"/>
    <cellStyle name="Separador de milhares 7 2 3 2 24" xfId="20868" xr:uid="{00000000-0005-0000-0000-0000BF5B0000}"/>
    <cellStyle name="Separador de milhares 7 2 3 2 24 2" xfId="20869" xr:uid="{00000000-0005-0000-0000-0000C05B0000}"/>
    <cellStyle name="Separador de milhares 7 2 3 2 24 2 2" xfId="29752" xr:uid="{9C256C4C-2F50-42AC-B18B-07F2187BC5EC}"/>
    <cellStyle name="Separador de milhares 7 2 3 2 24 3" xfId="29751" xr:uid="{B43C90EC-008A-4960-8A7C-8CC1FDC704B3}"/>
    <cellStyle name="Separador de milhares 7 2 3 2 25" xfId="20870" xr:uid="{00000000-0005-0000-0000-0000C15B0000}"/>
    <cellStyle name="Separador de milhares 7 2 3 2 25 2" xfId="20871" xr:uid="{00000000-0005-0000-0000-0000C25B0000}"/>
    <cellStyle name="Separador de milhares 7 2 3 2 25 2 2" xfId="29754" xr:uid="{B4A9B0DC-2E4F-4C2D-A394-766759DE26FD}"/>
    <cellStyle name="Separador de milhares 7 2 3 2 25 3" xfId="29753" xr:uid="{C6F1D6B7-5CA5-43BE-9321-B9BE3EA9FF3A}"/>
    <cellStyle name="Separador de milhares 7 2 3 2 26" xfId="20872" xr:uid="{00000000-0005-0000-0000-0000C35B0000}"/>
    <cellStyle name="Separador de milhares 7 2 3 2 26 2" xfId="20873" xr:uid="{00000000-0005-0000-0000-0000C45B0000}"/>
    <cellStyle name="Separador de milhares 7 2 3 2 26 2 2" xfId="29756" xr:uid="{369FDA45-F617-4DB9-BAF8-EE917DAA3230}"/>
    <cellStyle name="Separador de milhares 7 2 3 2 26 3" xfId="29755" xr:uid="{86B7E706-9534-40EA-BAA1-2E75F055386E}"/>
    <cellStyle name="Separador de milhares 7 2 3 2 27" xfId="20874" xr:uid="{00000000-0005-0000-0000-0000C55B0000}"/>
    <cellStyle name="Separador de milhares 7 2 3 2 27 2" xfId="20875" xr:uid="{00000000-0005-0000-0000-0000C65B0000}"/>
    <cellStyle name="Separador de milhares 7 2 3 2 27 2 2" xfId="29758" xr:uid="{ED05DB60-F38C-4DC7-8CA1-FE09EAA70966}"/>
    <cellStyle name="Separador de milhares 7 2 3 2 27 3" xfId="29757" xr:uid="{BA8A195A-A728-4835-A380-5CCE2FF4E60C}"/>
    <cellStyle name="Separador de milhares 7 2 3 2 28" xfId="20876" xr:uid="{00000000-0005-0000-0000-0000C75B0000}"/>
    <cellStyle name="Separador de milhares 7 2 3 2 28 2" xfId="20877" xr:uid="{00000000-0005-0000-0000-0000C85B0000}"/>
    <cellStyle name="Separador de milhares 7 2 3 2 28 2 2" xfId="29760" xr:uid="{05A60A8C-CBB8-4C52-AAA5-4DA40F554F54}"/>
    <cellStyle name="Separador de milhares 7 2 3 2 28 3" xfId="29759" xr:uid="{FDB3FDC6-0BC2-42AD-8ED7-2D676AAFF1FE}"/>
    <cellStyle name="Separador de milhares 7 2 3 2 29" xfId="20878" xr:uid="{00000000-0005-0000-0000-0000C95B0000}"/>
    <cellStyle name="Separador de milhares 7 2 3 2 29 2" xfId="20879" xr:uid="{00000000-0005-0000-0000-0000CA5B0000}"/>
    <cellStyle name="Separador de milhares 7 2 3 2 29 2 2" xfId="29762" xr:uid="{B56A4776-118A-480F-8278-11D8157D202D}"/>
    <cellStyle name="Separador de milhares 7 2 3 2 29 3" xfId="29761" xr:uid="{09113DC8-6E53-420A-BED6-C79E9B7460E5}"/>
    <cellStyle name="Separador de milhares 7 2 3 2 3" xfId="20880" xr:uid="{00000000-0005-0000-0000-0000CB5B0000}"/>
    <cellStyle name="Separador de milhares 7 2 3 2 3 2" xfId="20881" xr:uid="{00000000-0005-0000-0000-0000CC5B0000}"/>
    <cellStyle name="Separador de milhares 7 2 3 2 3 2 2" xfId="29764" xr:uid="{FDA0FF7F-FD94-48C1-85CB-682F04718E80}"/>
    <cellStyle name="Separador de milhares 7 2 3 2 3 3" xfId="29763" xr:uid="{4D723F37-2028-4D5F-A1E4-A6DF43918498}"/>
    <cellStyle name="Separador de milhares 7 2 3 2 30" xfId="20882" xr:uid="{00000000-0005-0000-0000-0000CD5B0000}"/>
    <cellStyle name="Separador de milhares 7 2 3 2 30 2" xfId="20883" xr:uid="{00000000-0005-0000-0000-0000CE5B0000}"/>
    <cellStyle name="Separador de milhares 7 2 3 2 30 2 2" xfId="29766" xr:uid="{24A65648-5435-457E-A1BE-9B164FBEA654}"/>
    <cellStyle name="Separador de milhares 7 2 3 2 30 3" xfId="29765" xr:uid="{44687E60-3BEB-460D-87D1-1B83770FBAC8}"/>
    <cellStyle name="Separador de milhares 7 2 3 2 31" xfId="20884" xr:uid="{00000000-0005-0000-0000-0000CF5B0000}"/>
    <cellStyle name="Separador de milhares 7 2 3 2 31 2" xfId="20885" xr:uid="{00000000-0005-0000-0000-0000D05B0000}"/>
    <cellStyle name="Separador de milhares 7 2 3 2 31 2 2" xfId="29768" xr:uid="{08CAC1D1-FDFE-48D8-B19E-087C266505EB}"/>
    <cellStyle name="Separador de milhares 7 2 3 2 31 3" xfId="29767" xr:uid="{6A0C976F-A46D-49C0-8AC1-7CA0850E9B39}"/>
    <cellStyle name="Separador de milhares 7 2 3 2 32" xfId="20886" xr:uid="{00000000-0005-0000-0000-0000D15B0000}"/>
    <cellStyle name="Separador de milhares 7 2 3 2 32 2" xfId="20887" xr:uid="{00000000-0005-0000-0000-0000D25B0000}"/>
    <cellStyle name="Separador de milhares 7 2 3 2 32 2 2" xfId="29770" xr:uid="{069DAECE-25C6-47FC-BE19-77BF6714D7BD}"/>
    <cellStyle name="Separador de milhares 7 2 3 2 32 3" xfId="29769" xr:uid="{65FDF035-5F00-4060-A7F9-20397493DD73}"/>
    <cellStyle name="Separador de milhares 7 2 3 2 33" xfId="20888" xr:uid="{00000000-0005-0000-0000-0000D35B0000}"/>
    <cellStyle name="Separador de milhares 7 2 3 2 33 2" xfId="20889" xr:uid="{00000000-0005-0000-0000-0000D45B0000}"/>
    <cellStyle name="Separador de milhares 7 2 3 2 33 2 2" xfId="29772" xr:uid="{E3B2F694-5149-4D93-9532-A9C3AD0BC84E}"/>
    <cellStyle name="Separador de milhares 7 2 3 2 33 3" xfId="29771" xr:uid="{7CC60555-5F1C-448C-9570-DC57FF4D6CBB}"/>
    <cellStyle name="Separador de milhares 7 2 3 2 34" xfId="20890" xr:uid="{00000000-0005-0000-0000-0000D55B0000}"/>
    <cellStyle name="Separador de milhares 7 2 3 2 34 2" xfId="20891" xr:uid="{00000000-0005-0000-0000-0000D65B0000}"/>
    <cellStyle name="Separador de milhares 7 2 3 2 34 2 2" xfId="29774" xr:uid="{5EBA1006-B719-4CA3-AA16-CC96F146798A}"/>
    <cellStyle name="Separador de milhares 7 2 3 2 34 3" xfId="29773" xr:uid="{668FF623-B514-4CF2-87C9-A7AC44901FC1}"/>
    <cellStyle name="Separador de milhares 7 2 3 2 35" xfId="20892" xr:uid="{00000000-0005-0000-0000-0000D75B0000}"/>
    <cellStyle name="Separador de milhares 7 2 3 2 35 2" xfId="29775" xr:uid="{D1DABFBE-79B4-4E0E-8A71-8709BC69015B}"/>
    <cellStyle name="Separador de milhares 7 2 3 2 36" xfId="20837" xr:uid="{00000000-0005-0000-0000-0000D85B0000}"/>
    <cellStyle name="Separador de milhares 7 2 3 2 37" xfId="28073" xr:uid="{2D3417DA-4C34-4C8A-B9AE-7731A10783F5}"/>
    <cellStyle name="Separador de milhares 7 2 3 2 4" xfId="20893" xr:uid="{00000000-0005-0000-0000-0000D95B0000}"/>
    <cellStyle name="Separador de milhares 7 2 3 2 4 2" xfId="20894" xr:uid="{00000000-0005-0000-0000-0000DA5B0000}"/>
    <cellStyle name="Separador de milhares 7 2 3 2 4 2 2" xfId="29777" xr:uid="{75ADCFFF-52BA-4F9F-B5D1-8FB5AAB45955}"/>
    <cellStyle name="Separador de milhares 7 2 3 2 4 3" xfId="29776" xr:uid="{34C12B32-4F00-4A96-84CE-E312C1EE464D}"/>
    <cellStyle name="Separador de milhares 7 2 3 2 5" xfId="20895" xr:uid="{00000000-0005-0000-0000-0000DB5B0000}"/>
    <cellStyle name="Separador de milhares 7 2 3 2 5 2" xfId="20896" xr:uid="{00000000-0005-0000-0000-0000DC5B0000}"/>
    <cellStyle name="Separador de milhares 7 2 3 2 5 2 2" xfId="29779" xr:uid="{E16E8AB0-D81F-4513-98E9-CA3146C744BA}"/>
    <cellStyle name="Separador de milhares 7 2 3 2 5 3" xfId="29778" xr:uid="{829B13C5-B3B0-49F9-8FA3-E1BB4C133B71}"/>
    <cellStyle name="Separador de milhares 7 2 3 2 6" xfId="20897" xr:uid="{00000000-0005-0000-0000-0000DD5B0000}"/>
    <cellStyle name="Separador de milhares 7 2 3 2 6 2" xfId="20898" xr:uid="{00000000-0005-0000-0000-0000DE5B0000}"/>
    <cellStyle name="Separador de milhares 7 2 3 2 6 2 2" xfId="29781" xr:uid="{6EA5D2B2-A19A-4C91-A68D-83AC4DA946AB}"/>
    <cellStyle name="Separador de milhares 7 2 3 2 6 3" xfId="29780" xr:uid="{5EFD73ED-1694-4F43-ABF6-0A71F8CEE9E2}"/>
    <cellStyle name="Separador de milhares 7 2 3 2 7" xfId="20899" xr:uid="{00000000-0005-0000-0000-0000DF5B0000}"/>
    <cellStyle name="Separador de milhares 7 2 3 2 7 2" xfId="20900" xr:uid="{00000000-0005-0000-0000-0000E05B0000}"/>
    <cellStyle name="Separador de milhares 7 2 3 2 7 2 2" xfId="29783" xr:uid="{618EC08A-AE6F-450F-88E3-16F47810A676}"/>
    <cellStyle name="Separador de milhares 7 2 3 2 7 3" xfId="29782" xr:uid="{4D184823-AEE8-49FD-B62D-457A27C72877}"/>
    <cellStyle name="Separador de milhares 7 2 3 2 8" xfId="20901" xr:uid="{00000000-0005-0000-0000-0000E15B0000}"/>
    <cellStyle name="Separador de milhares 7 2 3 2 8 2" xfId="20902" xr:uid="{00000000-0005-0000-0000-0000E25B0000}"/>
    <cellStyle name="Separador de milhares 7 2 3 2 8 2 2" xfId="29785" xr:uid="{BB0241B7-D2CC-483B-8D88-449170120FDA}"/>
    <cellStyle name="Separador de milhares 7 2 3 2 8 3" xfId="29784" xr:uid="{FE9F0CB9-32DD-4D2A-BA44-382611C2E87F}"/>
    <cellStyle name="Separador de milhares 7 2 3 2 9" xfId="20903" xr:uid="{00000000-0005-0000-0000-0000E35B0000}"/>
    <cellStyle name="Separador de milhares 7 2 3 2 9 2" xfId="20904" xr:uid="{00000000-0005-0000-0000-0000E45B0000}"/>
    <cellStyle name="Separador de milhares 7 2 3 2 9 2 2" xfId="29787" xr:uid="{72D0FC06-3396-4FA5-AE83-AB4D9701F9A5}"/>
    <cellStyle name="Separador de milhares 7 2 3 2 9 3" xfId="29786" xr:uid="{0A01ED40-2A6C-48F2-8652-6D06639727A0}"/>
    <cellStyle name="Separador de milhares 7 2 3 20" xfId="20905" xr:uid="{00000000-0005-0000-0000-0000E55B0000}"/>
    <cellStyle name="Separador de milhares 7 2 3 20 2" xfId="20906" xr:uid="{00000000-0005-0000-0000-0000E65B0000}"/>
    <cellStyle name="Separador de milhares 7 2 3 20 2 2" xfId="29789" xr:uid="{117AC59E-2177-4B97-B120-9D78A5EFBB2A}"/>
    <cellStyle name="Separador de milhares 7 2 3 20 3" xfId="29788" xr:uid="{EA34D401-DC6A-4FAE-8C88-B06DAEE365AF}"/>
    <cellStyle name="Separador de milhares 7 2 3 21" xfId="20907" xr:uid="{00000000-0005-0000-0000-0000E75B0000}"/>
    <cellStyle name="Separador de milhares 7 2 3 21 2" xfId="20908" xr:uid="{00000000-0005-0000-0000-0000E85B0000}"/>
    <cellStyle name="Separador de milhares 7 2 3 21 2 2" xfId="29791" xr:uid="{9E9CE36D-8C0F-4E29-9379-B30865C2DD05}"/>
    <cellStyle name="Separador de milhares 7 2 3 21 3" xfId="29790" xr:uid="{D2FB35D3-6BFB-44FA-889A-5382A130FC71}"/>
    <cellStyle name="Separador de milhares 7 2 3 22" xfId="20909" xr:uid="{00000000-0005-0000-0000-0000E95B0000}"/>
    <cellStyle name="Separador de milhares 7 2 3 22 2" xfId="20910" xr:uid="{00000000-0005-0000-0000-0000EA5B0000}"/>
    <cellStyle name="Separador de milhares 7 2 3 22 2 2" xfId="29793" xr:uid="{7EF57BAB-6688-4086-97E0-ED6E0FF6E707}"/>
    <cellStyle name="Separador de milhares 7 2 3 22 3" xfId="29792" xr:uid="{880CA893-D3A4-47EB-A63D-A7CD9144AC49}"/>
    <cellStyle name="Separador de milhares 7 2 3 23" xfId="20911" xr:uid="{00000000-0005-0000-0000-0000EB5B0000}"/>
    <cellStyle name="Separador de milhares 7 2 3 23 2" xfId="20912" xr:uid="{00000000-0005-0000-0000-0000EC5B0000}"/>
    <cellStyle name="Separador de milhares 7 2 3 23 2 2" xfId="29795" xr:uid="{50731F6A-463E-4996-8888-3911278A7F5A}"/>
    <cellStyle name="Separador de milhares 7 2 3 23 3" xfId="29794" xr:uid="{16D2D3FA-940D-4143-8B8F-2F02754156FB}"/>
    <cellStyle name="Separador de milhares 7 2 3 24" xfId="20913" xr:uid="{00000000-0005-0000-0000-0000ED5B0000}"/>
    <cellStyle name="Separador de milhares 7 2 3 24 2" xfId="20914" xr:uid="{00000000-0005-0000-0000-0000EE5B0000}"/>
    <cellStyle name="Separador de milhares 7 2 3 24 2 2" xfId="29797" xr:uid="{CD0ACECC-9453-49CA-9FB6-00DAB3128C86}"/>
    <cellStyle name="Separador de milhares 7 2 3 24 3" xfId="29796" xr:uid="{E44C7B68-82A8-458B-BF23-654BA2F90EEE}"/>
    <cellStyle name="Separador de milhares 7 2 3 25" xfId="20915" xr:uid="{00000000-0005-0000-0000-0000EF5B0000}"/>
    <cellStyle name="Separador de milhares 7 2 3 25 2" xfId="20916" xr:uid="{00000000-0005-0000-0000-0000F05B0000}"/>
    <cellStyle name="Separador de milhares 7 2 3 25 2 2" xfId="29799" xr:uid="{93F8C28E-6CCD-4521-BA38-7317236E716A}"/>
    <cellStyle name="Separador de milhares 7 2 3 25 3" xfId="29798" xr:uid="{72D9E323-0196-46FB-89C7-50345E7183CE}"/>
    <cellStyle name="Separador de milhares 7 2 3 26" xfId="20917" xr:uid="{00000000-0005-0000-0000-0000F15B0000}"/>
    <cellStyle name="Separador de milhares 7 2 3 26 2" xfId="20918" xr:uid="{00000000-0005-0000-0000-0000F25B0000}"/>
    <cellStyle name="Separador de milhares 7 2 3 26 2 2" xfId="29801" xr:uid="{39A32A10-BA8A-4828-997C-BBCB8F0FBE87}"/>
    <cellStyle name="Separador de milhares 7 2 3 26 3" xfId="29800" xr:uid="{4CC20AE2-06E2-4CA1-9E42-6EE08F207DDF}"/>
    <cellStyle name="Separador de milhares 7 2 3 27" xfId="20919" xr:uid="{00000000-0005-0000-0000-0000F35B0000}"/>
    <cellStyle name="Separador de milhares 7 2 3 27 2" xfId="20920" xr:uid="{00000000-0005-0000-0000-0000F45B0000}"/>
    <cellStyle name="Separador de milhares 7 2 3 27 2 2" xfId="29803" xr:uid="{6F4BF7CB-02CF-4E93-AD03-92FF43F1F9D9}"/>
    <cellStyle name="Separador de milhares 7 2 3 27 3" xfId="29802" xr:uid="{8BB79300-15F8-4AC5-8BE6-23EEF3AC6BFF}"/>
    <cellStyle name="Separador de milhares 7 2 3 28" xfId="20921" xr:uid="{00000000-0005-0000-0000-0000F55B0000}"/>
    <cellStyle name="Separador de milhares 7 2 3 28 2" xfId="20922" xr:uid="{00000000-0005-0000-0000-0000F65B0000}"/>
    <cellStyle name="Separador de milhares 7 2 3 28 2 2" xfId="29805" xr:uid="{BE0380DB-2E9F-4493-BBEF-F272A34EB7F6}"/>
    <cellStyle name="Separador de milhares 7 2 3 28 3" xfId="29804" xr:uid="{50F1CA43-CE0A-4E7C-BD4E-6A17A4F90ADE}"/>
    <cellStyle name="Separador de milhares 7 2 3 29" xfId="20923" xr:uid="{00000000-0005-0000-0000-0000F75B0000}"/>
    <cellStyle name="Separador de milhares 7 2 3 29 2" xfId="20924" xr:uid="{00000000-0005-0000-0000-0000F85B0000}"/>
    <cellStyle name="Separador de milhares 7 2 3 29 2 2" xfId="29807" xr:uid="{BEFAD5CF-C3C9-4F1C-80FB-5A3465F152CE}"/>
    <cellStyle name="Separador de milhares 7 2 3 29 3" xfId="29806" xr:uid="{8D33D45F-CEAE-483D-B18A-B6855B489376}"/>
    <cellStyle name="Separador de milhares 7 2 3 3" xfId="20925" xr:uid="{00000000-0005-0000-0000-0000F95B0000}"/>
    <cellStyle name="Separador de milhares 7 2 3 3 10" xfId="20926" xr:uid="{00000000-0005-0000-0000-0000FA5B0000}"/>
    <cellStyle name="Separador de milhares 7 2 3 3 10 2" xfId="20927" xr:uid="{00000000-0005-0000-0000-0000FB5B0000}"/>
    <cellStyle name="Separador de milhares 7 2 3 3 10 2 2" xfId="29809" xr:uid="{A5A4F8D1-6D01-43A6-AF8D-C6492BB4E7B1}"/>
    <cellStyle name="Separador de milhares 7 2 3 3 10 3" xfId="29808" xr:uid="{AB28E906-B123-44C7-A369-6F657D8FA825}"/>
    <cellStyle name="Separador de milhares 7 2 3 3 11" xfId="20928" xr:uid="{00000000-0005-0000-0000-0000FC5B0000}"/>
    <cellStyle name="Separador de milhares 7 2 3 3 11 2" xfId="20929" xr:uid="{00000000-0005-0000-0000-0000FD5B0000}"/>
    <cellStyle name="Separador de milhares 7 2 3 3 11 2 2" xfId="29811" xr:uid="{24904C02-EB74-4CFD-AD37-983E48D4196D}"/>
    <cellStyle name="Separador de milhares 7 2 3 3 11 3" xfId="29810" xr:uid="{2BF5ED00-808A-4E48-8FAF-7E5A05B36DA4}"/>
    <cellStyle name="Separador de milhares 7 2 3 3 12" xfId="20930" xr:uid="{00000000-0005-0000-0000-0000FE5B0000}"/>
    <cellStyle name="Separador de milhares 7 2 3 3 12 2" xfId="20931" xr:uid="{00000000-0005-0000-0000-0000FF5B0000}"/>
    <cellStyle name="Separador de milhares 7 2 3 3 12 2 2" xfId="29813" xr:uid="{2BA690D1-CEA8-40BE-8423-013692D01835}"/>
    <cellStyle name="Separador de milhares 7 2 3 3 12 3" xfId="29812" xr:uid="{D515A3E1-82FA-41A0-BF61-828AF0A9EB7B}"/>
    <cellStyle name="Separador de milhares 7 2 3 3 13" xfId="20932" xr:uid="{00000000-0005-0000-0000-0000005C0000}"/>
    <cellStyle name="Separador de milhares 7 2 3 3 13 2" xfId="20933" xr:uid="{00000000-0005-0000-0000-0000015C0000}"/>
    <cellStyle name="Separador de milhares 7 2 3 3 13 2 2" xfId="29815" xr:uid="{A8399AD6-A05F-4895-8DE4-6C90B36EEDB9}"/>
    <cellStyle name="Separador de milhares 7 2 3 3 13 3" xfId="29814" xr:uid="{9F1F55C0-4F8D-4055-999C-DADBDCB3F5C2}"/>
    <cellStyle name="Separador de milhares 7 2 3 3 14" xfId="20934" xr:uid="{00000000-0005-0000-0000-0000025C0000}"/>
    <cellStyle name="Separador de milhares 7 2 3 3 14 2" xfId="20935" xr:uid="{00000000-0005-0000-0000-0000035C0000}"/>
    <cellStyle name="Separador de milhares 7 2 3 3 14 2 2" xfId="29817" xr:uid="{7D2E8A88-0F5F-4D64-8939-C0BA2353035A}"/>
    <cellStyle name="Separador de milhares 7 2 3 3 14 3" xfId="29816" xr:uid="{FB8DEA92-BDBB-4A30-859F-F0F97D60FF5D}"/>
    <cellStyle name="Separador de milhares 7 2 3 3 15" xfId="20936" xr:uid="{00000000-0005-0000-0000-0000045C0000}"/>
    <cellStyle name="Separador de milhares 7 2 3 3 15 2" xfId="20937" xr:uid="{00000000-0005-0000-0000-0000055C0000}"/>
    <cellStyle name="Separador de milhares 7 2 3 3 15 2 2" xfId="29819" xr:uid="{6C0C2E8C-7988-4399-907A-FEE16FB9758A}"/>
    <cellStyle name="Separador de milhares 7 2 3 3 15 3" xfId="29818" xr:uid="{63C85044-F110-4464-8714-BAA4F35BF6F4}"/>
    <cellStyle name="Separador de milhares 7 2 3 3 16" xfId="20938" xr:uid="{00000000-0005-0000-0000-0000065C0000}"/>
    <cellStyle name="Separador de milhares 7 2 3 3 16 2" xfId="20939" xr:uid="{00000000-0005-0000-0000-0000075C0000}"/>
    <cellStyle name="Separador de milhares 7 2 3 3 16 2 2" xfId="29821" xr:uid="{3FE8B163-49F1-4098-88A9-9EAA335F1319}"/>
    <cellStyle name="Separador de milhares 7 2 3 3 16 3" xfId="29820" xr:uid="{95625FE9-DA3D-4E33-9551-A7A5C025EF77}"/>
    <cellStyle name="Separador de milhares 7 2 3 3 17" xfId="20940" xr:uid="{00000000-0005-0000-0000-0000085C0000}"/>
    <cellStyle name="Separador de milhares 7 2 3 3 17 2" xfId="20941" xr:uid="{00000000-0005-0000-0000-0000095C0000}"/>
    <cellStyle name="Separador de milhares 7 2 3 3 17 2 2" xfId="29823" xr:uid="{3F42D8A8-DA1E-448D-9699-091C4D9BD77D}"/>
    <cellStyle name="Separador de milhares 7 2 3 3 17 3" xfId="29822" xr:uid="{00DC0EAF-6FAA-4668-8682-F87F200A0842}"/>
    <cellStyle name="Separador de milhares 7 2 3 3 18" xfId="20942" xr:uid="{00000000-0005-0000-0000-00000A5C0000}"/>
    <cellStyle name="Separador de milhares 7 2 3 3 18 2" xfId="20943" xr:uid="{00000000-0005-0000-0000-00000B5C0000}"/>
    <cellStyle name="Separador de milhares 7 2 3 3 18 2 2" xfId="29825" xr:uid="{D6D4AD3E-03E5-4CDE-BC48-0FF700BC0DBA}"/>
    <cellStyle name="Separador de milhares 7 2 3 3 18 3" xfId="29824" xr:uid="{9B19CF4A-6FCD-483D-B177-4491C56944A5}"/>
    <cellStyle name="Separador de milhares 7 2 3 3 19" xfId="20944" xr:uid="{00000000-0005-0000-0000-00000C5C0000}"/>
    <cellStyle name="Separador de milhares 7 2 3 3 19 2" xfId="20945" xr:uid="{00000000-0005-0000-0000-00000D5C0000}"/>
    <cellStyle name="Separador de milhares 7 2 3 3 19 2 2" xfId="29827" xr:uid="{84609E4A-8606-4219-9DEF-679599AEB062}"/>
    <cellStyle name="Separador de milhares 7 2 3 3 19 3" xfId="29826" xr:uid="{7DE929BF-983F-4F49-9378-24139B47EC23}"/>
    <cellStyle name="Separador de milhares 7 2 3 3 2" xfId="20946" xr:uid="{00000000-0005-0000-0000-00000E5C0000}"/>
    <cellStyle name="Separador de milhares 7 2 3 3 2 2" xfId="20947" xr:uid="{00000000-0005-0000-0000-00000F5C0000}"/>
    <cellStyle name="Separador de milhares 7 2 3 3 2 2 2" xfId="29829" xr:uid="{8A484ADB-7F94-4AED-B794-D5B4A0BC8325}"/>
    <cellStyle name="Separador de milhares 7 2 3 3 2 3" xfId="29828" xr:uid="{2679D034-41EA-4867-A372-FC8260CADB44}"/>
    <cellStyle name="Separador de milhares 7 2 3 3 20" xfId="20948" xr:uid="{00000000-0005-0000-0000-0000105C0000}"/>
    <cellStyle name="Separador de milhares 7 2 3 3 20 2" xfId="20949" xr:uid="{00000000-0005-0000-0000-0000115C0000}"/>
    <cellStyle name="Separador de milhares 7 2 3 3 20 2 2" xfId="29831" xr:uid="{EB3ADD10-525C-4E01-A1EE-94BDB869DE37}"/>
    <cellStyle name="Separador de milhares 7 2 3 3 20 3" xfId="29830" xr:uid="{FA918435-9C49-4676-BDE0-DB9A3BE31152}"/>
    <cellStyle name="Separador de milhares 7 2 3 3 21" xfId="20950" xr:uid="{00000000-0005-0000-0000-0000125C0000}"/>
    <cellStyle name="Separador de milhares 7 2 3 3 21 2" xfId="20951" xr:uid="{00000000-0005-0000-0000-0000135C0000}"/>
    <cellStyle name="Separador de milhares 7 2 3 3 21 2 2" xfId="29833" xr:uid="{E63E8B25-60BD-4860-9ED9-19FFE00432E2}"/>
    <cellStyle name="Separador de milhares 7 2 3 3 21 3" xfId="29832" xr:uid="{E29B72D2-A9BD-4DB6-8431-DFAB45D07F19}"/>
    <cellStyle name="Separador de milhares 7 2 3 3 22" xfId="20952" xr:uid="{00000000-0005-0000-0000-0000145C0000}"/>
    <cellStyle name="Separador de milhares 7 2 3 3 22 2" xfId="20953" xr:uid="{00000000-0005-0000-0000-0000155C0000}"/>
    <cellStyle name="Separador de milhares 7 2 3 3 22 2 2" xfId="29835" xr:uid="{115B15DC-1ED0-48E3-B4DA-1DEEA73B5D10}"/>
    <cellStyle name="Separador de milhares 7 2 3 3 22 3" xfId="29834" xr:uid="{BBCCBBA5-8E48-4236-80B5-4BDEBB518C40}"/>
    <cellStyle name="Separador de milhares 7 2 3 3 23" xfId="20954" xr:uid="{00000000-0005-0000-0000-0000165C0000}"/>
    <cellStyle name="Separador de milhares 7 2 3 3 23 2" xfId="20955" xr:uid="{00000000-0005-0000-0000-0000175C0000}"/>
    <cellStyle name="Separador de milhares 7 2 3 3 23 2 2" xfId="29837" xr:uid="{49C14CCC-E08F-4F5D-AA46-F3195E3A53E4}"/>
    <cellStyle name="Separador de milhares 7 2 3 3 23 3" xfId="29836" xr:uid="{84B3F481-C86C-43E8-BCA1-78CC189986C5}"/>
    <cellStyle name="Separador de milhares 7 2 3 3 24" xfId="20956" xr:uid="{00000000-0005-0000-0000-0000185C0000}"/>
    <cellStyle name="Separador de milhares 7 2 3 3 24 2" xfId="20957" xr:uid="{00000000-0005-0000-0000-0000195C0000}"/>
    <cellStyle name="Separador de milhares 7 2 3 3 24 2 2" xfId="29839" xr:uid="{CE446116-B19C-42AC-84C5-92F77E4E7088}"/>
    <cellStyle name="Separador de milhares 7 2 3 3 24 3" xfId="29838" xr:uid="{07FD4913-44C3-44CF-BCD6-C7C6C4971D97}"/>
    <cellStyle name="Separador de milhares 7 2 3 3 25" xfId="20958" xr:uid="{00000000-0005-0000-0000-00001A5C0000}"/>
    <cellStyle name="Separador de milhares 7 2 3 3 25 2" xfId="20959" xr:uid="{00000000-0005-0000-0000-00001B5C0000}"/>
    <cellStyle name="Separador de milhares 7 2 3 3 25 2 2" xfId="29841" xr:uid="{B3E0A452-3C02-42EE-B177-C8B46F2F4208}"/>
    <cellStyle name="Separador de milhares 7 2 3 3 25 3" xfId="29840" xr:uid="{40A14554-16EE-4349-962C-2FCEFA86A365}"/>
    <cellStyle name="Separador de milhares 7 2 3 3 26" xfId="20960" xr:uid="{00000000-0005-0000-0000-00001C5C0000}"/>
    <cellStyle name="Separador de milhares 7 2 3 3 26 2" xfId="20961" xr:uid="{00000000-0005-0000-0000-00001D5C0000}"/>
    <cellStyle name="Separador de milhares 7 2 3 3 26 2 2" xfId="29843" xr:uid="{377A806F-1A73-4D16-95C0-0740813905C9}"/>
    <cellStyle name="Separador de milhares 7 2 3 3 26 3" xfId="29842" xr:uid="{07C41E6E-F3A1-40BF-8746-7D46D11DDE0E}"/>
    <cellStyle name="Separador de milhares 7 2 3 3 27" xfId="20962" xr:uid="{00000000-0005-0000-0000-00001E5C0000}"/>
    <cellStyle name="Separador de milhares 7 2 3 3 27 2" xfId="20963" xr:uid="{00000000-0005-0000-0000-00001F5C0000}"/>
    <cellStyle name="Separador de milhares 7 2 3 3 27 2 2" xfId="29845" xr:uid="{167E93DB-8AAC-4EEF-873C-E7B08D74DDD1}"/>
    <cellStyle name="Separador de milhares 7 2 3 3 27 3" xfId="29844" xr:uid="{51C2BE35-BC6C-4F64-B7A0-732D9ABD23EF}"/>
    <cellStyle name="Separador de milhares 7 2 3 3 28" xfId="20964" xr:uid="{00000000-0005-0000-0000-0000205C0000}"/>
    <cellStyle name="Separador de milhares 7 2 3 3 28 2" xfId="20965" xr:uid="{00000000-0005-0000-0000-0000215C0000}"/>
    <cellStyle name="Separador de milhares 7 2 3 3 28 2 2" xfId="29847" xr:uid="{A855B4C0-0A74-4066-AA01-B50605F42659}"/>
    <cellStyle name="Separador de milhares 7 2 3 3 28 3" xfId="29846" xr:uid="{485D37B2-77A8-41C0-B0D2-E177C042C263}"/>
    <cellStyle name="Separador de milhares 7 2 3 3 29" xfId="20966" xr:uid="{00000000-0005-0000-0000-0000225C0000}"/>
    <cellStyle name="Separador de milhares 7 2 3 3 29 2" xfId="20967" xr:uid="{00000000-0005-0000-0000-0000235C0000}"/>
    <cellStyle name="Separador de milhares 7 2 3 3 29 2 2" xfId="29849" xr:uid="{E4400A19-B6A4-42D9-B9EB-D819AC25FDAA}"/>
    <cellStyle name="Separador de milhares 7 2 3 3 29 3" xfId="29848" xr:uid="{967322C6-B4E1-4089-AD3C-42926627C606}"/>
    <cellStyle name="Separador de milhares 7 2 3 3 3" xfId="20968" xr:uid="{00000000-0005-0000-0000-0000245C0000}"/>
    <cellStyle name="Separador de milhares 7 2 3 3 3 2" xfId="20969" xr:uid="{00000000-0005-0000-0000-0000255C0000}"/>
    <cellStyle name="Separador de milhares 7 2 3 3 3 2 2" xfId="29851" xr:uid="{9E65DE8D-173A-40CC-A800-6199D512AC7F}"/>
    <cellStyle name="Separador de milhares 7 2 3 3 3 3" xfId="29850" xr:uid="{28689FDD-2393-41B8-BD80-014D50C71572}"/>
    <cellStyle name="Separador de milhares 7 2 3 3 30" xfId="20970" xr:uid="{00000000-0005-0000-0000-0000265C0000}"/>
    <cellStyle name="Separador de milhares 7 2 3 3 30 2" xfId="20971" xr:uid="{00000000-0005-0000-0000-0000275C0000}"/>
    <cellStyle name="Separador de milhares 7 2 3 3 30 2 2" xfId="29853" xr:uid="{86FF2CD0-926E-4618-B4C7-408A715AF1D9}"/>
    <cellStyle name="Separador de milhares 7 2 3 3 30 3" xfId="29852" xr:uid="{C23E6AE1-84A4-48BA-8FB7-D790978BDFF9}"/>
    <cellStyle name="Separador de milhares 7 2 3 3 31" xfId="20972" xr:uid="{00000000-0005-0000-0000-0000285C0000}"/>
    <cellStyle name="Separador de milhares 7 2 3 3 31 2" xfId="20973" xr:uid="{00000000-0005-0000-0000-0000295C0000}"/>
    <cellStyle name="Separador de milhares 7 2 3 3 31 2 2" xfId="29855" xr:uid="{DF457CC8-CECF-49E7-9DF9-47A0CDD7C2D8}"/>
    <cellStyle name="Separador de milhares 7 2 3 3 31 3" xfId="29854" xr:uid="{28468505-DD05-4FC9-B7D1-A444FA267D5A}"/>
    <cellStyle name="Separador de milhares 7 2 3 3 32" xfId="20974" xr:uid="{00000000-0005-0000-0000-00002A5C0000}"/>
    <cellStyle name="Separador de milhares 7 2 3 3 32 2" xfId="20975" xr:uid="{00000000-0005-0000-0000-00002B5C0000}"/>
    <cellStyle name="Separador de milhares 7 2 3 3 32 2 2" xfId="29857" xr:uid="{BC9ABB89-025A-42C2-8288-459A84F6658D}"/>
    <cellStyle name="Separador de milhares 7 2 3 3 32 3" xfId="29856" xr:uid="{2C01B7A2-C1F2-4ADF-906A-842D598A3640}"/>
    <cellStyle name="Separador de milhares 7 2 3 3 33" xfId="20976" xr:uid="{00000000-0005-0000-0000-00002C5C0000}"/>
    <cellStyle name="Separador de milhares 7 2 3 3 33 2" xfId="20977" xr:uid="{00000000-0005-0000-0000-00002D5C0000}"/>
    <cellStyle name="Separador de milhares 7 2 3 3 33 2 2" xfId="29859" xr:uid="{7A406164-E19C-4EA5-8ECF-03477A2968C5}"/>
    <cellStyle name="Separador de milhares 7 2 3 3 33 3" xfId="29858" xr:uid="{A66B2B0B-2D8C-4CCA-A12A-FCD738287829}"/>
    <cellStyle name="Separador de milhares 7 2 3 3 34" xfId="20978" xr:uid="{00000000-0005-0000-0000-00002E5C0000}"/>
    <cellStyle name="Separador de milhares 7 2 3 3 34 2" xfId="20979" xr:uid="{00000000-0005-0000-0000-00002F5C0000}"/>
    <cellStyle name="Separador de milhares 7 2 3 3 34 2 2" xfId="29861" xr:uid="{1615B30A-AC3E-4DFD-83A6-59F471547E96}"/>
    <cellStyle name="Separador de milhares 7 2 3 3 34 3" xfId="29860" xr:uid="{A542A8AC-F0E5-4653-B344-087204BA1524}"/>
    <cellStyle name="Separador de milhares 7 2 3 3 35" xfId="20980" xr:uid="{00000000-0005-0000-0000-0000305C0000}"/>
    <cellStyle name="Separador de milhares 7 2 3 3 35 2" xfId="29862" xr:uid="{79F138E4-AC43-4028-9AA1-DCE8A57276A1}"/>
    <cellStyle name="Separador de milhares 7 2 3 3 4" xfId="20981" xr:uid="{00000000-0005-0000-0000-0000315C0000}"/>
    <cellStyle name="Separador de milhares 7 2 3 3 4 2" xfId="20982" xr:uid="{00000000-0005-0000-0000-0000325C0000}"/>
    <cellStyle name="Separador de milhares 7 2 3 3 4 2 2" xfId="29864" xr:uid="{A558BC37-7CF9-4592-809C-208DE6D3AD1F}"/>
    <cellStyle name="Separador de milhares 7 2 3 3 4 3" xfId="29863" xr:uid="{F7339425-26C8-4980-9F05-A84424875A0A}"/>
    <cellStyle name="Separador de milhares 7 2 3 3 5" xfId="20983" xr:uid="{00000000-0005-0000-0000-0000335C0000}"/>
    <cellStyle name="Separador de milhares 7 2 3 3 5 2" xfId="20984" xr:uid="{00000000-0005-0000-0000-0000345C0000}"/>
    <cellStyle name="Separador de milhares 7 2 3 3 5 2 2" xfId="29866" xr:uid="{37665525-D569-4F51-A45B-D388F24BD78C}"/>
    <cellStyle name="Separador de milhares 7 2 3 3 5 3" xfId="29865" xr:uid="{0FF527D6-A0F7-4E4A-8F9D-81F403594CA7}"/>
    <cellStyle name="Separador de milhares 7 2 3 3 6" xfId="20985" xr:uid="{00000000-0005-0000-0000-0000355C0000}"/>
    <cellStyle name="Separador de milhares 7 2 3 3 6 2" xfId="20986" xr:uid="{00000000-0005-0000-0000-0000365C0000}"/>
    <cellStyle name="Separador de milhares 7 2 3 3 6 2 2" xfId="29868" xr:uid="{5F9724A0-D7A0-4CAE-A2E1-60714542CE91}"/>
    <cellStyle name="Separador de milhares 7 2 3 3 6 3" xfId="29867" xr:uid="{B1A71775-876B-457E-9070-D2D98CC68366}"/>
    <cellStyle name="Separador de milhares 7 2 3 3 7" xfId="20987" xr:uid="{00000000-0005-0000-0000-0000375C0000}"/>
    <cellStyle name="Separador de milhares 7 2 3 3 7 2" xfId="20988" xr:uid="{00000000-0005-0000-0000-0000385C0000}"/>
    <cellStyle name="Separador de milhares 7 2 3 3 7 2 2" xfId="29870" xr:uid="{0A70781C-2C98-441B-992B-45A48F043A9A}"/>
    <cellStyle name="Separador de milhares 7 2 3 3 7 3" xfId="29869" xr:uid="{3372E8CA-DF9D-4FA1-858F-D9A9B555634A}"/>
    <cellStyle name="Separador de milhares 7 2 3 3 8" xfId="20989" xr:uid="{00000000-0005-0000-0000-0000395C0000}"/>
    <cellStyle name="Separador de milhares 7 2 3 3 8 2" xfId="20990" xr:uid="{00000000-0005-0000-0000-00003A5C0000}"/>
    <cellStyle name="Separador de milhares 7 2 3 3 8 2 2" xfId="29872" xr:uid="{7794D548-2710-49AA-AED2-76A73FF90DFA}"/>
    <cellStyle name="Separador de milhares 7 2 3 3 8 3" xfId="29871" xr:uid="{AB5480B8-04AC-44AF-A5F8-F69635BD556B}"/>
    <cellStyle name="Separador de milhares 7 2 3 3 9" xfId="20991" xr:uid="{00000000-0005-0000-0000-00003B5C0000}"/>
    <cellStyle name="Separador de milhares 7 2 3 3 9 2" xfId="20992" xr:uid="{00000000-0005-0000-0000-00003C5C0000}"/>
    <cellStyle name="Separador de milhares 7 2 3 3 9 2 2" xfId="29874" xr:uid="{451D359B-2A41-4E7F-91BC-C07B33E08754}"/>
    <cellStyle name="Separador de milhares 7 2 3 3 9 3" xfId="29873" xr:uid="{90686736-CBD6-40DE-9144-F2B8EC1C7780}"/>
    <cellStyle name="Separador de milhares 7 2 3 30" xfId="20993" xr:uid="{00000000-0005-0000-0000-00003D5C0000}"/>
    <cellStyle name="Separador de milhares 7 2 3 30 2" xfId="20994" xr:uid="{00000000-0005-0000-0000-00003E5C0000}"/>
    <cellStyle name="Separador de milhares 7 2 3 30 2 2" xfId="29876" xr:uid="{74F4B4B4-7345-4A5A-B69A-6476EC18CA62}"/>
    <cellStyle name="Separador de milhares 7 2 3 30 3" xfId="29875" xr:uid="{6F539BE8-2019-4F5F-A73D-0682DA1112EB}"/>
    <cellStyle name="Separador de milhares 7 2 3 31" xfId="20995" xr:uid="{00000000-0005-0000-0000-00003F5C0000}"/>
    <cellStyle name="Separador de milhares 7 2 3 31 2" xfId="20996" xr:uid="{00000000-0005-0000-0000-0000405C0000}"/>
    <cellStyle name="Separador de milhares 7 2 3 31 2 2" xfId="29878" xr:uid="{69D74D6C-6CC4-435F-AC8D-BA09AC99CE61}"/>
    <cellStyle name="Separador de milhares 7 2 3 31 3" xfId="29877" xr:uid="{BF58AD7A-2A68-4B49-824C-FCB1DAE9874B}"/>
    <cellStyle name="Separador de milhares 7 2 3 32" xfId="20997" xr:uid="{00000000-0005-0000-0000-0000415C0000}"/>
    <cellStyle name="Separador de milhares 7 2 3 32 2" xfId="20998" xr:uid="{00000000-0005-0000-0000-0000425C0000}"/>
    <cellStyle name="Separador de milhares 7 2 3 32 2 2" xfId="29880" xr:uid="{12FE03F0-56C7-47DF-8096-38BBE8F91E2C}"/>
    <cellStyle name="Separador de milhares 7 2 3 32 3" xfId="29879" xr:uid="{D0BD632A-CC39-4AB8-8113-350035E6E641}"/>
    <cellStyle name="Separador de milhares 7 2 3 33" xfId="20999" xr:uid="{00000000-0005-0000-0000-0000435C0000}"/>
    <cellStyle name="Separador de milhares 7 2 3 33 2" xfId="21000" xr:uid="{00000000-0005-0000-0000-0000445C0000}"/>
    <cellStyle name="Separador de milhares 7 2 3 33 2 2" xfId="29882" xr:uid="{4A68ABFC-D463-49D7-8596-7C9D3477908D}"/>
    <cellStyle name="Separador de milhares 7 2 3 33 3" xfId="29881" xr:uid="{4EE28D71-306B-49EA-97B4-1E211052D4EE}"/>
    <cellStyle name="Separador de milhares 7 2 3 34" xfId="21001" xr:uid="{00000000-0005-0000-0000-0000455C0000}"/>
    <cellStyle name="Separador de milhares 7 2 3 34 2" xfId="21002" xr:uid="{00000000-0005-0000-0000-0000465C0000}"/>
    <cellStyle name="Separador de milhares 7 2 3 34 2 2" xfId="29884" xr:uid="{972A8606-93F5-4BEC-972D-C9352CC9F6D1}"/>
    <cellStyle name="Separador de milhares 7 2 3 34 3" xfId="29883" xr:uid="{6D5B61ED-0533-4B04-97EE-74F1856C5BD5}"/>
    <cellStyle name="Separador de milhares 7 2 3 35" xfId="21003" xr:uid="{00000000-0005-0000-0000-0000475C0000}"/>
    <cellStyle name="Separador de milhares 7 2 3 35 2" xfId="21004" xr:uid="{00000000-0005-0000-0000-0000485C0000}"/>
    <cellStyle name="Separador de milhares 7 2 3 35 2 2" xfId="29886" xr:uid="{F96E28DB-D82D-4EA7-8A84-626EC10F6407}"/>
    <cellStyle name="Separador de milhares 7 2 3 35 3" xfId="29885" xr:uid="{6C1577C3-1173-465F-9F5F-965231D695FA}"/>
    <cellStyle name="Separador de milhares 7 2 3 36" xfId="21005" xr:uid="{00000000-0005-0000-0000-0000495C0000}"/>
    <cellStyle name="Separador de milhares 7 2 3 36 2" xfId="21006" xr:uid="{00000000-0005-0000-0000-00004A5C0000}"/>
    <cellStyle name="Separador de milhares 7 2 3 36 2 2" xfId="29888" xr:uid="{4A6A5E67-0A2F-4A99-91EF-503030066E94}"/>
    <cellStyle name="Separador de milhares 7 2 3 36 3" xfId="29887" xr:uid="{25A36A87-CC5B-42B4-BBB0-256D1FE58BCA}"/>
    <cellStyle name="Separador de milhares 7 2 3 37" xfId="21007" xr:uid="{00000000-0005-0000-0000-00004B5C0000}"/>
    <cellStyle name="Separador de milhares 7 2 3 37 2" xfId="21008" xr:uid="{00000000-0005-0000-0000-00004C5C0000}"/>
    <cellStyle name="Separador de milhares 7 2 3 37 2 2" xfId="29890" xr:uid="{643C01B5-46E9-4B32-8F4B-D6589AE4AA47}"/>
    <cellStyle name="Separador de milhares 7 2 3 37 3" xfId="29889" xr:uid="{91D41D17-EB41-40EA-9364-165118EA7421}"/>
    <cellStyle name="Separador de milhares 7 2 3 38" xfId="21009" xr:uid="{00000000-0005-0000-0000-00004D5C0000}"/>
    <cellStyle name="Separador de milhares 7 2 3 38 2" xfId="21010" xr:uid="{00000000-0005-0000-0000-00004E5C0000}"/>
    <cellStyle name="Separador de milhares 7 2 3 38 2 2" xfId="29892" xr:uid="{513214AB-62B9-42F9-819B-EB64DCCB2CEC}"/>
    <cellStyle name="Separador de milhares 7 2 3 38 3" xfId="29891" xr:uid="{DF356BC4-3D7B-4E29-BE3F-5494D043EA74}"/>
    <cellStyle name="Separador de milhares 7 2 3 39" xfId="21011" xr:uid="{00000000-0005-0000-0000-00004F5C0000}"/>
    <cellStyle name="Separador de milhares 7 2 3 39 2" xfId="21012" xr:uid="{00000000-0005-0000-0000-0000505C0000}"/>
    <cellStyle name="Separador de milhares 7 2 3 39 2 2" xfId="29894" xr:uid="{647FA72E-8763-4755-BBF3-854E08811B3E}"/>
    <cellStyle name="Separador de milhares 7 2 3 39 3" xfId="29893" xr:uid="{872A6328-1FE3-4A69-85BD-82A33515C0AB}"/>
    <cellStyle name="Separador de milhares 7 2 3 4" xfId="21013" xr:uid="{00000000-0005-0000-0000-0000515C0000}"/>
    <cellStyle name="Separador de milhares 7 2 3 4 2" xfId="21014" xr:uid="{00000000-0005-0000-0000-0000525C0000}"/>
    <cellStyle name="Separador de milhares 7 2 3 4 2 2" xfId="21015" xr:uid="{00000000-0005-0000-0000-0000535C0000}"/>
    <cellStyle name="Separador de milhares 7 2 3 4 2 2 2" xfId="29896" xr:uid="{755EF7F9-EA32-47F7-8C4D-667D2FAD1BB8}"/>
    <cellStyle name="Separador de milhares 7 2 3 4 2 3" xfId="29895" xr:uid="{5C6AF5FC-78B5-4CD6-9F41-71686656D41A}"/>
    <cellStyle name="Separador de milhares 7 2 3 4 3" xfId="21016" xr:uid="{00000000-0005-0000-0000-0000545C0000}"/>
    <cellStyle name="Separador de milhares 7 2 3 4 3 2" xfId="21017" xr:uid="{00000000-0005-0000-0000-0000555C0000}"/>
    <cellStyle name="Separador de milhares 7 2 3 4 3 2 2" xfId="29898" xr:uid="{BE05ACB8-1156-4578-9B7E-D5F6DED49E2D}"/>
    <cellStyle name="Separador de milhares 7 2 3 4 3 3" xfId="29897" xr:uid="{0C7F5EF4-C023-46D4-9147-6501519D443F}"/>
    <cellStyle name="Separador de milhares 7 2 3 4 4" xfId="21018" xr:uid="{00000000-0005-0000-0000-0000565C0000}"/>
    <cellStyle name="Separador de milhares 7 2 3 4 4 2" xfId="21019" xr:uid="{00000000-0005-0000-0000-0000575C0000}"/>
    <cellStyle name="Separador de milhares 7 2 3 4 4 2 2" xfId="29900" xr:uid="{EEBCC94D-DE56-44C7-B9EA-6AF9A216013A}"/>
    <cellStyle name="Separador de milhares 7 2 3 4 4 3" xfId="29899" xr:uid="{B4DD4FB2-0D70-4053-BA0E-5E24EA54BFD5}"/>
    <cellStyle name="Separador de milhares 7 2 3 4 5" xfId="21020" xr:uid="{00000000-0005-0000-0000-0000585C0000}"/>
    <cellStyle name="Separador de milhares 7 2 3 4 5 2" xfId="21021" xr:uid="{00000000-0005-0000-0000-0000595C0000}"/>
    <cellStyle name="Separador de milhares 7 2 3 4 5 2 2" xfId="29902" xr:uid="{23CB6D11-23A3-40EB-A877-30D97DC74754}"/>
    <cellStyle name="Separador de milhares 7 2 3 4 5 3" xfId="29901" xr:uid="{657B362C-FEC7-472F-A7AD-2434148D6378}"/>
    <cellStyle name="Separador de milhares 7 2 3 4 6" xfId="21022" xr:uid="{00000000-0005-0000-0000-00005A5C0000}"/>
    <cellStyle name="Separador de milhares 7 2 3 4 6 2" xfId="29903" xr:uid="{0B3BF380-E6ED-4469-ACEC-75689281C55B}"/>
    <cellStyle name="Separador de milhares 7 2 3 40" xfId="21023" xr:uid="{00000000-0005-0000-0000-00005B5C0000}"/>
    <cellStyle name="Separador de milhares 7 2 3 40 2" xfId="21024" xr:uid="{00000000-0005-0000-0000-00005C5C0000}"/>
    <cellStyle name="Separador de milhares 7 2 3 40 2 2" xfId="29905" xr:uid="{C364D58F-25A0-4EA5-A971-2C14D5231861}"/>
    <cellStyle name="Separador de milhares 7 2 3 40 3" xfId="29904" xr:uid="{54B90BE8-3DF5-47B6-BF63-11DE0828EEEE}"/>
    <cellStyle name="Separador de milhares 7 2 3 41" xfId="21025" xr:uid="{00000000-0005-0000-0000-00005D5C0000}"/>
    <cellStyle name="Separador de milhares 7 2 3 41 2" xfId="21026" xr:uid="{00000000-0005-0000-0000-00005E5C0000}"/>
    <cellStyle name="Separador de milhares 7 2 3 41 2 2" xfId="29907" xr:uid="{A0C7F6D3-4412-4F60-B408-E014773CBB86}"/>
    <cellStyle name="Separador de milhares 7 2 3 41 3" xfId="29906" xr:uid="{7A105461-5634-497B-A840-83AE99CC0F34}"/>
    <cellStyle name="Separador de milhares 7 2 3 42" xfId="21027" xr:uid="{00000000-0005-0000-0000-00005F5C0000}"/>
    <cellStyle name="Separador de milhares 7 2 3 42 2" xfId="21028" xr:uid="{00000000-0005-0000-0000-0000605C0000}"/>
    <cellStyle name="Separador de milhares 7 2 3 42 2 2" xfId="29909" xr:uid="{D3F15576-492B-425C-A1F3-5B27676CEE67}"/>
    <cellStyle name="Separador de milhares 7 2 3 42 3" xfId="29908" xr:uid="{907974AE-0703-4BCC-A438-EDC5D9690C1D}"/>
    <cellStyle name="Separador de milhares 7 2 3 43" xfId="21029" xr:uid="{00000000-0005-0000-0000-0000615C0000}"/>
    <cellStyle name="Separador de milhares 7 2 3 43 2" xfId="21030" xr:uid="{00000000-0005-0000-0000-0000625C0000}"/>
    <cellStyle name="Separador de milhares 7 2 3 43 2 2" xfId="29911" xr:uid="{90D6E54C-CD56-4BBB-93A5-923B6E4FF5B8}"/>
    <cellStyle name="Separador de milhares 7 2 3 43 3" xfId="29910" xr:uid="{07235E74-EC81-4B61-9D55-16F6F4D7E431}"/>
    <cellStyle name="Separador de milhares 7 2 3 44" xfId="21031" xr:uid="{00000000-0005-0000-0000-0000635C0000}"/>
    <cellStyle name="Separador de milhares 7 2 3 44 2" xfId="21032" xr:uid="{00000000-0005-0000-0000-0000645C0000}"/>
    <cellStyle name="Separador de milhares 7 2 3 44 2 2" xfId="29913" xr:uid="{AAADD864-17B8-4088-AAAC-2340BA1D8CF9}"/>
    <cellStyle name="Separador de milhares 7 2 3 44 3" xfId="29912" xr:uid="{139EEC7D-5868-450A-8DB6-95883B407043}"/>
    <cellStyle name="Separador de milhares 7 2 3 45" xfId="21033" xr:uid="{00000000-0005-0000-0000-0000655C0000}"/>
    <cellStyle name="Separador de milhares 7 2 3 45 2" xfId="21034" xr:uid="{00000000-0005-0000-0000-0000665C0000}"/>
    <cellStyle name="Separador de milhares 7 2 3 45 2 2" xfId="29915" xr:uid="{BEEB9CEC-D81D-443C-9C79-AE045D9148BB}"/>
    <cellStyle name="Separador de milhares 7 2 3 45 3" xfId="29914" xr:uid="{BC62C2FC-5335-46C7-A0A0-1766AB8B8EF9}"/>
    <cellStyle name="Separador de milhares 7 2 3 46" xfId="21035" xr:uid="{00000000-0005-0000-0000-0000675C0000}"/>
    <cellStyle name="Separador de milhares 7 2 3 46 2" xfId="21036" xr:uid="{00000000-0005-0000-0000-0000685C0000}"/>
    <cellStyle name="Separador de milhares 7 2 3 46 2 2" xfId="29917" xr:uid="{823E5BD3-2ED2-445E-9B9A-4338265CDF31}"/>
    <cellStyle name="Separador de milhares 7 2 3 46 3" xfId="29916" xr:uid="{C78DA030-CFC7-4AA5-AA6C-ABB5831D0058}"/>
    <cellStyle name="Separador de milhares 7 2 3 47" xfId="21037" xr:uid="{00000000-0005-0000-0000-0000695C0000}"/>
    <cellStyle name="Separador de milhares 7 2 3 47 2" xfId="29918" xr:uid="{68C27D2B-6B95-4193-B7C2-929E039D5438}"/>
    <cellStyle name="Separador de milhares 7 2 3 48" xfId="20816" xr:uid="{00000000-0005-0000-0000-00006A5C0000}"/>
    <cellStyle name="Separador de milhares 7 2 3 49" xfId="28072" xr:uid="{FFD44C4C-4DCB-4EF3-9E37-4DB14EA7DF58}"/>
    <cellStyle name="Separador de milhares 7 2 3 5" xfId="21038" xr:uid="{00000000-0005-0000-0000-00006B5C0000}"/>
    <cellStyle name="Separador de milhares 7 2 3 5 2" xfId="21039" xr:uid="{00000000-0005-0000-0000-00006C5C0000}"/>
    <cellStyle name="Separador de milhares 7 2 3 5 2 2" xfId="29919" xr:uid="{27ABAF18-03F8-4875-8B36-60DC5626E30E}"/>
    <cellStyle name="Separador de milhares 7 2 3 6" xfId="21040" xr:uid="{00000000-0005-0000-0000-00006D5C0000}"/>
    <cellStyle name="Separador de milhares 7 2 3 6 2" xfId="21041" xr:uid="{00000000-0005-0000-0000-00006E5C0000}"/>
    <cellStyle name="Separador de milhares 7 2 3 6 2 2" xfId="29920" xr:uid="{43149506-B52B-4983-963C-CA5469B11170}"/>
    <cellStyle name="Separador de milhares 7 2 3 7" xfId="21042" xr:uid="{00000000-0005-0000-0000-00006F5C0000}"/>
    <cellStyle name="Separador de milhares 7 2 3 7 2" xfId="21043" xr:uid="{00000000-0005-0000-0000-0000705C0000}"/>
    <cellStyle name="Separador de milhares 7 2 3 7 2 2" xfId="29921" xr:uid="{EE16DEE9-B7D5-4A56-A25A-5FDB225147EE}"/>
    <cellStyle name="Separador de milhares 7 2 3 8" xfId="21044" xr:uid="{00000000-0005-0000-0000-0000715C0000}"/>
    <cellStyle name="Separador de milhares 7 2 3 8 2" xfId="21045" xr:uid="{00000000-0005-0000-0000-0000725C0000}"/>
    <cellStyle name="Separador de milhares 7 2 3 8 2 2" xfId="29922" xr:uid="{F5851546-3DE1-461B-95F3-13F67861A8A3}"/>
    <cellStyle name="Separador de milhares 7 2 3 9" xfId="21046" xr:uid="{00000000-0005-0000-0000-0000735C0000}"/>
    <cellStyle name="Separador de milhares 7 2 3 9 2" xfId="21047" xr:uid="{00000000-0005-0000-0000-0000745C0000}"/>
    <cellStyle name="Separador de milhares 7 2 3 9 2 2" xfId="29923" xr:uid="{3F9A1A5A-D4EC-4B3A-9D4D-33B61DEA2BFE}"/>
    <cellStyle name="Separador de milhares 7 2 30" xfId="21048" xr:uid="{00000000-0005-0000-0000-0000755C0000}"/>
    <cellStyle name="Separador de milhares 7 2 30 2" xfId="21049" xr:uid="{00000000-0005-0000-0000-0000765C0000}"/>
    <cellStyle name="Separador de milhares 7 2 30 2 2" xfId="29925" xr:uid="{6708570F-751B-4285-A8BD-C4459596FCC3}"/>
    <cellStyle name="Separador de milhares 7 2 30 3" xfId="29924" xr:uid="{00EB1A8F-3309-4622-86E6-C9BAD9945F6C}"/>
    <cellStyle name="Separador de milhares 7 2 31" xfId="21050" xr:uid="{00000000-0005-0000-0000-0000775C0000}"/>
    <cellStyle name="Separador de milhares 7 2 31 2" xfId="21051" xr:uid="{00000000-0005-0000-0000-0000785C0000}"/>
    <cellStyle name="Separador de milhares 7 2 31 2 2" xfId="29927" xr:uid="{BD09C9BC-38C7-49DF-95F4-9964E3566581}"/>
    <cellStyle name="Separador de milhares 7 2 31 3" xfId="29926" xr:uid="{5E8A7702-6182-45A1-84A1-4A6DE5837334}"/>
    <cellStyle name="Separador de milhares 7 2 32" xfId="21052" xr:uid="{00000000-0005-0000-0000-0000795C0000}"/>
    <cellStyle name="Separador de milhares 7 2 32 2" xfId="21053" xr:uid="{00000000-0005-0000-0000-00007A5C0000}"/>
    <cellStyle name="Separador de milhares 7 2 32 2 2" xfId="29929" xr:uid="{BD493969-D8CC-462C-9345-DD8083D998CE}"/>
    <cellStyle name="Separador de milhares 7 2 32 3" xfId="29928" xr:uid="{2E801C35-5EA9-40FA-9DD3-B09BE8DF4F48}"/>
    <cellStyle name="Separador de milhares 7 2 33" xfId="21054" xr:uid="{00000000-0005-0000-0000-00007B5C0000}"/>
    <cellStyle name="Separador de milhares 7 2 33 2" xfId="21055" xr:uid="{00000000-0005-0000-0000-00007C5C0000}"/>
    <cellStyle name="Separador de milhares 7 2 33 2 2" xfId="29931" xr:uid="{BE917703-AEE6-42A6-A22F-8E962A840E41}"/>
    <cellStyle name="Separador de milhares 7 2 33 3" xfId="29930" xr:uid="{3B93166E-7462-431B-887E-E71190C4E250}"/>
    <cellStyle name="Separador de milhares 7 2 34" xfId="21056" xr:uid="{00000000-0005-0000-0000-00007D5C0000}"/>
    <cellStyle name="Separador de milhares 7 2 34 2" xfId="21057" xr:uid="{00000000-0005-0000-0000-00007E5C0000}"/>
    <cellStyle name="Separador de milhares 7 2 34 2 2" xfId="29933" xr:uid="{D1A783A7-706A-4901-95C5-D88243AE0555}"/>
    <cellStyle name="Separador de milhares 7 2 34 3" xfId="29932" xr:uid="{A67FD82C-CEF7-4AD6-9E6C-F2133EB85B3C}"/>
    <cellStyle name="Separador de milhares 7 2 35" xfId="21058" xr:uid="{00000000-0005-0000-0000-00007F5C0000}"/>
    <cellStyle name="Separador de milhares 7 2 35 2" xfId="21059" xr:uid="{00000000-0005-0000-0000-0000805C0000}"/>
    <cellStyle name="Separador de milhares 7 2 35 2 2" xfId="29935" xr:uid="{C841ADB9-6122-4C60-B46E-E1878C2EF24E}"/>
    <cellStyle name="Separador de milhares 7 2 35 3" xfId="29934" xr:uid="{095E4DBB-E02B-413A-87D0-637568C7C721}"/>
    <cellStyle name="Separador de milhares 7 2 36" xfId="21060" xr:uid="{00000000-0005-0000-0000-0000815C0000}"/>
    <cellStyle name="Separador de milhares 7 2 36 2" xfId="21061" xr:uid="{00000000-0005-0000-0000-0000825C0000}"/>
    <cellStyle name="Separador de milhares 7 2 36 2 2" xfId="29937" xr:uid="{FB183A9D-E6BE-48E0-BEDE-17F6E625E843}"/>
    <cellStyle name="Separador de milhares 7 2 36 3" xfId="29936" xr:uid="{BC6677B6-3803-435F-A4CE-E4626ED4E237}"/>
    <cellStyle name="Separador de milhares 7 2 37" xfId="21062" xr:uid="{00000000-0005-0000-0000-0000835C0000}"/>
    <cellStyle name="Separador de milhares 7 2 37 2" xfId="21063" xr:uid="{00000000-0005-0000-0000-0000845C0000}"/>
    <cellStyle name="Separador de milhares 7 2 37 2 2" xfId="29939" xr:uid="{B89FF5C1-CA8B-459F-A4BE-107885D64BF0}"/>
    <cellStyle name="Separador de milhares 7 2 37 3" xfId="29938" xr:uid="{67405E91-6A09-4834-8B8F-0EE860ADC2EE}"/>
    <cellStyle name="Separador de milhares 7 2 38" xfId="21064" xr:uid="{00000000-0005-0000-0000-0000855C0000}"/>
    <cellStyle name="Separador de milhares 7 2 38 2" xfId="21065" xr:uid="{00000000-0005-0000-0000-0000865C0000}"/>
    <cellStyle name="Separador de milhares 7 2 38 2 2" xfId="29941" xr:uid="{93446057-2D12-48F0-B816-DDFC6A491F74}"/>
    <cellStyle name="Separador de milhares 7 2 38 3" xfId="29940" xr:uid="{60B5C195-76E1-40E5-B7AF-12F5D5221DD0}"/>
    <cellStyle name="Separador de milhares 7 2 39" xfId="21066" xr:uid="{00000000-0005-0000-0000-0000875C0000}"/>
    <cellStyle name="Separador de milhares 7 2 39 2" xfId="21067" xr:uid="{00000000-0005-0000-0000-0000885C0000}"/>
    <cellStyle name="Separador de milhares 7 2 39 2 2" xfId="29943" xr:uid="{BCDD7D49-6ADD-4DA5-AEE1-DB5F4CE7DD82}"/>
    <cellStyle name="Separador de milhares 7 2 39 3" xfId="29942" xr:uid="{3F734404-0377-4ABA-8661-E864956D213C}"/>
    <cellStyle name="Separador de milhares 7 2 4" xfId="840" xr:uid="{00000000-0005-0000-0000-0000895C0000}"/>
    <cellStyle name="Separador de milhares 7 2 4 10" xfId="21069" xr:uid="{00000000-0005-0000-0000-00008A5C0000}"/>
    <cellStyle name="Separador de milhares 7 2 4 10 2" xfId="21070" xr:uid="{00000000-0005-0000-0000-00008B5C0000}"/>
    <cellStyle name="Separador de milhares 7 2 4 10 2 2" xfId="29945" xr:uid="{814A6E5C-BB30-4A1F-BB9B-2C1F27CE58D3}"/>
    <cellStyle name="Separador de milhares 7 2 4 10 3" xfId="29944" xr:uid="{BDB7B00D-C9E8-4F4D-B434-EB9A8DAF559A}"/>
    <cellStyle name="Separador de milhares 7 2 4 11" xfId="21071" xr:uid="{00000000-0005-0000-0000-00008C5C0000}"/>
    <cellStyle name="Separador de milhares 7 2 4 11 2" xfId="21072" xr:uid="{00000000-0005-0000-0000-00008D5C0000}"/>
    <cellStyle name="Separador de milhares 7 2 4 11 2 2" xfId="29947" xr:uid="{111E7432-A6A4-4F17-A25C-9DD1098B8F14}"/>
    <cellStyle name="Separador de milhares 7 2 4 11 3" xfId="29946" xr:uid="{1D93F0A3-DF01-4E46-AC92-955033282995}"/>
    <cellStyle name="Separador de milhares 7 2 4 12" xfId="21073" xr:uid="{00000000-0005-0000-0000-00008E5C0000}"/>
    <cellStyle name="Separador de milhares 7 2 4 12 2" xfId="21074" xr:uid="{00000000-0005-0000-0000-00008F5C0000}"/>
    <cellStyle name="Separador de milhares 7 2 4 12 2 2" xfId="29949" xr:uid="{72529449-3F91-4981-81EC-BC94B156606C}"/>
    <cellStyle name="Separador de milhares 7 2 4 12 3" xfId="29948" xr:uid="{95BF823A-49B0-4A02-B4C7-0E9C7CA3E6E7}"/>
    <cellStyle name="Separador de milhares 7 2 4 13" xfId="21075" xr:uid="{00000000-0005-0000-0000-0000905C0000}"/>
    <cellStyle name="Separador de milhares 7 2 4 13 2" xfId="21076" xr:uid="{00000000-0005-0000-0000-0000915C0000}"/>
    <cellStyle name="Separador de milhares 7 2 4 13 2 2" xfId="29951" xr:uid="{C728DFA8-DA13-4735-9ACA-BE9ADD28CF1B}"/>
    <cellStyle name="Separador de milhares 7 2 4 13 3" xfId="29950" xr:uid="{26C1E566-A219-499E-8CEB-5E9D92F680FD}"/>
    <cellStyle name="Separador de milhares 7 2 4 14" xfId="21077" xr:uid="{00000000-0005-0000-0000-0000925C0000}"/>
    <cellStyle name="Separador de milhares 7 2 4 14 2" xfId="21078" xr:uid="{00000000-0005-0000-0000-0000935C0000}"/>
    <cellStyle name="Separador de milhares 7 2 4 14 2 2" xfId="29953" xr:uid="{38DBC58E-F312-4156-B914-187DB0090D04}"/>
    <cellStyle name="Separador de milhares 7 2 4 14 3" xfId="29952" xr:uid="{20A5C5BD-348D-4F86-AE5A-D072B7BA3151}"/>
    <cellStyle name="Separador de milhares 7 2 4 15" xfId="21079" xr:uid="{00000000-0005-0000-0000-0000945C0000}"/>
    <cellStyle name="Separador de milhares 7 2 4 15 2" xfId="21080" xr:uid="{00000000-0005-0000-0000-0000955C0000}"/>
    <cellStyle name="Separador de milhares 7 2 4 15 2 2" xfId="29955" xr:uid="{AA22C073-0634-47FA-95F3-BB33C3060727}"/>
    <cellStyle name="Separador de milhares 7 2 4 15 3" xfId="29954" xr:uid="{520F5A8C-28DC-4274-8F59-DBEC6FA83E3A}"/>
    <cellStyle name="Separador de milhares 7 2 4 16" xfId="21081" xr:uid="{00000000-0005-0000-0000-0000965C0000}"/>
    <cellStyle name="Separador de milhares 7 2 4 16 2" xfId="21082" xr:uid="{00000000-0005-0000-0000-0000975C0000}"/>
    <cellStyle name="Separador de milhares 7 2 4 16 2 2" xfId="29957" xr:uid="{87CA14E8-BC79-48DD-A711-6679CE0FF482}"/>
    <cellStyle name="Separador de milhares 7 2 4 16 3" xfId="29956" xr:uid="{BFEA8043-76D1-4617-8035-BAA8B19E321D}"/>
    <cellStyle name="Separador de milhares 7 2 4 17" xfId="21083" xr:uid="{00000000-0005-0000-0000-0000985C0000}"/>
    <cellStyle name="Separador de milhares 7 2 4 17 2" xfId="21084" xr:uid="{00000000-0005-0000-0000-0000995C0000}"/>
    <cellStyle name="Separador de milhares 7 2 4 17 2 2" xfId="29959" xr:uid="{2E3AA280-7681-45B9-AECE-5AA09B4CA4AF}"/>
    <cellStyle name="Separador de milhares 7 2 4 17 3" xfId="29958" xr:uid="{A5CD3D69-0994-461D-A5A8-06552CBFAD23}"/>
    <cellStyle name="Separador de milhares 7 2 4 18" xfId="21085" xr:uid="{00000000-0005-0000-0000-00009A5C0000}"/>
    <cellStyle name="Separador de milhares 7 2 4 18 2" xfId="21086" xr:uid="{00000000-0005-0000-0000-00009B5C0000}"/>
    <cellStyle name="Separador de milhares 7 2 4 18 2 2" xfId="29961" xr:uid="{9C045731-110A-43C9-881C-17B5672C984B}"/>
    <cellStyle name="Separador de milhares 7 2 4 18 3" xfId="29960" xr:uid="{4C8036C7-61FF-42AD-A5C9-DE4A935584EB}"/>
    <cellStyle name="Separador de milhares 7 2 4 19" xfId="21087" xr:uid="{00000000-0005-0000-0000-00009C5C0000}"/>
    <cellStyle name="Separador de milhares 7 2 4 19 2" xfId="21088" xr:uid="{00000000-0005-0000-0000-00009D5C0000}"/>
    <cellStyle name="Separador de milhares 7 2 4 19 2 2" xfId="29963" xr:uid="{F9AD7AD3-EE6A-4A54-944A-8AD3B34DA343}"/>
    <cellStyle name="Separador de milhares 7 2 4 19 3" xfId="29962" xr:uid="{6BB90F25-2F5B-4BC7-B927-C27F8D73C397}"/>
    <cellStyle name="Separador de milhares 7 2 4 2" xfId="21089" xr:uid="{00000000-0005-0000-0000-00009E5C0000}"/>
    <cellStyle name="Separador de milhares 7 2 4 2 2" xfId="21090" xr:uid="{00000000-0005-0000-0000-00009F5C0000}"/>
    <cellStyle name="Separador de milhares 7 2 4 2 2 2" xfId="21091" xr:uid="{00000000-0005-0000-0000-0000A05C0000}"/>
    <cellStyle name="Separador de milhares 7 2 4 2 2 2 2" xfId="29965" xr:uid="{FBFB81CC-BB7F-4A55-AAEA-0E1183A885BF}"/>
    <cellStyle name="Separador de milhares 7 2 4 2 2 3" xfId="29964" xr:uid="{72F4B81D-E94B-432B-86EA-B7D3CAE389AF}"/>
    <cellStyle name="Separador de milhares 7 2 4 2 3" xfId="21092" xr:uid="{00000000-0005-0000-0000-0000A15C0000}"/>
    <cellStyle name="Separador de milhares 7 2 4 2 3 2" xfId="21093" xr:uid="{00000000-0005-0000-0000-0000A25C0000}"/>
    <cellStyle name="Separador de milhares 7 2 4 2 3 2 2" xfId="29967" xr:uid="{1E7DA280-9F27-4C25-9477-D021F8D95F18}"/>
    <cellStyle name="Separador de milhares 7 2 4 2 3 3" xfId="29966" xr:uid="{58D418B5-8820-4BB1-85C1-850C75BC510A}"/>
    <cellStyle name="Separador de milhares 7 2 4 2 4" xfId="21094" xr:uid="{00000000-0005-0000-0000-0000A35C0000}"/>
    <cellStyle name="Separador de milhares 7 2 4 2 4 2" xfId="21095" xr:uid="{00000000-0005-0000-0000-0000A45C0000}"/>
    <cellStyle name="Separador de milhares 7 2 4 2 4 2 2" xfId="29969" xr:uid="{15F4FFA7-91ED-4AE0-9176-86A508CE168C}"/>
    <cellStyle name="Separador de milhares 7 2 4 2 4 3" xfId="29968" xr:uid="{39FD5E1C-4B91-4C53-9C17-38F70D712138}"/>
    <cellStyle name="Separador de milhares 7 2 4 2 5" xfId="21096" xr:uid="{00000000-0005-0000-0000-0000A55C0000}"/>
    <cellStyle name="Separador de milhares 7 2 4 2 5 2" xfId="21097" xr:uid="{00000000-0005-0000-0000-0000A65C0000}"/>
    <cellStyle name="Separador de milhares 7 2 4 2 5 2 2" xfId="29971" xr:uid="{34DBF17B-AD70-4555-9218-4BDE57F3FD01}"/>
    <cellStyle name="Separador de milhares 7 2 4 2 5 3" xfId="29970" xr:uid="{326C9BF8-9AE9-44C4-A6AB-B7E03A0C8267}"/>
    <cellStyle name="Separador de milhares 7 2 4 2 6" xfId="21098" xr:uid="{00000000-0005-0000-0000-0000A75C0000}"/>
    <cellStyle name="Separador de milhares 7 2 4 2 6 2" xfId="29972" xr:uid="{C44CE393-B013-4F7F-B01A-003C1A5445DE}"/>
    <cellStyle name="Separador de milhares 7 2 4 20" xfId="21099" xr:uid="{00000000-0005-0000-0000-0000A85C0000}"/>
    <cellStyle name="Separador de milhares 7 2 4 20 2" xfId="21100" xr:uid="{00000000-0005-0000-0000-0000A95C0000}"/>
    <cellStyle name="Separador de milhares 7 2 4 20 2 2" xfId="29974" xr:uid="{D3B23DDB-F7F2-4B6C-A6E7-8F618606DB97}"/>
    <cellStyle name="Separador de milhares 7 2 4 20 3" xfId="29973" xr:uid="{86F4F405-B3FD-4164-8263-0690FA8AFCDB}"/>
    <cellStyle name="Separador de milhares 7 2 4 21" xfId="21101" xr:uid="{00000000-0005-0000-0000-0000AA5C0000}"/>
    <cellStyle name="Separador de milhares 7 2 4 21 2" xfId="21102" xr:uid="{00000000-0005-0000-0000-0000AB5C0000}"/>
    <cellStyle name="Separador de milhares 7 2 4 21 2 2" xfId="29976" xr:uid="{79AD8C04-98B6-4036-8B6A-93D4C502AC46}"/>
    <cellStyle name="Separador de milhares 7 2 4 21 3" xfId="29975" xr:uid="{0A1061FF-A5BA-4F29-B939-51A9EE762FA4}"/>
    <cellStyle name="Separador de milhares 7 2 4 22" xfId="21103" xr:uid="{00000000-0005-0000-0000-0000AC5C0000}"/>
    <cellStyle name="Separador de milhares 7 2 4 22 2" xfId="21104" xr:uid="{00000000-0005-0000-0000-0000AD5C0000}"/>
    <cellStyle name="Separador de milhares 7 2 4 22 2 2" xfId="29978" xr:uid="{33763394-2665-4B17-8D21-AD662306643C}"/>
    <cellStyle name="Separador de milhares 7 2 4 22 3" xfId="29977" xr:uid="{8459DDA8-A655-467D-BB7B-AD2EC890FEB4}"/>
    <cellStyle name="Separador de milhares 7 2 4 23" xfId="21105" xr:uid="{00000000-0005-0000-0000-0000AE5C0000}"/>
    <cellStyle name="Separador de milhares 7 2 4 23 2" xfId="21106" xr:uid="{00000000-0005-0000-0000-0000AF5C0000}"/>
    <cellStyle name="Separador de milhares 7 2 4 23 2 2" xfId="29980" xr:uid="{AAD33011-8598-4C8A-9575-2FA292483549}"/>
    <cellStyle name="Separador de milhares 7 2 4 23 3" xfId="29979" xr:uid="{E358CC71-0CD0-4CA0-A4CC-1AD1D04279A3}"/>
    <cellStyle name="Separador de milhares 7 2 4 24" xfId="21107" xr:uid="{00000000-0005-0000-0000-0000B05C0000}"/>
    <cellStyle name="Separador de milhares 7 2 4 24 2" xfId="21108" xr:uid="{00000000-0005-0000-0000-0000B15C0000}"/>
    <cellStyle name="Separador de milhares 7 2 4 24 2 2" xfId="29982" xr:uid="{F587EF75-2D2F-4094-9656-DBFC65C8CAEA}"/>
    <cellStyle name="Separador de milhares 7 2 4 24 3" xfId="29981" xr:uid="{14C50AB2-48C1-4AC8-BF7C-5F43C637FDD5}"/>
    <cellStyle name="Separador de milhares 7 2 4 25" xfId="21109" xr:uid="{00000000-0005-0000-0000-0000B25C0000}"/>
    <cellStyle name="Separador de milhares 7 2 4 25 2" xfId="21110" xr:uid="{00000000-0005-0000-0000-0000B35C0000}"/>
    <cellStyle name="Separador de milhares 7 2 4 25 2 2" xfId="29984" xr:uid="{518BC5D3-E426-46B9-8B73-F7A04E876EFC}"/>
    <cellStyle name="Separador de milhares 7 2 4 25 3" xfId="29983" xr:uid="{AE443D94-FDC0-48D4-AC50-9ADB275EB407}"/>
    <cellStyle name="Separador de milhares 7 2 4 26" xfId="21111" xr:uid="{00000000-0005-0000-0000-0000B45C0000}"/>
    <cellStyle name="Separador de milhares 7 2 4 26 2" xfId="21112" xr:uid="{00000000-0005-0000-0000-0000B55C0000}"/>
    <cellStyle name="Separador de milhares 7 2 4 26 2 2" xfId="29986" xr:uid="{91DF2F5D-707D-4BAB-BF21-F119D6075D14}"/>
    <cellStyle name="Separador de milhares 7 2 4 26 3" xfId="29985" xr:uid="{EB0F8693-B515-4398-BE85-8DC23F066CE1}"/>
    <cellStyle name="Separador de milhares 7 2 4 27" xfId="21113" xr:uid="{00000000-0005-0000-0000-0000B65C0000}"/>
    <cellStyle name="Separador de milhares 7 2 4 27 2" xfId="21114" xr:uid="{00000000-0005-0000-0000-0000B75C0000}"/>
    <cellStyle name="Separador de milhares 7 2 4 27 2 2" xfId="29988" xr:uid="{31EB2273-FBFB-4714-8A60-F1DE2532981A}"/>
    <cellStyle name="Separador de milhares 7 2 4 27 3" xfId="29987" xr:uid="{90563A5D-B3E6-474B-A268-6D2054339E83}"/>
    <cellStyle name="Separador de milhares 7 2 4 28" xfId="21115" xr:uid="{00000000-0005-0000-0000-0000B85C0000}"/>
    <cellStyle name="Separador de milhares 7 2 4 28 2" xfId="21116" xr:uid="{00000000-0005-0000-0000-0000B95C0000}"/>
    <cellStyle name="Separador de milhares 7 2 4 28 2 2" xfId="29990" xr:uid="{E1CD64B6-15E1-4034-897C-F8325F96FAE3}"/>
    <cellStyle name="Separador de milhares 7 2 4 28 3" xfId="29989" xr:uid="{75D63A41-CED5-4073-9FE7-094D751BD1FC}"/>
    <cellStyle name="Separador de milhares 7 2 4 29" xfId="21117" xr:uid="{00000000-0005-0000-0000-0000BA5C0000}"/>
    <cellStyle name="Separador de milhares 7 2 4 29 2" xfId="21118" xr:uid="{00000000-0005-0000-0000-0000BB5C0000}"/>
    <cellStyle name="Separador de milhares 7 2 4 29 2 2" xfId="29992" xr:uid="{899FD8F2-E9F4-4BE7-8EDC-D8ABB2271798}"/>
    <cellStyle name="Separador de milhares 7 2 4 29 3" xfId="29991" xr:uid="{5E577DFB-DC97-410A-BB3D-2661D15B1362}"/>
    <cellStyle name="Separador de milhares 7 2 4 3" xfId="21119" xr:uid="{00000000-0005-0000-0000-0000BC5C0000}"/>
    <cellStyle name="Separador de milhares 7 2 4 3 2" xfId="21120" xr:uid="{00000000-0005-0000-0000-0000BD5C0000}"/>
    <cellStyle name="Separador de milhares 7 2 4 3 2 2" xfId="21121" xr:uid="{00000000-0005-0000-0000-0000BE5C0000}"/>
    <cellStyle name="Separador de milhares 7 2 4 3 2 2 2" xfId="29994" xr:uid="{FB1948C7-7C78-465C-9EEC-1BFF4899B1BE}"/>
    <cellStyle name="Separador de milhares 7 2 4 3 2 3" xfId="29993" xr:uid="{7D4D6092-FB1B-4F5C-9F13-3681E253B8B4}"/>
    <cellStyle name="Separador de milhares 7 2 4 3 3" xfId="21122" xr:uid="{00000000-0005-0000-0000-0000BF5C0000}"/>
    <cellStyle name="Separador de milhares 7 2 4 3 3 2" xfId="21123" xr:uid="{00000000-0005-0000-0000-0000C05C0000}"/>
    <cellStyle name="Separador de milhares 7 2 4 3 3 2 2" xfId="29996" xr:uid="{08A55D5A-ABF2-4C38-A3AD-1411756CDFF8}"/>
    <cellStyle name="Separador de milhares 7 2 4 3 3 3" xfId="29995" xr:uid="{97AD440D-C9FF-4479-8650-5549B35B53FA}"/>
    <cellStyle name="Separador de milhares 7 2 4 3 4" xfId="21124" xr:uid="{00000000-0005-0000-0000-0000C15C0000}"/>
    <cellStyle name="Separador de milhares 7 2 4 3 4 2" xfId="21125" xr:uid="{00000000-0005-0000-0000-0000C25C0000}"/>
    <cellStyle name="Separador de milhares 7 2 4 3 4 2 2" xfId="29998" xr:uid="{FC7CC4D2-3738-4C4B-A8C6-19263CA19066}"/>
    <cellStyle name="Separador de milhares 7 2 4 3 4 3" xfId="29997" xr:uid="{B59F32D1-95F3-4A69-8170-FB86A6525D0F}"/>
    <cellStyle name="Separador de milhares 7 2 4 3 5" xfId="21126" xr:uid="{00000000-0005-0000-0000-0000C35C0000}"/>
    <cellStyle name="Separador de milhares 7 2 4 3 5 2" xfId="21127" xr:uid="{00000000-0005-0000-0000-0000C45C0000}"/>
    <cellStyle name="Separador de milhares 7 2 4 3 5 2 2" xfId="30000" xr:uid="{58A22BD8-320B-46AC-B981-9ED83DD292E4}"/>
    <cellStyle name="Separador de milhares 7 2 4 3 5 3" xfId="29999" xr:uid="{415F0EDA-5C66-4D74-9621-4114F876E2DD}"/>
    <cellStyle name="Separador de milhares 7 2 4 3 6" xfId="21128" xr:uid="{00000000-0005-0000-0000-0000C55C0000}"/>
    <cellStyle name="Separador de milhares 7 2 4 3 6 2" xfId="30001" xr:uid="{ABE3D67D-CD0A-4D64-9739-523C87622C38}"/>
    <cellStyle name="Separador de milhares 7 2 4 30" xfId="21129" xr:uid="{00000000-0005-0000-0000-0000C65C0000}"/>
    <cellStyle name="Separador de milhares 7 2 4 30 2" xfId="21130" xr:uid="{00000000-0005-0000-0000-0000C75C0000}"/>
    <cellStyle name="Separador de milhares 7 2 4 30 2 2" xfId="30003" xr:uid="{5A932A08-D09F-484C-A6BF-3A7C66146378}"/>
    <cellStyle name="Separador de milhares 7 2 4 30 3" xfId="30002" xr:uid="{436A7B9F-23A4-48D3-B4A1-BDD2F1371966}"/>
    <cellStyle name="Separador de milhares 7 2 4 31" xfId="21131" xr:uid="{00000000-0005-0000-0000-0000C85C0000}"/>
    <cellStyle name="Separador de milhares 7 2 4 31 2" xfId="21132" xr:uid="{00000000-0005-0000-0000-0000C95C0000}"/>
    <cellStyle name="Separador de milhares 7 2 4 31 2 2" xfId="30005" xr:uid="{131C9AF5-0B32-4FD4-977F-824227D2ED4B}"/>
    <cellStyle name="Separador de milhares 7 2 4 31 3" xfId="30004" xr:uid="{45BCE052-3D63-4504-BA07-0FB2F86C5F7E}"/>
    <cellStyle name="Separador de milhares 7 2 4 32" xfId="21133" xr:uid="{00000000-0005-0000-0000-0000CA5C0000}"/>
    <cellStyle name="Separador de milhares 7 2 4 32 2" xfId="21134" xr:uid="{00000000-0005-0000-0000-0000CB5C0000}"/>
    <cellStyle name="Separador de milhares 7 2 4 32 2 2" xfId="30007" xr:uid="{5179848C-7B61-4508-B574-1E2C9787C9C8}"/>
    <cellStyle name="Separador de milhares 7 2 4 32 3" xfId="30006" xr:uid="{52C053AC-F813-4324-BD10-1EC8BFA2C57E}"/>
    <cellStyle name="Separador de milhares 7 2 4 33" xfId="21135" xr:uid="{00000000-0005-0000-0000-0000CC5C0000}"/>
    <cellStyle name="Separador de milhares 7 2 4 33 2" xfId="21136" xr:uid="{00000000-0005-0000-0000-0000CD5C0000}"/>
    <cellStyle name="Separador de milhares 7 2 4 33 2 2" xfId="30009" xr:uid="{6BC5B3D2-0CB5-4D30-85E6-2275F2716B1F}"/>
    <cellStyle name="Separador de milhares 7 2 4 33 3" xfId="30008" xr:uid="{9EEB5C8F-68AD-40DA-8080-ED09C88225E3}"/>
    <cellStyle name="Separador de milhares 7 2 4 34" xfId="21137" xr:uid="{00000000-0005-0000-0000-0000CE5C0000}"/>
    <cellStyle name="Separador de milhares 7 2 4 34 2" xfId="21138" xr:uid="{00000000-0005-0000-0000-0000CF5C0000}"/>
    <cellStyle name="Separador de milhares 7 2 4 34 2 2" xfId="30011" xr:uid="{7BFFF7F3-FFD9-4C1C-BADC-FE70A5CDC0DE}"/>
    <cellStyle name="Separador de milhares 7 2 4 34 3" xfId="30010" xr:uid="{C759558B-2010-464B-90E6-388B6F571C0D}"/>
    <cellStyle name="Separador de milhares 7 2 4 35" xfId="21139" xr:uid="{00000000-0005-0000-0000-0000D05C0000}"/>
    <cellStyle name="Separador de milhares 7 2 4 35 2" xfId="21140" xr:uid="{00000000-0005-0000-0000-0000D15C0000}"/>
    <cellStyle name="Separador de milhares 7 2 4 35 2 2" xfId="30013" xr:uid="{E23B6890-7568-40F9-84F3-E26F09A4CBAB}"/>
    <cellStyle name="Separador de milhares 7 2 4 35 3" xfId="30012" xr:uid="{08239D77-2099-4D69-B2EC-2222A7017D23}"/>
    <cellStyle name="Separador de milhares 7 2 4 36" xfId="21141" xr:uid="{00000000-0005-0000-0000-0000D25C0000}"/>
    <cellStyle name="Separador de milhares 7 2 4 36 2" xfId="21142" xr:uid="{00000000-0005-0000-0000-0000D35C0000}"/>
    <cellStyle name="Separador de milhares 7 2 4 36 2 2" xfId="30015" xr:uid="{A9089E3B-B3DB-4D58-A210-A929F6C83B40}"/>
    <cellStyle name="Separador de milhares 7 2 4 36 3" xfId="30014" xr:uid="{CC33A2ED-47E8-4922-8E64-F1120868F333}"/>
    <cellStyle name="Separador de milhares 7 2 4 37" xfId="21143" xr:uid="{00000000-0005-0000-0000-0000D45C0000}"/>
    <cellStyle name="Separador de milhares 7 2 4 37 2" xfId="21144" xr:uid="{00000000-0005-0000-0000-0000D55C0000}"/>
    <cellStyle name="Separador de milhares 7 2 4 37 2 2" xfId="30017" xr:uid="{ECF06347-D3B9-4FF9-B00A-F906A56CC935}"/>
    <cellStyle name="Separador de milhares 7 2 4 37 3" xfId="30016" xr:uid="{08FA7E88-FAFC-45E3-B4A3-E7B16F16980F}"/>
    <cellStyle name="Separador de milhares 7 2 4 38" xfId="21145" xr:uid="{00000000-0005-0000-0000-0000D65C0000}"/>
    <cellStyle name="Separador de milhares 7 2 4 38 2" xfId="21146" xr:uid="{00000000-0005-0000-0000-0000D75C0000}"/>
    <cellStyle name="Separador de milhares 7 2 4 38 2 2" xfId="30019" xr:uid="{BC8DDB7A-27E5-4C21-85EE-B780FFFC127F}"/>
    <cellStyle name="Separador de milhares 7 2 4 38 3" xfId="30018" xr:uid="{07BAB3D1-E5DA-4CDD-9914-7BCD377C16AE}"/>
    <cellStyle name="Separador de milhares 7 2 4 39" xfId="21147" xr:uid="{00000000-0005-0000-0000-0000D85C0000}"/>
    <cellStyle name="Separador de milhares 7 2 4 39 2" xfId="21148" xr:uid="{00000000-0005-0000-0000-0000D95C0000}"/>
    <cellStyle name="Separador de milhares 7 2 4 39 2 2" xfId="30021" xr:uid="{D49C49D3-7E83-4C13-820F-123E9EC32B74}"/>
    <cellStyle name="Separador de milhares 7 2 4 39 3" xfId="30020" xr:uid="{0C464DF7-C5E3-45B4-81CE-84609521E8DF}"/>
    <cellStyle name="Separador de milhares 7 2 4 4" xfId="21149" xr:uid="{00000000-0005-0000-0000-0000DA5C0000}"/>
    <cellStyle name="Separador de milhares 7 2 4 4 2" xfId="21150" xr:uid="{00000000-0005-0000-0000-0000DB5C0000}"/>
    <cellStyle name="Separador de milhares 7 2 4 4 2 2" xfId="21151" xr:uid="{00000000-0005-0000-0000-0000DC5C0000}"/>
    <cellStyle name="Separador de milhares 7 2 4 4 2 2 2" xfId="30023" xr:uid="{B72F69B7-7CDF-4123-808E-ECC010074584}"/>
    <cellStyle name="Separador de milhares 7 2 4 4 2 3" xfId="30022" xr:uid="{F3F3952F-8B03-42F1-83DA-CAC7B756AB41}"/>
    <cellStyle name="Separador de milhares 7 2 4 4 3" xfId="21152" xr:uid="{00000000-0005-0000-0000-0000DD5C0000}"/>
    <cellStyle name="Separador de milhares 7 2 4 4 3 2" xfId="21153" xr:uid="{00000000-0005-0000-0000-0000DE5C0000}"/>
    <cellStyle name="Separador de milhares 7 2 4 4 3 2 2" xfId="30025" xr:uid="{BC43D96B-A4A0-4D56-A70C-9429B50BE280}"/>
    <cellStyle name="Separador de milhares 7 2 4 4 3 3" xfId="30024" xr:uid="{5B027C7C-CFFF-4AB6-9551-20F3F9D3F891}"/>
    <cellStyle name="Separador de milhares 7 2 4 4 4" xfId="21154" xr:uid="{00000000-0005-0000-0000-0000DF5C0000}"/>
    <cellStyle name="Separador de milhares 7 2 4 4 4 2" xfId="21155" xr:uid="{00000000-0005-0000-0000-0000E05C0000}"/>
    <cellStyle name="Separador de milhares 7 2 4 4 4 2 2" xfId="30027" xr:uid="{0B3E0205-F1CC-4D24-BA06-9D560B96A03C}"/>
    <cellStyle name="Separador de milhares 7 2 4 4 4 3" xfId="30026" xr:uid="{65FA7325-AD47-474E-A492-F19BFDDE5A70}"/>
    <cellStyle name="Separador de milhares 7 2 4 4 5" xfId="21156" xr:uid="{00000000-0005-0000-0000-0000E15C0000}"/>
    <cellStyle name="Separador de milhares 7 2 4 4 5 2" xfId="21157" xr:uid="{00000000-0005-0000-0000-0000E25C0000}"/>
    <cellStyle name="Separador de milhares 7 2 4 4 5 2 2" xfId="30029" xr:uid="{75AFB7C5-4731-4E43-9725-A24EC619F37D}"/>
    <cellStyle name="Separador de milhares 7 2 4 4 5 3" xfId="30028" xr:uid="{8953331C-3E50-4B34-B4FE-704905ADA790}"/>
    <cellStyle name="Separador de milhares 7 2 4 4 6" xfId="21158" xr:uid="{00000000-0005-0000-0000-0000E35C0000}"/>
    <cellStyle name="Separador de milhares 7 2 4 4 6 2" xfId="30030" xr:uid="{47D9FDBC-110A-4C71-A899-5FC5715E2F8D}"/>
    <cellStyle name="Separador de milhares 7 2 4 40" xfId="21159" xr:uid="{00000000-0005-0000-0000-0000E45C0000}"/>
    <cellStyle name="Separador de milhares 7 2 4 40 2" xfId="21160" xr:uid="{00000000-0005-0000-0000-0000E55C0000}"/>
    <cellStyle name="Separador de milhares 7 2 4 40 2 2" xfId="30032" xr:uid="{D09F1031-2A3C-4CFC-B1D6-7BF8CCF16CD6}"/>
    <cellStyle name="Separador de milhares 7 2 4 40 3" xfId="30031" xr:uid="{275E4555-E9BD-4B8F-839C-CECC8234BB24}"/>
    <cellStyle name="Separador de milhares 7 2 4 41" xfId="21161" xr:uid="{00000000-0005-0000-0000-0000E65C0000}"/>
    <cellStyle name="Separador de milhares 7 2 4 41 2" xfId="21162" xr:uid="{00000000-0005-0000-0000-0000E75C0000}"/>
    <cellStyle name="Separador de milhares 7 2 4 41 2 2" xfId="30034" xr:uid="{0ADE7A41-7A2F-4C63-A7D1-FFD1DECFED35}"/>
    <cellStyle name="Separador de milhares 7 2 4 41 3" xfId="30033" xr:uid="{15AF3041-5EE6-4F7F-A7B0-E1AF9D65BBAA}"/>
    <cellStyle name="Separador de milhares 7 2 4 42" xfId="21163" xr:uid="{00000000-0005-0000-0000-0000E85C0000}"/>
    <cellStyle name="Separador de milhares 7 2 4 42 2" xfId="21164" xr:uid="{00000000-0005-0000-0000-0000E95C0000}"/>
    <cellStyle name="Separador de milhares 7 2 4 42 2 2" xfId="30036" xr:uid="{4AD5F984-1848-45DF-949E-93630D275D82}"/>
    <cellStyle name="Separador de milhares 7 2 4 42 3" xfId="30035" xr:uid="{BD110679-428F-4B8D-B6E6-17CBE8C6204F}"/>
    <cellStyle name="Separador de milhares 7 2 4 43" xfId="21165" xr:uid="{00000000-0005-0000-0000-0000EA5C0000}"/>
    <cellStyle name="Separador de milhares 7 2 4 43 2" xfId="21166" xr:uid="{00000000-0005-0000-0000-0000EB5C0000}"/>
    <cellStyle name="Separador de milhares 7 2 4 43 2 2" xfId="30038" xr:uid="{EC9BE14F-F9F6-4C30-B8C3-056EBAEB72B5}"/>
    <cellStyle name="Separador de milhares 7 2 4 43 3" xfId="30037" xr:uid="{28D89FD4-CE1E-415F-8179-BFAB16132562}"/>
    <cellStyle name="Separador de milhares 7 2 4 44" xfId="21167" xr:uid="{00000000-0005-0000-0000-0000EC5C0000}"/>
    <cellStyle name="Separador de milhares 7 2 4 44 2" xfId="21168" xr:uid="{00000000-0005-0000-0000-0000ED5C0000}"/>
    <cellStyle name="Separador de milhares 7 2 4 44 2 2" xfId="30040" xr:uid="{928C334A-2227-458D-BCED-6DFFA4521BDB}"/>
    <cellStyle name="Separador de milhares 7 2 4 44 3" xfId="30039" xr:uid="{2FD9EB12-DC88-4D84-BCEB-343281667464}"/>
    <cellStyle name="Separador de milhares 7 2 4 45" xfId="21169" xr:uid="{00000000-0005-0000-0000-0000EE5C0000}"/>
    <cellStyle name="Separador de milhares 7 2 4 45 2" xfId="21170" xr:uid="{00000000-0005-0000-0000-0000EF5C0000}"/>
    <cellStyle name="Separador de milhares 7 2 4 45 2 2" xfId="30042" xr:uid="{E2710DB4-3E37-41D7-8B0C-57B7D993C2B7}"/>
    <cellStyle name="Separador de milhares 7 2 4 45 3" xfId="30041" xr:uid="{08DD1FE5-4D01-4785-ADFA-C03A5831A885}"/>
    <cellStyle name="Separador de milhares 7 2 4 46" xfId="21171" xr:uid="{00000000-0005-0000-0000-0000F05C0000}"/>
    <cellStyle name="Separador de milhares 7 2 4 46 2" xfId="30043" xr:uid="{12D7F525-9457-44CF-9A01-F905BE5FEB96}"/>
    <cellStyle name="Separador de milhares 7 2 4 47" xfId="21068" xr:uid="{00000000-0005-0000-0000-0000F15C0000}"/>
    <cellStyle name="Separador de milhares 7 2 4 48" xfId="28074" xr:uid="{52B54BA2-876B-4D37-A920-D23DD5D2E894}"/>
    <cellStyle name="Separador de milhares 7 2 4 5" xfId="21172" xr:uid="{00000000-0005-0000-0000-0000F25C0000}"/>
    <cellStyle name="Separador de milhares 7 2 4 5 2" xfId="21173" xr:uid="{00000000-0005-0000-0000-0000F35C0000}"/>
    <cellStyle name="Separador de milhares 7 2 4 5 2 2" xfId="30045" xr:uid="{A89F99A1-05B4-4E47-979F-0E062C8D4ED0}"/>
    <cellStyle name="Separador de milhares 7 2 4 5 3" xfId="30044" xr:uid="{72287F14-9AC0-4C02-8A93-065F210BB0B2}"/>
    <cellStyle name="Separador de milhares 7 2 4 6" xfId="21174" xr:uid="{00000000-0005-0000-0000-0000F45C0000}"/>
    <cellStyle name="Separador de milhares 7 2 4 6 2" xfId="21175" xr:uid="{00000000-0005-0000-0000-0000F55C0000}"/>
    <cellStyle name="Separador de milhares 7 2 4 6 2 2" xfId="30047" xr:uid="{9B1E6C94-F505-404E-809C-286A0F58F3DF}"/>
    <cellStyle name="Separador de milhares 7 2 4 6 3" xfId="30046" xr:uid="{396CC278-035C-48AB-8F00-43AC9138C04A}"/>
    <cellStyle name="Separador de milhares 7 2 4 7" xfId="21176" xr:uid="{00000000-0005-0000-0000-0000F65C0000}"/>
    <cellStyle name="Separador de milhares 7 2 4 7 2" xfId="21177" xr:uid="{00000000-0005-0000-0000-0000F75C0000}"/>
    <cellStyle name="Separador de milhares 7 2 4 7 2 2" xfId="30049" xr:uid="{890A58FD-E134-4B86-9FC3-C074353EAC12}"/>
    <cellStyle name="Separador de milhares 7 2 4 7 3" xfId="30048" xr:uid="{860B0C1E-9E5F-4749-88A1-2ED9E9107C20}"/>
    <cellStyle name="Separador de milhares 7 2 4 8" xfId="21178" xr:uid="{00000000-0005-0000-0000-0000F85C0000}"/>
    <cellStyle name="Separador de milhares 7 2 4 8 2" xfId="21179" xr:uid="{00000000-0005-0000-0000-0000F95C0000}"/>
    <cellStyle name="Separador de milhares 7 2 4 8 2 2" xfId="30051" xr:uid="{5629872D-1D81-40F3-8478-C3EC75F84F01}"/>
    <cellStyle name="Separador de milhares 7 2 4 8 3" xfId="30050" xr:uid="{E90D3AB8-2D10-46AA-A698-E2513EE0DCCE}"/>
    <cellStyle name="Separador de milhares 7 2 4 9" xfId="21180" xr:uid="{00000000-0005-0000-0000-0000FA5C0000}"/>
    <cellStyle name="Separador de milhares 7 2 4 9 2" xfId="21181" xr:uid="{00000000-0005-0000-0000-0000FB5C0000}"/>
    <cellStyle name="Separador de milhares 7 2 4 9 2 2" xfId="30053" xr:uid="{17AC497E-0EC6-4F5F-B0CA-76E9FA1D5098}"/>
    <cellStyle name="Separador de milhares 7 2 4 9 3" xfId="30052" xr:uid="{F5A66E5F-5F1F-4D25-8ACC-33EDDBDCD2CE}"/>
    <cellStyle name="Separador de milhares 7 2 40" xfId="21182" xr:uid="{00000000-0005-0000-0000-0000FC5C0000}"/>
    <cellStyle name="Separador de milhares 7 2 40 2" xfId="21183" xr:uid="{00000000-0005-0000-0000-0000FD5C0000}"/>
    <cellStyle name="Separador de milhares 7 2 40 2 2" xfId="30055" xr:uid="{F5F6A961-79A0-4C60-8E97-7ADF63A0254F}"/>
    <cellStyle name="Separador de milhares 7 2 40 3" xfId="30054" xr:uid="{4F650D60-E53F-44BB-BE43-0A84527C3E78}"/>
    <cellStyle name="Separador de milhares 7 2 41" xfId="21184" xr:uid="{00000000-0005-0000-0000-0000FE5C0000}"/>
    <cellStyle name="Separador de milhares 7 2 41 2" xfId="21185" xr:uid="{00000000-0005-0000-0000-0000FF5C0000}"/>
    <cellStyle name="Separador de milhares 7 2 41 2 2" xfId="30057" xr:uid="{80CF1C85-86AD-4AD2-AE4A-51B4B3476222}"/>
    <cellStyle name="Separador de milhares 7 2 41 3" xfId="30056" xr:uid="{155B13BE-6798-47E5-9058-0EA9FAE73BEE}"/>
    <cellStyle name="Separador de milhares 7 2 42" xfId="21186" xr:uid="{00000000-0005-0000-0000-0000005D0000}"/>
    <cellStyle name="Separador de milhares 7 2 42 2" xfId="21187" xr:uid="{00000000-0005-0000-0000-0000015D0000}"/>
    <cellStyle name="Separador de milhares 7 2 42 2 2" xfId="30059" xr:uid="{9B877AB7-A60E-4A92-A2B3-28CA2D49F9B5}"/>
    <cellStyle name="Separador de milhares 7 2 42 3" xfId="30058" xr:uid="{81A926E3-965B-4EBE-9DF1-B3AF36744A6C}"/>
    <cellStyle name="Separador de milhares 7 2 43" xfId="21188" xr:uid="{00000000-0005-0000-0000-0000025D0000}"/>
    <cellStyle name="Separador de milhares 7 2 43 2" xfId="21189" xr:uid="{00000000-0005-0000-0000-0000035D0000}"/>
    <cellStyle name="Separador de milhares 7 2 43 2 2" xfId="30061" xr:uid="{B8D0925E-3607-4586-9689-3DD18C7BEC20}"/>
    <cellStyle name="Separador de milhares 7 2 43 3" xfId="30060" xr:uid="{FEDAD6B1-DEFD-483A-B495-AD768929F7BD}"/>
    <cellStyle name="Separador de milhares 7 2 44" xfId="21190" xr:uid="{00000000-0005-0000-0000-0000045D0000}"/>
    <cellStyle name="Separador de milhares 7 2 44 2" xfId="21191" xr:uid="{00000000-0005-0000-0000-0000055D0000}"/>
    <cellStyle name="Separador de milhares 7 2 44 2 2" xfId="30063" xr:uid="{528E6CF0-5E82-4A66-AA76-A7D785ED3DEA}"/>
    <cellStyle name="Separador de milhares 7 2 44 3" xfId="30062" xr:uid="{3C72FD07-9ABF-4BC0-BF60-89B188634104}"/>
    <cellStyle name="Separador de milhares 7 2 45" xfId="21192" xr:uid="{00000000-0005-0000-0000-0000065D0000}"/>
    <cellStyle name="Separador de milhares 7 2 45 2" xfId="21193" xr:uid="{00000000-0005-0000-0000-0000075D0000}"/>
    <cellStyle name="Separador de milhares 7 2 45 2 2" xfId="30065" xr:uid="{47765A68-04FC-4CC4-ABFA-CC87A0A81BDC}"/>
    <cellStyle name="Separador de milhares 7 2 45 3" xfId="30064" xr:uid="{FA4EFB6D-012D-45AC-8F5B-0452EA53B99B}"/>
    <cellStyle name="Separador de milhares 7 2 46" xfId="21194" xr:uid="{00000000-0005-0000-0000-0000085D0000}"/>
    <cellStyle name="Separador de milhares 7 2 46 2" xfId="21195" xr:uid="{00000000-0005-0000-0000-0000095D0000}"/>
    <cellStyle name="Separador de milhares 7 2 46 2 2" xfId="30067" xr:uid="{DFC77B52-A3FC-46C6-83D5-BA5F964206CD}"/>
    <cellStyle name="Separador de milhares 7 2 46 3" xfId="30066" xr:uid="{59C0166E-E3FF-4A7E-8792-7F68F9D6ED9F}"/>
    <cellStyle name="Separador de milhares 7 2 47" xfId="21196" xr:uid="{00000000-0005-0000-0000-00000A5D0000}"/>
    <cellStyle name="Separador de milhares 7 2 47 2" xfId="21197" xr:uid="{00000000-0005-0000-0000-00000B5D0000}"/>
    <cellStyle name="Separador de milhares 7 2 47 2 2" xfId="30069" xr:uid="{853456DA-A014-47A3-BA5D-D3BC41DFB19C}"/>
    <cellStyle name="Separador de milhares 7 2 47 3" xfId="30068" xr:uid="{DBA61DDE-11A9-4259-A105-B16AE62C3C22}"/>
    <cellStyle name="Separador de milhares 7 2 48" xfId="21198" xr:uid="{00000000-0005-0000-0000-00000C5D0000}"/>
    <cellStyle name="Separador de milhares 7 2 48 2" xfId="21199" xr:uid="{00000000-0005-0000-0000-00000D5D0000}"/>
    <cellStyle name="Separador de milhares 7 2 48 2 2" xfId="30071" xr:uid="{4296D1CB-4C4B-4527-9E26-E42E3B2E6C8E}"/>
    <cellStyle name="Separador de milhares 7 2 48 3" xfId="30070" xr:uid="{57D6C76B-8B4B-4375-8F48-680AD932087C}"/>
    <cellStyle name="Separador de milhares 7 2 49" xfId="21200" xr:uid="{00000000-0005-0000-0000-00000E5D0000}"/>
    <cellStyle name="Separador de milhares 7 2 49 2" xfId="21201" xr:uid="{00000000-0005-0000-0000-00000F5D0000}"/>
    <cellStyle name="Separador de milhares 7 2 49 2 2" xfId="30073" xr:uid="{6D81B3AA-9C3B-4208-B354-210B88EB069E}"/>
    <cellStyle name="Separador de milhares 7 2 49 3" xfId="30072" xr:uid="{F46CB8BC-DB1C-4B3E-AF6B-D10F22E9469C}"/>
    <cellStyle name="Separador de milhares 7 2 5" xfId="21202" xr:uid="{00000000-0005-0000-0000-0000105D0000}"/>
    <cellStyle name="Separador de milhares 7 2 5 10" xfId="21203" xr:uid="{00000000-0005-0000-0000-0000115D0000}"/>
    <cellStyle name="Separador de milhares 7 2 5 10 2" xfId="21204" xr:uid="{00000000-0005-0000-0000-0000125D0000}"/>
    <cellStyle name="Separador de milhares 7 2 5 10 2 2" xfId="30075" xr:uid="{888F022E-38E3-4CA6-AB06-A90BEE49A851}"/>
    <cellStyle name="Separador de milhares 7 2 5 10 3" xfId="30074" xr:uid="{C79598EB-1214-4FC2-A127-1CC26A3D897C}"/>
    <cellStyle name="Separador de milhares 7 2 5 11" xfId="21205" xr:uid="{00000000-0005-0000-0000-0000135D0000}"/>
    <cellStyle name="Separador de milhares 7 2 5 11 2" xfId="21206" xr:uid="{00000000-0005-0000-0000-0000145D0000}"/>
    <cellStyle name="Separador de milhares 7 2 5 11 2 2" xfId="30077" xr:uid="{220AA6B1-D55B-4F6E-B35F-F965BDCB7F5D}"/>
    <cellStyle name="Separador de milhares 7 2 5 11 3" xfId="30076" xr:uid="{DF0FDBEF-0AAE-4F1D-8FC1-219C15F872E6}"/>
    <cellStyle name="Separador de milhares 7 2 5 12" xfId="21207" xr:uid="{00000000-0005-0000-0000-0000155D0000}"/>
    <cellStyle name="Separador de milhares 7 2 5 12 2" xfId="21208" xr:uid="{00000000-0005-0000-0000-0000165D0000}"/>
    <cellStyle name="Separador de milhares 7 2 5 12 2 2" xfId="30079" xr:uid="{37BD2F64-007C-4658-AC78-9FC91A6A0AA3}"/>
    <cellStyle name="Separador de milhares 7 2 5 12 3" xfId="30078" xr:uid="{9BA02A3E-07A5-42F5-B382-A54F6EB02598}"/>
    <cellStyle name="Separador de milhares 7 2 5 13" xfId="21209" xr:uid="{00000000-0005-0000-0000-0000175D0000}"/>
    <cellStyle name="Separador de milhares 7 2 5 13 2" xfId="21210" xr:uid="{00000000-0005-0000-0000-0000185D0000}"/>
    <cellStyle name="Separador de milhares 7 2 5 13 2 2" xfId="30081" xr:uid="{D5EA2B0F-8204-4084-BA52-30938D12B931}"/>
    <cellStyle name="Separador de milhares 7 2 5 13 3" xfId="30080" xr:uid="{59A8D5A5-1C7A-4359-BD6B-491F0B75F825}"/>
    <cellStyle name="Separador de milhares 7 2 5 14" xfId="21211" xr:uid="{00000000-0005-0000-0000-0000195D0000}"/>
    <cellStyle name="Separador de milhares 7 2 5 14 2" xfId="21212" xr:uid="{00000000-0005-0000-0000-00001A5D0000}"/>
    <cellStyle name="Separador de milhares 7 2 5 14 2 2" xfId="30083" xr:uid="{DE59C4E2-9FF5-4224-930C-73CB80D1E804}"/>
    <cellStyle name="Separador de milhares 7 2 5 14 3" xfId="30082" xr:uid="{08539AFF-F223-4912-9C1E-65FE63007CC8}"/>
    <cellStyle name="Separador de milhares 7 2 5 15" xfId="21213" xr:uid="{00000000-0005-0000-0000-00001B5D0000}"/>
    <cellStyle name="Separador de milhares 7 2 5 15 2" xfId="21214" xr:uid="{00000000-0005-0000-0000-00001C5D0000}"/>
    <cellStyle name="Separador de milhares 7 2 5 15 2 2" xfId="30085" xr:uid="{F7EFF50D-DCBC-4CED-A4AD-FA18168A1438}"/>
    <cellStyle name="Separador de milhares 7 2 5 15 3" xfId="30084" xr:uid="{8E93AA22-AC19-4DD5-8C32-617278203925}"/>
    <cellStyle name="Separador de milhares 7 2 5 16" xfId="21215" xr:uid="{00000000-0005-0000-0000-00001D5D0000}"/>
    <cellStyle name="Separador de milhares 7 2 5 16 2" xfId="21216" xr:uid="{00000000-0005-0000-0000-00001E5D0000}"/>
    <cellStyle name="Separador de milhares 7 2 5 16 2 2" xfId="30087" xr:uid="{D70F0902-4357-4E75-8AB6-5807982E41E9}"/>
    <cellStyle name="Separador de milhares 7 2 5 16 3" xfId="30086" xr:uid="{F42F2330-E0E7-4EFD-BB90-564B4FA0DF9F}"/>
    <cellStyle name="Separador de milhares 7 2 5 17" xfId="21217" xr:uid="{00000000-0005-0000-0000-00001F5D0000}"/>
    <cellStyle name="Separador de milhares 7 2 5 17 2" xfId="21218" xr:uid="{00000000-0005-0000-0000-0000205D0000}"/>
    <cellStyle name="Separador de milhares 7 2 5 17 2 2" xfId="30089" xr:uid="{FFEB5CA7-C6DD-4698-A710-75A37BFBA9DC}"/>
    <cellStyle name="Separador de milhares 7 2 5 17 3" xfId="30088" xr:uid="{61751C7B-CFA4-4CD6-A3E5-099DCE9CFCF6}"/>
    <cellStyle name="Separador de milhares 7 2 5 18" xfId="21219" xr:uid="{00000000-0005-0000-0000-0000215D0000}"/>
    <cellStyle name="Separador de milhares 7 2 5 18 2" xfId="21220" xr:uid="{00000000-0005-0000-0000-0000225D0000}"/>
    <cellStyle name="Separador de milhares 7 2 5 18 2 2" xfId="30091" xr:uid="{2DC1A0BC-BEA4-46A1-8D91-46FEB26ABFD3}"/>
    <cellStyle name="Separador de milhares 7 2 5 18 3" xfId="30090" xr:uid="{ABC9FD99-1809-4D54-89CE-64CD2E0337C9}"/>
    <cellStyle name="Separador de milhares 7 2 5 19" xfId="21221" xr:uid="{00000000-0005-0000-0000-0000235D0000}"/>
    <cellStyle name="Separador de milhares 7 2 5 19 2" xfId="21222" xr:uid="{00000000-0005-0000-0000-0000245D0000}"/>
    <cellStyle name="Separador de milhares 7 2 5 19 2 2" xfId="30093" xr:uid="{CB32A36E-295C-440C-8D1A-FA036D2BAE4D}"/>
    <cellStyle name="Separador de milhares 7 2 5 19 3" xfId="30092" xr:uid="{5354A2FC-E03D-4CCF-840C-E611112246AA}"/>
    <cellStyle name="Separador de milhares 7 2 5 2" xfId="21223" xr:uid="{00000000-0005-0000-0000-0000255D0000}"/>
    <cellStyle name="Separador de milhares 7 2 5 2 2" xfId="21224" xr:uid="{00000000-0005-0000-0000-0000265D0000}"/>
    <cellStyle name="Separador de milhares 7 2 5 2 2 2" xfId="30094" xr:uid="{84923924-5630-4B0B-A221-FA5B4632544E}"/>
    <cellStyle name="Separador de milhares 7 2 5 20" xfId="21225" xr:uid="{00000000-0005-0000-0000-0000275D0000}"/>
    <cellStyle name="Separador de milhares 7 2 5 20 2" xfId="21226" xr:uid="{00000000-0005-0000-0000-0000285D0000}"/>
    <cellStyle name="Separador de milhares 7 2 5 20 2 2" xfId="30096" xr:uid="{AB72DE10-D9E1-4A2C-9F21-4D5BD0F4770F}"/>
    <cellStyle name="Separador de milhares 7 2 5 20 3" xfId="30095" xr:uid="{D9E04A11-A7F5-4CFA-B572-77A06A6ED1FA}"/>
    <cellStyle name="Separador de milhares 7 2 5 21" xfId="21227" xr:uid="{00000000-0005-0000-0000-0000295D0000}"/>
    <cellStyle name="Separador de milhares 7 2 5 21 2" xfId="21228" xr:uid="{00000000-0005-0000-0000-00002A5D0000}"/>
    <cellStyle name="Separador de milhares 7 2 5 21 2 2" xfId="30098" xr:uid="{1A591393-53DD-43B8-850F-207E4624B754}"/>
    <cellStyle name="Separador de milhares 7 2 5 21 3" xfId="30097" xr:uid="{46591FC2-9A90-4409-A5D6-D00A3BB3F657}"/>
    <cellStyle name="Separador de milhares 7 2 5 22" xfId="21229" xr:uid="{00000000-0005-0000-0000-00002B5D0000}"/>
    <cellStyle name="Separador de milhares 7 2 5 22 2" xfId="21230" xr:uid="{00000000-0005-0000-0000-00002C5D0000}"/>
    <cellStyle name="Separador de milhares 7 2 5 22 2 2" xfId="30100" xr:uid="{E82FFA1F-F182-4C98-9A8A-4A5E6DE43BE6}"/>
    <cellStyle name="Separador de milhares 7 2 5 22 3" xfId="30099" xr:uid="{72498D4E-2ADD-4150-8B9C-D42238B4C5DE}"/>
    <cellStyle name="Separador de milhares 7 2 5 23" xfId="21231" xr:uid="{00000000-0005-0000-0000-00002D5D0000}"/>
    <cellStyle name="Separador de milhares 7 2 5 23 2" xfId="21232" xr:uid="{00000000-0005-0000-0000-00002E5D0000}"/>
    <cellStyle name="Separador de milhares 7 2 5 23 2 2" xfId="30102" xr:uid="{8F06F136-48C3-4B21-B15A-E6E06EBC2543}"/>
    <cellStyle name="Separador de milhares 7 2 5 23 3" xfId="30101" xr:uid="{75081477-F190-4B2C-AE45-463E0039F622}"/>
    <cellStyle name="Separador de milhares 7 2 5 24" xfId="21233" xr:uid="{00000000-0005-0000-0000-00002F5D0000}"/>
    <cellStyle name="Separador de milhares 7 2 5 24 2" xfId="21234" xr:uid="{00000000-0005-0000-0000-0000305D0000}"/>
    <cellStyle name="Separador de milhares 7 2 5 24 2 2" xfId="30104" xr:uid="{076E6607-2A62-496B-9D96-FB0E69A0101C}"/>
    <cellStyle name="Separador de milhares 7 2 5 24 3" xfId="30103" xr:uid="{A476B3C9-6E38-4F09-8839-DB10495C9293}"/>
    <cellStyle name="Separador de milhares 7 2 5 25" xfId="21235" xr:uid="{00000000-0005-0000-0000-0000315D0000}"/>
    <cellStyle name="Separador de milhares 7 2 5 25 2" xfId="21236" xr:uid="{00000000-0005-0000-0000-0000325D0000}"/>
    <cellStyle name="Separador de milhares 7 2 5 25 2 2" xfId="30106" xr:uid="{0AA6208A-E1A6-48FD-ABA3-4C1A826E2801}"/>
    <cellStyle name="Separador de milhares 7 2 5 25 3" xfId="30105" xr:uid="{1463AC14-3F84-44CF-88F6-03241C280A90}"/>
    <cellStyle name="Separador de milhares 7 2 5 26" xfId="21237" xr:uid="{00000000-0005-0000-0000-0000335D0000}"/>
    <cellStyle name="Separador de milhares 7 2 5 26 2" xfId="21238" xr:uid="{00000000-0005-0000-0000-0000345D0000}"/>
    <cellStyle name="Separador de milhares 7 2 5 26 2 2" xfId="30108" xr:uid="{CE9643EB-3B67-4B03-921E-A355129F8BF3}"/>
    <cellStyle name="Separador de milhares 7 2 5 26 3" xfId="30107" xr:uid="{26BB9EE9-3D05-4D0A-81CE-A50BBBEE3192}"/>
    <cellStyle name="Separador de milhares 7 2 5 27" xfId="21239" xr:uid="{00000000-0005-0000-0000-0000355D0000}"/>
    <cellStyle name="Separador de milhares 7 2 5 27 2" xfId="21240" xr:uid="{00000000-0005-0000-0000-0000365D0000}"/>
    <cellStyle name="Separador de milhares 7 2 5 27 2 2" xfId="30110" xr:uid="{5623C71E-5F8B-45E8-844D-8C8066739899}"/>
    <cellStyle name="Separador de milhares 7 2 5 27 3" xfId="30109" xr:uid="{763923EB-E82B-4EE7-BE52-3272D0A32B9C}"/>
    <cellStyle name="Separador de milhares 7 2 5 28" xfId="21241" xr:uid="{00000000-0005-0000-0000-0000375D0000}"/>
    <cellStyle name="Separador de milhares 7 2 5 28 2" xfId="21242" xr:uid="{00000000-0005-0000-0000-0000385D0000}"/>
    <cellStyle name="Separador de milhares 7 2 5 28 2 2" xfId="30112" xr:uid="{DAA32F92-6907-4E38-AF87-AC29F30F0E41}"/>
    <cellStyle name="Separador de milhares 7 2 5 28 3" xfId="30111" xr:uid="{47B96CEF-F8F8-4624-8BDA-B518D79E3E3E}"/>
    <cellStyle name="Separador de milhares 7 2 5 29" xfId="21243" xr:uid="{00000000-0005-0000-0000-0000395D0000}"/>
    <cellStyle name="Separador de milhares 7 2 5 29 2" xfId="21244" xr:uid="{00000000-0005-0000-0000-00003A5D0000}"/>
    <cellStyle name="Separador de milhares 7 2 5 29 2 2" xfId="30114" xr:uid="{42A756F3-9912-4FEB-87DE-E87838DD8F82}"/>
    <cellStyle name="Separador de milhares 7 2 5 29 3" xfId="30113" xr:uid="{25AA59B7-3DE0-44A3-B71D-1BE4518BD11C}"/>
    <cellStyle name="Separador de milhares 7 2 5 3" xfId="21245" xr:uid="{00000000-0005-0000-0000-00003B5D0000}"/>
    <cellStyle name="Separador de milhares 7 2 5 3 2" xfId="21246" xr:uid="{00000000-0005-0000-0000-00003C5D0000}"/>
    <cellStyle name="Separador de milhares 7 2 5 3 2 2" xfId="30115" xr:uid="{03EB7691-0AF5-4F88-A742-8F49E145EA5F}"/>
    <cellStyle name="Separador de milhares 7 2 5 30" xfId="21247" xr:uid="{00000000-0005-0000-0000-00003D5D0000}"/>
    <cellStyle name="Separador de milhares 7 2 5 30 2" xfId="21248" xr:uid="{00000000-0005-0000-0000-00003E5D0000}"/>
    <cellStyle name="Separador de milhares 7 2 5 30 2 2" xfId="30117" xr:uid="{3AF54C62-C9C8-4F9B-B26A-141DE7EF7150}"/>
    <cellStyle name="Separador de milhares 7 2 5 30 3" xfId="30116" xr:uid="{F287F2C1-AB02-4E66-8083-C1F22FFFCEBE}"/>
    <cellStyle name="Separador de milhares 7 2 5 31" xfId="21249" xr:uid="{00000000-0005-0000-0000-00003F5D0000}"/>
    <cellStyle name="Separador de milhares 7 2 5 31 2" xfId="21250" xr:uid="{00000000-0005-0000-0000-0000405D0000}"/>
    <cellStyle name="Separador de milhares 7 2 5 31 2 2" xfId="30119" xr:uid="{D8E2A3AC-AE16-4A46-AB24-4D5B998DB6F8}"/>
    <cellStyle name="Separador de milhares 7 2 5 31 3" xfId="30118" xr:uid="{EED1C41B-00CB-47AF-9A06-9A898DB249D1}"/>
    <cellStyle name="Separador de milhares 7 2 5 32" xfId="21251" xr:uid="{00000000-0005-0000-0000-0000415D0000}"/>
    <cellStyle name="Separador de milhares 7 2 5 32 2" xfId="21252" xr:uid="{00000000-0005-0000-0000-0000425D0000}"/>
    <cellStyle name="Separador de milhares 7 2 5 32 2 2" xfId="30121" xr:uid="{535FBFEF-56D2-491E-8837-631493AB7406}"/>
    <cellStyle name="Separador de milhares 7 2 5 32 3" xfId="30120" xr:uid="{D2B1A5F2-F802-416F-8B17-072DE14BDD92}"/>
    <cellStyle name="Separador de milhares 7 2 5 33" xfId="21253" xr:uid="{00000000-0005-0000-0000-0000435D0000}"/>
    <cellStyle name="Separador de milhares 7 2 5 33 2" xfId="21254" xr:uid="{00000000-0005-0000-0000-0000445D0000}"/>
    <cellStyle name="Separador de milhares 7 2 5 33 2 2" xfId="30123" xr:uid="{267117CD-A0CE-4FC9-9718-D7DE55CF20CE}"/>
    <cellStyle name="Separador de milhares 7 2 5 33 3" xfId="30122" xr:uid="{B665C322-3905-4A9D-BDB4-4A2C3C2090BC}"/>
    <cellStyle name="Separador de milhares 7 2 5 34" xfId="21255" xr:uid="{00000000-0005-0000-0000-0000455D0000}"/>
    <cellStyle name="Separador de milhares 7 2 5 34 2" xfId="21256" xr:uid="{00000000-0005-0000-0000-0000465D0000}"/>
    <cellStyle name="Separador de milhares 7 2 5 34 2 2" xfId="30125" xr:uid="{8EBAC31D-614C-4A0A-A309-2BE989203FE6}"/>
    <cellStyle name="Separador de milhares 7 2 5 34 3" xfId="30124" xr:uid="{C615141C-6C0F-4FB5-9C42-F60D4E61618D}"/>
    <cellStyle name="Separador de milhares 7 2 5 35" xfId="21257" xr:uid="{00000000-0005-0000-0000-0000475D0000}"/>
    <cellStyle name="Separador de milhares 7 2 5 35 2" xfId="30126" xr:uid="{EE450024-EBB4-4C28-A5E4-E35F65845991}"/>
    <cellStyle name="Separador de milhares 7 2 5 4" xfId="21258" xr:uid="{00000000-0005-0000-0000-0000485D0000}"/>
    <cellStyle name="Separador de milhares 7 2 5 4 2" xfId="21259" xr:uid="{00000000-0005-0000-0000-0000495D0000}"/>
    <cellStyle name="Separador de milhares 7 2 5 4 2 2" xfId="30127" xr:uid="{8E79C68D-377A-4265-BADB-05F0A2371EFC}"/>
    <cellStyle name="Separador de milhares 7 2 5 5" xfId="21260" xr:uid="{00000000-0005-0000-0000-00004A5D0000}"/>
    <cellStyle name="Separador de milhares 7 2 5 5 2" xfId="21261" xr:uid="{00000000-0005-0000-0000-00004B5D0000}"/>
    <cellStyle name="Separador de milhares 7 2 5 5 2 2" xfId="30129" xr:uid="{93E868EB-C53D-47CA-9031-7A4AE4AAE723}"/>
    <cellStyle name="Separador de milhares 7 2 5 5 3" xfId="30128" xr:uid="{E58B8D2E-E58A-4650-BFFF-DB3109AA7145}"/>
    <cellStyle name="Separador de milhares 7 2 5 6" xfId="21262" xr:uid="{00000000-0005-0000-0000-00004C5D0000}"/>
    <cellStyle name="Separador de milhares 7 2 5 6 2" xfId="21263" xr:uid="{00000000-0005-0000-0000-00004D5D0000}"/>
    <cellStyle name="Separador de milhares 7 2 5 6 2 2" xfId="30131" xr:uid="{F72E7F8A-5310-48B4-A64C-C2EF34AD2552}"/>
    <cellStyle name="Separador de milhares 7 2 5 6 3" xfId="30130" xr:uid="{B18A326E-2EB7-4A9C-BD1B-CFDB1D184B41}"/>
    <cellStyle name="Separador de milhares 7 2 5 7" xfId="21264" xr:uid="{00000000-0005-0000-0000-00004E5D0000}"/>
    <cellStyle name="Separador de milhares 7 2 5 7 2" xfId="21265" xr:uid="{00000000-0005-0000-0000-00004F5D0000}"/>
    <cellStyle name="Separador de milhares 7 2 5 7 2 2" xfId="30133" xr:uid="{2B4037CF-348A-4584-B468-7E529B5BCF10}"/>
    <cellStyle name="Separador de milhares 7 2 5 7 3" xfId="30132" xr:uid="{F48B572E-C696-433C-9381-E7D5A244694B}"/>
    <cellStyle name="Separador de milhares 7 2 5 8" xfId="21266" xr:uid="{00000000-0005-0000-0000-0000505D0000}"/>
    <cellStyle name="Separador de milhares 7 2 5 8 2" xfId="21267" xr:uid="{00000000-0005-0000-0000-0000515D0000}"/>
    <cellStyle name="Separador de milhares 7 2 5 8 2 2" xfId="30135" xr:uid="{7000281F-0520-4019-84E9-D87D97CA59F0}"/>
    <cellStyle name="Separador de milhares 7 2 5 8 3" xfId="30134" xr:uid="{C3698585-448A-409D-A7B5-20D721CAEC2C}"/>
    <cellStyle name="Separador de milhares 7 2 5 9" xfId="21268" xr:uid="{00000000-0005-0000-0000-0000525D0000}"/>
    <cellStyle name="Separador de milhares 7 2 5 9 2" xfId="21269" xr:uid="{00000000-0005-0000-0000-0000535D0000}"/>
    <cellStyle name="Separador de milhares 7 2 5 9 2 2" xfId="30137" xr:uid="{039A8C75-5E41-4EAA-8CB9-1D6C6D43CF2C}"/>
    <cellStyle name="Separador de milhares 7 2 5 9 3" xfId="30136" xr:uid="{6B8CE6ED-3277-4B70-9EF8-8743D0DFE5DF}"/>
    <cellStyle name="Separador de milhares 7 2 50" xfId="21270" xr:uid="{00000000-0005-0000-0000-0000545D0000}"/>
    <cellStyle name="Separador de milhares 7 2 50 2" xfId="21271" xr:uid="{00000000-0005-0000-0000-0000555D0000}"/>
    <cellStyle name="Separador de milhares 7 2 50 2 2" xfId="30139" xr:uid="{38793988-9431-4E20-A397-71721CCECB1D}"/>
    <cellStyle name="Separador de milhares 7 2 50 3" xfId="30138" xr:uid="{A424958E-87FA-4B65-BE58-18E0E947A775}"/>
    <cellStyle name="Separador de milhares 7 2 51" xfId="21272" xr:uid="{00000000-0005-0000-0000-0000565D0000}"/>
    <cellStyle name="Separador de milhares 7 2 51 2" xfId="30140" xr:uid="{998E84F5-2212-438E-A85A-3BECF6B3BA0C}"/>
    <cellStyle name="Separador de milhares 7 2 52" xfId="20543" xr:uid="{00000000-0005-0000-0000-0000575D0000}"/>
    <cellStyle name="Separador de milhares 7 2 52 2" xfId="29446" xr:uid="{BD62B56B-9CA7-45F5-A32A-979736B9A52D}"/>
    <cellStyle name="Separador de milhares 7 2 53" xfId="27134" xr:uid="{00000000-0005-0000-0000-0000585D0000}"/>
    <cellStyle name="Separador de milhares 7 2 53 2" xfId="32993" xr:uid="{1609C902-E05E-428E-9897-109CCF7391DF}"/>
    <cellStyle name="Separador de milhares 7 2 54" xfId="27322" xr:uid="{00000000-0005-0000-0000-0000595D0000}"/>
    <cellStyle name="Separador de milhares 7 2 54 2" xfId="33159" xr:uid="{289390A9-686B-4660-865B-13A2C451A67C}"/>
    <cellStyle name="Separador de milhares 7 2 55" xfId="27493" xr:uid="{00000000-0005-0000-0000-00005A5D0000}"/>
    <cellStyle name="Separador de milhares 7 2 55 2" xfId="33330" xr:uid="{044DA46A-616D-4448-9D78-6C5ECEC9B3EA}"/>
    <cellStyle name="Separador de milhares 7 2 56" xfId="27662" xr:uid="{00000000-0005-0000-0000-00005B5D0000}"/>
    <cellStyle name="Separador de milhares 7 2 56 2" xfId="33473" xr:uid="{378CA11B-9434-4B4D-B1C7-F7C5D08C1F99}"/>
    <cellStyle name="Separador de milhares 7 2 57" xfId="27819" xr:uid="{00000000-0005-0000-0000-00005C5D0000}"/>
    <cellStyle name="Separador de milhares 7 2 57 2" xfId="33630" xr:uid="{E3D90E68-4A5F-44D6-819C-3DF4BD5CC541}"/>
    <cellStyle name="Separador de milhares 7 2 58" xfId="28067" xr:uid="{12425BF2-4C14-44D3-98EE-FAD6390CA976}"/>
    <cellStyle name="Separador de milhares 7 2 6" xfId="21273" xr:uid="{00000000-0005-0000-0000-00005D5D0000}"/>
    <cellStyle name="Separador de milhares 7 2 6 2" xfId="21274" xr:uid="{00000000-0005-0000-0000-00005E5D0000}"/>
    <cellStyle name="Separador de milhares 7 2 6 2 2" xfId="21275" xr:uid="{00000000-0005-0000-0000-00005F5D0000}"/>
    <cellStyle name="Separador de milhares 7 2 6 2 2 2" xfId="30141" xr:uid="{A6C91A44-4119-407B-B5CB-058AE1924A8C}"/>
    <cellStyle name="Separador de milhares 7 2 6 3" xfId="21276" xr:uid="{00000000-0005-0000-0000-0000605D0000}"/>
    <cellStyle name="Separador de milhares 7 2 6 3 2" xfId="21277" xr:uid="{00000000-0005-0000-0000-0000615D0000}"/>
    <cellStyle name="Separador de milhares 7 2 6 3 2 2" xfId="30142" xr:uid="{174FB697-F3F9-453D-BAB1-81B384C7B92B}"/>
    <cellStyle name="Separador de milhares 7 2 6 4" xfId="21278" xr:uid="{00000000-0005-0000-0000-0000625D0000}"/>
    <cellStyle name="Separador de milhares 7 2 6 4 2" xfId="21279" xr:uid="{00000000-0005-0000-0000-0000635D0000}"/>
    <cellStyle name="Separador de milhares 7 2 6 4 2 2" xfId="30143" xr:uid="{73A4FC0D-A4E9-4D07-B444-92C032A18FA9}"/>
    <cellStyle name="Separador de milhares 7 2 6 5" xfId="21280" xr:uid="{00000000-0005-0000-0000-0000645D0000}"/>
    <cellStyle name="Separador de milhares 7 2 6 5 2" xfId="21281" xr:uid="{00000000-0005-0000-0000-0000655D0000}"/>
    <cellStyle name="Separador de milhares 7 2 6 5 2 2" xfId="30145" xr:uid="{3322B258-E8DA-40EE-A631-9CDDB72098D4}"/>
    <cellStyle name="Separador de milhares 7 2 6 5 3" xfId="30144" xr:uid="{537E6E41-AF6C-49CD-AF78-091D925A7F16}"/>
    <cellStyle name="Separador de milhares 7 2 6 6" xfId="21282" xr:uid="{00000000-0005-0000-0000-0000665D0000}"/>
    <cellStyle name="Separador de milhares 7 2 6 6 2" xfId="30146" xr:uid="{3A4E6619-8E84-4242-89F3-25D8730AE465}"/>
    <cellStyle name="Separador de milhares 7 2 7" xfId="21283" xr:uid="{00000000-0005-0000-0000-0000675D0000}"/>
    <cellStyle name="Separador de milhares 7 2 7 2" xfId="21284" xr:uid="{00000000-0005-0000-0000-0000685D0000}"/>
    <cellStyle name="Separador de milhares 7 2 7 2 2" xfId="21285" xr:uid="{00000000-0005-0000-0000-0000695D0000}"/>
    <cellStyle name="Separador de milhares 7 2 7 2 2 2" xfId="30147" xr:uid="{9D037432-9146-489C-B82B-F618D2216A82}"/>
    <cellStyle name="Separador de milhares 7 2 7 3" xfId="21286" xr:uid="{00000000-0005-0000-0000-00006A5D0000}"/>
    <cellStyle name="Separador de milhares 7 2 7 3 2" xfId="21287" xr:uid="{00000000-0005-0000-0000-00006B5D0000}"/>
    <cellStyle name="Separador de milhares 7 2 7 3 2 2" xfId="30148" xr:uid="{60D1BB58-A02D-4C0C-8F32-282B74EB88A2}"/>
    <cellStyle name="Separador de milhares 7 2 7 4" xfId="21288" xr:uid="{00000000-0005-0000-0000-00006C5D0000}"/>
    <cellStyle name="Separador de milhares 7 2 7 4 2" xfId="21289" xr:uid="{00000000-0005-0000-0000-00006D5D0000}"/>
    <cellStyle name="Separador de milhares 7 2 7 4 2 2" xfId="30149" xr:uid="{31BEC14E-E257-4842-94F8-D6B0ACEEC0ED}"/>
    <cellStyle name="Separador de milhares 7 2 7 5" xfId="21290" xr:uid="{00000000-0005-0000-0000-00006E5D0000}"/>
    <cellStyle name="Separador de milhares 7 2 7 5 2" xfId="21291" xr:uid="{00000000-0005-0000-0000-00006F5D0000}"/>
    <cellStyle name="Separador de milhares 7 2 7 5 2 2" xfId="30151" xr:uid="{BC5C7FA2-FD1D-49FE-9DAE-85217C45935F}"/>
    <cellStyle name="Separador de milhares 7 2 7 5 3" xfId="30150" xr:uid="{3D5943E3-1740-456D-A22B-16F3523137CC}"/>
    <cellStyle name="Separador de milhares 7 2 7 6" xfId="21292" xr:uid="{00000000-0005-0000-0000-0000705D0000}"/>
    <cellStyle name="Separador de milhares 7 2 7 6 2" xfId="30152" xr:uid="{B975A6A0-14FA-4F25-9B14-99A8F43A73F9}"/>
    <cellStyle name="Separador de milhares 7 2 8" xfId="21293" xr:uid="{00000000-0005-0000-0000-0000715D0000}"/>
    <cellStyle name="Separador de milhares 7 2 8 2" xfId="21294" xr:uid="{00000000-0005-0000-0000-0000725D0000}"/>
    <cellStyle name="Separador de milhares 7 2 8 3" xfId="21295" xr:uid="{00000000-0005-0000-0000-0000735D0000}"/>
    <cellStyle name="Separador de milhares 7 2 8 4" xfId="21296" xr:uid="{00000000-0005-0000-0000-0000745D0000}"/>
    <cellStyle name="Separador de milhares 7 2 9" xfId="21297" xr:uid="{00000000-0005-0000-0000-0000755D0000}"/>
    <cellStyle name="Separador de milhares 7 2 9 2" xfId="21298" xr:uid="{00000000-0005-0000-0000-0000765D0000}"/>
    <cellStyle name="Separador de milhares 7 2 9 2 2" xfId="30153" xr:uid="{5B1DA37F-02FA-4610-B137-FF1CDCDFD4CE}"/>
    <cellStyle name="Separador de milhares 7 20" xfId="21299" xr:uid="{00000000-0005-0000-0000-0000775D0000}"/>
    <cellStyle name="Separador de milhares 7 20 2" xfId="21300" xr:uid="{00000000-0005-0000-0000-0000785D0000}"/>
    <cellStyle name="Separador de milhares 7 20 2 2" xfId="30154" xr:uid="{5EE0BD59-0855-4958-A903-901D92A35B2D}"/>
    <cellStyle name="Separador de milhares 7 21" xfId="21301" xr:uid="{00000000-0005-0000-0000-0000795D0000}"/>
    <cellStyle name="Separador de milhares 7 21 2" xfId="21302" xr:uid="{00000000-0005-0000-0000-00007A5D0000}"/>
    <cellStyle name="Separador de milhares 7 21 2 2" xfId="30155" xr:uid="{FD49B45D-8F96-4C78-AEF6-899AC9C08379}"/>
    <cellStyle name="Separador de milhares 7 22" xfId="21303" xr:uid="{00000000-0005-0000-0000-00007B5D0000}"/>
    <cellStyle name="Separador de milhares 7 22 2" xfId="21304" xr:uid="{00000000-0005-0000-0000-00007C5D0000}"/>
    <cellStyle name="Separador de milhares 7 22 2 2" xfId="30156" xr:uid="{BA80EC82-A533-4F2F-9690-0E46DC9A6B6C}"/>
    <cellStyle name="Separador de milhares 7 23" xfId="21305" xr:uid="{00000000-0005-0000-0000-00007D5D0000}"/>
    <cellStyle name="Separador de milhares 7 23 2" xfId="21306" xr:uid="{00000000-0005-0000-0000-00007E5D0000}"/>
    <cellStyle name="Separador de milhares 7 23 2 2" xfId="30157" xr:uid="{3655E4FD-3EC3-4B9A-99F5-3C50ADC52103}"/>
    <cellStyle name="Separador de milhares 7 24" xfId="21307" xr:uid="{00000000-0005-0000-0000-00007F5D0000}"/>
    <cellStyle name="Separador de milhares 7 24 2" xfId="21308" xr:uid="{00000000-0005-0000-0000-0000805D0000}"/>
    <cellStyle name="Separador de milhares 7 24 2 2" xfId="30158" xr:uid="{3F3B55D0-BB44-44EB-9F42-0E5FFC3B80A4}"/>
    <cellStyle name="Separador de milhares 7 25" xfId="21309" xr:uid="{00000000-0005-0000-0000-0000815D0000}"/>
    <cellStyle name="Separador de milhares 7 25 2" xfId="21310" xr:uid="{00000000-0005-0000-0000-0000825D0000}"/>
    <cellStyle name="Separador de milhares 7 25 2 2" xfId="30159" xr:uid="{1B3D3618-B812-423D-9C09-4E86AA9CF91C}"/>
    <cellStyle name="Separador de milhares 7 26" xfId="21311" xr:uid="{00000000-0005-0000-0000-0000835D0000}"/>
    <cellStyle name="Separador de milhares 7 26 2" xfId="21312" xr:uid="{00000000-0005-0000-0000-0000845D0000}"/>
    <cellStyle name="Separador de milhares 7 26 2 2" xfId="30161" xr:uid="{7CC3E367-35B8-44AB-AE28-3CC85F9AFFFB}"/>
    <cellStyle name="Separador de milhares 7 26 3" xfId="30160" xr:uid="{3A685F27-FBA7-457B-8441-7EB1EC785EFB}"/>
    <cellStyle name="Separador de milhares 7 27" xfId="21313" xr:uid="{00000000-0005-0000-0000-0000855D0000}"/>
    <cellStyle name="Separador de milhares 7 27 2" xfId="21314" xr:uid="{00000000-0005-0000-0000-0000865D0000}"/>
    <cellStyle name="Separador de milhares 7 27 2 2" xfId="30163" xr:uid="{1CE4FD09-4200-48C0-903F-B672FF26AB62}"/>
    <cellStyle name="Separador de milhares 7 27 3" xfId="30162" xr:uid="{4D7E8853-7434-4200-A119-945F2EE1086F}"/>
    <cellStyle name="Separador de milhares 7 28" xfId="21315" xr:uid="{00000000-0005-0000-0000-0000875D0000}"/>
    <cellStyle name="Separador de milhares 7 28 2" xfId="21316" xr:uid="{00000000-0005-0000-0000-0000885D0000}"/>
    <cellStyle name="Separador de milhares 7 28 2 2" xfId="30165" xr:uid="{708C1E6C-6B92-4549-905F-D8597CF9F82F}"/>
    <cellStyle name="Separador de milhares 7 28 3" xfId="30164" xr:uid="{24BEC481-EF95-439D-9A19-204E871A9302}"/>
    <cellStyle name="Separador de milhares 7 29" xfId="21317" xr:uid="{00000000-0005-0000-0000-0000895D0000}"/>
    <cellStyle name="Separador de milhares 7 29 2" xfId="21318" xr:uid="{00000000-0005-0000-0000-00008A5D0000}"/>
    <cellStyle name="Separador de milhares 7 29 2 2" xfId="30167" xr:uid="{1D8E694C-C7B9-4B69-ABC4-B6EA4AB0A6F1}"/>
    <cellStyle name="Separador de milhares 7 29 3" xfId="30166" xr:uid="{AEB32CF1-23FA-45BC-B52B-3BD2783B8482}"/>
    <cellStyle name="Separador de milhares 7 3" xfId="841" xr:uid="{00000000-0005-0000-0000-00008B5D0000}"/>
    <cellStyle name="Separador de milhares 7 3 10" xfId="21320" xr:uid="{00000000-0005-0000-0000-00008C5D0000}"/>
    <cellStyle name="Separador de milhares 7 3 10 2" xfId="21321" xr:uid="{00000000-0005-0000-0000-00008D5D0000}"/>
    <cellStyle name="Separador de milhares 7 3 10 2 2" xfId="30168" xr:uid="{A9F33D68-B654-4D2A-988F-5A819ACE4E26}"/>
    <cellStyle name="Separador de milhares 7 3 11" xfId="21322" xr:uid="{00000000-0005-0000-0000-00008E5D0000}"/>
    <cellStyle name="Separador de milhares 7 3 11 2" xfId="21323" xr:uid="{00000000-0005-0000-0000-00008F5D0000}"/>
    <cellStyle name="Separador de milhares 7 3 11 2 2" xfId="30170" xr:uid="{5C060C2E-930E-4272-AA2B-BB3DE2DF5721}"/>
    <cellStyle name="Separador de milhares 7 3 11 3" xfId="30169" xr:uid="{8D080C9F-7756-4D65-80C0-7F47F7C26EE6}"/>
    <cellStyle name="Separador de milhares 7 3 12" xfId="21324" xr:uid="{00000000-0005-0000-0000-0000905D0000}"/>
    <cellStyle name="Separador de milhares 7 3 12 2" xfId="21325" xr:uid="{00000000-0005-0000-0000-0000915D0000}"/>
    <cellStyle name="Separador de milhares 7 3 12 2 2" xfId="30172" xr:uid="{389C38A5-3B75-46EA-B2C9-9B073EC8CF29}"/>
    <cellStyle name="Separador de milhares 7 3 12 3" xfId="30171" xr:uid="{F0D4C799-90BE-41BF-B505-9BEA7589CBFE}"/>
    <cellStyle name="Separador de milhares 7 3 13" xfId="21326" xr:uid="{00000000-0005-0000-0000-0000925D0000}"/>
    <cellStyle name="Separador de milhares 7 3 13 2" xfId="21327" xr:uid="{00000000-0005-0000-0000-0000935D0000}"/>
    <cellStyle name="Separador de milhares 7 3 13 2 2" xfId="30174" xr:uid="{80EC8672-31A1-4E79-9A67-AD8A390EDFD5}"/>
    <cellStyle name="Separador de milhares 7 3 13 3" xfId="30173" xr:uid="{F760B4EC-79AD-4908-8369-B164D987902B}"/>
    <cellStyle name="Separador de milhares 7 3 14" xfId="21328" xr:uid="{00000000-0005-0000-0000-0000945D0000}"/>
    <cellStyle name="Separador de milhares 7 3 14 2" xfId="21329" xr:uid="{00000000-0005-0000-0000-0000955D0000}"/>
    <cellStyle name="Separador de milhares 7 3 14 2 2" xfId="30176" xr:uid="{4069B9F1-ABF1-45C6-94D4-05A56B3D6F14}"/>
    <cellStyle name="Separador de milhares 7 3 14 3" xfId="30175" xr:uid="{0BADAA69-6BC8-48C6-BD78-381381E6B82D}"/>
    <cellStyle name="Separador de milhares 7 3 15" xfId="21330" xr:uid="{00000000-0005-0000-0000-0000965D0000}"/>
    <cellStyle name="Separador de milhares 7 3 15 2" xfId="21331" xr:uid="{00000000-0005-0000-0000-0000975D0000}"/>
    <cellStyle name="Separador de milhares 7 3 15 2 2" xfId="30178" xr:uid="{C7A2F7DC-09EE-4ED2-8CF4-6CBBD3097456}"/>
    <cellStyle name="Separador de milhares 7 3 15 3" xfId="30177" xr:uid="{A1934C60-F347-4E02-A3DA-0E3F42ADF888}"/>
    <cellStyle name="Separador de milhares 7 3 16" xfId="21332" xr:uid="{00000000-0005-0000-0000-0000985D0000}"/>
    <cellStyle name="Separador de milhares 7 3 16 2" xfId="21333" xr:uid="{00000000-0005-0000-0000-0000995D0000}"/>
    <cellStyle name="Separador de milhares 7 3 16 2 2" xfId="30180" xr:uid="{A928D29E-A255-45FB-A9CA-2BF1E692BD62}"/>
    <cellStyle name="Separador de milhares 7 3 16 3" xfId="30179" xr:uid="{7AA80529-26FD-4B2E-ABF8-21F85074C4AE}"/>
    <cellStyle name="Separador de milhares 7 3 17" xfId="21334" xr:uid="{00000000-0005-0000-0000-00009A5D0000}"/>
    <cellStyle name="Separador de milhares 7 3 17 2" xfId="21335" xr:uid="{00000000-0005-0000-0000-00009B5D0000}"/>
    <cellStyle name="Separador de milhares 7 3 17 2 2" xfId="30182" xr:uid="{89823D11-9E4F-4F45-BDF4-395010D93A4E}"/>
    <cellStyle name="Separador de milhares 7 3 17 3" xfId="30181" xr:uid="{7BBC0323-46F9-4FB3-80C4-B6A90F28F34D}"/>
    <cellStyle name="Separador de milhares 7 3 18" xfId="21336" xr:uid="{00000000-0005-0000-0000-00009C5D0000}"/>
    <cellStyle name="Separador de milhares 7 3 18 2" xfId="21337" xr:uid="{00000000-0005-0000-0000-00009D5D0000}"/>
    <cellStyle name="Separador de milhares 7 3 18 2 2" xfId="30184" xr:uid="{690A5947-E90C-460A-AAD0-91AAF1852125}"/>
    <cellStyle name="Separador de milhares 7 3 18 3" xfId="30183" xr:uid="{B8A4EC67-7257-4B9B-A59E-523392F2DE72}"/>
    <cellStyle name="Separador de milhares 7 3 19" xfId="21338" xr:uid="{00000000-0005-0000-0000-00009E5D0000}"/>
    <cellStyle name="Separador de milhares 7 3 19 2" xfId="21339" xr:uid="{00000000-0005-0000-0000-00009F5D0000}"/>
    <cellStyle name="Separador de milhares 7 3 19 2 2" xfId="30186" xr:uid="{06DE9D6A-8E1E-418C-97E3-77D3D0FFB28A}"/>
    <cellStyle name="Separador de milhares 7 3 19 3" xfId="30185" xr:uid="{BD984B30-1177-4211-9C4B-3B26EA149976}"/>
    <cellStyle name="Separador de milhares 7 3 2" xfId="842" xr:uid="{00000000-0005-0000-0000-0000A05D0000}"/>
    <cellStyle name="Separador de milhares 7 3 2 10" xfId="21341" xr:uid="{00000000-0005-0000-0000-0000A15D0000}"/>
    <cellStyle name="Separador de milhares 7 3 2 10 2" xfId="21342" xr:uid="{00000000-0005-0000-0000-0000A25D0000}"/>
    <cellStyle name="Separador de milhares 7 3 2 10 2 2" xfId="30188" xr:uid="{660C3AC1-7655-43A3-A992-3F92227260B9}"/>
    <cellStyle name="Separador de milhares 7 3 2 10 3" xfId="30187" xr:uid="{5B50835C-1915-4878-98B7-3519A3CCF991}"/>
    <cellStyle name="Separador de milhares 7 3 2 11" xfId="21343" xr:uid="{00000000-0005-0000-0000-0000A35D0000}"/>
    <cellStyle name="Separador de milhares 7 3 2 11 2" xfId="21344" xr:uid="{00000000-0005-0000-0000-0000A45D0000}"/>
    <cellStyle name="Separador de milhares 7 3 2 11 2 2" xfId="30190" xr:uid="{55D1375C-D1AC-4347-99C4-D70C75FC1C2D}"/>
    <cellStyle name="Separador de milhares 7 3 2 11 3" xfId="30189" xr:uid="{C6080657-EEB3-4AEA-85D3-E98DFC0A805C}"/>
    <cellStyle name="Separador de milhares 7 3 2 12" xfId="21345" xr:uid="{00000000-0005-0000-0000-0000A55D0000}"/>
    <cellStyle name="Separador de milhares 7 3 2 12 2" xfId="21346" xr:uid="{00000000-0005-0000-0000-0000A65D0000}"/>
    <cellStyle name="Separador de milhares 7 3 2 12 2 2" xfId="30192" xr:uid="{4F0C6D33-BEEA-4E7D-BACA-90A78F537EDA}"/>
    <cellStyle name="Separador de milhares 7 3 2 12 3" xfId="30191" xr:uid="{33724394-4BC3-4209-8993-FBEE6C015815}"/>
    <cellStyle name="Separador de milhares 7 3 2 13" xfId="21347" xr:uid="{00000000-0005-0000-0000-0000A75D0000}"/>
    <cellStyle name="Separador de milhares 7 3 2 13 2" xfId="21348" xr:uid="{00000000-0005-0000-0000-0000A85D0000}"/>
    <cellStyle name="Separador de milhares 7 3 2 13 2 2" xfId="30194" xr:uid="{83A5F124-CD9A-4E82-9884-D5749CF451DB}"/>
    <cellStyle name="Separador de milhares 7 3 2 13 3" xfId="30193" xr:uid="{A799C6E0-F069-49B2-B614-9FCE40DC1CC4}"/>
    <cellStyle name="Separador de milhares 7 3 2 14" xfId="21349" xr:uid="{00000000-0005-0000-0000-0000A95D0000}"/>
    <cellStyle name="Separador de milhares 7 3 2 14 2" xfId="21350" xr:uid="{00000000-0005-0000-0000-0000AA5D0000}"/>
    <cellStyle name="Separador de milhares 7 3 2 14 2 2" xfId="30196" xr:uid="{5C6A5690-8617-4A32-95D2-E87F7466ED65}"/>
    <cellStyle name="Separador de milhares 7 3 2 14 3" xfId="30195" xr:uid="{AB484D9E-69B8-4576-B99E-41AB5CB10B48}"/>
    <cellStyle name="Separador de milhares 7 3 2 15" xfId="21351" xr:uid="{00000000-0005-0000-0000-0000AB5D0000}"/>
    <cellStyle name="Separador de milhares 7 3 2 15 2" xfId="21352" xr:uid="{00000000-0005-0000-0000-0000AC5D0000}"/>
    <cellStyle name="Separador de milhares 7 3 2 15 2 2" xfId="30198" xr:uid="{62103E8C-C611-438D-BD48-CD2D1903E7A0}"/>
    <cellStyle name="Separador de milhares 7 3 2 15 3" xfId="30197" xr:uid="{86000715-987A-4C9E-B0E8-767F45A399DD}"/>
    <cellStyle name="Separador de milhares 7 3 2 16" xfId="21353" xr:uid="{00000000-0005-0000-0000-0000AD5D0000}"/>
    <cellStyle name="Separador de milhares 7 3 2 16 2" xfId="21354" xr:uid="{00000000-0005-0000-0000-0000AE5D0000}"/>
    <cellStyle name="Separador de milhares 7 3 2 16 2 2" xfId="30200" xr:uid="{384EA0EA-B439-48F3-874A-B2A964146B39}"/>
    <cellStyle name="Separador de milhares 7 3 2 16 3" xfId="30199" xr:uid="{7790D1DE-39D0-4BEE-9228-E5D89141C39E}"/>
    <cellStyle name="Separador de milhares 7 3 2 17" xfId="21355" xr:uid="{00000000-0005-0000-0000-0000AF5D0000}"/>
    <cellStyle name="Separador de milhares 7 3 2 17 2" xfId="21356" xr:uid="{00000000-0005-0000-0000-0000B05D0000}"/>
    <cellStyle name="Separador de milhares 7 3 2 17 2 2" xfId="30202" xr:uid="{1FED6206-6542-4A9C-BDD6-4B6802D3A041}"/>
    <cellStyle name="Separador de milhares 7 3 2 17 3" xfId="30201" xr:uid="{47EC080F-A995-4B3E-80BA-56E160AC8595}"/>
    <cellStyle name="Separador de milhares 7 3 2 18" xfId="21357" xr:uid="{00000000-0005-0000-0000-0000B15D0000}"/>
    <cellStyle name="Separador de milhares 7 3 2 18 2" xfId="21358" xr:uid="{00000000-0005-0000-0000-0000B25D0000}"/>
    <cellStyle name="Separador de milhares 7 3 2 18 2 2" xfId="30204" xr:uid="{CDCB7188-1879-4100-BBA1-8D81C831D1B3}"/>
    <cellStyle name="Separador de milhares 7 3 2 18 3" xfId="30203" xr:uid="{06A7943D-48CC-430C-91A4-1958D19AF8E7}"/>
    <cellStyle name="Separador de milhares 7 3 2 19" xfId="21359" xr:uid="{00000000-0005-0000-0000-0000B35D0000}"/>
    <cellStyle name="Separador de milhares 7 3 2 19 2" xfId="21360" xr:uid="{00000000-0005-0000-0000-0000B45D0000}"/>
    <cellStyle name="Separador de milhares 7 3 2 19 2 2" xfId="30206" xr:uid="{A6ADF992-375F-487C-B0E8-397ABA0D9B26}"/>
    <cellStyle name="Separador de milhares 7 3 2 19 3" xfId="30205" xr:uid="{5690A07A-C36D-4CDB-8F52-ADF7F8BBD85E}"/>
    <cellStyle name="Separador de milhares 7 3 2 2" xfId="843" xr:uid="{00000000-0005-0000-0000-0000B55D0000}"/>
    <cellStyle name="Separador de milhares 7 3 2 2 10" xfId="21362" xr:uid="{00000000-0005-0000-0000-0000B65D0000}"/>
    <cellStyle name="Separador de milhares 7 3 2 2 10 2" xfId="21363" xr:uid="{00000000-0005-0000-0000-0000B75D0000}"/>
    <cellStyle name="Separador de milhares 7 3 2 2 10 2 2" xfId="30209" xr:uid="{A4045F92-834D-4A96-A0E1-2A6DA5207FCC}"/>
    <cellStyle name="Separador de milhares 7 3 2 2 10 3" xfId="30208" xr:uid="{2FDF8B47-8558-4DA1-9CB7-E1D8E75ED922}"/>
    <cellStyle name="Separador de milhares 7 3 2 2 11" xfId="21364" xr:uid="{00000000-0005-0000-0000-0000B85D0000}"/>
    <cellStyle name="Separador de milhares 7 3 2 2 11 2" xfId="21365" xr:uid="{00000000-0005-0000-0000-0000B95D0000}"/>
    <cellStyle name="Separador de milhares 7 3 2 2 11 2 2" xfId="30211" xr:uid="{D35BC8D2-FD3B-4142-AC71-114EC1D5FADD}"/>
    <cellStyle name="Separador de milhares 7 3 2 2 11 3" xfId="30210" xr:uid="{75EFE33F-1C7A-4631-BCF7-4AEC0EF75DA3}"/>
    <cellStyle name="Separador de milhares 7 3 2 2 12" xfId="21366" xr:uid="{00000000-0005-0000-0000-0000BA5D0000}"/>
    <cellStyle name="Separador de milhares 7 3 2 2 12 2" xfId="21367" xr:uid="{00000000-0005-0000-0000-0000BB5D0000}"/>
    <cellStyle name="Separador de milhares 7 3 2 2 12 2 2" xfId="30213" xr:uid="{1C934E01-C9BE-4A84-91F0-8B22CFBC8268}"/>
    <cellStyle name="Separador de milhares 7 3 2 2 12 3" xfId="30212" xr:uid="{308BC57F-85C8-4EF3-A172-5295EB900F99}"/>
    <cellStyle name="Separador de milhares 7 3 2 2 13" xfId="21368" xr:uid="{00000000-0005-0000-0000-0000BC5D0000}"/>
    <cellStyle name="Separador de milhares 7 3 2 2 13 2" xfId="21369" xr:uid="{00000000-0005-0000-0000-0000BD5D0000}"/>
    <cellStyle name="Separador de milhares 7 3 2 2 13 2 2" xfId="30215" xr:uid="{5C0EEAD8-52C2-4B0F-AF77-62264B8E9B7F}"/>
    <cellStyle name="Separador de milhares 7 3 2 2 13 3" xfId="30214" xr:uid="{FB169FF1-7C7E-47F7-9171-33635657642C}"/>
    <cellStyle name="Separador de milhares 7 3 2 2 14" xfId="21370" xr:uid="{00000000-0005-0000-0000-0000BE5D0000}"/>
    <cellStyle name="Separador de milhares 7 3 2 2 14 2" xfId="21371" xr:uid="{00000000-0005-0000-0000-0000BF5D0000}"/>
    <cellStyle name="Separador de milhares 7 3 2 2 14 2 2" xfId="30217" xr:uid="{C56B4147-3440-4347-91B2-229824FBA1F9}"/>
    <cellStyle name="Separador de milhares 7 3 2 2 14 3" xfId="30216" xr:uid="{8B7A4AA9-C418-45D9-827D-3307F054DAF0}"/>
    <cellStyle name="Separador de milhares 7 3 2 2 15" xfId="21372" xr:uid="{00000000-0005-0000-0000-0000C05D0000}"/>
    <cellStyle name="Separador de milhares 7 3 2 2 15 2" xfId="21373" xr:uid="{00000000-0005-0000-0000-0000C15D0000}"/>
    <cellStyle name="Separador de milhares 7 3 2 2 15 2 2" xfId="30219" xr:uid="{C08A328A-7DD1-451E-9D78-F44EE9137FED}"/>
    <cellStyle name="Separador de milhares 7 3 2 2 15 3" xfId="30218" xr:uid="{810CD2D4-B373-4FD7-853F-10742A1EEFEE}"/>
    <cellStyle name="Separador de milhares 7 3 2 2 16" xfId="21374" xr:uid="{00000000-0005-0000-0000-0000C25D0000}"/>
    <cellStyle name="Separador de milhares 7 3 2 2 16 2" xfId="21375" xr:uid="{00000000-0005-0000-0000-0000C35D0000}"/>
    <cellStyle name="Separador de milhares 7 3 2 2 16 2 2" xfId="30221" xr:uid="{08175CFB-4574-4A98-ACA0-1F6EE442616B}"/>
    <cellStyle name="Separador de milhares 7 3 2 2 16 3" xfId="30220" xr:uid="{71EF52D8-D2DA-420F-AA61-8CCA74D6B52F}"/>
    <cellStyle name="Separador de milhares 7 3 2 2 17" xfId="21376" xr:uid="{00000000-0005-0000-0000-0000C45D0000}"/>
    <cellStyle name="Separador de milhares 7 3 2 2 17 2" xfId="21377" xr:uid="{00000000-0005-0000-0000-0000C55D0000}"/>
    <cellStyle name="Separador de milhares 7 3 2 2 17 2 2" xfId="30223" xr:uid="{BEEBB54F-01D6-436A-A003-2C6ED1AF1DE9}"/>
    <cellStyle name="Separador de milhares 7 3 2 2 17 3" xfId="30222" xr:uid="{72F6C4A9-CEB7-4709-B092-D20EF9EF29CC}"/>
    <cellStyle name="Separador de milhares 7 3 2 2 18" xfId="21378" xr:uid="{00000000-0005-0000-0000-0000C65D0000}"/>
    <cellStyle name="Separador de milhares 7 3 2 2 18 2" xfId="21379" xr:uid="{00000000-0005-0000-0000-0000C75D0000}"/>
    <cellStyle name="Separador de milhares 7 3 2 2 18 2 2" xfId="30225" xr:uid="{1F4BC40D-97C0-4450-B33F-5014F1C82D15}"/>
    <cellStyle name="Separador de milhares 7 3 2 2 18 3" xfId="30224" xr:uid="{671441BC-41EE-4E57-8E7D-EF17888F6021}"/>
    <cellStyle name="Separador de milhares 7 3 2 2 19" xfId="21380" xr:uid="{00000000-0005-0000-0000-0000C85D0000}"/>
    <cellStyle name="Separador de milhares 7 3 2 2 19 2" xfId="21381" xr:uid="{00000000-0005-0000-0000-0000C95D0000}"/>
    <cellStyle name="Separador de milhares 7 3 2 2 19 2 2" xfId="30227" xr:uid="{CF58D059-F662-40D8-8414-7C2BD8F920FF}"/>
    <cellStyle name="Separador de milhares 7 3 2 2 19 3" xfId="30226" xr:uid="{79E2C771-6F5D-4378-BDD0-F4E3A7A78EED}"/>
    <cellStyle name="Separador de milhares 7 3 2 2 2" xfId="844" xr:uid="{00000000-0005-0000-0000-0000CA5D0000}"/>
    <cellStyle name="Separador de milhares 7 3 2 2 2 2" xfId="21383" xr:uid="{00000000-0005-0000-0000-0000CB5D0000}"/>
    <cellStyle name="Separador de milhares 7 3 2 2 2 2 2" xfId="30229" xr:uid="{6B72E0DD-998E-4EFB-97EB-95504A1221CB}"/>
    <cellStyle name="Separador de milhares 7 3 2 2 2 3" xfId="21382" xr:uid="{00000000-0005-0000-0000-0000CC5D0000}"/>
    <cellStyle name="Separador de milhares 7 3 2 2 2 3 2" xfId="30228" xr:uid="{AD38296C-3AAF-427E-8F13-E3926EE37639}"/>
    <cellStyle name="Separador de milhares 7 3 2 2 2 4" xfId="28078" xr:uid="{7C639880-0ADB-4CA3-8F29-81D16F690D65}"/>
    <cellStyle name="Separador de milhares 7 3 2 2 20" xfId="21384" xr:uid="{00000000-0005-0000-0000-0000CD5D0000}"/>
    <cellStyle name="Separador de milhares 7 3 2 2 20 2" xfId="21385" xr:uid="{00000000-0005-0000-0000-0000CE5D0000}"/>
    <cellStyle name="Separador de milhares 7 3 2 2 20 2 2" xfId="30231" xr:uid="{4EAB47E8-58C0-400A-9125-B627DC4BFF3C}"/>
    <cellStyle name="Separador de milhares 7 3 2 2 20 3" xfId="30230" xr:uid="{BFEC22F5-EDF3-4208-BF49-5275E3F68E15}"/>
    <cellStyle name="Separador de milhares 7 3 2 2 21" xfId="21386" xr:uid="{00000000-0005-0000-0000-0000CF5D0000}"/>
    <cellStyle name="Separador de milhares 7 3 2 2 21 2" xfId="21387" xr:uid="{00000000-0005-0000-0000-0000D05D0000}"/>
    <cellStyle name="Separador de milhares 7 3 2 2 21 2 2" xfId="30233" xr:uid="{67E6C41A-8F0A-48C6-88DB-34280D1D019F}"/>
    <cellStyle name="Separador de milhares 7 3 2 2 21 3" xfId="30232" xr:uid="{FD25E33E-BA15-443E-9E28-1B821D509291}"/>
    <cellStyle name="Separador de milhares 7 3 2 2 22" xfId="21388" xr:uid="{00000000-0005-0000-0000-0000D15D0000}"/>
    <cellStyle name="Separador de milhares 7 3 2 2 22 2" xfId="21389" xr:uid="{00000000-0005-0000-0000-0000D25D0000}"/>
    <cellStyle name="Separador de milhares 7 3 2 2 22 2 2" xfId="30235" xr:uid="{121D3412-8372-4632-8DCB-2AA309BEA285}"/>
    <cellStyle name="Separador de milhares 7 3 2 2 22 3" xfId="30234" xr:uid="{E701A9D2-1562-40F0-BA83-A5A023F6FAC2}"/>
    <cellStyle name="Separador de milhares 7 3 2 2 23" xfId="21390" xr:uid="{00000000-0005-0000-0000-0000D35D0000}"/>
    <cellStyle name="Separador de milhares 7 3 2 2 23 2" xfId="21391" xr:uid="{00000000-0005-0000-0000-0000D45D0000}"/>
    <cellStyle name="Separador de milhares 7 3 2 2 23 2 2" xfId="30237" xr:uid="{0ED6D44E-2E5E-49AC-ACD5-47D3632A7D65}"/>
    <cellStyle name="Separador de milhares 7 3 2 2 23 3" xfId="30236" xr:uid="{E4902945-1FD8-4E2C-A932-CDB1D54FED3D}"/>
    <cellStyle name="Separador de milhares 7 3 2 2 24" xfId="21392" xr:uid="{00000000-0005-0000-0000-0000D55D0000}"/>
    <cellStyle name="Separador de milhares 7 3 2 2 24 2" xfId="21393" xr:uid="{00000000-0005-0000-0000-0000D65D0000}"/>
    <cellStyle name="Separador de milhares 7 3 2 2 24 2 2" xfId="30239" xr:uid="{2F063A82-7649-40CD-9E7A-F6AEEE73E96E}"/>
    <cellStyle name="Separador de milhares 7 3 2 2 24 3" xfId="30238" xr:uid="{CA97C22C-E2BF-4D3A-B7B6-2DD531A81993}"/>
    <cellStyle name="Separador de milhares 7 3 2 2 25" xfId="21394" xr:uid="{00000000-0005-0000-0000-0000D75D0000}"/>
    <cellStyle name="Separador de milhares 7 3 2 2 25 2" xfId="21395" xr:uid="{00000000-0005-0000-0000-0000D85D0000}"/>
    <cellStyle name="Separador de milhares 7 3 2 2 25 2 2" xfId="30241" xr:uid="{13EA3032-5053-422E-90DA-BDDC428E16F8}"/>
    <cellStyle name="Separador de milhares 7 3 2 2 25 3" xfId="30240" xr:uid="{2DA7BD01-F0E8-42E1-9658-03FE79979A56}"/>
    <cellStyle name="Separador de milhares 7 3 2 2 26" xfId="21396" xr:uid="{00000000-0005-0000-0000-0000D95D0000}"/>
    <cellStyle name="Separador de milhares 7 3 2 2 26 2" xfId="21397" xr:uid="{00000000-0005-0000-0000-0000DA5D0000}"/>
    <cellStyle name="Separador de milhares 7 3 2 2 26 2 2" xfId="30243" xr:uid="{B56A2755-CC88-43BE-A0F2-7E4B398B9A24}"/>
    <cellStyle name="Separador de milhares 7 3 2 2 26 3" xfId="30242" xr:uid="{F9A64093-AB35-46A1-A6E2-4E7FE25F1E8D}"/>
    <cellStyle name="Separador de milhares 7 3 2 2 27" xfId="21398" xr:uid="{00000000-0005-0000-0000-0000DB5D0000}"/>
    <cellStyle name="Separador de milhares 7 3 2 2 27 2" xfId="21399" xr:uid="{00000000-0005-0000-0000-0000DC5D0000}"/>
    <cellStyle name="Separador de milhares 7 3 2 2 27 2 2" xfId="30245" xr:uid="{104DC533-B006-44F0-BFEF-5EC2AB0852B7}"/>
    <cellStyle name="Separador de milhares 7 3 2 2 27 3" xfId="30244" xr:uid="{DC688EDC-F527-49D0-AC51-02C5F3EA78BC}"/>
    <cellStyle name="Separador de milhares 7 3 2 2 28" xfId="21400" xr:uid="{00000000-0005-0000-0000-0000DD5D0000}"/>
    <cellStyle name="Separador de milhares 7 3 2 2 28 2" xfId="21401" xr:uid="{00000000-0005-0000-0000-0000DE5D0000}"/>
    <cellStyle name="Separador de milhares 7 3 2 2 28 2 2" xfId="30247" xr:uid="{2BFE2D55-C428-468F-B7BE-C57880E66104}"/>
    <cellStyle name="Separador de milhares 7 3 2 2 28 3" xfId="30246" xr:uid="{0D744BC4-4E92-49DF-98B5-E8A96405BAA5}"/>
    <cellStyle name="Separador de milhares 7 3 2 2 29" xfId="21402" xr:uid="{00000000-0005-0000-0000-0000DF5D0000}"/>
    <cellStyle name="Separador de milhares 7 3 2 2 29 2" xfId="21403" xr:uid="{00000000-0005-0000-0000-0000E05D0000}"/>
    <cellStyle name="Separador de milhares 7 3 2 2 29 2 2" xfId="30249" xr:uid="{0CFA33DA-2C04-4974-8940-F450C6E06131}"/>
    <cellStyle name="Separador de milhares 7 3 2 2 29 3" xfId="30248" xr:uid="{03426B3A-EF5C-4DCA-8404-0EFD63820FD4}"/>
    <cellStyle name="Separador de milhares 7 3 2 2 3" xfId="21404" xr:uid="{00000000-0005-0000-0000-0000E15D0000}"/>
    <cellStyle name="Separador de milhares 7 3 2 2 3 2" xfId="21405" xr:uid="{00000000-0005-0000-0000-0000E25D0000}"/>
    <cellStyle name="Separador de milhares 7 3 2 2 3 2 2" xfId="30251" xr:uid="{B9F0691C-2749-4C81-B9EB-AFFAFA3B9952}"/>
    <cellStyle name="Separador de milhares 7 3 2 2 3 3" xfId="30250" xr:uid="{7D4C819F-A1E7-4A62-B261-60E5357BA6F3}"/>
    <cellStyle name="Separador de milhares 7 3 2 2 30" xfId="21406" xr:uid="{00000000-0005-0000-0000-0000E35D0000}"/>
    <cellStyle name="Separador de milhares 7 3 2 2 30 2" xfId="21407" xr:uid="{00000000-0005-0000-0000-0000E45D0000}"/>
    <cellStyle name="Separador de milhares 7 3 2 2 30 2 2" xfId="30253" xr:uid="{48C27E59-59FE-4AC6-B379-425ED74FFB7C}"/>
    <cellStyle name="Separador de milhares 7 3 2 2 30 3" xfId="30252" xr:uid="{7A66A9D6-7F97-4A8A-BC20-EA0F8338D8FF}"/>
    <cellStyle name="Separador de milhares 7 3 2 2 31" xfId="21408" xr:uid="{00000000-0005-0000-0000-0000E55D0000}"/>
    <cellStyle name="Separador de milhares 7 3 2 2 31 2" xfId="21409" xr:uid="{00000000-0005-0000-0000-0000E65D0000}"/>
    <cellStyle name="Separador de milhares 7 3 2 2 31 2 2" xfId="30255" xr:uid="{DE963A61-160F-475A-B248-F26E903DC675}"/>
    <cellStyle name="Separador de milhares 7 3 2 2 31 3" xfId="30254" xr:uid="{9D4C8551-4438-42D2-8DBE-E19985673556}"/>
    <cellStyle name="Separador de milhares 7 3 2 2 32" xfId="21410" xr:uid="{00000000-0005-0000-0000-0000E75D0000}"/>
    <cellStyle name="Separador de milhares 7 3 2 2 32 2" xfId="21411" xr:uid="{00000000-0005-0000-0000-0000E85D0000}"/>
    <cellStyle name="Separador de milhares 7 3 2 2 32 2 2" xfId="30257" xr:uid="{CB0F2E78-F32D-4A0B-A4E8-33AB94D79052}"/>
    <cellStyle name="Separador de milhares 7 3 2 2 32 3" xfId="30256" xr:uid="{7134EF4C-8397-4FEC-A6FF-80EECFAD1300}"/>
    <cellStyle name="Separador de milhares 7 3 2 2 33" xfId="21412" xr:uid="{00000000-0005-0000-0000-0000E95D0000}"/>
    <cellStyle name="Separador de milhares 7 3 2 2 33 2" xfId="21413" xr:uid="{00000000-0005-0000-0000-0000EA5D0000}"/>
    <cellStyle name="Separador de milhares 7 3 2 2 33 2 2" xfId="30259" xr:uid="{791089F9-3709-423F-AD5E-B6DFD9B6E289}"/>
    <cellStyle name="Separador de milhares 7 3 2 2 33 3" xfId="30258" xr:uid="{F1AB119F-5AF3-4373-85DA-775894F020BD}"/>
    <cellStyle name="Separador de milhares 7 3 2 2 34" xfId="21414" xr:uid="{00000000-0005-0000-0000-0000EB5D0000}"/>
    <cellStyle name="Separador de milhares 7 3 2 2 34 2" xfId="21415" xr:uid="{00000000-0005-0000-0000-0000EC5D0000}"/>
    <cellStyle name="Separador de milhares 7 3 2 2 34 2 2" xfId="30261" xr:uid="{F813FCA4-71BA-442C-AE0C-4E35F29202B6}"/>
    <cellStyle name="Separador de milhares 7 3 2 2 34 3" xfId="30260" xr:uid="{B4B428AB-C34B-424F-BB45-D5A066C38FAB}"/>
    <cellStyle name="Separador de milhares 7 3 2 2 35" xfId="21416" xr:uid="{00000000-0005-0000-0000-0000ED5D0000}"/>
    <cellStyle name="Separador de milhares 7 3 2 2 35 2" xfId="30262" xr:uid="{B0B44ACE-4541-4488-8D67-53560DECF2FB}"/>
    <cellStyle name="Separador de milhares 7 3 2 2 36" xfId="21361" xr:uid="{00000000-0005-0000-0000-0000EE5D0000}"/>
    <cellStyle name="Separador de milhares 7 3 2 2 36 2" xfId="30207" xr:uid="{647C977C-143F-47AE-A69A-52899AAF2C59}"/>
    <cellStyle name="Separador de milhares 7 3 2 2 37" xfId="28077" xr:uid="{2EADBDA7-6172-4237-908C-789E42050948}"/>
    <cellStyle name="Separador de milhares 7 3 2 2 4" xfId="21417" xr:uid="{00000000-0005-0000-0000-0000EF5D0000}"/>
    <cellStyle name="Separador de milhares 7 3 2 2 4 2" xfId="21418" xr:uid="{00000000-0005-0000-0000-0000F05D0000}"/>
    <cellStyle name="Separador de milhares 7 3 2 2 4 2 2" xfId="30264" xr:uid="{418E04D3-5C51-4F83-BA1C-91FED955636C}"/>
    <cellStyle name="Separador de milhares 7 3 2 2 4 3" xfId="30263" xr:uid="{50942708-E74F-4CD4-8230-DEEE27677B8F}"/>
    <cellStyle name="Separador de milhares 7 3 2 2 5" xfId="21419" xr:uid="{00000000-0005-0000-0000-0000F15D0000}"/>
    <cellStyle name="Separador de milhares 7 3 2 2 5 2" xfId="21420" xr:uid="{00000000-0005-0000-0000-0000F25D0000}"/>
    <cellStyle name="Separador de milhares 7 3 2 2 5 2 2" xfId="30266" xr:uid="{5B2C6904-EA7D-484F-8D15-759133874390}"/>
    <cellStyle name="Separador de milhares 7 3 2 2 5 3" xfId="30265" xr:uid="{D9305111-D731-45F6-90B0-B1727DC928D6}"/>
    <cellStyle name="Separador de milhares 7 3 2 2 6" xfId="21421" xr:uid="{00000000-0005-0000-0000-0000F35D0000}"/>
    <cellStyle name="Separador de milhares 7 3 2 2 6 2" xfId="21422" xr:uid="{00000000-0005-0000-0000-0000F45D0000}"/>
    <cellStyle name="Separador de milhares 7 3 2 2 6 2 2" xfId="30268" xr:uid="{F43CC423-0A8E-401F-8287-FC03FAC43D73}"/>
    <cellStyle name="Separador de milhares 7 3 2 2 6 3" xfId="30267" xr:uid="{B6515FC2-C23F-4A39-8040-83DBD8547B66}"/>
    <cellStyle name="Separador de milhares 7 3 2 2 7" xfId="21423" xr:uid="{00000000-0005-0000-0000-0000F55D0000}"/>
    <cellStyle name="Separador de milhares 7 3 2 2 7 2" xfId="21424" xr:uid="{00000000-0005-0000-0000-0000F65D0000}"/>
    <cellStyle name="Separador de milhares 7 3 2 2 7 2 2" xfId="30270" xr:uid="{418BBCE3-8CF5-4413-BCA1-1E593FBE5559}"/>
    <cellStyle name="Separador de milhares 7 3 2 2 7 3" xfId="30269" xr:uid="{ED633E7E-07BB-48FF-A158-9B4E32CD461E}"/>
    <cellStyle name="Separador de milhares 7 3 2 2 8" xfId="21425" xr:uid="{00000000-0005-0000-0000-0000F75D0000}"/>
    <cellStyle name="Separador de milhares 7 3 2 2 8 2" xfId="21426" xr:uid="{00000000-0005-0000-0000-0000F85D0000}"/>
    <cellStyle name="Separador de milhares 7 3 2 2 8 2 2" xfId="30272" xr:uid="{84EAA34B-7665-4456-8889-12BE8ED84ECB}"/>
    <cellStyle name="Separador de milhares 7 3 2 2 8 3" xfId="30271" xr:uid="{B9CF2BD2-47A6-4C78-9139-E22421D3F5E2}"/>
    <cellStyle name="Separador de milhares 7 3 2 2 9" xfId="21427" xr:uid="{00000000-0005-0000-0000-0000F95D0000}"/>
    <cellStyle name="Separador de milhares 7 3 2 2 9 2" xfId="21428" xr:uid="{00000000-0005-0000-0000-0000FA5D0000}"/>
    <cellStyle name="Separador de milhares 7 3 2 2 9 2 2" xfId="30274" xr:uid="{A7BA6B02-6E2A-487C-B74F-C2B6466651BF}"/>
    <cellStyle name="Separador de milhares 7 3 2 2 9 3" xfId="30273" xr:uid="{828ADEC8-5FEE-4C4C-9D2F-B254746C2801}"/>
    <cellStyle name="Separador de milhares 7 3 2 20" xfId="21429" xr:uid="{00000000-0005-0000-0000-0000FB5D0000}"/>
    <cellStyle name="Separador de milhares 7 3 2 20 2" xfId="21430" xr:uid="{00000000-0005-0000-0000-0000FC5D0000}"/>
    <cellStyle name="Separador de milhares 7 3 2 20 2 2" xfId="30276" xr:uid="{B09B8936-D44E-4D84-B1B1-255D4F4E8EAB}"/>
    <cellStyle name="Separador de milhares 7 3 2 20 3" xfId="30275" xr:uid="{CE413CC6-C449-476C-ABD2-2691E563565C}"/>
    <cellStyle name="Separador de milhares 7 3 2 21" xfId="21431" xr:uid="{00000000-0005-0000-0000-0000FD5D0000}"/>
    <cellStyle name="Separador de milhares 7 3 2 21 2" xfId="21432" xr:uid="{00000000-0005-0000-0000-0000FE5D0000}"/>
    <cellStyle name="Separador de milhares 7 3 2 21 2 2" xfId="30278" xr:uid="{D297E75A-70F3-4330-AA93-4328E2D1859E}"/>
    <cellStyle name="Separador de milhares 7 3 2 21 3" xfId="30277" xr:uid="{72702930-4D71-4557-8A83-3B84D710F2ED}"/>
    <cellStyle name="Separador de milhares 7 3 2 22" xfId="21433" xr:uid="{00000000-0005-0000-0000-0000FF5D0000}"/>
    <cellStyle name="Separador de milhares 7 3 2 22 2" xfId="21434" xr:uid="{00000000-0005-0000-0000-0000005E0000}"/>
    <cellStyle name="Separador de milhares 7 3 2 22 2 2" xfId="30280" xr:uid="{33B1278C-12EF-4655-8E89-913AA234B33A}"/>
    <cellStyle name="Separador de milhares 7 3 2 22 3" xfId="30279" xr:uid="{C9AF31FF-450C-423D-9FF8-56EC6A5B3CF4}"/>
    <cellStyle name="Separador de milhares 7 3 2 23" xfId="21435" xr:uid="{00000000-0005-0000-0000-0000015E0000}"/>
    <cellStyle name="Separador de milhares 7 3 2 23 2" xfId="21436" xr:uid="{00000000-0005-0000-0000-0000025E0000}"/>
    <cellStyle name="Separador de milhares 7 3 2 23 2 2" xfId="30282" xr:uid="{CA2B9DEB-A60A-463E-8D51-B64AAE08D322}"/>
    <cellStyle name="Separador de milhares 7 3 2 23 3" xfId="30281" xr:uid="{225A69D0-D546-418C-B951-589C3392C3DA}"/>
    <cellStyle name="Separador de milhares 7 3 2 24" xfId="21437" xr:uid="{00000000-0005-0000-0000-0000035E0000}"/>
    <cellStyle name="Separador de milhares 7 3 2 24 2" xfId="21438" xr:uid="{00000000-0005-0000-0000-0000045E0000}"/>
    <cellStyle name="Separador de milhares 7 3 2 24 2 2" xfId="30284" xr:uid="{99264F0A-BAAB-41D4-9ECF-FAB3E93B823F}"/>
    <cellStyle name="Separador de milhares 7 3 2 24 3" xfId="30283" xr:uid="{BDF34705-6EBB-47CE-83CE-18897AE9648D}"/>
    <cellStyle name="Separador de milhares 7 3 2 25" xfId="21439" xr:uid="{00000000-0005-0000-0000-0000055E0000}"/>
    <cellStyle name="Separador de milhares 7 3 2 25 2" xfId="21440" xr:uid="{00000000-0005-0000-0000-0000065E0000}"/>
    <cellStyle name="Separador de milhares 7 3 2 25 2 2" xfId="30286" xr:uid="{271752A1-7085-4E11-B84B-465A2AB3ECF8}"/>
    <cellStyle name="Separador de milhares 7 3 2 25 3" xfId="30285" xr:uid="{73B6A4FE-E558-4A09-BB03-8357E5B856C1}"/>
    <cellStyle name="Separador de milhares 7 3 2 26" xfId="21441" xr:uid="{00000000-0005-0000-0000-0000075E0000}"/>
    <cellStyle name="Separador de milhares 7 3 2 26 2" xfId="21442" xr:uid="{00000000-0005-0000-0000-0000085E0000}"/>
    <cellStyle name="Separador de milhares 7 3 2 26 2 2" xfId="30288" xr:uid="{CD4F3E43-800D-429B-BC1D-5526767D1D37}"/>
    <cellStyle name="Separador de milhares 7 3 2 26 3" xfId="30287" xr:uid="{4E047F27-9547-4155-980B-F5F246B9198E}"/>
    <cellStyle name="Separador de milhares 7 3 2 27" xfId="21443" xr:uid="{00000000-0005-0000-0000-0000095E0000}"/>
    <cellStyle name="Separador de milhares 7 3 2 27 2" xfId="21444" xr:uid="{00000000-0005-0000-0000-00000A5E0000}"/>
    <cellStyle name="Separador de milhares 7 3 2 27 2 2" xfId="30290" xr:uid="{4634ADE9-7451-4B11-8599-1B38A03EF0F5}"/>
    <cellStyle name="Separador de milhares 7 3 2 27 3" xfId="30289" xr:uid="{7CAEBD04-9380-419D-9753-DBC62A72727C}"/>
    <cellStyle name="Separador de milhares 7 3 2 28" xfId="21445" xr:uid="{00000000-0005-0000-0000-00000B5E0000}"/>
    <cellStyle name="Separador de milhares 7 3 2 28 2" xfId="21446" xr:uid="{00000000-0005-0000-0000-00000C5E0000}"/>
    <cellStyle name="Separador de milhares 7 3 2 28 2 2" xfId="30292" xr:uid="{38CEFAD2-144E-4E8F-A988-0A9A93FE2777}"/>
    <cellStyle name="Separador de milhares 7 3 2 28 3" xfId="30291" xr:uid="{D8F03C1F-6F4C-4BDD-9869-814517E394B4}"/>
    <cellStyle name="Separador de milhares 7 3 2 29" xfId="21447" xr:uid="{00000000-0005-0000-0000-00000D5E0000}"/>
    <cellStyle name="Separador de milhares 7 3 2 29 2" xfId="21448" xr:uid="{00000000-0005-0000-0000-00000E5E0000}"/>
    <cellStyle name="Separador de milhares 7 3 2 29 2 2" xfId="30294" xr:uid="{385776A5-06C6-4773-92F5-3667A8D05701}"/>
    <cellStyle name="Separador de milhares 7 3 2 29 3" xfId="30293" xr:uid="{77C68483-13AA-411E-9B1A-4C53D7DD4894}"/>
    <cellStyle name="Separador de milhares 7 3 2 3" xfId="845" xr:uid="{00000000-0005-0000-0000-00000F5E0000}"/>
    <cellStyle name="Separador de milhares 7 3 2 3 10" xfId="21450" xr:uid="{00000000-0005-0000-0000-0000105E0000}"/>
    <cellStyle name="Separador de milhares 7 3 2 3 10 2" xfId="21451" xr:uid="{00000000-0005-0000-0000-0000115E0000}"/>
    <cellStyle name="Separador de milhares 7 3 2 3 10 2 2" xfId="30297" xr:uid="{D08BBC20-1426-4060-8CC6-489B1413901A}"/>
    <cellStyle name="Separador de milhares 7 3 2 3 10 3" xfId="30296" xr:uid="{9BC2B9DD-CA8B-4E6D-8E08-737181B563BE}"/>
    <cellStyle name="Separador de milhares 7 3 2 3 11" xfId="21452" xr:uid="{00000000-0005-0000-0000-0000125E0000}"/>
    <cellStyle name="Separador de milhares 7 3 2 3 11 2" xfId="21453" xr:uid="{00000000-0005-0000-0000-0000135E0000}"/>
    <cellStyle name="Separador de milhares 7 3 2 3 11 2 2" xfId="30299" xr:uid="{9D8BA7BE-C57A-489A-BA82-841349C6E2FF}"/>
    <cellStyle name="Separador de milhares 7 3 2 3 11 3" xfId="30298" xr:uid="{D73E1DC6-B9DC-44C9-BEEA-7E6752D6C862}"/>
    <cellStyle name="Separador de milhares 7 3 2 3 12" xfId="21454" xr:uid="{00000000-0005-0000-0000-0000145E0000}"/>
    <cellStyle name="Separador de milhares 7 3 2 3 12 2" xfId="21455" xr:uid="{00000000-0005-0000-0000-0000155E0000}"/>
    <cellStyle name="Separador de milhares 7 3 2 3 12 2 2" xfId="30301" xr:uid="{68223E7C-A9AB-417A-8BF5-FF328EFF8375}"/>
    <cellStyle name="Separador de milhares 7 3 2 3 12 3" xfId="30300" xr:uid="{3045B2E4-EA75-4B9F-9D1D-E6A5070F4831}"/>
    <cellStyle name="Separador de milhares 7 3 2 3 13" xfId="21456" xr:uid="{00000000-0005-0000-0000-0000165E0000}"/>
    <cellStyle name="Separador de milhares 7 3 2 3 13 2" xfId="21457" xr:uid="{00000000-0005-0000-0000-0000175E0000}"/>
    <cellStyle name="Separador de milhares 7 3 2 3 13 2 2" xfId="30303" xr:uid="{6F83C264-50BC-4F26-94CF-9B22F9E5E85C}"/>
    <cellStyle name="Separador de milhares 7 3 2 3 13 3" xfId="30302" xr:uid="{E9829AE7-2C01-402B-800A-C54EB4070A8D}"/>
    <cellStyle name="Separador de milhares 7 3 2 3 14" xfId="21458" xr:uid="{00000000-0005-0000-0000-0000185E0000}"/>
    <cellStyle name="Separador de milhares 7 3 2 3 14 2" xfId="21459" xr:uid="{00000000-0005-0000-0000-0000195E0000}"/>
    <cellStyle name="Separador de milhares 7 3 2 3 14 2 2" xfId="30305" xr:uid="{82688D3A-89A7-4176-B824-C7397FA16D6A}"/>
    <cellStyle name="Separador de milhares 7 3 2 3 14 3" xfId="30304" xr:uid="{A55EE0C7-854D-4A9B-86E1-C7B08ED07AAD}"/>
    <cellStyle name="Separador de milhares 7 3 2 3 15" xfId="21460" xr:uid="{00000000-0005-0000-0000-00001A5E0000}"/>
    <cellStyle name="Separador de milhares 7 3 2 3 15 2" xfId="21461" xr:uid="{00000000-0005-0000-0000-00001B5E0000}"/>
    <cellStyle name="Separador de milhares 7 3 2 3 15 2 2" xfId="30307" xr:uid="{7A45405E-9D8B-4479-B33A-3A2A20FDAB8D}"/>
    <cellStyle name="Separador de milhares 7 3 2 3 15 3" xfId="30306" xr:uid="{5E17AFA9-D3A2-4336-806A-65BA71FCA441}"/>
    <cellStyle name="Separador de milhares 7 3 2 3 16" xfId="21462" xr:uid="{00000000-0005-0000-0000-00001C5E0000}"/>
    <cellStyle name="Separador de milhares 7 3 2 3 16 2" xfId="21463" xr:uid="{00000000-0005-0000-0000-00001D5E0000}"/>
    <cellStyle name="Separador de milhares 7 3 2 3 16 2 2" xfId="30309" xr:uid="{16CC2DF8-0EE4-4DB2-BE4C-A46C9B249146}"/>
    <cellStyle name="Separador de milhares 7 3 2 3 16 3" xfId="30308" xr:uid="{0A16F0F7-40D2-4AA3-927B-DC5A456628D4}"/>
    <cellStyle name="Separador de milhares 7 3 2 3 17" xfId="21464" xr:uid="{00000000-0005-0000-0000-00001E5E0000}"/>
    <cellStyle name="Separador de milhares 7 3 2 3 17 2" xfId="21465" xr:uid="{00000000-0005-0000-0000-00001F5E0000}"/>
    <cellStyle name="Separador de milhares 7 3 2 3 17 2 2" xfId="30311" xr:uid="{476EA9C8-19E0-4E22-9767-01E4336BB6D2}"/>
    <cellStyle name="Separador de milhares 7 3 2 3 17 3" xfId="30310" xr:uid="{20CF195A-5092-48F8-AD8F-D2B4539EA72D}"/>
    <cellStyle name="Separador de milhares 7 3 2 3 18" xfId="21466" xr:uid="{00000000-0005-0000-0000-0000205E0000}"/>
    <cellStyle name="Separador de milhares 7 3 2 3 18 2" xfId="21467" xr:uid="{00000000-0005-0000-0000-0000215E0000}"/>
    <cellStyle name="Separador de milhares 7 3 2 3 18 2 2" xfId="30313" xr:uid="{927D03B9-8A81-4892-A072-F165F7CE25A7}"/>
    <cellStyle name="Separador de milhares 7 3 2 3 18 3" xfId="30312" xr:uid="{A686E38B-DE39-4089-AFA0-17CE80847C20}"/>
    <cellStyle name="Separador de milhares 7 3 2 3 19" xfId="21468" xr:uid="{00000000-0005-0000-0000-0000225E0000}"/>
    <cellStyle name="Separador de milhares 7 3 2 3 19 2" xfId="21469" xr:uid="{00000000-0005-0000-0000-0000235E0000}"/>
    <cellStyle name="Separador de milhares 7 3 2 3 19 2 2" xfId="30315" xr:uid="{6A57D9FC-D59F-4825-874E-0FED9FCB4808}"/>
    <cellStyle name="Separador de milhares 7 3 2 3 19 3" xfId="30314" xr:uid="{5153F4FF-C57D-4F19-A4E5-92F126B564BF}"/>
    <cellStyle name="Separador de milhares 7 3 2 3 2" xfId="21470" xr:uid="{00000000-0005-0000-0000-0000245E0000}"/>
    <cellStyle name="Separador de milhares 7 3 2 3 2 2" xfId="21471" xr:uid="{00000000-0005-0000-0000-0000255E0000}"/>
    <cellStyle name="Separador de milhares 7 3 2 3 2 2 2" xfId="30317" xr:uid="{7EFDD8B4-8352-4B1C-ACFD-DA35BFC3634E}"/>
    <cellStyle name="Separador de milhares 7 3 2 3 2 3" xfId="30316" xr:uid="{41C82EE9-8372-4D7E-A552-51EC7EDD576D}"/>
    <cellStyle name="Separador de milhares 7 3 2 3 20" xfId="21472" xr:uid="{00000000-0005-0000-0000-0000265E0000}"/>
    <cellStyle name="Separador de milhares 7 3 2 3 20 2" xfId="21473" xr:uid="{00000000-0005-0000-0000-0000275E0000}"/>
    <cellStyle name="Separador de milhares 7 3 2 3 20 2 2" xfId="30319" xr:uid="{E38A804E-C966-4C0F-8AF6-E437D7E817EA}"/>
    <cellStyle name="Separador de milhares 7 3 2 3 20 3" xfId="30318" xr:uid="{BFDCB1E5-BF64-494D-90C2-51F5B37B8BAE}"/>
    <cellStyle name="Separador de milhares 7 3 2 3 21" xfId="21474" xr:uid="{00000000-0005-0000-0000-0000285E0000}"/>
    <cellStyle name="Separador de milhares 7 3 2 3 21 2" xfId="21475" xr:uid="{00000000-0005-0000-0000-0000295E0000}"/>
    <cellStyle name="Separador de milhares 7 3 2 3 21 2 2" xfId="30321" xr:uid="{E16566AE-C5D0-41F7-AF83-739E364CA2A6}"/>
    <cellStyle name="Separador de milhares 7 3 2 3 21 3" xfId="30320" xr:uid="{3A7FC3B2-514B-4444-8A04-9E70EE9E8C42}"/>
    <cellStyle name="Separador de milhares 7 3 2 3 22" xfId="21476" xr:uid="{00000000-0005-0000-0000-00002A5E0000}"/>
    <cellStyle name="Separador de milhares 7 3 2 3 22 2" xfId="21477" xr:uid="{00000000-0005-0000-0000-00002B5E0000}"/>
    <cellStyle name="Separador de milhares 7 3 2 3 22 2 2" xfId="30323" xr:uid="{04BE22D4-5E62-4BF7-85C0-4213684FF080}"/>
    <cellStyle name="Separador de milhares 7 3 2 3 22 3" xfId="30322" xr:uid="{045441D6-45A9-4280-B5C6-8F45B25376EC}"/>
    <cellStyle name="Separador de milhares 7 3 2 3 23" xfId="21478" xr:uid="{00000000-0005-0000-0000-00002C5E0000}"/>
    <cellStyle name="Separador de milhares 7 3 2 3 23 2" xfId="21479" xr:uid="{00000000-0005-0000-0000-00002D5E0000}"/>
    <cellStyle name="Separador de milhares 7 3 2 3 23 2 2" xfId="30325" xr:uid="{3FA0F136-43CB-4BD6-8DCA-85BA871A1915}"/>
    <cellStyle name="Separador de milhares 7 3 2 3 23 3" xfId="30324" xr:uid="{A9A8AC48-0E54-4BCC-8CB9-3B7430630F25}"/>
    <cellStyle name="Separador de milhares 7 3 2 3 24" xfId="21480" xr:uid="{00000000-0005-0000-0000-00002E5E0000}"/>
    <cellStyle name="Separador de milhares 7 3 2 3 24 2" xfId="21481" xr:uid="{00000000-0005-0000-0000-00002F5E0000}"/>
    <cellStyle name="Separador de milhares 7 3 2 3 24 2 2" xfId="30327" xr:uid="{7E75F551-D948-4669-AF38-D7F0C62824E7}"/>
    <cellStyle name="Separador de milhares 7 3 2 3 24 3" xfId="30326" xr:uid="{FD3D27F7-69DB-4DF8-B040-D795C1E91269}"/>
    <cellStyle name="Separador de milhares 7 3 2 3 25" xfId="21482" xr:uid="{00000000-0005-0000-0000-0000305E0000}"/>
    <cellStyle name="Separador de milhares 7 3 2 3 25 2" xfId="21483" xr:uid="{00000000-0005-0000-0000-0000315E0000}"/>
    <cellStyle name="Separador de milhares 7 3 2 3 25 2 2" xfId="30329" xr:uid="{DC600FB7-C557-4AC6-A793-F1DF617768D0}"/>
    <cellStyle name="Separador de milhares 7 3 2 3 25 3" xfId="30328" xr:uid="{61F38039-1D99-4743-8AB4-368DE5B5D096}"/>
    <cellStyle name="Separador de milhares 7 3 2 3 26" xfId="21484" xr:uid="{00000000-0005-0000-0000-0000325E0000}"/>
    <cellStyle name="Separador de milhares 7 3 2 3 26 2" xfId="21485" xr:uid="{00000000-0005-0000-0000-0000335E0000}"/>
    <cellStyle name="Separador de milhares 7 3 2 3 26 2 2" xfId="30331" xr:uid="{6A0FCFE5-686D-43B1-B4FC-17E24FEA6677}"/>
    <cellStyle name="Separador de milhares 7 3 2 3 26 3" xfId="30330" xr:uid="{520FD005-B752-481E-816C-A3C25F3EBB9E}"/>
    <cellStyle name="Separador de milhares 7 3 2 3 27" xfId="21486" xr:uid="{00000000-0005-0000-0000-0000345E0000}"/>
    <cellStyle name="Separador de milhares 7 3 2 3 27 2" xfId="21487" xr:uid="{00000000-0005-0000-0000-0000355E0000}"/>
    <cellStyle name="Separador de milhares 7 3 2 3 27 2 2" xfId="30333" xr:uid="{DCCAD2F1-0602-4B2E-BDD2-A69947B102B0}"/>
    <cellStyle name="Separador de milhares 7 3 2 3 27 3" xfId="30332" xr:uid="{D09C4FDE-6AF7-4BEC-9082-39A87D705746}"/>
    <cellStyle name="Separador de milhares 7 3 2 3 28" xfId="21488" xr:uid="{00000000-0005-0000-0000-0000365E0000}"/>
    <cellStyle name="Separador de milhares 7 3 2 3 28 2" xfId="21489" xr:uid="{00000000-0005-0000-0000-0000375E0000}"/>
    <cellStyle name="Separador de milhares 7 3 2 3 28 2 2" xfId="30335" xr:uid="{FB165232-39C8-4830-BDA2-C25A9979D4A5}"/>
    <cellStyle name="Separador de milhares 7 3 2 3 28 3" xfId="30334" xr:uid="{BEC6AF61-2C85-44D8-869E-B70E68F15519}"/>
    <cellStyle name="Separador de milhares 7 3 2 3 29" xfId="21490" xr:uid="{00000000-0005-0000-0000-0000385E0000}"/>
    <cellStyle name="Separador de milhares 7 3 2 3 29 2" xfId="21491" xr:uid="{00000000-0005-0000-0000-0000395E0000}"/>
    <cellStyle name="Separador de milhares 7 3 2 3 29 2 2" xfId="30337" xr:uid="{ABC4DEF1-1E56-46E9-A1EC-7F1D2BD74C25}"/>
    <cellStyle name="Separador de milhares 7 3 2 3 29 3" xfId="30336" xr:uid="{6D98222A-DB21-41C5-A80F-27784512FD39}"/>
    <cellStyle name="Separador de milhares 7 3 2 3 3" xfId="21492" xr:uid="{00000000-0005-0000-0000-00003A5E0000}"/>
    <cellStyle name="Separador de milhares 7 3 2 3 3 2" xfId="21493" xr:uid="{00000000-0005-0000-0000-00003B5E0000}"/>
    <cellStyle name="Separador de milhares 7 3 2 3 3 2 2" xfId="30339" xr:uid="{61E1D0C4-4FDB-40DA-9BCC-5FAF9F21347C}"/>
    <cellStyle name="Separador de milhares 7 3 2 3 3 3" xfId="30338" xr:uid="{02EDCA37-2441-4DDE-99D5-06C4D0C7C582}"/>
    <cellStyle name="Separador de milhares 7 3 2 3 30" xfId="21494" xr:uid="{00000000-0005-0000-0000-00003C5E0000}"/>
    <cellStyle name="Separador de milhares 7 3 2 3 30 2" xfId="21495" xr:uid="{00000000-0005-0000-0000-00003D5E0000}"/>
    <cellStyle name="Separador de milhares 7 3 2 3 30 2 2" xfId="30341" xr:uid="{5E240476-14E3-415D-9C78-18ED080662AF}"/>
    <cellStyle name="Separador de milhares 7 3 2 3 30 3" xfId="30340" xr:uid="{B3DB7C37-3C5E-4A91-A109-9E9291289CBC}"/>
    <cellStyle name="Separador de milhares 7 3 2 3 31" xfId="21496" xr:uid="{00000000-0005-0000-0000-00003E5E0000}"/>
    <cellStyle name="Separador de milhares 7 3 2 3 31 2" xfId="21497" xr:uid="{00000000-0005-0000-0000-00003F5E0000}"/>
    <cellStyle name="Separador de milhares 7 3 2 3 31 2 2" xfId="30343" xr:uid="{D4F53CCA-F3BE-43D8-8000-A23D9A00C573}"/>
    <cellStyle name="Separador de milhares 7 3 2 3 31 3" xfId="30342" xr:uid="{489D8A79-9980-46C0-874E-7CA362B78EF7}"/>
    <cellStyle name="Separador de milhares 7 3 2 3 32" xfId="21498" xr:uid="{00000000-0005-0000-0000-0000405E0000}"/>
    <cellStyle name="Separador de milhares 7 3 2 3 32 2" xfId="21499" xr:uid="{00000000-0005-0000-0000-0000415E0000}"/>
    <cellStyle name="Separador de milhares 7 3 2 3 32 2 2" xfId="30345" xr:uid="{74052274-AC27-440C-AC76-D1FDAE68944F}"/>
    <cellStyle name="Separador de milhares 7 3 2 3 32 3" xfId="30344" xr:uid="{4262F980-F898-409A-BAC4-349E781CB257}"/>
    <cellStyle name="Separador de milhares 7 3 2 3 33" xfId="21500" xr:uid="{00000000-0005-0000-0000-0000425E0000}"/>
    <cellStyle name="Separador de milhares 7 3 2 3 33 2" xfId="21501" xr:uid="{00000000-0005-0000-0000-0000435E0000}"/>
    <cellStyle name="Separador de milhares 7 3 2 3 33 2 2" xfId="30347" xr:uid="{4D9602F1-F3C6-4C0F-8C7B-9F12BAB0AAEC}"/>
    <cellStyle name="Separador de milhares 7 3 2 3 33 3" xfId="30346" xr:uid="{CD1C1E05-9E4F-41CF-8760-0B0F28B6F950}"/>
    <cellStyle name="Separador de milhares 7 3 2 3 34" xfId="21502" xr:uid="{00000000-0005-0000-0000-0000445E0000}"/>
    <cellStyle name="Separador de milhares 7 3 2 3 34 2" xfId="21503" xr:uid="{00000000-0005-0000-0000-0000455E0000}"/>
    <cellStyle name="Separador de milhares 7 3 2 3 34 2 2" xfId="30349" xr:uid="{85CB2D15-6DAD-4A38-BD5E-4C2F89B8C836}"/>
    <cellStyle name="Separador de milhares 7 3 2 3 34 3" xfId="30348" xr:uid="{3B771282-2762-4A40-AE28-D8391E9F02CB}"/>
    <cellStyle name="Separador de milhares 7 3 2 3 35" xfId="21504" xr:uid="{00000000-0005-0000-0000-0000465E0000}"/>
    <cellStyle name="Separador de milhares 7 3 2 3 35 2" xfId="30350" xr:uid="{712DF618-18F6-43C7-96D5-41BA35D750DC}"/>
    <cellStyle name="Separador de milhares 7 3 2 3 36" xfId="21449" xr:uid="{00000000-0005-0000-0000-0000475E0000}"/>
    <cellStyle name="Separador de milhares 7 3 2 3 36 2" xfId="30295" xr:uid="{7DB5B5A7-0DEE-495F-B119-F9643B0C2C01}"/>
    <cellStyle name="Separador de milhares 7 3 2 3 37" xfId="28079" xr:uid="{65810B4C-5B51-4166-A5B6-91A106380C79}"/>
    <cellStyle name="Separador de milhares 7 3 2 3 4" xfId="21505" xr:uid="{00000000-0005-0000-0000-0000485E0000}"/>
    <cellStyle name="Separador de milhares 7 3 2 3 4 2" xfId="21506" xr:uid="{00000000-0005-0000-0000-0000495E0000}"/>
    <cellStyle name="Separador de milhares 7 3 2 3 4 2 2" xfId="30352" xr:uid="{D2F1B100-281A-42B9-BED9-E3D72FBC61D1}"/>
    <cellStyle name="Separador de milhares 7 3 2 3 4 3" xfId="30351" xr:uid="{035F5DCA-581C-4E23-818A-8975827C7A04}"/>
    <cellStyle name="Separador de milhares 7 3 2 3 5" xfId="21507" xr:uid="{00000000-0005-0000-0000-00004A5E0000}"/>
    <cellStyle name="Separador de milhares 7 3 2 3 5 2" xfId="21508" xr:uid="{00000000-0005-0000-0000-00004B5E0000}"/>
    <cellStyle name="Separador de milhares 7 3 2 3 5 2 2" xfId="30354" xr:uid="{A6219DDF-46CE-458E-82B8-8CC87A60FAE4}"/>
    <cellStyle name="Separador de milhares 7 3 2 3 5 3" xfId="30353" xr:uid="{2A1429D7-A83C-4952-9D9F-434A643A61F5}"/>
    <cellStyle name="Separador de milhares 7 3 2 3 6" xfId="21509" xr:uid="{00000000-0005-0000-0000-00004C5E0000}"/>
    <cellStyle name="Separador de milhares 7 3 2 3 6 2" xfId="21510" xr:uid="{00000000-0005-0000-0000-00004D5E0000}"/>
    <cellStyle name="Separador de milhares 7 3 2 3 6 2 2" xfId="30356" xr:uid="{063BDB51-5F74-48D0-8C13-62A44BE9BBA4}"/>
    <cellStyle name="Separador de milhares 7 3 2 3 6 3" xfId="30355" xr:uid="{6CF0C70D-9DB8-4443-B2FE-00927249674D}"/>
    <cellStyle name="Separador de milhares 7 3 2 3 7" xfId="21511" xr:uid="{00000000-0005-0000-0000-00004E5E0000}"/>
    <cellStyle name="Separador de milhares 7 3 2 3 7 2" xfId="21512" xr:uid="{00000000-0005-0000-0000-00004F5E0000}"/>
    <cellStyle name="Separador de milhares 7 3 2 3 7 2 2" xfId="30358" xr:uid="{4BF67E45-E6D2-4651-840A-90FEA17EF6FE}"/>
    <cellStyle name="Separador de milhares 7 3 2 3 7 3" xfId="30357" xr:uid="{7715D297-D8D6-4727-ACE7-71EFB87C68F8}"/>
    <cellStyle name="Separador de milhares 7 3 2 3 8" xfId="21513" xr:uid="{00000000-0005-0000-0000-0000505E0000}"/>
    <cellStyle name="Separador de milhares 7 3 2 3 8 2" xfId="21514" xr:uid="{00000000-0005-0000-0000-0000515E0000}"/>
    <cellStyle name="Separador de milhares 7 3 2 3 8 2 2" xfId="30360" xr:uid="{1B29D1AD-1798-4A0D-9423-E51B0B1F913B}"/>
    <cellStyle name="Separador de milhares 7 3 2 3 8 3" xfId="30359" xr:uid="{B4E4D0E8-2AB1-4292-B34A-0F3358CC8039}"/>
    <cellStyle name="Separador de milhares 7 3 2 3 9" xfId="21515" xr:uid="{00000000-0005-0000-0000-0000525E0000}"/>
    <cellStyle name="Separador de milhares 7 3 2 3 9 2" xfId="21516" xr:uid="{00000000-0005-0000-0000-0000535E0000}"/>
    <cellStyle name="Separador de milhares 7 3 2 3 9 2 2" xfId="30362" xr:uid="{C41C0DFF-67AB-464C-8266-2F6B04D09215}"/>
    <cellStyle name="Separador de milhares 7 3 2 3 9 3" xfId="30361" xr:uid="{E15F2471-96E6-41C7-ACAD-0921C3A9620C}"/>
    <cellStyle name="Separador de milhares 7 3 2 30" xfId="21517" xr:uid="{00000000-0005-0000-0000-0000545E0000}"/>
    <cellStyle name="Separador de milhares 7 3 2 30 2" xfId="21518" xr:uid="{00000000-0005-0000-0000-0000555E0000}"/>
    <cellStyle name="Separador de milhares 7 3 2 30 2 2" xfId="30364" xr:uid="{5D566CB0-193E-4CDF-9EA7-93A56183699E}"/>
    <cellStyle name="Separador de milhares 7 3 2 30 3" xfId="30363" xr:uid="{5B343E72-9C93-45AB-95D8-17FA7713938B}"/>
    <cellStyle name="Separador de milhares 7 3 2 31" xfId="21519" xr:uid="{00000000-0005-0000-0000-0000565E0000}"/>
    <cellStyle name="Separador de milhares 7 3 2 31 2" xfId="21520" xr:uid="{00000000-0005-0000-0000-0000575E0000}"/>
    <cellStyle name="Separador de milhares 7 3 2 31 2 2" xfId="30366" xr:uid="{BB7651B2-0B49-48A3-A35D-72942C65ECC0}"/>
    <cellStyle name="Separador de milhares 7 3 2 31 3" xfId="30365" xr:uid="{15E12C0E-0DF3-4FFE-AD4C-119F8714CE01}"/>
    <cellStyle name="Separador de milhares 7 3 2 32" xfId="21521" xr:uid="{00000000-0005-0000-0000-0000585E0000}"/>
    <cellStyle name="Separador de milhares 7 3 2 32 2" xfId="21522" xr:uid="{00000000-0005-0000-0000-0000595E0000}"/>
    <cellStyle name="Separador de milhares 7 3 2 32 2 2" xfId="30368" xr:uid="{3D6791BE-527E-46BA-9BAF-E5FF36507587}"/>
    <cellStyle name="Separador de milhares 7 3 2 32 3" xfId="30367" xr:uid="{D134F4CA-CD1D-4E5D-A854-A3A15B69C8FD}"/>
    <cellStyle name="Separador de milhares 7 3 2 33" xfId="21523" xr:uid="{00000000-0005-0000-0000-00005A5E0000}"/>
    <cellStyle name="Separador de milhares 7 3 2 33 2" xfId="21524" xr:uid="{00000000-0005-0000-0000-00005B5E0000}"/>
    <cellStyle name="Separador de milhares 7 3 2 33 2 2" xfId="30370" xr:uid="{E8BCB6B0-F99C-4B10-8E20-6079DAC9A91B}"/>
    <cellStyle name="Separador de milhares 7 3 2 33 3" xfId="30369" xr:uid="{E68ACA73-29F7-4F76-82D9-0EDDEB5BEEC8}"/>
    <cellStyle name="Separador de milhares 7 3 2 34" xfId="21525" xr:uid="{00000000-0005-0000-0000-00005C5E0000}"/>
    <cellStyle name="Separador de milhares 7 3 2 34 2" xfId="21526" xr:uid="{00000000-0005-0000-0000-00005D5E0000}"/>
    <cellStyle name="Separador de milhares 7 3 2 34 2 2" xfId="30372" xr:uid="{F2D49E34-6105-41D0-B3B7-F25F51076E0B}"/>
    <cellStyle name="Separador de milhares 7 3 2 34 3" xfId="30371" xr:uid="{4872514B-0D98-4000-A0A8-3373C5333C4F}"/>
    <cellStyle name="Separador de milhares 7 3 2 35" xfId="21527" xr:uid="{00000000-0005-0000-0000-00005E5E0000}"/>
    <cellStyle name="Separador de milhares 7 3 2 35 2" xfId="21528" xr:uid="{00000000-0005-0000-0000-00005F5E0000}"/>
    <cellStyle name="Separador de milhares 7 3 2 35 2 2" xfId="30374" xr:uid="{6765B0EB-F91B-4353-8382-E8BEC63245DF}"/>
    <cellStyle name="Separador de milhares 7 3 2 35 3" xfId="30373" xr:uid="{7FB68804-8357-49B1-85B2-0DC25FDD757D}"/>
    <cellStyle name="Separador de milhares 7 3 2 36" xfId="21529" xr:uid="{00000000-0005-0000-0000-0000605E0000}"/>
    <cellStyle name="Separador de milhares 7 3 2 36 2" xfId="21530" xr:uid="{00000000-0005-0000-0000-0000615E0000}"/>
    <cellStyle name="Separador de milhares 7 3 2 36 2 2" xfId="30376" xr:uid="{5EF54548-971E-45B7-A956-FB7E54BEF6D9}"/>
    <cellStyle name="Separador de milhares 7 3 2 36 3" xfId="30375" xr:uid="{95685435-76BA-4BCB-B796-4CA94D86D91B}"/>
    <cellStyle name="Separador de milhares 7 3 2 37" xfId="21531" xr:uid="{00000000-0005-0000-0000-0000625E0000}"/>
    <cellStyle name="Separador de milhares 7 3 2 37 2" xfId="21532" xr:uid="{00000000-0005-0000-0000-0000635E0000}"/>
    <cellStyle name="Separador de milhares 7 3 2 37 2 2" xfId="30378" xr:uid="{CB0AC96F-04D7-4335-A435-4ABE7550C94C}"/>
    <cellStyle name="Separador de milhares 7 3 2 37 3" xfId="30377" xr:uid="{C878D013-E8D0-4535-96A6-1147588E59FF}"/>
    <cellStyle name="Separador de milhares 7 3 2 38" xfId="21533" xr:uid="{00000000-0005-0000-0000-0000645E0000}"/>
    <cellStyle name="Separador de milhares 7 3 2 38 2" xfId="21534" xr:uid="{00000000-0005-0000-0000-0000655E0000}"/>
    <cellStyle name="Separador de milhares 7 3 2 38 2 2" xfId="30380" xr:uid="{21692317-27E3-4D28-8CC3-4FCFABAA5D89}"/>
    <cellStyle name="Separador de milhares 7 3 2 38 3" xfId="30379" xr:uid="{5EBE3465-5C7E-4EB9-ADBA-27236A2B9064}"/>
    <cellStyle name="Separador de milhares 7 3 2 39" xfId="21535" xr:uid="{00000000-0005-0000-0000-0000665E0000}"/>
    <cellStyle name="Separador de milhares 7 3 2 39 2" xfId="21536" xr:uid="{00000000-0005-0000-0000-0000675E0000}"/>
    <cellStyle name="Separador de milhares 7 3 2 39 2 2" xfId="30382" xr:uid="{AF89B2E8-2F22-4731-BC09-F851706B176B}"/>
    <cellStyle name="Separador de milhares 7 3 2 39 3" xfId="30381" xr:uid="{1F4A9B1E-6A26-4740-8597-345E98DDCD00}"/>
    <cellStyle name="Separador de milhares 7 3 2 4" xfId="21537" xr:uid="{00000000-0005-0000-0000-0000685E0000}"/>
    <cellStyle name="Separador de milhares 7 3 2 4 2" xfId="21538" xr:uid="{00000000-0005-0000-0000-0000695E0000}"/>
    <cellStyle name="Separador de milhares 7 3 2 4 2 2" xfId="21539" xr:uid="{00000000-0005-0000-0000-00006A5E0000}"/>
    <cellStyle name="Separador de milhares 7 3 2 4 2 2 2" xfId="30385" xr:uid="{E8E51D1D-459F-4F64-92DB-8F87A1E0742E}"/>
    <cellStyle name="Separador de milhares 7 3 2 4 2 3" xfId="30384" xr:uid="{4A7C07B1-5F21-462A-A5CF-B691C6781CF1}"/>
    <cellStyle name="Separador de milhares 7 3 2 4 3" xfId="21540" xr:uid="{00000000-0005-0000-0000-00006B5E0000}"/>
    <cellStyle name="Separador de milhares 7 3 2 4 3 2" xfId="21541" xr:uid="{00000000-0005-0000-0000-00006C5E0000}"/>
    <cellStyle name="Separador de milhares 7 3 2 4 3 2 2" xfId="30387" xr:uid="{220B0169-E89D-4FE2-B04A-2ADE39612EDE}"/>
    <cellStyle name="Separador de milhares 7 3 2 4 3 3" xfId="30386" xr:uid="{EA6ADE6A-EF90-4C9D-9007-BB7145AFD2E7}"/>
    <cellStyle name="Separador de milhares 7 3 2 4 4" xfId="21542" xr:uid="{00000000-0005-0000-0000-00006D5E0000}"/>
    <cellStyle name="Separador de milhares 7 3 2 4 4 2" xfId="21543" xr:uid="{00000000-0005-0000-0000-00006E5E0000}"/>
    <cellStyle name="Separador de milhares 7 3 2 4 4 2 2" xfId="30389" xr:uid="{8D3FF904-7E8A-4D90-B414-8A38A5076359}"/>
    <cellStyle name="Separador de milhares 7 3 2 4 4 3" xfId="30388" xr:uid="{4A3968D0-7618-490C-9A1D-2EA63F6B4DE1}"/>
    <cellStyle name="Separador de milhares 7 3 2 4 5" xfId="21544" xr:uid="{00000000-0005-0000-0000-00006F5E0000}"/>
    <cellStyle name="Separador de milhares 7 3 2 4 5 2" xfId="21545" xr:uid="{00000000-0005-0000-0000-0000705E0000}"/>
    <cellStyle name="Separador de milhares 7 3 2 4 5 2 2" xfId="30391" xr:uid="{5068DE20-9AE3-4E83-8CDA-0CDC56405152}"/>
    <cellStyle name="Separador de milhares 7 3 2 4 5 3" xfId="30390" xr:uid="{11732FB8-67EA-4B1C-BADC-60C7DA69F087}"/>
    <cellStyle name="Separador de milhares 7 3 2 4 6" xfId="21546" xr:uid="{00000000-0005-0000-0000-0000715E0000}"/>
    <cellStyle name="Separador de milhares 7 3 2 4 6 2" xfId="30392" xr:uid="{666F79CD-E8D4-45B3-8FAC-13A98E31BE94}"/>
    <cellStyle name="Separador de milhares 7 3 2 4 7" xfId="30383" xr:uid="{60D9E44C-85B3-4152-92EC-03735FF21743}"/>
    <cellStyle name="Separador de milhares 7 3 2 40" xfId="21547" xr:uid="{00000000-0005-0000-0000-0000725E0000}"/>
    <cellStyle name="Separador de milhares 7 3 2 40 2" xfId="21548" xr:uid="{00000000-0005-0000-0000-0000735E0000}"/>
    <cellStyle name="Separador de milhares 7 3 2 40 2 2" xfId="30394" xr:uid="{0E8F720B-608B-4A17-AD8D-BD9DAFAA8426}"/>
    <cellStyle name="Separador de milhares 7 3 2 40 3" xfId="30393" xr:uid="{B29738F5-F14A-4EE4-B88C-99132C4FD270}"/>
    <cellStyle name="Separador de milhares 7 3 2 41" xfId="21549" xr:uid="{00000000-0005-0000-0000-0000745E0000}"/>
    <cellStyle name="Separador de milhares 7 3 2 41 2" xfId="21550" xr:uid="{00000000-0005-0000-0000-0000755E0000}"/>
    <cellStyle name="Separador de milhares 7 3 2 41 2 2" xfId="30396" xr:uid="{812337A0-5737-44C8-A024-5C43C44F225C}"/>
    <cellStyle name="Separador de milhares 7 3 2 41 3" xfId="30395" xr:uid="{12DFBDB4-2884-4E78-A488-ACEA695BA211}"/>
    <cellStyle name="Separador de milhares 7 3 2 42" xfId="21551" xr:uid="{00000000-0005-0000-0000-0000765E0000}"/>
    <cellStyle name="Separador de milhares 7 3 2 42 2" xfId="21552" xr:uid="{00000000-0005-0000-0000-0000775E0000}"/>
    <cellStyle name="Separador de milhares 7 3 2 42 2 2" xfId="30398" xr:uid="{C367845F-E363-4EFA-8F9D-2AB3295946EE}"/>
    <cellStyle name="Separador de milhares 7 3 2 42 3" xfId="30397" xr:uid="{6DB9A4B2-3FA7-41CF-887C-9A176D821A7B}"/>
    <cellStyle name="Separador de milhares 7 3 2 43" xfId="21553" xr:uid="{00000000-0005-0000-0000-0000785E0000}"/>
    <cellStyle name="Separador de milhares 7 3 2 43 2" xfId="21554" xr:uid="{00000000-0005-0000-0000-0000795E0000}"/>
    <cellStyle name="Separador de milhares 7 3 2 43 2 2" xfId="30400" xr:uid="{B2CA4124-A682-43C2-810A-BB72BFAC4D3F}"/>
    <cellStyle name="Separador de milhares 7 3 2 43 3" xfId="30399" xr:uid="{4B039451-70C8-474F-B47F-8ECD26F310B3}"/>
    <cellStyle name="Separador de milhares 7 3 2 44" xfId="21555" xr:uid="{00000000-0005-0000-0000-00007A5E0000}"/>
    <cellStyle name="Separador de milhares 7 3 2 44 2" xfId="21556" xr:uid="{00000000-0005-0000-0000-00007B5E0000}"/>
    <cellStyle name="Separador de milhares 7 3 2 44 2 2" xfId="30402" xr:uid="{99686FE8-B91F-487A-A93B-32CAF0D730A8}"/>
    <cellStyle name="Separador de milhares 7 3 2 44 3" xfId="30401" xr:uid="{70515C06-64BB-4DF1-A233-BC52EAD4EFB9}"/>
    <cellStyle name="Separador de milhares 7 3 2 45" xfId="21557" xr:uid="{00000000-0005-0000-0000-00007C5E0000}"/>
    <cellStyle name="Separador de milhares 7 3 2 45 2" xfId="21558" xr:uid="{00000000-0005-0000-0000-00007D5E0000}"/>
    <cellStyle name="Separador de milhares 7 3 2 45 2 2" xfId="30404" xr:uid="{AC24025A-E5BF-44C5-8DB7-A71A32FA658B}"/>
    <cellStyle name="Separador de milhares 7 3 2 45 3" xfId="30403" xr:uid="{D9442EE5-0DE5-42F0-BC59-84EF003B2768}"/>
    <cellStyle name="Separador de milhares 7 3 2 46" xfId="21559" xr:uid="{00000000-0005-0000-0000-00007E5E0000}"/>
    <cellStyle name="Separador de milhares 7 3 2 46 2" xfId="21560" xr:uid="{00000000-0005-0000-0000-00007F5E0000}"/>
    <cellStyle name="Separador de milhares 7 3 2 46 2 2" xfId="30406" xr:uid="{742F9FA2-86FF-4818-9AAE-B6644C679F28}"/>
    <cellStyle name="Separador de milhares 7 3 2 46 3" xfId="30405" xr:uid="{1D1A1A79-5A04-406C-9E62-81507656B0E8}"/>
    <cellStyle name="Separador de milhares 7 3 2 47" xfId="21561" xr:uid="{00000000-0005-0000-0000-0000805E0000}"/>
    <cellStyle name="Separador de milhares 7 3 2 47 2" xfId="30407" xr:uid="{FAB142AD-2024-4214-AF92-00D16EC06F71}"/>
    <cellStyle name="Separador de milhares 7 3 2 48" xfId="21340" xr:uid="{00000000-0005-0000-0000-0000815E0000}"/>
    <cellStyle name="Separador de milhares 7 3 2 49" xfId="28076" xr:uid="{B8CBA2CF-97AA-4C28-B883-19BBBB4E301E}"/>
    <cellStyle name="Separador de milhares 7 3 2 5" xfId="21562" xr:uid="{00000000-0005-0000-0000-0000825E0000}"/>
    <cellStyle name="Separador de milhares 7 3 2 5 2" xfId="21563" xr:uid="{00000000-0005-0000-0000-0000835E0000}"/>
    <cellStyle name="Separador de milhares 7 3 2 5 2 2" xfId="30409" xr:uid="{1E9C62A0-DDA7-484B-895B-3A397FD23CC4}"/>
    <cellStyle name="Separador de milhares 7 3 2 5 3" xfId="30408" xr:uid="{CC664655-770E-427A-931B-E5CAF84CD5AE}"/>
    <cellStyle name="Separador de milhares 7 3 2 6" xfId="21564" xr:uid="{00000000-0005-0000-0000-0000845E0000}"/>
    <cellStyle name="Separador de milhares 7 3 2 6 2" xfId="21565" xr:uid="{00000000-0005-0000-0000-0000855E0000}"/>
    <cellStyle name="Separador de milhares 7 3 2 6 2 2" xfId="30411" xr:uid="{9981EAF5-889C-4959-9C4A-1FE8603293DC}"/>
    <cellStyle name="Separador de milhares 7 3 2 6 3" xfId="30410" xr:uid="{5D9A9AA6-6847-486A-8338-3C0236B4084A}"/>
    <cellStyle name="Separador de milhares 7 3 2 7" xfId="21566" xr:uid="{00000000-0005-0000-0000-0000865E0000}"/>
    <cellStyle name="Separador de milhares 7 3 2 7 2" xfId="21567" xr:uid="{00000000-0005-0000-0000-0000875E0000}"/>
    <cellStyle name="Separador de milhares 7 3 2 7 2 2" xfId="30413" xr:uid="{1A336C99-A12E-4680-B790-A8EEEE255BCA}"/>
    <cellStyle name="Separador de milhares 7 3 2 7 3" xfId="30412" xr:uid="{21C72257-225F-488C-8384-2E671B1C402F}"/>
    <cellStyle name="Separador de milhares 7 3 2 8" xfId="21568" xr:uid="{00000000-0005-0000-0000-0000885E0000}"/>
    <cellStyle name="Separador de milhares 7 3 2 8 2" xfId="21569" xr:uid="{00000000-0005-0000-0000-0000895E0000}"/>
    <cellStyle name="Separador de milhares 7 3 2 8 2 2" xfId="30415" xr:uid="{CF88434E-F74F-42EE-A3C3-5359B10F722E}"/>
    <cellStyle name="Separador de milhares 7 3 2 8 3" xfId="30414" xr:uid="{208222DE-6B55-4B75-AB6B-15FB9BE6BCA7}"/>
    <cellStyle name="Separador de milhares 7 3 2 9" xfId="21570" xr:uid="{00000000-0005-0000-0000-00008A5E0000}"/>
    <cellStyle name="Separador de milhares 7 3 2 9 2" xfId="21571" xr:uid="{00000000-0005-0000-0000-00008B5E0000}"/>
    <cellStyle name="Separador de milhares 7 3 2 9 2 2" xfId="30417" xr:uid="{95D42B3C-71D6-4816-B1C8-064FA402AF09}"/>
    <cellStyle name="Separador de milhares 7 3 2 9 3" xfId="30416" xr:uid="{B1793B24-C975-4B15-9B04-3AB47D3F4A4D}"/>
    <cellStyle name="Separador de milhares 7 3 20" xfId="21572" xr:uid="{00000000-0005-0000-0000-00008C5E0000}"/>
    <cellStyle name="Separador de milhares 7 3 20 2" xfId="21573" xr:uid="{00000000-0005-0000-0000-00008D5E0000}"/>
    <cellStyle name="Separador de milhares 7 3 20 2 2" xfId="30419" xr:uid="{CA181A5B-C7BA-4E01-AE7D-435372D8A969}"/>
    <cellStyle name="Separador de milhares 7 3 20 3" xfId="30418" xr:uid="{2731801F-D00E-4955-A50E-576E03393B59}"/>
    <cellStyle name="Separador de milhares 7 3 21" xfId="21574" xr:uid="{00000000-0005-0000-0000-00008E5E0000}"/>
    <cellStyle name="Separador de milhares 7 3 21 2" xfId="21575" xr:uid="{00000000-0005-0000-0000-00008F5E0000}"/>
    <cellStyle name="Separador de milhares 7 3 21 2 2" xfId="30421" xr:uid="{FF06BC26-80AE-4EA3-8FEE-8CA97C0E5636}"/>
    <cellStyle name="Separador de milhares 7 3 21 3" xfId="30420" xr:uid="{333E2A1E-EFBE-44EA-8099-FD6A1999D711}"/>
    <cellStyle name="Separador de milhares 7 3 22" xfId="21576" xr:uid="{00000000-0005-0000-0000-0000905E0000}"/>
    <cellStyle name="Separador de milhares 7 3 22 2" xfId="21577" xr:uid="{00000000-0005-0000-0000-0000915E0000}"/>
    <cellStyle name="Separador de milhares 7 3 22 2 2" xfId="30423" xr:uid="{41D6E41A-37D1-4310-8104-0C0CE925CCAD}"/>
    <cellStyle name="Separador de milhares 7 3 22 3" xfId="30422" xr:uid="{A79FF91C-734C-4B7D-BDBE-C2DA8CB8F4A3}"/>
    <cellStyle name="Separador de milhares 7 3 23" xfId="21578" xr:uid="{00000000-0005-0000-0000-0000925E0000}"/>
    <cellStyle name="Separador de milhares 7 3 23 2" xfId="21579" xr:uid="{00000000-0005-0000-0000-0000935E0000}"/>
    <cellStyle name="Separador de milhares 7 3 23 2 2" xfId="30425" xr:uid="{4669D4E7-A86D-4396-818C-EE6AC0C5FD07}"/>
    <cellStyle name="Separador de milhares 7 3 23 3" xfId="30424" xr:uid="{D0C07A45-7DA8-4EB9-B3DC-32092603B641}"/>
    <cellStyle name="Separador de milhares 7 3 24" xfId="21580" xr:uid="{00000000-0005-0000-0000-0000945E0000}"/>
    <cellStyle name="Separador de milhares 7 3 24 2" xfId="21581" xr:uid="{00000000-0005-0000-0000-0000955E0000}"/>
    <cellStyle name="Separador de milhares 7 3 24 2 2" xfId="30427" xr:uid="{9D8B1ABD-FAF2-4365-A20F-B4DA4B050D34}"/>
    <cellStyle name="Separador de milhares 7 3 24 3" xfId="30426" xr:uid="{587E704F-1AE9-4B6F-8108-808818484927}"/>
    <cellStyle name="Separador de milhares 7 3 25" xfId="21582" xr:uid="{00000000-0005-0000-0000-0000965E0000}"/>
    <cellStyle name="Separador de milhares 7 3 25 2" xfId="21583" xr:uid="{00000000-0005-0000-0000-0000975E0000}"/>
    <cellStyle name="Separador de milhares 7 3 25 2 2" xfId="30429" xr:uid="{AE23C4E4-DE56-45A8-800D-7DAA533D565E}"/>
    <cellStyle name="Separador de milhares 7 3 25 3" xfId="30428" xr:uid="{BE29D6C1-71AB-4952-A327-BDAE28BED76F}"/>
    <cellStyle name="Separador de milhares 7 3 26" xfId="21584" xr:uid="{00000000-0005-0000-0000-0000985E0000}"/>
    <cellStyle name="Separador de milhares 7 3 26 2" xfId="21585" xr:uid="{00000000-0005-0000-0000-0000995E0000}"/>
    <cellStyle name="Separador de milhares 7 3 26 2 2" xfId="30431" xr:uid="{2CAD7328-4685-4382-892A-4EEF3E613F7A}"/>
    <cellStyle name="Separador de milhares 7 3 26 3" xfId="30430" xr:uid="{3BFCC42F-7BD0-4541-8B1E-591A6DE2879D}"/>
    <cellStyle name="Separador de milhares 7 3 27" xfId="21586" xr:uid="{00000000-0005-0000-0000-00009A5E0000}"/>
    <cellStyle name="Separador de milhares 7 3 27 2" xfId="21587" xr:uid="{00000000-0005-0000-0000-00009B5E0000}"/>
    <cellStyle name="Separador de milhares 7 3 27 2 2" xfId="30433" xr:uid="{1CD80321-2968-4902-A6F4-3A36033AB9CE}"/>
    <cellStyle name="Separador de milhares 7 3 27 3" xfId="30432" xr:uid="{1AD61A47-D256-4AED-A94B-0E512E09A88C}"/>
    <cellStyle name="Separador de milhares 7 3 28" xfId="21588" xr:uid="{00000000-0005-0000-0000-00009C5E0000}"/>
    <cellStyle name="Separador de milhares 7 3 28 2" xfId="21589" xr:uid="{00000000-0005-0000-0000-00009D5E0000}"/>
    <cellStyle name="Separador de milhares 7 3 28 2 2" xfId="30435" xr:uid="{79A48FEB-06B2-46C8-8D7B-3296B7923B11}"/>
    <cellStyle name="Separador de milhares 7 3 28 3" xfId="30434" xr:uid="{247B2D82-8EEB-4B97-AC39-B94852BCD8BB}"/>
    <cellStyle name="Separador de milhares 7 3 29" xfId="21590" xr:uid="{00000000-0005-0000-0000-00009E5E0000}"/>
    <cellStyle name="Separador de milhares 7 3 29 2" xfId="21591" xr:uid="{00000000-0005-0000-0000-00009F5E0000}"/>
    <cellStyle name="Separador de milhares 7 3 29 2 2" xfId="30437" xr:uid="{FC25690E-2A56-429C-A40F-C432FD3E94F3}"/>
    <cellStyle name="Separador de milhares 7 3 29 3" xfId="30436" xr:uid="{858318B8-913A-4F45-A402-07A9265C74F3}"/>
    <cellStyle name="Separador de milhares 7 3 3" xfId="846" xr:uid="{00000000-0005-0000-0000-0000A05E0000}"/>
    <cellStyle name="Separador de milhares 7 3 3 10" xfId="21593" xr:uid="{00000000-0005-0000-0000-0000A15E0000}"/>
    <cellStyle name="Separador de milhares 7 3 3 10 2" xfId="21594" xr:uid="{00000000-0005-0000-0000-0000A25E0000}"/>
    <cellStyle name="Separador de milhares 7 3 3 10 2 2" xfId="30439" xr:uid="{58262884-D302-46CE-BE4B-83B038551ADA}"/>
    <cellStyle name="Separador de milhares 7 3 3 10 3" xfId="30438" xr:uid="{651E80FF-A874-40B4-B7D3-4CDD7C1B2CF5}"/>
    <cellStyle name="Separador de milhares 7 3 3 11" xfId="21595" xr:uid="{00000000-0005-0000-0000-0000A35E0000}"/>
    <cellStyle name="Separador de milhares 7 3 3 11 2" xfId="21596" xr:uid="{00000000-0005-0000-0000-0000A45E0000}"/>
    <cellStyle name="Separador de milhares 7 3 3 11 2 2" xfId="30441" xr:uid="{67EBA908-EB68-4FA5-BDBE-DC7FB4877A86}"/>
    <cellStyle name="Separador de milhares 7 3 3 11 3" xfId="30440" xr:uid="{398B2971-5D24-4550-B58C-CDA2356D1C34}"/>
    <cellStyle name="Separador de milhares 7 3 3 12" xfId="21597" xr:uid="{00000000-0005-0000-0000-0000A55E0000}"/>
    <cellStyle name="Separador de milhares 7 3 3 12 2" xfId="21598" xr:uid="{00000000-0005-0000-0000-0000A65E0000}"/>
    <cellStyle name="Separador de milhares 7 3 3 12 2 2" xfId="30443" xr:uid="{91921EE0-81B7-441D-B4E3-2BCBAED70CD1}"/>
    <cellStyle name="Separador de milhares 7 3 3 12 3" xfId="30442" xr:uid="{5E2B9532-A3B2-4299-9E9D-FFAC94D9614B}"/>
    <cellStyle name="Separador de milhares 7 3 3 13" xfId="21599" xr:uid="{00000000-0005-0000-0000-0000A75E0000}"/>
    <cellStyle name="Separador de milhares 7 3 3 13 2" xfId="21600" xr:uid="{00000000-0005-0000-0000-0000A85E0000}"/>
    <cellStyle name="Separador de milhares 7 3 3 13 2 2" xfId="30445" xr:uid="{899528CA-7D7B-4C85-8BA1-8FD394CF5204}"/>
    <cellStyle name="Separador de milhares 7 3 3 13 3" xfId="30444" xr:uid="{47E3C07B-99D3-408C-948D-15AD5871CAF9}"/>
    <cellStyle name="Separador de milhares 7 3 3 14" xfId="21601" xr:uid="{00000000-0005-0000-0000-0000A95E0000}"/>
    <cellStyle name="Separador de milhares 7 3 3 14 2" xfId="21602" xr:uid="{00000000-0005-0000-0000-0000AA5E0000}"/>
    <cellStyle name="Separador de milhares 7 3 3 14 2 2" xfId="30447" xr:uid="{2CF7B952-14F8-48CD-ABD8-CB6F1E972A2D}"/>
    <cellStyle name="Separador de milhares 7 3 3 14 3" xfId="30446" xr:uid="{DA778A5E-08B5-4CAF-80EE-9AA6D11B7F16}"/>
    <cellStyle name="Separador de milhares 7 3 3 15" xfId="21603" xr:uid="{00000000-0005-0000-0000-0000AB5E0000}"/>
    <cellStyle name="Separador de milhares 7 3 3 15 2" xfId="21604" xr:uid="{00000000-0005-0000-0000-0000AC5E0000}"/>
    <cellStyle name="Separador de milhares 7 3 3 15 2 2" xfId="30449" xr:uid="{B3115D2D-A167-4677-B6AA-9EBA10328FF7}"/>
    <cellStyle name="Separador de milhares 7 3 3 15 3" xfId="30448" xr:uid="{9E92E479-6990-4391-9D54-FC5C1146DB05}"/>
    <cellStyle name="Separador de milhares 7 3 3 16" xfId="21605" xr:uid="{00000000-0005-0000-0000-0000AD5E0000}"/>
    <cellStyle name="Separador de milhares 7 3 3 16 2" xfId="21606" xr:uid="{00000000-0005-0000-0000-0000AE5E0000}"/>
    <cellStyle name="Separador de milhares 7 3 3 16 2 2" xfId="30451" xr:uid="{9727D28F-EC95-4E2C-B77B-36FD97FF744D}"/>
    <cellStyle name="Separador de milhares 7 3 3 16 3" xfId="30450" xr:uid="{8AFD46E0-B215-4D66-BF50-3D979C33CA9D}"/>
    <cellStyle name="Separador de milhares 7 3 3 17" xfId="21607" xr:uid="{00000000-0005-0000-0000-0000AF5E0000}"/>
    <cellStyle name="Separador de milhares 7 3 3 17 2" xfId="21608" xr:uid="{00000000-0005-0000-0000-0000B05E0000}"/>
    <cellStyle name="Separador de milhares 7 3 3 17 2 2" xfId="30453" xr:uid="{242CFEF3-7C59-44FE-BC82-D55E3581F9BB}"/>
    <cellStyle name="Separador de milhares 7 3 3 17 3" xfId="30452" xr:uid="{79819F66-5C6A-4701-8C1E-FC9D5A27B768}"/>
    <cellStyle name="Separador de milhares 7 3 3 18" xfId="21609" xr:uid="{00000000-0005-0000-0000-0000B15E0000}"/>
    <cellStyle name="Separador de milhares 7 3 3 18 2" xfId="21610" xr:uid="{00000000-0005-0000-0000-0000B25E0000}"/>
    <cellStyle name="Separador de milhares 7 3 3 18 2 2" xfId="30455" xr:uid="{11599C72-92D4-46F9-B14C-F179FBD1B3F5}"/>
    <cellStyle name="Separador de milhares 7 3 3 18 3" xfId="30454" xr:uid="{7064B41C-719B-4548-B1CA-28BF89D28D95}"/>
    <cellStyle name="Separador de milhares 7 3 3 19" xfId="21611" xr:uid="{00000000-0005-0000-0000-0000B35E0000}"/>
    <cellStyle name="Separador de milhares 7 3 3 19 2" xfId="21612" xr:uid="{00000000-0005-0000-0000-0000B45E0000}"/>
    <cellStyle name="Separador de milhares 7 3 3 19 2 2" xfId="30457" xr:uid="{E124ED42-5CF9-47C5-89FA-267DC018469F}"/>
    <cellStyle name="Separador de milhares 7 3 3 19 3" xfId="30456" xr:uid="{33698698-A787-4598-BE12-1E35BBB9D31A}"/>
    <cellStyle name="Separador de milhares 7 3 3 2" xfId="847" xr:uid="{00000000-0005-0000-0000-0000B55E0000}"/>
    <cellStyle name="Separador de milhares 7 3 3 2 10" xfId="21614" xr:uid="{00000000-0005-0000-0000-0000B65E0000}"/>
    <cellStyle name="Separador de milhares 7 3 3 2 10 2" xfId="21615" xr:uid="{00000000-0005-0000-0000-0000B75E0000}"/>
    <cellStyle name="Separador de milhares 7 3 3 2 10 2 2" xfId="30460" xr:uid="{EBCD9C3B-BB99-4F4E-9C9D-AB5EE1B756A9}"/>
    <cellStyle name="Separador de milhares 7 3 3 2 10 3" xfId="30459" xr:uid="{725CABD6-F67B-4488-BAEA-B58A36E37B14}"/>
    <cellStyle name="Separador de milhares 7 3 3 2 11" xfId="21616" xr:uid="{00000000-0005-0000-0000-0000B85E0000}"/>
    <cellStyle name="Separador de milhares 7 3 3 2 11 2" xfId="21617" xr:uid="{00000000-0005-0000-0000-0000B95E0000}"/>
    <cellStyle name="Separador de milhares 7 3 3 2 11 2 2" xfId="30462" xr:uid="{269E9888-3376-402A-B871-92F040D93C87}"/>
    <cellStyle name="Separador de milhares 7 3 3 2 11 3" xfId="30461" xr:uid="{1A3D273F-DECD-4EDA-8B43-2FE0852D62B2}"/>
    <cellStyle name="Separador de milhares 7 3 3 2 12" xfId="21618" xr:uid="{00000000-0005-0000-0000-0000BA5E0000}"/>
    <cellStyle name="Separador de milhares 7 3 3 2 12 2" xfId="21619" xr:uid="{00000000-0005-0000-0000-0000BB5E0000}"/>
    <cellStyle name="Separador de milhares 7 3 3 2 12 2 2" xfId="30464" xr:uid="{025A48AE-4935-4FC2-A598-5518CAD519C5}"/>
    <cellStyle name="Separador de milhares 7 3 3 2 12 3" xfId="30463" xr:uid="{6D2C88BF-3680-4AE8-9342-E9C73747FE20}"/>
    <cellStyle name="Separador de milhares 7 3 3 2 13" xfId="21620" xr:uid="{00000000-0005-0000-0000-0000BC5E0000}"/>
    <cellStyle name="Separador de milhares 7 3 3 2 13 2" xfId="21621" xr:uid="{00000000-0005-0000-0000-0000BD5E0000}"/>
    <cellStyle name="Separador de milhares 7 3 3 2 13 2 2" xfId="30466" xr:uid="{1865FE50-E51F-477C-9864-0A5069E76503}"/>
    <cellStyle name="Separador de milhares 7 3 3 2 13 3" xfId="30465" xr:uid="{7D1FE84A-0C43-4318-B7CE-24B055499454}"/>
    <cellStyle name="Separador de milhares 7 3 3 2 14" xfId="21622" xr:uid="{00000000-0005-0000-0000-0000BE5E0000}"/>
    <cellStyle name="Separador de milhares 7 3 3 2 14 2" xfId="21623" xr:uid="{00000000-0005-0000-0000-0000BF5E0000}"/>
    <cellStyle name="Separador de milhares 7 3 3 2 14 2 2" xfId="30468" xr:uid="{1951B51D-C69A-48B9-AE36-3308CD0FA0B6}"/>
    <cellStyle name="Separador de milhares 7 3 3 2 14 3" xfId="30467" xr:uid="{DF97BF8E-D247-4BB5-A6F4-FF0D4C24CC58}"/>
    <cellStyle name="Separador de milhares 7 3 3 2 15" xfId="21624" xr:uid="{00000000-0005-0000-0000-0000C05E0000}"/>
    <cellStyle name="Separador de milhares 7 3 3 2 15 2" xfId="21625" xr:uid="{00000000-0005-0000-0000-0000C15E0000}"/>
    <cellStyle name="Separador de milhares 7 3 3 2 15 2 2" xfId="30470" xr:uid="{2E186EB9-7315-44A7-A152-DC59C404BA1B}"/>
    <cellStyle name="Separador de milhares 7 3 3 2 15 3" xfId="30469" xr:uid="{8E87295B-4613-449E-BA83-1A34CD6520C0}"/>
    <cellStyle name="Separador de milhares 7 3 3 2 16" xfId="21626" xr:uid="{00000000-0005-0000-0000-0000C25E0000}"/>
    <cellStyle name="Separador de milhares 7 3 3 2 16 2" xfId="21627" xr:uid="{00000000-0005-0000-0000-0000C35E0000}"/>
    <cellStyle name="Separador de milhares 7 3 3 2 16 2 2" xfId="30472" xr:uid="{02146D49-5EE5-4ED4-BC62-B5BEAAC96888}"/>
    <cellStyle name="Separador de milhares 7 3 3 2 16 3" xfId="30471" xr:uid="{EBA72D63-FC31-4E1D-B726-CE45AF85E1CE}"/>
    <cellStyle name="Separador de milhares 7 3 3 2 17" xfId="21628" xr:uid="{00000000-0005-0000-0000-0000C45E0000}"/>
    <cellStyle name="Separador de milhares 7 3 3 2 17 2" xfId="21629" xr:uid="{00000000-0005-0000-0000-0000C55E0000}"/>
    <cellStyle name="Separador de milhares 7 3 3 2 17 2 2" xfId="30474" xr:uid="{4A575FB8-9BAB-45B6-840F-EEAE4E526EB1}"/>
    <cellStyle name="Separador de milhares 7 3 3 2 17 3" xfId="30473" xr:uid="{085C1FDF-F61C-413A-BDE1-2CD3C0AB4C1F}"/>
    <cellStyle name="Separador de milhares 7 3 3 2 18" xfId="21630" xr:uid="{00000000-0005-0000-0000-0000C65E0000}"/>
    <cellStyle name="Separador de milhares 7 3 3 2 18 2" xfId="21631" xr:uid="{00000000-0005-0000-0000-0000C75E0000}"/>
    <cellStyle name="Separador de milhares 7 3 3 2 18 2 2" xfId="30476" xr:uid="{FEF8E9B0-44E0-4F0B-901D-37D7DA2F4B56}"/>
    <cellStyle name="Separador de milhares 7 3 3 2 18 3" xfId="30475" xr:uid="{87928B6D-C95A-4AF7-B241-D53FE53A28D8}"/>
    <cellStyle name="Separador de milhares 7 3 3 2 19" xfId="21632" xr:uid="{00000000-0005-0000-0000-0000C85E0000}"/>
    <cellStyle name="Separador de milhares 7 3 3 2 19 2" xfId="21633" xr:uid="{00000000-0005-0000-0000-0000C95E0000}"/>
    <cellStyle name="Separador de milhares 7 3 3 2 19 2 2" xfId="30478" xr:uid="{F3B589E9-0974-4CBB-85FC-6D223993F522}"/>
    <cellStyle name="Separador de milhares 7 3 3 2 19 3" xfId="30477" xr:uid="{B2BFA460-F9C6-4D3C-8A8A-8F125BD35B0C}"/>
    <cellStyle name="Separador de milhares 7 3 3 2 2" xfId="21634" xr:uid="{00000000-0005-0000-0000-0000CA5E0000}"/>
    <cellStyle name="Separador de milhares 7 3 3 2 2 2" xfId="21635" xr:uid="{00000000-0005-0000-0000-0000CB5E0000}"/>
    <cellStyle name="Separador de milhares 7 3 3 2 2 2 2" xfId="30480" xr:uid="{6B9F843B-BD2D-4281-9A03-C91065F96204}"/>
    <cellStyle name="Separador de milhares 7 3 3 2 2 3" xfId="30479" xr:uid="{5755874C-2454-4C0B-BAFB-8C3BFA70C55B}"/>
    <cellStyle name="Separador de milhares 7 3 3 2 20" xfId="21636" xr:uid="{00000000-0005-0000-0000-0000CC5E0000}"/>
    <cellStyle name="Separador de milhares 7 3 3 2 20 2" xfId="21637" xr:uid="{00000000-0005-0000-0000-0000CD5E0000}"/>
    <cellStyle name="Separador de milhares 7 3 3 2 20 2 2" xfId="30482" xr:uid="{8DA671A6-F78D-4129-9B2B-527C982ADC3E}"/>
    <cellStyle name="Separador de milhares 7 3 3 2 20 3" xfId="30481" xr:uid="{39532196-CF72-4FCE-8B01-9E77381ED36F}"/>
    <cellStyle name="Separador de milhares 7 3 3 2 21" xfId="21638" xr:uid="{00000000-0005-0000-0000-0000CE5E0000}"/>
    <cellStyle name="Separador de milhares 7 3 3 2 21 2" xfId="21639" xr:uid="{00000000-0005-0000-0000-0000CF5E0000}"/>
    <cellStyle name="Separador de milhares 7 3 3 2 21 2 2" xfId="30484" xr:uid="{E5A34371-F928-4DA6-BFCC-AA01153DF93B}"/>
    <cellStyle name="Separador de milhares 7 3 3 2 21 3" xfId="30483" xr:uid="{B62A0B3F-42EC-4B4C-904F-E78A508AEE8C}"/>
    <cellStyle name="Separador de milhares 7 3 3 2 22" xfId="21640" xr:uid="{00000000-0005-0000-0000-0000D05E0000}"/>
    <cellStyle name="Separador de milhares 7 3 3 2 22 2" xfId="21641" xr:uid="{00000000-0005-0000-0000-0000D15E0000}"/>
    <cellStyle name="Separador de milhares 7 3 3 2 22 2 2" xfId="30486" xr:uid="{A58E1D25-9092-43FE-8BF2-31E1D6969BFE}"/>
    <cellStyle name="Separador de milhares 7 3 3 2 22 3" xfId="30485" xr:uid="{D1D523CB-AA4B-441F-9573-49AF79EEBCC9}"/>
    <cellStyle name="Separador de milhares 7 3 3 2 23" xfId="21642" xr:uid="{00000000-0005-0000-0000-0000D25E0000}"/>
    <cellStyle name="Separador de milhares 7 3 3 2 23 2" xfId="21643" xr:uid="{00000000-0005-0000-0000-0000D35E0000}"/>
    <cellStyle name="Separador de milhares 7 3 3 2 23 2 2" xfId="30488" xr:uid="{CCA4CD31-371E-4021-893C-F86B970DF791}"/>
    <cellStyle name="Separador de milhares 7 3 3 2 23 3" xfId="30487" xr:uid="{772501D0-08D0-475D-A15F-49E4A2874465}"/>
    <cellStyle name="Separador de milhares 7 3 3 2 24" xfId="21644" xr:uid="{00000000-0005-0000-0000-0000D45E0000}"/>
    <cellStyle name="Separador de milhares 7 3 3 2 24 2" xfId="21645" xr:uid="{00000000-0005-0000-0000-0000D55E0000}"/>
    <cellStyle name="Separador de milhares 7 3 3 2 24 2 2" xfId="30490" xr:uid="{4B53670A-B344-41DD-9EE9-5A31AD9D28BF}"/>
    <cellStyle name="Separador de milhares 7 3 3 2 24 3" xfId="30489" xr:uid="{89419133-6740-490E-9087-878BDE84D3D9}"/>
    <cellStyle name="Separador de milhares 7 3 3 2 25" xfId="21646" xr:uid="{00000000-0005-0000-0000-0000D65E0000}"/>
    <cellStyle name="Separador de milhares 7 3 3 2 25 2" xfId="21647" xr:uid="{00000000-0005-0000-0000-0000D75E0000}"/>
    <cellStyle name="Separador de milhares 7 3 3 2 25 2 2" xfId="30492" xr:uid="{AA2CA189-C9F9-4EA8-A587-100DA151EB1E}"/>
    <cellStyle name="Separador de milhares 7 3 3 2 25 3" xfId="30491" xr:uid="{602D198B-1D37-410F-B40F-55E4FCBEA1AC}"/>
    <cellStyle name="Separador de milhares 7 3 3 2 26" xfId="21648" xr:uid="{00000000-0005-0000-0000-0000D85E0000}"/>
    <cellStyle name="Separador de milhares 7 3 3 2 26 2" xfId="21649" xr:uid="{00000000-0005-0000-0000-0000D95E0000}"/>
    <cellStyle name="Separador de milhares 7 3 3 2 26 2 2" xfId="30494" xr:uid="{F6F0D310-3055-44DC-9FD5-B6CDE2D8FFBF}"/>
    <cellStyle name="Separador de milhares 7 3 3 2 26 3" xfId="30493" xr:uid="{67441D51-7E54-4126-A6EA-6DAFA07A6DF3}"/>
    <cellStyle name="Separador de milhares 7 3 3 2 27" xfId="21650" xr:uid="{00000000-0005-0000-0000-0000DA5E0000}"/>
    <cellStyle name="Separador de milhares 7 3 3 2 27 2" xfId="21651" xr:uid="{00000000-0005-0000-0000-0000DB5E0000}"/>
    <cellStyle name="Separador de milhares 7 3 3 2 27 2 2" xfId="30496" xr:uid="{F63416F6-9FF0-4BB2-AF9A-699A2C4B780D}"/>
    <cellStyle name="Separador de milhares 7 3 3 2 27 3" xfId="30495" xr:uid="{D1C34DB1-FB3B-4F6E-A1E4-1771D05C12AA}"/>
    <cellStyle name="Separador de milhares 7 3 3 2 28" xfId="21652" xr:uid="{00000000-0005-0000-0000-0000DC5E0000}"/>
    <cellStyle name="Separador de milhares 7 3 3 2 28 2" xfId="21653" xr:uid="{00000000-0005-0000-0000-0000DD5E0000}"/>
    <cellStyle name="Separador de milhares 7 3 3 2 28 2 2" xfId="30498" xr:uid="{E95894B1-BA88-453B-831D-2D2EC09B0E1D}"/>
    <cellStyle name="Separador de milhares 7 3 3 2 28 3" xfId="30497" xr:uid="{EFA4052F-38F0-4DA0-86E9-FFCC3B84AA81}"/>
    <cellStyle name="Separador de milhares 7 3 3 2 29" xfId="21654" xr:uid="{00000000-0005-0000-0000-0000DE5E0000}"/>
    <cellStyle name="Separador de milhares 7 3 3 2 29 2" xfId="21655" xr:uid="{00000000-0005-0000-0000-0000DF5E0000}"/>
    <cellStyle name="Separador de milhares 7 3 3 2 29 2 2" xfId="30500" xr:uid="{611DCB98-D436-41F7-B646-BAFA7B023FFE}"/>
    <cellStyle name="Separador de milhares 7 3 3 2 29 3" xfId="30499" xr:uid="{E0813D4D-5631-4A1E-88BC-A47C89D2CBD9}"/>
    <cellStyle name="Separador de milhares 7 3 3 2 3" xfId="21656" xr:uid="{00000000-0005-0000-0000-0000E05E0000}"/>
    <cellStyle name="Separador de milhares 7 3 3 2 3 2" xfId="21657" xr:uid="{00000000-0005-0000-0000-0000E15E0000}"/>
    <cellStyle name="Separador de milhares 7 3 3 2 3 2 2" xfId="30502" xr:uid="{A1ADB5C1-0AE6-45AC-956F-5D1C39592338}"/>
    <cellStyle name="Separador de milhares 7 3 3 2 3 3" xfId="30501" xr:uid="{3159F998-C3FA-4B05-B5E9-18770ECD8CEE}"/>
    <cellStyle name="Separador de milhares 7 3 3 2 30" xfId="21658" xr:uid="{00000000-0005-0000-0000-0000E25E0000}"/>
    <cellStyle name="Separador de milhares 7 3 3 2 30 2" xfId="21659" xr:uid="{00000000-0005-0000-0000-0000E35E0000}"/>
    <cellStyle name="Separador de milhares 7 3 3 2 30 2 2" xfId="30504" xr:uid="{EA2522F7-5227-4226-ABA2-E563133A9D7B}"/>
    <cellStyle name="Separador de milhares 7 3 3 2 30 3" xfId="30503" xr:uid="{152036A2-7B9C-4B49-9C87-10D23383E8EA}"/>
    <cellStyle name="Separador de milhares 7 3 3 2 31" xfId="21660" xr:uid="{00000000-0005-0000-0000-0000E45E0000}"/>
    <cellStyle name="Separador de milhares 7 3 3 2 31 2" xfId="21661" xr:uid="{00000000-0005-0000-0000-0000E55E0000}"/>
    <cellStyle name="Separador de milhares 7 3 3 2 31 2 2" xfId="30506" xr:uid="{920DDDCA-AD94-4323-A587-D94F21289791}"/>
    <cellStyle name="Separador de milhares 7 3 3 2 31 3" xfId="30505" xr:uid="{8C48F5ED-75FF-4B98-9E5F-D1D2746F06BF}"/>
    <cellStyle name="Separador de milhares 7 3 3 2 32" xfId="21662" xr:uid="{00000000-0005-0000-0000-0000E65E0000}"/>
    <cellStyle name="Separador de milhares 7 3 3 2 32 2" xfId="21663" xr:uid="{00000000-0005-0000-0000-0000E75E0000}"/>
    <cellStyle name="Separador de milhares 7 3 3 2 32 2 2" xfId="30508" xr:uid="{E7CE4A9C-66CC-4474-907B-919C483CB35C}"/>
    <cellStyle name="Separador de milhares 7 3 3 2 32 3" xfId="30507" xr:uid="{2EA6296C-FD6E-4A0B-A989-6F2BB5F54570}"/>
    <cellStyle name="Separador de milhares 7 3 3 2 33" xfId="21664" xr:uid="{00000000-0005-0000-0000-0000E85E0000}"/>
    <cellStyle name="Separador de milhares 7 3 3 2 33 2" xfId="21665" xr:uid="{00000000-0005-0000-0000-0000E95E0000}"/>
    <cellStyle name="Separador de milhares 7 3 3 2 33 2 2" xfId="30510" xr:uid="{656564BE-A676-4EB6-91A1-0BE7F542D200}"/>
    <cellStyle name="Separador de milhares 7 3 3 2 33 3" xfId="30509" xr:uid="{4DD52DAD-5686-46DD-B758-0D9E0DDE2CA4}"/>
    <cellStyle name="Separador de milhares 7 3 3 2 34" xfId="21666" xr:uid="{00000000-0005-0000-0000-0000EA5E0000}"/>
    <cellStyle name="Separador de milhares 7 3 3 2 34 2" xfId="21667" xr:uid="{00000000-0005-0000-0000-0000EB5E0000}"/>
    <cellStyle name="Separador de milhares 7 3 3 2 34 2 2" xfId="30512" xr:uid="{3978C62C-CC32-47EC-A7D8-592143C0B529}"/>
    <cellStyle name="Separador de milhares 7 3 3 2 34 3" xfId="30511" xr:uid="{BEAE05A8-4A7A-45CB-B130-305683BEB14A}"/>
    <cellStyle name="Separador de milhares 7 3 3 2 35" xfId="21668" xr:uid="{00000000-0005-0000-0000-0000EC5E0000}"/>
    <cellStyle name="Separador de milhares 7 3 3 2 35 2" xfId="30513" xr:uid="{B1B86DF2-4BA2-4771-BD68-43B42A59D532}"/>
    <cellStyle name="Separador de milhares 7 3 3 2 36" xfId="21613" xr:uid="{00000000-0005-0000-0000-0000ED5E0000}"/>
    <cellStyle name="Separador de milhares 7 3 3 2 36 2" xfId="30458" xr:uid="{CAC1692C-07CC-42B4-ADEE-5FA43402CEFC}"/>
    <cellStyle name="Separador de milhares 7 3 3 2 37" xfId="28081" xr:uid="{44C2CF2C-4713-4D17-8353-31B86D3BB0C6}"/>
    <cellStyle name="Separador de milhares 7 3 3 2 4" xfId="21669" xr:uid="{00000000-0005-0000-0000-0000EE5E0000}"/>
    <cellStyle name="Separador de milhares 7 3 3 2 4 2" xfId="21670" xr:uid="{00000000-0005-0000-0000-0000EF5E0000}"/>
    <cellStyle name="Separador de milhares 7 3 3 2 4 2 2" xfId="30515" xr:uid="{7DD426C0-D32D-46BB-AD36-B86DEBF8B707}"/>
    <cellStyle name="Separador de milhares 7 3 3 2 4 3" xfId="30514" xr:uid="{16136ABF-7658-4D8C-9F1B-2CAB73DB4DD6}"/>
    <cellStyle name="Separador de milhares 7 3 3 2 5" xfId="21671" xr:uid="{00000000-0005-0000-0000-0000F05E0000}"/>
    <cellStyle name="Separador de milhares 7 3 3 2 5 2" xfId="21672" xr:uid="{00000000-0005-0000-0000-0000F15E0000}"/>
    <cellStyle name="Separador de milhares 7 3 3 2 5 2 2" xfId="30517" xr:uid="{C44EAAA6-96D2-4083-B5F5-C7B43F8BF9DA}"/>
    <cellStyle name="Separador de milhares 7 3 3 2 5 3" xfId="30516" xr:uid="{EE4D7F75-5267-498E-844C-7160F633E05A}"/>
    <cellStyle name="Separador de milhares 7 3 3 2 6" xfId="21673" xr:uid="{00000000-0005-0000-0000-0000F25E0000}"/>
    <cellStyle name="Separador de milhares 7 3 3 2 6 2" xfId="21674" xr:uid="{00000000-0005-0000-0000-0000F35E0000}"/>
    <cellStyle name="Separador de milhares 7 3 3 2 6 2 2" xfId="30519" xr:uid="{F1A55DA5-BB79-42C4-9B04-CB0316888D7F}"/>
    <cellStyle name="Separador de milhares 7 3 3 2 6 3" xfId="30518" xr:uid="{7A7844E5-2EB5-4280-994E-FF708EB248D9}"/>
    <cellStyle name="Separador de milhares 7 3 3 2 7" xfId="21675" xr:uid="{00000000-0005-0000-0000-0000F45E0000}"/>
    <cellStyle name="Separador de milhares 7 3 3 2 7 2" xfId="21676" xr:uid="{00000000-0005-0000-0000-0000F55E0000}"/>
    <cellStyle name="Separador de milhares 7 3 3 2 7 2 2" xfId="30521" xr:uid="{4AB10A2E-7D44-4698-98B4-FC12BABF96C3}"/>
    <cellStyle name="Separador de milhares 7 3 3 2 7 3" xfId="30520" xr:uid="{5CCAA58A-92E7-4664-B013-DBA1A8ECA4C5}"/>
    <cellStyle name="Separador de milhares 7 3 3 2 8" xfId="21677" xr:uid="{00000000-0005-0000-0000-0000F65E0000}"/>
    <cellStyle name="Separador de milhares 7 3 3 2 8 2" xfId="21678" xr:uid="{00000000-0005-0000-0000-0000F75E0000}"/>
    <cellStyle name="Separador de milhares 7 3 3 2 8 2 2" xfId="30523" xr:uid="{591FE35B-EE5E-435F-A7DB-A57BF3FB1E52}"/>
    <cellStyle name="Separador de milhares 7 3 3 2 8 3" xfId="30522" xr:uid="{8B656C31-C5C0-4654-A3BB-6BFEB321A55A}"/>
    <cellStyle name="Separador de milhares 7 3 3 2 9" xfId="21679" xr:uid="{00000000-0005-0000-0000-0000F85E0000}"/>
    <cellStyle name="Separador de milhares 7 3 3 2 9 2" xfId="21680" xr:uid="{00000000-0005-0000-0000-0000F95E0000}"/>
    <cellStyle name="Separador de milhares 7 3 3 2 9 2 2" xfId="30525" xr:uid="{5B1B7434-8055-46E9-B04F-8CDBB5471342}"/>
    <cellStyle name="Separador de milhares 7 3 3 2 9 3" xfId="30524" xr:uid="{389C8974-1B5A-45A1-A422-2DB0CDDECF54}"/>
    <cellStyle name="Separador de milhares 7 3 3 20" xfId="21681" xr:uid="{00000000-0005-0000-0000-0000FA5E0000}"/>
    <cellStyle name="Separador de milhares 7 3 3 20 2" xfId="21682" xr:uid="{00000000-0005-0000-0000-0000FB5E0000}"/>
    <cellStyle name="Separador de milhares 7 3 3 20 2 2" xfId="30527" xr:uid="{5611C7C4-905A-4DF1-AFEB-835763598B61}"/>
    <cellStyle name="Separador de milhares 7 3 3 20 3" xfId="30526" xr:uid="{E771ECC5-35E8-40D2-B1A1-B948F1E1D277}"/>
    <cellStyle name="Separador de milhares 7 3 3 21" xfId="21683" xr:uid="{00000000-0005-0000-0000-0000FC5E0000}"/>
    <cellStyle name="Separador de milhares 7 3 3 21 2" xfId="21684" xr:uid="{00000000-0005-0000-0000-0000FD5E0000}"/>
    <cellStyle name="Separador de milhares 7 3 3 21 2 2" xfId="30529" xr:uid="{8AF807B2-0208-433B-B932-5F57E0E62695}"/>
    <cellStyle name="Separador de milhares 7 3 3 21 3" xfId="30528" xr:uid="{E2098BE2-8A85-4F1D-8AA5-338262CC2955}"/>
    <cellStyle name="Separador de milhares 7 3 3 22" xfId="21685" xr:uid="{00000000-0005-0000-0000-0000FE5E0000}"/>
    <cellStyle name="Separador de milhares 7 3 3 22 2" xfId="21686" xr:uid="{00000000-0005-0000-0000-0000FF5E0000}"/>
    <cellStyle name="Separador de milhares 7 3 3 22 2 2" xfId="30531" xr:uid="{46AA9CAB-F5B7-4105-B259-4E6114D86F86}"/>
    <cellStyle name="Separador de milhares 7 3 3 22 3" xfId="30530" xr:uid="{A84858AD-AF5A-42E8-A633-58D3953135F5}"/>
    <cellStyle name="Separador de milhares 7 3 3 23" xfId="21687" xr:uid="{00000000-0005-0000-0000-0000005F0000}"/>
    <cellStyle name="Separador de milhares 7 3 3 23 2" xfId="21688" xr:uid="{00000000-0005-0000-0000-0000015F0000}"/>
    <cellStyle name="Separador de milhares 7 3 3 23 2 2" xfId="30533" xr:uid="{69416C5E-4EB2-4866-9383-0EA51EDA40DB}"/>
    <cellStyle name="Separador de milhares 7 3 3 23 3" xfId="30532" xr:uid="{F2072EF0-6F88-4DD4-8954-BF08BE52B6B0}"/>
    <cellStyle name="Separador de milhares 7 3 3 24" xfId="21689" xr:uid="{00000000-0005-0000-0000-0000025F0000}"/>
    <cellStyle name="Separador de milhares 7 3 3 24 2" xfId="21690" xr:uid="{00000000-0005-0000-0000-0000035F0000}"/>
    <cellStyle name="Separador de milhares 7 3 3 24 2 2" xfId="30535" xr:uid="{28735A35-CEDD-4BB4-B5CE-3CCAE28FE575}"/>
    <cellStyle name="Separador de milhares 7 3 3 24 3" xfId="30534" xr:uid="{6B4D7E57-F5F7-4BA1-BD6B-F902DF8A80EF}"/>
    <cellStyle name="Separador de milhares 7 3 3 25" xfId="21691" xr:uid="{00000000-0005-0000-0000-0000045F0000}"/>
    <cellStyle name="Separador de milhares 7 3 3 25 2" xfId="21692" xr:uid="{00000000-0005-0000-0000-0000055F0000}"/>
    <cellStyle name="Separador de milhares 7 3 3 25 2 2" xfId="30537" xr:uid="{3916E816-4E4B-4E12-9D10-C627266A67EB}"/>
    <cellStyle name="Separador de milhares 7 3 3 25 3" xfId="30536" xr:uid="{E5328203-6844-48EC-B9CA-E42913EFD3EB}"/>
    <cellStyle name="Separador de milhares 7 3 3 26" xfId="21693" xr:uid="{00000000-0005-0000-0000-0000065F0000}"/>
    <cellStyle name="Separador de milhares 7 3 3 26 2" xfId="21694" xr:uid="{00000000-0005-0000-0000-0000075F0000}"/>
    <cellStyle name="Separador de milhares 7 3 3 26 2 2" xfId="30539" xr:uid="{2A368C11-6D11-4650-81F9-986ECA520610}"/>
    <cellStyle name="Separador de milhares 7 3 3 26 3" xfId="30538" xr:uid="{EFAC9715-CCF5-4B52-B9AA-49FA55D009DE}"/>
    <cellStyle name="Separador de milhares 7 3 3 27" xfId="21695" xr:uid="{00000000-0005-0000-0000-0000085F0000}"/>
    <cellStyle name="Separador de milhares 7 3 3 27 2" xfId="21696" xr:uid="{00000000-0005-0000-0000-0000095F0000}"/>
    <cellStyle name="Separador de milhares 7 3 3 27 2 2" xfId="30541" xr:uid="{7B138895-4DD0-4392-97A2-B164B14E3451}"/>
    <cellStyle name="Separador de milhares 7 3 3 27 3" xfId="30540" xr:uid="{25C71715-8420-4C56-ADA1-DDEE0A6DEDFC}"/>
    <cellStyle name="Separador de milhares 7 3 3 28" xfId="21697" xr:uid="{00000000-0005-0000-0000-00000A5F0000}"/>
    <cellStyle name="Separador de milhares 7 3 3 28 2" xfId="21698" xr:uid="{00000000-0005-0000-0000-00000B5F0000}"/>
    <cellStyle name="Separador de milhares 7 3 3 28 2 2" xfId="30543" xr:uid="{D0E0ED6E-E3B5-4F26-8B57-2FB62D2DE4DE}"/>
    <cellStyle name="Separador de milhares 7 3 3 28 3" xfId="30542" xr:uid="{4178C1A9-2A50-4FC0-87E1-F4B02D1729DF}"/>
    <cellStyle name="Separador de milhares 7 3 3 29" xfId="21699" xr:uid="{00000000-0005-0000-0000-00000C5F0000}"/>
    <cellStyle name="Separador de milhares 7 3 3 29 2" xfId="21700" xr:uid="{00000000-0005-0000-0000-00000D5F0000}"/>
    <cellStyle name="Separador de milhares 7 3 3 29 2 2" xfId="30545" xr:uid="{7DCF3039-7D2A-43A2-94A7-B8838035DD74}"/>
    <cellStyle name="Separador de milhares 7 3 3 29 3" xfId="30544" xr:uid="{89C7EEB5-C7C9-4F84-B8CD-351FA11F15A6}"/>
    <cellStyle name="Separador de milhares 7 3 3 3" xfId="21701" xr:uid="{00000000-0005-0000-0000-00000E5F0000}"/>
    <cellStyle name="Separador de milhares 7 3 3 3 10" xfId="21702" xr:uid="{00000000-0005-0000-0000-00000F5F0000}"/>
    <cellStyle name="Separador de milhares 7 3 3 3 10 2" xfId="21703" xr:uid="{00000000-0005-0000-0000-0000105F0000}"/>
    <cellStyle name="Separador de milhares 7 3 3 3 10 2 2" xfId="30548" xr:uid="{6F411D1D-B202-4945-BFB1-18923983F377}"/>
    <cellStyle name="Separador de milhares 7 3 3 3 10 3" xfId="30547" xr:uid="{E039C030-E600-4312-A0C9-F8F6C9A089B7}"/>
    <cellStyle name="Separador de milhares 7 3 3 3 11" xfId="21704" xr:uid="{00000000-0005-0000-0000-0000115F0000}"/>
    <cellStyle name="Separador de milhares 7 3 3 3 11 2" xfId="21705" xr:uid="{00000000-0005-0000-0000-0000125F0000}"/>
    <cellStyle name="Separador de milhares 7 3 3 3 11 2 2" xfId="30550" xr:uid="{4EAD2955-2E8D-4B07-9B31-AC77D19C620E}"/>
    <cellStyle name="Separador de milhares 7 3 3 3 11 3" xfId="30549" xr:uid="{A074A40C-ECD4-4CE8-B13E-5956B4B5F16E}"/>
    <cellStyle name="Separador de milhares 7 3 3 3 12" xfId="21706" xr:uid="{00000000-0005-0000-0000-0000135F0000}"/>
    <cellStyle name="Separador de milhares 7 3 3 3 12 2" xfId="21707" xr:uid="{00000000-0005-0000-0000-0000145F0000}"/>
    <cellStyle name="Separador de milhares 7 3 3 3 12 2 2" xfId="30552" xr:uid="{8CC352B3-93BF-444C-A4CE-3A688E4331BB}"/>
    <cellStyle name="Separador de milhares 7 3 3 3 12 3" xfId="30551" xr:uid="{7D9B19B0-21DF-421C-BEC1-BC0617AACC07}"/>
    <cellStyle name="Separador de milhares 7 3 3 3 13" xfId="21708" xr:uid="{00000000-0005-0000-0000-0000155F0000}"/>
    <cellStyle name="Separador de milhares 7 3 3 3 13 2" xfId="21709" xr:uid="{00000000-0005-0000-0000-0000165F0000}"/>
    <cellStyle name="Separador de milhares 7 3 3 3 13 2 2" xfId="30554" xr:uid="{7ECCC394-FED7-42EC-ACDE-CE2B113079EF}"/>
    <cellStyle name="Separador de milhares 7 3 3 3 13 3" xfId="30553" xr:uid="{A46DFA23-8130-4329-933B-C5245DD3C350}"/>
    <cellStyle name="Separador de milhares 7 3 3 3 14" xfId="21710" xr:uid="{00000000-0005-0000-0000-0000175F0000}"/>
    <cellStyle name="Separador de milhares 7 3 3 3 14 2" xfId="21711" xr:uid="{00000000-0005-0000-0000-0000185F0000}"/>
    <cellStyle name="Separador de milhares 7 3 3 3 14 2 2" xfId="30556" xr:uid="{B9EF4BE1-B741-4C23-A17C-DDF135227A4D}"/>
    <cellStyle name="Separador de milhares 7 3 3 3 14 3" xfId="30555" xr:uid="{B9877502-5E94-4E24-B0D2-CF7339BCD6FE}"/>
    <cellStyle name="Separador de milhares 7 3 3 3 15" xfId="21712" xr:uid="{00000000-0005-0000-0000-0000195F0000}"/>
    <cellStyle name="Separador de milhares 7 3 3 3 15 2" xfId="21713" xr:uid="{00000000-0005-0000-0000-00001A5F0000}"/>
    <cellStyle name="Separador de milhares 7 3 3 3 15 2 2" xfId="30558" xr:uid="{8595DA5A-3FDA-4797-AD73-A5EC06F70DE5}"/>
    <cellStyle name="Separador de milhares 7 3 3 3 15 3" xfId="30557" xr:uid="{E53DDBB9-A1E7-40AC-BCAD-975E76DF6BD4}"/>
    <cellStyle name="Separador de milhares 7 3 3 3 16" xfId="21714" xr:uid="{00000000-0005-0000-0000-00001B5F0000}"/>
    <cellStyle name="Separador de milhares 7 3 3 3 16 2" xfId="21715" xr:uid="{00000000-0005-0000-0000-00001C5F0000}"/>
    <cellStyle name="Separador de milhares 7 3 3 3 16 2 2" xfId="30560" xr:uid="{0989A897-64C8-4950-B2F5-42A505E2BEC1}"/>
    <cellStyle name="Separador de milhares 7 3 3 3 16 3" xfId="30559" xr:uid="{406D7919-E62F-40AA-89D9-B633AA6F9A6F}"/>
    <cellStyle name="Separador de milhares 7 3 3 3 17" xfId="21716" xr:uid="{00000000-0005-0000-0000-00001D5F0000}"/>
    <cellStyle name="Separador de milhares 7 3 3 3 17 2" xfId="21717" xr:uid="{00000000-0005-0000-0000-00001E5F0000}"/>
    <cellStyle name="Separador de milhares 7 3 3 3 17 2 2" xfId="30562" xr:uid="{779268E8-3621-43CC-8296-A2F14E7B0A21}"/>
    <cellStyle name="Separador de milhares 7 3 3 3 17 3" xfId="30561" xr:uid="{7FA5FE0D-B4D5-49B6-8A9C-5D5BE4789BF8}"/>
    <cellStyle name="Separador de milhares 7 3 3 3 18" xfId="21718" xr:uid="{00000000-0005-0000-0000-00001F5F0000}"/>
    <cellStyle name="Separador de milhares 7 3 3 3 18 2" xfId="21719" xr:uid="{00000000-0005-0000-0000-0000205F0000}"/>
    <cellStyle name="Separador de milhares 7 3 3 3 18 2 2" xfId="30564" xr:uid="{F43E0808-C140-4386-9F92-010387E0B8F1}"/>
    <cellStyle name="Separador de milhares 7 3 3 3 18 3" xfId="30563" xr:uid="{1D68E8DD-6579-4EB5-A010-B8792FE1DF54}"/>
    <cellStyle name="Separador de milhares 7 3 3 3 19" xfId="21720" xr:uid="{00000000-0005-0000-0000-0000215F0000}"/>
    <cellStyle name="Separador de milhares 7 3 3 3 19 2" xfId="21721" xr:uid="{00000000-0005-0000-0000-0000225F0000}"/>
    <cellStyle name="Separador de milhares 7 3 3 3 19 2 2" xfId="30566" xr:uid="{0E713177-EA86-438E-AFAF-3BEBB1A0C674}"/>
    <cellStyle name="Separador de milhares 7 3 3 3 19 3" xfId="30565" xr:uid="{3F118118-CE7D-42C3-879E-44659B0D5B47}"/>
    <cellStyle name="Separador de milhares 7 3 3 3 2" xfId="21722" xr:uid="{00000000-0005-0000-0000-0000235F0000}"/>
    <cellStyle name="Separador de milhares 7 3 3 3 2 2" xfId="21723" xr:uid="{00000000-0005-0000-0000-0000245F0000}"/>
    <cellStyle name="Separador de milhares 7 3 3 3 2 2 2" xfId="30568" xr:uid="{726849CD-A167-420F-8187-75F9768A24A2}"/>
    <cellStyle name="Separador de milhares 7 3 3 3 2 3" xfId="30567" xr:uid="{0D6FD74C-5B54-4F7C-8F06-434DD29A97B2}"/>
    <cellStyle name="Separador de milhares 7 3 3 3 20" xfId="21724" xr:uid="{00000000-0005-0000-0000-0000255F0000}"/>
    <cellStyle name="Separador de milhares 7 3 3 3 20 2" xfId="21725" xr:uid="{00000000-0005-0000-0000-0000265F0000}"/>
    <cellStyle name="Separador de milhares 7 3 3 3 20 2 2" xfId="30570" xr:uid="{4451A23E-AEC6-41AD-82D4-1B83AAEEF5F4}"/>
    <cellStyle name="Separador de milhares 7 3 3 3 20 3" xfId="30569" xr:uid="{3DDBCE9B-CA0F-4160-94E4-1228849DC2D5}"/>
    <cellStyle name="Separador de milhares 7 3 3 3 21" xfId="21726" xr:uid="{00000000-0005-0000-0000-0000275F0000}"/>
    <cellStyle name="Separador de milhares 7 3 3 3 21 2" xfId="21727" xr:uid="{00000000-0005-0000-0000-0000285F0000}"/>
    <cellStyle name="Separador de milhares 7 3 3 3 21 2 2" xfId="30572" xr:uid="{6F0B22C1-9CEA-4D39-8B28-4C5C4C1ECC34}"/>
    <cellStyle name="Separador de milhares 7 3 3 3 21 3" xfId="30571" xr:uid="{15BA4709-638A-4994-9BB2-54692D982E8C}"/>
    <cellStyle name="Separador de milhares 7 3 3 3 22" xfId="21728" xr:uid="{00000000-0005-0000-0000-0000295F0000}"/>
    <cellStyle name="Separador de milhares 7 3 3 3 22 2" xfId="21729" xr:uid="{00000000-0005-0000-0000-00002A5F0000}"/>
    <cellStyle name="Separador de milhares 7 3 3 3 22 2 2" xfId="30574" xr:uid="{DDC60B93-EDFC-4B2D-943D-C73EB38A6824}"/>
    <cellStyle name="Separador de milhares 7 3 3 3 22 3" xfId="30573" xr:uid="{4C88BB94-B7A1-4D0A-A88B-BC6E12C02DFD}"/>
    <cellStyle name="Separador de milhares 7 3 3 3 23" xfId="21730" xr:uid="{00000000-0005-0000-0000-00002B5F0000}"/>
    <cellStyle name="Separador de milhares 7 3 3 3 23 2" xfId="21731" xr:uid="{00000000-0005-0000-0000-00002C5F0000}"/>
    <cellStyle name="Separador de milhares 7 3 3 3 23 2 2" xfId="30576" xr:uid="{F478235E-927B-4D63-A510-B02A007E37D0}"/>
    <cellStyle name="Separador de milhares 7 3 3 3 23 3" xfId="30575" xr:uid="{6B659F25-6082-470C-B673-03450C4BF6E2}"/>
    <cellStyle name="Separador de milhares 7 3 3 3 24" xfId="21732" xr:uid="{00000000-0005-0000-0000-00002D5F0000}"/>
    <cellStyle name="Separador de milhares 7 3 3 3 24 2" xfId="21733" xr:uid="{00000000-0005-0000-0000-00002E5F0000}"/>
    <cellStyle name="Separador de milhares 7 3 3 3 24 2 2" xfId="30578" xr:uid="{D8FD9E74-AA63-4787-AB37-1C6A128375A9}"/>
    <cellStyle name="Separador de milhares 7 3 3 3 24 3" xfId="30577" xr:uid="{AF6047D9-F59F-4845-8BE4-6531DCA4C2E0}"/>
    <cellStyle name="Separador de milhares 7 3 3 3 25" xfId="21734" xr:uid="{00000000-0005-0000-0000-00002F5F0000}"/>
    <cellStyle name="Separador de milhares 7 3 3 3 25 2" xfId="21735" xr:uid="{00000000-0005-0000-0000-0000305F0000}"/>
    <cellStyle name="Separador de milhares 7 3 3 3 25 2 2" xfId="30580" xr:uid="{40FA1D00-F286-42C0-BD1F-BF85F9F03D56}"/>
    <cellStyle name="Separador de milhares 7 3 3 3 25 3" xfId="30579" xr:uid="{EF6F9EAC-3911-4C72-990C-EAB971E2FB75}"/>
    <cellStyle name="Separador de milhares 7 3 3 3 26" xfId="21736" xr:uid="{00000000-0005-0000-0000-0000315F0000}"/>
    <cellStyle name="Separador de milhares 7 3 3 3 26 2" xfId="21737" xr:uid="{00000000-0005-0000-0000-0000325F0000}"/>
    <cellStyle name="Separador de milhares 7 3 3 3 26 2 2" xfId="30582" xr:uid="{55A34251-9962-4513-BFB3-810497DBD391}"/>
    <cellStyle name="Separador de milhares 7 3 3 3 26 3" xfId="30581" xr:uid="{E867DA41-2D40-4DAF-9BF3-12F6759BEEA6}"/>
    <cellStyle name="Separador de milhares 7 3 3 3 27" xfId="21738" xr:uid="{00000000-0005-0000-0000-0000335F0000}"/>
    <cellStyle name="Separador de milhares 7 3 3 3 27 2" xfId="21739" xr:uid="{00000000-0005-0000-0000-0000345F0000}"/>
    <cellStyle name="Separador de milhares 7 3 3 3 27 2 2" xfId="30584" xr:uid="{DCA4B5C9-09E6-4906-AB92-FA0D9A2C48FC}"/>
    <cellStyle name="Separador de milhares 7 3 3 3 27 3" xfId="30583" xr:uid="{CDDF79CF-3E7D-4E05-9854-1D01E3EC8418}"/>
    <cellStyle name="Separador de milhares 7 3 3 3 28" xfId="21740" xr:uid="{00000000-0005-0000-0000-0000355F0000}"/>
    <cellStyle name="Separador de milhares 7 3 3 3 28 2" xfId="21741" xr:uid="{00000000-0005-0000-0000-0000365F0000}"/>
    <cellStyle name="Separador de milhares 7 3 3 3 28 2 2" xfId="30586" xr:uid="{156AE31D-5601-4D76-843F-F8F415C3CA6D}"/>
    <cellStyle name="Separador de milhares 7 3 3 3 28 3" xfId="30585" xr:uid="{B1F35FA7-DD03-496F-915C-C7995AC8DD23}"/>
    <cellStyle name="Separador de milhares 7 3 3 3 29" xfId="21742" xr:uid="{00000000-0005-0000-0000-0000375F0000}"/>
    <cellStyle name="Separador de milhares 7 3 3 3 29 2" xfId="21743" xr:uid="{00000000-0005-0000-0000-0000385F0000}"/>
    <cellStyle name="Separador de milhares 7 3 3 3 29 2 2" xfId="30588" xr:uid="{CC9D64C7-E348-4F87-BFDF-24156EA78C5C}"/>
    <cellStyle name="Separador de milhares 7 3 3 3 29 3" xfId="30587" xr:uid="{8D666A81-6C2F-4AF4-81E6-3A4B64C9FCCD}"/>
    <cellStyle name="Separador de milhares 7 3 3 3 3" xfId="21744" xr:uid="{00000000-0005-0000-0000-0000395F0000}"/>
    <cellStyle name="Separador de milhares 7 3 3 3 3 2" xfId="21745" xr:uid="{00000000-0005-0000-0000-00003A5F0000}"/>
    <cellStyle name="Separador de milhares 7 3 3 3 3 2 2" xfId="30590" xr:uid="{B65452D4-D180-4554-9B3E-62D7B7F61FE9}"/>
    <cellStyle name="Separador de milhares 7 3 3 3 3 3" xfId="30589" xr:uid="{09B81389-4DD8-4E0E-A831-97802EDAD07F}"/>
    <cellStyle name="Separador de milhares 7 3 3 3 30" xfId="21746" xr:uid="{00000000-0005-0000-0000-00003B5F0000}"/>
    <cellStyle name="Separador de milhares 7 3 3 3 30 2" xfId="21747" xr:uid="{00000000-0005-0000-0000-00003C5F0000}"/>
    <cellStyle name="Separador de milhares 7 3 3 3 30 2 2" xfId="30592" xr:uid="{1EAF3C52-1238-4B4E-AB9C-1ED8763914E4}"/>
    <cellStyle name="Separador de milhares 7 3 3 3 30 3" xfId="30591" xr:uid="{74BA828A-48EA-435C-973C-B45550ECD703}"/>
    <cellStyle name="Separador de milhares 7 3 3 3 31" xfId="21748" xr:uid="{00000000-0005-0000-0000-00003D5F0000}"/>
    <cellStyle name="Separador de milhares 7 3 3 3 31 2" xfId="21749" xr:uid="{00000000-0005-0000-0000-00003E5F0000}"/>
    <cellStyle name="Separador de milhares 7 3 3 3 31 2 2" xfId="30594" xr:uid="{9F1967E9-D370-458E-9F17-966B77EB36DE}"/>
    <cellStyle name="Separador de milhares 7 3 3 3 31 3" xfId="30593" xr:uid="{6A3DB9BB-EE24-47DF-9DD5-9FA77DF1C1F2}"/>
    <cellStyle name="Separador de milhares 7 3 3 3 32" xfId="21750" xr:uid="{00000000-0005-0000-0000-00003F5F0000}"/>
    <cellStyle name="Separador de milhares 7 3 3 3 32 2" xfId="21751" xr:uid="{00000000-0005-0000-0000-0000405F0000}"/>
    <cellStyle name="Separador de milhares 7 3 3 3 32 2 2" xfId="30596" xr:uid="{38810BDF-DC1D-42B5-95BF-B3799FC433AF}"/>
    <cellStyle name="Separador de milhares 7 3 3 3 32 3" xfId="30595" xr:uid="{563413AE-E3DA-44DE-B9B4-7A4CE9E3F0E0}"/>
    <cellStyle name="Separador de milhares 7 3 3 3 33" xfId="21752" xr:uid="{00000000-0005-0000-0000-0000415F0000}"/>
    <cellStyle name="Separador de milhares 7 3 3 3 33 2" xfId="21753" xr:uid="{00000000-0005-0000-0000-0000425F0000}"/>
    <cellStyle name="Separador de milhares 7 3 3 3 33 2 2" xfId="30598" xr:uid="{6A32A0D6-1A18-47B6-B399-8ACE075BC60E}"/>
    <cellStyle name="Separador de milhares 7 3 3 3 33 3" xfId="30597" xr:uid="{DAC283EC-0A55-434F-9229-A164BD977EFF}"/>
    <cellStyle name="Separador de milhares 7 3 3 3 34" xfId="21754" xr:uid="{00000000-0005-0000-0000-0000435F0000}"/>
    <cellStyle name="Separador de milhares 7 3 3 3 34 2" xfId="21755" xr:uid="{00000000-0005-0000-0000-0000445F0000}"/>
    <cellStyle name="Separador de milhares 7 3 3 3 34 2 2" xfId="30600" xr:uid="{99A7FA61-5F94-4A78-9644-AF6A441C7CCE}"/>
    <cellStyle name="Separador de milhares 7 3 3 3 34 3" xfId="30599" xr:uid="{D59FDA4D-F2E6-4995-9CB5-077BEC6EB5AE}"/>
    <cellStyle name="Separador de milhares 7 3 3 3 35" xfId="21756" xr:uid="{00000000-0005-0000-0000-0000455F0000}"/>
    <cellStyle name="Separador de milhares 7 3 3 3 35 2" xfId="30601" xr:uid="{A0B55F33-89BF-4EAB-AA4E-FDB82197D7B2}"/>
    <cellStyle name="Separador de milhares 7 3 3 3 36" xfId="30546" xr:uid="{D2866973-795E-4D7E-AC89-925DF0ECE89F}"/>
    <cellStyle name="Separador de milhares 7 3 3 3 4" xfId="21757" xr:uid="{00000000-0005-0000-0000-0000465F0000}"/>
    <cellStyle name="Separador de milhares 7 3 3 3 4 2" xfId="21758" xr:uid="{00000000-0005-0000-0000-0000475F0000}"/>
    <cellStyle name="Separador de milhares 7 3 3 3 4 2 2" xfId="30603" xr:uid="{AE52ECC4-7676-43D1-8087-76B6B933BA74}"/>
    <cellStyle name="Separador de milhares 7 3 3 3 4 3" xfId="30602" xr:uid="{87FF87F0-0794-4EC2-A1C7-C65B7A7859DE}"/>
    <cellStyle name="Separador de milhares 7 3 3 3 5" xfId="21759" xr:uid="{00000000-0005-0000-0000-0000485F0000}"/>
    <cellStyle name="Separador de milhares 7 3 3 3 5 2" xfId="21760" xr:uid="{00000000-0005-0000-0000-0000495F0000}"/>
    <cellStyle name="Separador de milhares 7 3 3 3 5 2 2" xfId="30605" xr:uid="{C54BEAB3-3BA4-4480-BF60-4B1301AE3E6B}"/>
    <cellStyle name="Separador de milhares 7 3 3 3 5 3" xfId="30604" xr:uid="{D756C5AD-5C14-43CF-8651-D931D5168487}"/>
    <cellStyle name="Separador de milhares 7 3 3 3 6" xfId="21761" xr:uid="{00000000-0005-0000-0000-00004A5F0000}"/>
    <cellStyle name="Separador de milhares 7 3 3 3 6 2" xfId="21762" xr:uid="{00000000-0005-0000-0000-00004B5F0000}"/>
    <cellStyle name="Separador de milhares 7 3 3 3 6 2 2" xfId="30607" xr:uid="{16853127-68B6-4DBF-ACE8-843D22450E89}"/>
    <cellStyle name="Separador de milhares 7 3 3 3 6 3" xfId="30606" xr:uid="{57C75472-C872-4BAF-A9EE-543392FD0108}"/>
    <cellStyle name="Separador de milhares 7 3 3 3 7" xfId="21763" xr:uid="{00000000-0005-0000-0000-00004C5F0000}"/>
    <cellStyle name="Separador de milhares 7 3 3 3 7 2" xfId="21764" xr:uid="{00000000-0005-0000-0000-00004D5F0000}"/>
    <cellStyle name="Separador de milhares 7 3 3 3 7 2 2" xfId="30609" xr:uid="{473D3E9B-9492-4E2C-871C-DBFB1E9944E2}"/>
    <cellStyle name="Separador de milhares 7 3 3 3 7 3" xfId="30608" xr:uid="{EEE582BB-84F7-48A0-A10A-F5F79212B8C9}"/>
    <cellStyle name="Separador de milhares 7 3 3 3 8" xfId="21765" xr:uid="{00000000-0005-0000-0000-00004E5F0000}"/>
    <cellStyle name="Separador de milhares 7 3 3 3 8 2" xfId="21766" xr:uid="{00000000-0005-0000-0000-00004F5F0000}"/>
    <cellStyle name="Separador de milhares 7 3 3 3 8 2 2" xfId="30611" xr:uid="{2BE64F72-ACB0-4A9A-B70F-33E47AA2DECF}"/>
    <cellStyle name="Separador de milhares 7 3 3 3 8 3" xfId="30610" xr:uid="{753A1F89-4E2D-4582-9CB9-FD19CD6B70C8}"/>
    <cellStyle name="Separador de milhares 7 3 3 3 9" xfId="21767" xr:uid="{00000000-0005-0000-0000-0000505F0000}"/>
    <cellStyle name="Separador de milhares 7 3 3 3 9 2" xfId="21768" xr:uid="{00000000-0005-0000-0000-0000515F0000}"/>
    <cellStyle name="Separador de milhares 7 3 3 3 9 2 2" xfId="30613" xr:uid="{76F28BEA-7D41-42ED-A7B6-B5ECBFDCDF77}"/>
    <cellStyle name="Separador de milhares 7 3 3 3 9 3" xfId="30612" xr:uid="{44A960E4-0727-46BB-9126-9D23F7207FF8}"/>
    <cellStyle name="Separador de milhares 7 3 3 30" xfId="21769" xr:uid="{00000000-0005-0000-0000-0000525F0000}"/>
    <cellStyle name="Separador de milhares 7 3 3 30 2" xfId="21770" xr:uid="{00000000-0005-0000-0000-0000535F0000}"/>
    <cellStyle name="Separador de milhares 7 3 3 30 2 2" xfId="30615" xr:uid="{83E6D1E7-32D8-4A7D-8A80-E1F9595C3C56}"/>
    <cellStyle name="Separador de milhares 7 3 3 30 3" xfId="30614" xr:uid="{5D603780-574F-4181-B6B9-355265894F55}"/>
    <cellStyle name="Separador de milhares 7 3 3 31" xfId="21771" xr:uid="{00000000-0005-0000-0000-0000545F0000}"/>
    <cellStyle name="Separador de milhares 7 3 3 31 2" xfId="21772" xr:uid="{00000000-0005-0000-0000-0000555F0000}"/>
    <cellStyle name="Separador de milhares 7 3 3 31 2 2" xfId="30617" xr:uid="{6A5A31E0-D09D-4B99-A30C-C51B40CFA2D5}"/>
    <cellStyle name="Separador de milhares 7 3 3 31 3" xfId="30616" xr:uid="{77AE476F-5D5A-4600-A1BD-2536901C2924}"/>
    <cellStyle name="Separador de milhares 7 3 3 32" xfId="21773" xr:uid="{00000000-0005-0000-0000-0000565F0000}"/>
    <cellStyle name="Separador de milhares 7 3 3 32 2" xfId="21774" xr:uid="{00000000-0005-0000-0000-0000575F0000}"/>
    <cellStyle name="Separador de milhares 7 3 3 32 2 2" xfId="30619" xr:uid="{6B7EB6E9-C902-490A-B579-A01C049FA8FD}"/>
    <cellStyle name="Separador de milhares 7 3 3 32 3" xfId="30618" xr:uid="{8BCC8F0E-8706-4FA5-9E38-7FC0EC882A48}"/>
    <cellStyle name="Separador de milhares 7 3 3 33" xfId="21775" xr:uid="{00000000-0005-0000-0000-0000585F0000}"/>
    <cellStyle name="Separador de milhares 7 3 3 33 2" xfId="21776" xr:uid="{00000000-0005-0000-0000-0000595F0000}"/>
    <cellStyle name="Separador de milhares 7 3 3 33 2 2" xfId="30621" xr:uid="{26AD4C79-71B2-4270-A857-93AA74EFCB2E}"/>
    <cellStyle name="Separador de milhares 7 3 3 33 3" xfId="30620" xr:uid="{3D495A5C-8664-4412-A99D-4AA43DBE87A8}"/>
    <cellStyle name="Separador de milhares 7 3 3 34" xfId="21777" xr:uid="{00000000-0005-0000-0000-00005A5F0000}"/>
    <cellStyle name="Separador de milhares 7 3 3 34 2" xfId="21778" xr:uid="{00000000-0005-0000-0000-00005B5F0000}"/>
    <cellStyle name="Separador de milhares 7 3 3 34 2 2" xfId="30623" xr:uid="{76D96104-44E8-4808-9983-AC5222EA9D02}"/>
    <cellStyle name="Separador de milhares 7 3 3 34 3" xfId="30622" xr:uid="{080FBCFE-FB29-47BA-B35A-28790A815897}"/>
    <cellStyle name="Separador de milhares 7 3 3 35" xfId="21779" xr:uid="{00000000-0005-0000-0000-00005C5F0000}"/>
    <cellStyle name="Separador de milhares 7 3 3 35 2" xfId="21780" xr:uid="{00000000-0005-0000-0000-00005D5F0000}"/>
    <cellStyle name="Separador de milhares 7 3 3 35 2 2" xfId="30625" xr:uid="{8F5DB9B8-7DAD-4B69-9613-ACF8C6BBCE1A}"/>
    <cellStyle name="Separador de milhares 7 3 3 35 3" xfId="30624" xr:uid="{1A4D0F70-774F-422C-95BF-0A79934C1FDE}"/>
    <cellStyle name="Separador de milhares 7 3 3 36" xfId="21781" xr:uid="{00000000-0005-0000-0000-00005E5F0000}"/>
    <cellStyle name="Separador de milhares 7 3 3 36 2" xfId="21782" xr:uid="{00000000-0005-0000-0000-00005F5F0000}"/>
    <cellStyle name="Separador de milhares 7 3 3 36 2 2" xfId="30627" xr:uid="{EC144128-F14E-4168-A080-A8FF5876F86C}"/>
    <cellStyle name="Separador de milhares 7 3 3 36 3" xfId="30626" xr:uid="{7450D1C4-BE76-4CDE-8F54-A299FDD1949D}"/>
    <cellStyle name="Separador de milhares 7 3 3 37" xfId="21783" xr:uid="{00000000-0005-0000-0000-0000605F0000}"/>
    <cellStyle name="Separador de milhares 7 3 3 37 2" xfId="21784" xr:uid="{00000000-0005-0000-0000-0000615F0000}"/>
    <cellStyle name="Separador de milhares 7 3 3 37 2 2" xfId="30629" xr:uid="{5FC65570-B42F-4D37-BCC5-D1425544AA2F}"/>
    <cellStyle name="Separador de milhares 7 3 3 37 3" xfId="30628" xr:uid="{60BEF805-B0A1-45B4-A6E3-D530EEC36B9D}"/>
    <cellStyle name="Separador de milhares 7 3 3 38" xfId="21785" xr:uid="{00000000-0005-0000-0000-0000625F0000}"/>
    <cellStyle name="Separador de milhares 7 3 3 38 2" xfId="21786" xr:uid="{00000000-0005-0000-0000-0000635F0000}"/>
    <cellStyle name="Separador de milhares 7 3 3 38 2 2" xfId="30631" xr:uid="{00536E4C-AD3B-43F0-965C-BE2E946A1425}"/>
    <cellStyle name="Separador de milhares 7 3 3 38 3" xfId="30630" xr:uid="{24339A2A-8922-4374-8BC7-CA54C4A42CB0}"/>
    <cellStyle name="Separador de milhares 7 3 3 39" xfId="21787" xr:uid="{00000000-0005-0000-0000-0000645F0000}"/>
    <cellStyle name="Separador de milhares 7 3 3 39 2" xfId="21788" xr:uid="{00000000-0005-0000-0000-0000655F0000}"/>
    <cellStyle name="Separador de milhares 7 3 3 39 2 2" xfId="30633" xr:uid="{BCF2FFEF-2F68-4948-97DA-3F3C87468658}"/>
    <cellStyle name="Separador de milhares 7 3 3 39 3" xfId="30632" xr:uid="{E4F28DA5-6A25-4D4B-86D8-95671B46453C}"/>
    <cellStyle name="Separador de milhares 7 3 3 4" xfId="21789" xr:uid="{00000000-0005-0000-0000-0000665F0000}"/>
    <cellStyle name="Separador de milhares 7 3 3 4 2" xfId="21790" xr:uid="{00000000-0005-0000-0000-0000675F0000}"/>
    <cellStyle name="Separador de milhares 7 3 3 4 2 2" xfId="21791" xr:uid="{00000000-0005-0000-0000-0000685F0000}"/>
    <cellStyle name="Separador de milhares 7 3 3 4 2 2 2" xfId="30636" xr:uid="{9CCDF8D9-92BD-45EC-8456-E365F1E4D9B0}"/>
    <cellStyle name="Separador de milhares 7 3 3 4 2 3" xfId="30635" xr:uid="{ACD5C647-1D10-4ACB-B924-995C17B8EBAF}"/>
    <cellStyle name="Separador de milhares 7 3 3 4 3" xfId="21792" xr:uid="{00000000-0005-0000-0000-0000695F0000}"/>
    <cellStyle name="Separador de milhares 7 3 3 4 3 2" xfId="21793" xr:uid="{00000000-0005-0000-0000-00006A5F0000}"/>
    <cellStyle name="Separador de milhares 7 3 3 4 3 2 2" xfId="30638" xr:uid="{69CF39A9-6241-42B2-BFEE-1800254FDEDD}"/>
    <cellStyle name="Separador de milhares 7 3 3 4 3 3" xfId="30637" xr:uid="{C129CC2C-BDAF-4A86-99FB-12B9BDC952FA}"/>
    <cellStyle name="Separador de milhares 7 3 3 4 4" xfId="21794" xr:uid="{00000000-0005-0000-0000-00006B5F0000}"/>
    <cellStyle name="Separador de milhares 7 3 3 4 4 2" xfId="21795" xr:uid="{00000000-0005-0000-0000-00006C5F0000}"/>
    <cellStyle name="Separador de milhares 7 3 3 4 4 2 2" xfId="30640" xr:uid="{A5CA1A4C-697F-4553-9FAA-098313C18091}"/>
    <cellStyle name="Separador de milhares 7 3 3 4 4 3" xfId="30639" xr:uid="{DE233588-1482-4EBF-8034-8BCC716EAF8C}"/>
    <cellStyle name="Separador de milhares 7 3 3 4 5" xfId="21796" xr:uid="{00000000-0005-0000-0000-00006D5F0000}"/>
    <cellStyle name="Separador de milhares 7 3 3 4 5 2" xfId="21797" xr:uid="{00000000-0005-0000-0000-00006E5F0000}"/>
    <cellStyle name="Separador de milhares 7 3 3 4 5 2 2" xfId="30642" xr:uid="{9C900355-4C0E-46B0-825B-23377607C88B}"/>
    <cellStyle name="Separador de milhares 7 3 3 4 5 3" xfId="30641" xr:uid="{949E74F8-F33F-4098-B34C-B8FFE0FCA2E4}"/>
    <cellStyle name="Separador de milhares 7 3 3 4 6" xfId="21798" xr:uid="{00000000-0005-0000-0000-00006F5F0000}"/>
    <cellStyle name="Separador de milhares 7 3 3 4 6 2" xfId="30643" xr:uid="{C308DE26-24F3-4A48-A6FB-AEF839496AD9}"/>
    <cellStyle name="Separador de milhares 7 3 3 4 7" xfId="30634" xr:uid="{15104256-8316-43D1-9CC6-36F5E8664304}"/>
    <cellStyle name="Separador de milhares 7 3 3 40" xfId="21799" xr:uid="{00000000-0005-0000-0000-0000705F0000}"/>
    <cellStyle name="Separador de milhares 7 3 3 40 2" xfId="21800" xr:uid="{00000000-0005-0000-0000-0000715F0000}"/>
    <cellStyle name="Separador de milhares 7 3 3 40 2 2" xfId="30645" xr:uid="{BC9F4472-7012-4EF9-A5C8-F1100065F2C4}"/>
    <cellStyle name="Separador de milhares 7 3 3 40 3" xfId="30644" xr:uid="{CB24A122-16B1-42D9-9ECE-736CC0341EB8}"/>
    <cellStyle name="Separador de milhares 7 3 3 41" xfId="21801" xr:uid="{00000000-0005-0000-0000-0000725F0000}"/>
    <cellStyle name="Separador de milhares 7 3 3 41 2" xfId="21802" xr:uid="{00000000-0005-0000-0000-0000735F0000}"/>
    <cellStyle name="Separador de milhares 7 3 3 41 2 2" xfId="30647" xr:uid="{E7188E8B-F2F9-4B5B-81E2-C0A7C29DEF35}"/>
    <cellStyle name="Separador de milhares 7 3 3 41 3" xfId="30646" xr:uid="{2F2B311B-2557-4E98-B553-5CAB08147F26}"/>
    <cellStyle name="Separador de milhares 7 3 3 42" xfId="21803" xr:uid="{00000000-0005-0000-0000-0000745F0000}"/>
    <cellStyle name="Separador de milhares 7 3 3 42 2" xfId="21804" xr:uid="{00000000-0005-0000-0000-0000755F0000}"/>
    <cellStyle name="Separador de milhares 7 3 3 42 2 2" xfId="30649" xr:uid="{2CA8E1D4-0439-4A9A-9DC9-E0D5BA5F5C06}"/>
    <cellStyle name="Separador de milhares 7 3 3 42 3" xfId="30648" xr:uid="{E2E08B9B-29A9-4097-B2EE-83B168A03FFE}"/>
    <cellStyle name="Separador de milhares 7 3 3 43" xfId="21805" xr:uid="{00000000-0005-0000-0000-0000765F0000}"/>
    <cellStyle name="Separador de milhares 7 3 3 43 2" xfId="21806" xr:uid="{00000000-0005-0000-0000-0000775F0000}"/>
    <cellStyle name="Separador de milhares 7 3 3 43 2 2" xfId="30651" xr:uid="{37F2E6DF-D01B-4EC5-A42E-360B1C65D942}"/>
    <cellStyle name="Separador de milhares 7 3 3 43 3" xfId="30650" xr:uid="{326ABDEE-7D03-461F-8659-2988A15DFDFE}"/>
    <cellStyle name="Separador de milhares 7 3 3 44" xfId="21807" xr:uid="{00000000-0005-0000-0000-0000785F0000}"/>
    <cellStyle name="Separador de milhares 7 3 3 44 2" xfId="21808" xr:uid="{00000000-0005-0000-0000-0000795F0000}"/>
    <cellStyle name="Separador de milhares 7 3 3 44 2 2" xfId="30653" xr:uid="{5F5BDC34-7409-468B-979F-567D6D2D36A2}"/>
    <cellStyle name="Separador de milhares 7 3 3 44 3" xfId="30652" xr:uid="{2E6009D7-2235-495B-9A4B-447A0D91F877}"/>
    <cellStyle name="Separador de milhares 7 3 3 45" xfId="21809" xr:uid="{00000000-0005-0000-0000-00007A5F0000}"/>
    <cellStyle name="Separador de milhares 7 3 3 45 2" xfId="21810" xr:uid="{00000000-0005-0000-0000-00007B5F0000}"/>
    <cellStyle name="Separador de milhares 7 3 3 45 2 2" xfId="30655" xr:uid="{0827B291-A137-496B-B770-67CF722B2D84}"/>
    <cellStyle name="Separador de milhares 7 3 3 45 3" xfId="30654" xr:uid="{C50E6F4C-35E2-4E5C-A9CF-FA0A721849B2}"/>
    <cellStyle name="Separador de milhares 7 3 3 46" xfId="21811" xr:uid="{00000000-0005-0000-0000-00007C5F0000}"/>
    <cellStyle name="Separador de milhares 7 3 3 46 2" xfId="21812" xr:uid="{00000000-0005-0000-0000-00007D5F0000}"/>
    <cellStyle name="Separador de milhares 7 3 3 46 2 2" xfId="30657" xr:uid="{6CAE6A2E-E014-4A0B-AF50-49D0BAB2A779}"/>
    <cellStyle name="Separador de milhares 7 3 3 46 3" xfId="30656" xr:uid="{74968941-6BD7-483C-B0D5-592E131F5609}"/>
    <cellStyle name="Separador de milhares 7 3 3 47" xfId="21813" xr:uid="{00000000-0005-0000-0000-00007E5F0000}"/>
    <cellStyle name="Separador de milhares 7 3 3 47 2" xfId="30658" xr:uid="{BB011BC3-E21E-4580-B17E-C3FA1EB067A7}"/>
    <cellStyle name="Separador de milhares 7 3 3 48" xfId="21592" xr:uid="{00000000-0005-0000-0000-00007F5F0000}"/>
    <cellStyle name="Separador de milhares 7 3 3 49" xfId="28080" xr:uid="{7248A540-03A8-47D9-99EC-4F128F4EEDD6}"/>
    <cellStyle name="Separador de milhares 7 3 3 5" xfId="21814" xr:uid="{00000000-0005-0000-0000-0000805F0000}"/>
    <cellStyle name="Separador de milhares 7 3 3 5 2" xfId="21815" xr:uid="{00000000-0005-0000-0000-0000815F0000}"/>
    <cellStyle name="Separador de milhares 7 3 3 5 2 2" xfId="30660" xr:uid="{D8C99A88-C345-422C-98D8-E9F4002A11C1}"/>
    <cellStyle name="Separador de milhares 7 3 3 5 3" xfId="30659" xr:uid="{E24A3D91-779A-4A5E-B03B-39BBF5F97C50}"/>
    <cellStyle name="Separador de milhares 7 3 3 6" xfId="21816" xr:uid="{00000000-0005-0000-0000-0000825F0000}"/>
    <cellStyle name="Separador de milhares 7 3 3 6 2" xfId="21817" xr:uid="{00000000-0005-0000-0000-0000835F0000}"/>
    <cellStyle name="Separador de milhares 7 3 3 6 2 2" xfId="30662" xr:uid="{E6C47857-6AE3-4C5E-8A1C-1510B2941D0D}"/>
    <cellStyle name="Separador de milhares 7 3 3 6 3" xfId="30661" xr:uid="{90DDAD77-340D-44AC-B404-3075028102E5}"/>
    <cellStyle name="Separador de milhares 7 3 3 7" xfId="21818" xr:uid="{00000000-0005-0000-0000-0000845F0000}"/>
    <cellStyle name="Separador de milhares 7 3 3 7 2" xfId="21819" xr:uid="{00000000-0005-0000-0000-0000855F0000}"/>
    <cellStyle name="Separador de milhares 7 3 3 7 2 2" xfId="30664" xr:uid="{84B8C947-3853-42A4-807A-5B2BB71E8C46}"/>
    <cellStyle name="Separador de milhares 7 3 3 7 3" xfId="30663" xr:uid="{2AD5C66B-D4E1-49A1-A228-C2FCCE3998D8}"/>
    <cellStyle name="Separador de milhares 7 3 3 8" xfId="21820" xr:uid="{00000000-0005-0000-0000-0000865F0000}"/>
    <cellStyle name="Separador de milhares 7 3 3 8 2" xfId="21821" xr:uid="{00000000-0005-0000-0000-0000875F0000}"/>
    <cellStyle name="Separador de milhares 7 3 3 8 2 2" xfId="30666" xr:uid="{1C168084-C060-4CD2-81D4-40B81C7E1FD0}"/>
    <cellStyle name="Separador de milhares 7 3 3 8 3" xfId="30665" xr:uid="{B03D10ED-4122-440B-9E22-8D9798E4DFE5}"/>
    <cellStyle name="Separador de milhares 7 3 3 9" xfId="21822" xr:uid="{00000000-0005-0000-0000-0000885F0000}"/>
    <cellStyle name="Separador de milhares 7 3 3 9 2" xfId="21823" xr:uid="{00000000-0005-0000-0000-0000895F0000}"/>
    <cellStyle name="Separador de milhares 7 3 3 9 2 2" xfId="30668" xr:uid="{6DFD7B6D-CA7B-41FA-B1D8-634CD69C2DFC}"/>
    <cellStyle name="Separador de milhares 7 3 3 9 3" xfId="30667" xr:uid="{FF210CF0-2642-4D69-89D1-16CDF3B1ABAD}"/>
    <cellStyle name="Separador de milhares 7 3 30" xfId="21824" xr:uid="{00000000-0005-0000-0000-00008A5F0000}"/>
    <cellStyle name="Separador de milhares 7 3 30 2" xfId="21825" xr:uid="{00000000-0005-0000-0000-00008B5F0000}"/>
    <cellStyle name="Separador de milhares 7 3 30 2 2" xfId="30670" xr:uid="{99C7B2CC-EC0C-4411-9FC6-CA59AB1ED988}"/>
    <cellStyle name="Separador de milhares 7 3 30 3" xfId="30669" xr:uid="{380ECF50-5355-44F3-B66C-353E85341A84}"/>
    <cellStyle name="Separador de milhares 7 3 31" xfId="21826" xr:uid="{00000000-0005-0000-0000-00008C5F0000}"/>
    <cellStyle name="Separador de milhares 7 3 31 2" xfId="21827" xr:uid="{00000000-0005-0000-0000-00008D5F0000}"/>
    <cellStyle name="Separador de milhares 7 3 31 2 2" xfId="30672" xr:uid="{BE6949E6-3E16-43D0-B37E-4541F4A5AB28}"/>
    <cellStyle name="Separador de milhares 7 3 31 3" xfId="30671" xr:uid="{73689C14-14F4-4704-B659-7256F2F9F01E}"/>
    <cellStyle name="Separador de milhares 7 3 32" xfId="21828" xr:uid="{00000000-0005-0000-0000-00008E5F0000}"/>
    <cellStyle name="Separador de milhares 7 3 32 2" xfId="21829" xr:uid="{00000000-0005-0000-0000-00008F5F0000}"/>
    <cellStyle name="Separador de milhares 7 3 32 2 2" xfId="30674" xr:uid="{B5D13D6A-1D1E-4858-B92D-A8F0A00358DB}"/>
    <cellStyle name="Separador de milhares 7 3 32 3" xfId="30673" xr:uid="{8F36F259-C7BA-40C3-8C09-324100F679BC}"/>
    <cellStyle name="Separador de milhares 7 3 33" xfId="21830" xr:uid="{00000000-0005-0000-0000-0000905F0000}"/>
    <cellStyle name="Separador de milhares 7 3 33 2" xfId="21831" xr:uid="{00000000-0005-0000-0000-0000915F0000}"/>
    <cellStyle name="Separador de milhares 7 3 33 2 2" xfId="30676" xr:uid="{78DD6F73-6CDB-45B3-8F22-A59AFB0C8422}"/>
    <cellStyle name="Separador de milhares 7 3 33 3" xfId="30675" xr:uid="{B993A1A7-8F45-45BD-95E6-66EBF93088CE}"/>
    <cellStyle name="Separador de milhares 7 3 34" xfId="21832" xr:uid="{00000000-0005-0000-0000-0000925F0000}"/>
    <cellStyle name="Separador de milhares 7 3 34 2" xfId="21833" xr:uid="{00000000-0005-0000-0000-0000935F0000}"/>
    <cellStyle name="Separador de milhares 7 3 34 2 2" xfId="30678" xr:uid="{D72875BB-118E-416A-A902-3B4AEEA2D532}"/>
    <cellStyle name="Separador de milhares 7 3 34 3" xfId="30677" xr:uid="{E52ECC4D-A018-459A-83A5-BB784D3766F3}"/>
    <cellStyle name="Separador de milhares 7 3 35" xfId="21834" xr:uid="{00000000-0005-0000-0000-0000945F0000}"/>
    <cellStyle name="Separador de milhares 7 3 35 2" xfId="21835" xr:uid="{00000000-0005-0000-0000-0000955F0000}"/>
    <cellStyle name="Separador de milhares 7 3 35 2 2" xfId="30680" xr:uid="{EF16FAE6-0FD7-4349-96F6-BB4690391080}"/>
    <cellStyle name="Separador de milhares 7 3 35 3" xfId="30679" xr:uid="{3F2E795E-913E-4A9D-82A5-83037B847BB2}"/>
    <cellStyle name="Separador de milhares 7 3 36" xfId="21836" xr:uid="{00000000-0005-0000-0000-0000965F0000}"/>
    <cellStyle name="Separador de milhares 7 3 36 2" xfId="21837" xr:uid="{00000000-0005-0000-0000-0000975F0000}"/>
    <cellStyle name="Separador de milhares 7 3 36 2 2" xfId="30682" xr:uid="{C4E46011-6723-4F13-8618-20D8D878AF90}"/>
    <cellStyle name="Separador de milhares 7 3 36 3" xfId="30681" xr:uid="{4F4988A0-8119-463E-9759-5016542E0F43}"/>
    <cellStyle name="Separador de milhares 7 3 37" xfId="21838" xr:uid="{00000000-0005-0000-0000-0000985F0000}"/>
    <cellStyle name="Separador de milhares 7 3 37 2" xfId="21839" xr:uid="{00000000-0005-0000-0000-0000995F0000}"/>
    <cellStyle name="Separador de milhares 7 3 37 2 2" xfId="30684" xr:uid="{58BD862B-5EDE-4955-84E0-B8BB25F1ECED}"/>
    <cellStyle name="Separador de milhares 7 3 37 3" xfId="30683" xr:uid="{7BBCA6EC-135B-4AB8-AE8E-165318F6C00E}"/>
    <cellStyle name="Separador de milhares 7 3 38" xfId="21840" xr:uid="{00000000-0005-0000-0000-00009A5F0000}"/>
    <cellStyle name="Separador de milhares 7 3 38 2" xfId="21841" xr:uid="{00000000-0005-0000-0000-00009B5F0000}"/>
    <cellStyle name="Separador de milhares 7 3 38 2 2" xfId="30686" xr:uid="{516B283D-90AD-4050-B55C-B35132B8EB32}"/>
    <cellStyle name="Separador de milhares 7 3 38 3" xfId="30685" xr:uid="{C3DB4C8A-5D55-4765-8880-465AEC806819}"/>
    <cellStyle name="Separador de milhares 7 3 39" xfId="21842" xr:uid="{00000000-0005-0000-0000-00009C5F0000}"/>
    <cellStyle name="Separador de milhares 7 3 39 2" xfId="21843" xr:uid="{00000000-0005-0000-0000-00009D5F0000}"/>
    <cellStyle name="Separador de milhares 7 3 39 2 2" xfId="30688" xr:uid="{E68C20A7-5CBD-4FF1-A31D-FB170A944F2C}"/>
    <cellStyle name="Separador de milhares 7 3 39 3" xfId="30687" xr:uid="{E0F071B5-33A3-49AD-8A06-E8395A0C3572}"/>
    <cellStyle name="Separador de milhares 7 3 4" xfId="848" xr:uid="{00000000-0005-0000-0000-00009E5F0000}"/>
    <cellStyle name="Separador de milhares 7 3 4 10" xfId="21845" xr:uid="{00000000-0005-0000-0000-00009F5F0000}"/>
    <cellStyle name="Separador de milhares 7 3 4 10 2" xfId="21846" xr:uid="{00000000-0005-0000-0000-0000A05F0000}"/>
    <cellStyle name="Separador de milhares 7 3 4 10 2 2" xfId="30690" xr:uid="{6183B3D0-788D-486D-81F7-05C0EF7B1DBA}"/>
    <cellStyle name="Separador de milhares 7 3 4 10 3" xfId="30689" xr:uid="{E99EA526-FB0A-41CA-9D23-B99163F1F9BF}"/>
    <cellStyle name="Separador de milhares 7 3 4 11" xfId="21847" xr:uid="{00000000-0005-0000-0000-0000A15F0000}"/>
    <cellStyle name="Separador de milhares 7 3 4 11 2" xfId="21848" xr:uid="{00000000-0005-0000-0000-0000A25F0000}"/>
    <cellStyle name="Separador de milhares 7 3 4 11 2 2" xfId="30692" xr:uid="{DFF33940-BC39-410E-B5E8-62014F43F553}"/>
    <cellStyle name="Separador de milhares 7 3 4 11 3" xfId="30691" xr:uid="{52B96BF0-A998-4ED9-AC52-D6684FBB7218}"/>
    <cellStyle name="Separador de milhares 7 3 4 12" xfId="21849" xr:uid="{00000000-0005-0000-0000-0000A35F0000}"/>
    <cellStyle name="Separador de milhares 7 3 4 12 2" xfId="21850" xr:uid="{00000000-0005-0000-0000-0000A45F0000}"/>
    <cellStyle name="Separador de milhares 7 3 4 12 2 2" xfId="30694" xr:uid="{2174181F-C18E-4053-9CCC-93822DA1BC39}"/>
    <cellStyle name="Separador de milhares 7 3 4 12 3" xfId="30693" xr:uid="{F908D444-9672-4DDB-8D36-4E232FDBE01F}"/>
    <cellStyle name="Separador de milhares 7 3 4 13" xfId="21851" xr:uid="{00000000-0005-0000-0000-0000A55F0000}"/>
    <cellStyle name="Separador de milhares 7 3 4 13 2" xfId="21852" xr:uid="{00000000-0005-0000-0000-0000A65F0000}"/>
    <cellStyle name="Separador de milhares 7 3 4 13 2 2" xfId="30696" xr:uid="{E7C9F3A0-6803-4C15-A3F5-8FA7BC81EFAA}"/>
    <cellStyle name="Separador de milhares 7 3 4 13 3" xfId="30695" xr:uid="{4F9A8BF4-693F-440A-BAF6-584913EFD7F2}"/>
    <cellStyle name="Separador de milhares 7 3 4 14" xfId="21853" xr:uid="{00000000-0005-0000-0000-0000A75F0000}"/>
    <cellStyle name="Separador de milhares 7 3 4 14 2" xfId="21854" xr:uid="{00000000-0005-0000-0000-0000A85F0000}"/>
    <cellStyle name="Separador de milhares 7 3 4 14 2 2" xfId="30698" xr:uid="{E6C6640E-D9A1-43DF-9BA9-B2B0822502FC}"/>
    <cellStyle name="Separador de milhares 7 3 4 14 3" xfId="30697" xr:uid="{74395310-46E3-4737-BAE0-E41151C49891}"/>
    <cellStyle name="Separador de milhares 7 3 4 15" xfId="21855" xr:uid="{00000000-0005-0000-0000-0000A95F0000}"/>
    <cellStyle name="Separador de milhares 7 3 4 15 2" xfId="21856" xr:uid="{00000000-0005-0000-0000-0000AA5F0000}"/>
    <cellStyle name="Separador de milhares 7 3 4 15 2 2" xfId="30700" xr:uid="{049138BC-38BD-4459-8155-094905A2CA26}"/>
    <cellStyle name="Separador de milhares 7 3 4 15 3" xfId="30699" xr:uid="{5A99B12F-C7F6-437E-84BE-D64F8ECE864B}"/>
    <cellStyle name="Separador de milhares 7 3 4 16" xfId="21857" xr:uid="{00000000-0005-0000-0000-0000AB5F0000}"/>
    <cellStyle name="Separador de milhares 7 3 4 16 2" xfId="21858" xr:uid="{00000000-0005-0000-0000-0000AC5F0000}"/>
    <cellStyle name="Separador de milhares 7 3 4 16 2 2" xfId="30702" xr:uid="{47D99167-C924-49B8-B404-1BC3A48571A1}"/>
    <cellStyle name="Separador de milhares 7 3 4 16 3" xfId="30701" xr:uid="{8CABD3CE-B639-40CB-A985-BBC11842E8A8}"/>
    <cellStyle name="Separador de milhares 7 3 4 17" xfId="21859" xr:uid="{00000000-0005-0000-0000-0000AD5F0000}"/>
    <cellStyle name="Separador de milhares 7 3 4 17 2" xfId="21860" xr:uid="{00000000-0005-0000-0000-0000AE5F0000}"/>
    <cellStyle name="Separador de milhares 7 3 4 17 2 2" xfId="30704" xr:uid="{7EB4A99C-4A77-44C7-9154-821BC8052786}"/>
    <cellStyle name="Separador de milhares 7 3 4 17 3" xfId="30703" xr:uid="{C41094E8-04DF-41A6-9772-AF14EFBA552B}"/>
    <cellStyle name="Separador de milhares 7 3 4 18" xfId="21861" xr:uid="{00000000-0005-0000-0000-0000AF5F0000}"/>
    <cellStyle name="Separador de milhares 7 3 4 18 2" xfId="21862" xr:uid="{00000000-0005-0000-0000-0000B05F0000}"/>
    <cellStyle name="Separador de milhares 7 3 4 18 2 2" xfId="30706" xr:uid="{6200A47F-1D21-43E3-95FE-F5BAA63FBA24}"/>
    <cellStyle name="Separador de milhares 7 3 4 18 3" xfId="30705" xr:uid="{578A5232-6159-4DFE-AD94-5ACAC1CBD9A0}"/>
    <cellStyle name="Separador de milhares 7 3 4 19" xfId="21863" xr:uid="{00000000-0005-0000-0000-0000B15F0000}"/>
    <cellStyle name="Separador de milhares 7 3 4 19 2" xfId="21864" xr:uid="{00000000-0005-0000-0000-0000B25F0000}"/>
    <cellStyle name="Separador de milhares 7 3 4 19 2 2" xfId="30708" xr:uid="{553E9346-6460-411A-9F31-C4B760916103}"/>
    <cellStyle name="Separador de milhares 7 3 4 19 3" xfId="30707" xr:uid="{B22EB6EB-6D01-4612-BE75-4BE0E4BBFD5D}"/>
    <cellStyle name="Separador de milhares 7 3 4 2" xfId="21865" xr:uid="{00000000-0005-0000-0000-0000B35F0000}"/>
    <cellStyle name="Separador de milhares 7 3 4 2 2" xfId="21866" xr:uid="{00000000-0005-0000-0000-0000B45F0000}"/>
    <cellStyle name="Separador de milhares 7 3 4 2 2 2" xfId="21867" xr:uid="{00000000-0005-0000-0000-0000B55F0000}"/>
    <cellStyle name="Separador de milhares 7 3 4 2 2 2 2" xfId="30711" xr:uid="{80BA28A8-1719-4E3C-A9AB-09C0811F5C29}"/>
    <cellStyle name="Separador de milhares 7 3 4 2 2 3" xfId="30710" xr:uid="{C5AB272C-C2CA-405B-B580-795F046E9FA8}"/>
    <cellStyle name="Separador de milhares 7 3 4 2 3" xfId="21868" xr:uid="{00000000-0005-0000-0000-0000B65F0000}"/>
    <cellStyle name="Separador de milhares 7 3 4 2 3 2" xfId="21869" xr:uid="{00000000-0005-0000-0000-0000B75F0000}"/>
    <cellStyle name="Separador de milhares 7 3 4 2 3 2 2" xfId="30713" xr:uid="{09129193-BB18-4A70-A0C5-DC5E8A6E8D02}"/>
    <cellStyle name="Separador de milhares 7 3 4 2 3 3" xfId="30712" xr:uid="{3F9F38EB-3127-4C18-B7C2-F246E0FDD990}"/>
    <cellStyle name="Separador de milhares 7 3 4 2 4" xfId="21870" xr:uid="{00000000-0005-0000-0000-0000B85F0000}"/>
    <cellStyle name="Separador de milhares 7 3 4 2 4 2" xfId="21871" xr:uid="{00000000-0005-0000-0000-0000B95F0000}"/>
    <cellStyle name="Separador de milhares 7 3 4 2 4 2 2" xfId="30715" xr:uid="{C9DA3416-1F9D-4FCD-97CD-6FF8ED9147F3}"/>
    <cellStyle name="Separador de milhares 7 3 4 2 4 3" xfId="30714" xr:uid="{3BBADB39-F93F-45E2-938A-08062CDDF9B8}"/>
    <cellStyle name="Separador de milhares 7 3 4 2 5" xfId="21872" xr:uid="{00000000-0005-0000-0000-0000BA5F0000}"/>
    <cellStyle name="Separador de milhares 7 3 4 2 5 2" xfId="21873" xr:uid="{00000000-0005-0000-0000-0000BB5F0000}"/>
    <cellStyle name="Separador de milhares 7 3 4 2 5 2 2" xfId="30717" xr:uid="{748336A3-6639-42D2-A52A-77E5E9970634}"/>
    <cellStyle name="Separador de milhares 7 3 4 2 5 3" xfId="30716" xr:uid="{D830D710-A510-4AAF-962E-DDB7D450CC50}"/>
    <cellStyle name="Separador de milhares 7 3 4 2 6" xfId="21874" xr:uid="{00000000-0005-0000-0000-0000BC5F0000}"/>
    <cellStyle name="Separador de milhares 7 3 4 2 6 2" xfId="30718" xr:uid="{8762020E-0909-4BF7-8361-C935A4945E12}"/>
    <cellStyle name="Separador de milhares 7 3 4 2 7" xfId="30709" xr:uid="{363DB39D-6F5E-4C69-8D9F-51A0FCD05E0E}"/>
    <cellStyle name="Separador de milhares 7 3 4 20" xfId="21875" xr:uid="{00000000-0005-0000-0000-0000BD5F0000}"/>
    <cellStyle name="Separador de milhares 7 3 4 20 2" xfId="21876" xr:uid="{00000000-0005-0000-0000-0000BE5F0000}"/>
    <cellStyle name="Separador de milhares 7 3 4 20 2 2" xfId="30720" xr:uid="{306DC602-2915-43D0-9FFC-4785EA99A6CE}"/>
    <cellStyle name="Separador de milhares 7 3 4 20 3" xfId="30719" xr:uid="{AF41C0C7-13B6-4336-B428-10A191FCE110}"/>
    <cellStyle name="Separador de milhares 7 3 4 21" xfId="21877" xr:uid="{00000000-0005-0000-0000-0000BF5F0000}"/>
    <cellStyle name="Separador de milhares 7 3 4 21 2" xfId="21878" xr:uid="{00000000-0005-0000-0000-0000C05F0000}"/>
    <cellStyle name="Separador de milhares 7 3 4 21 2 2" xfId="30722" xr:uid="{5FD9EF31-7524-4A6E-A111-C9B39C5B8F98}"/>
    <cellStyle name="Separador de milhares 7 3 4 21 3" xfId="30721" xr:uid="{DB4D0A3A-69FE-45A6-9C09-A22790767EEF}"/>
    <cellStyle name="Separador de milhares 7 3 4 22" xfId="21879" xr:uid="{00000000-0005-0000-0000-0000C15F0000}"/>
    <cellStyle name="Separador de milhares 7 3 4 22 2" xfId="21880" xr:uid="{00000000-0005-0000-0000-0000C25F0000}"/>
    <cellStyle name="Separador de milhares 7 3 4 22 2 2" xfId="30724" xr:uid="{B1CAD2DF-F988-4CC1-A302-7E8AD2CF422E}"/>
    <cellStyle name="Separador de milhares 7 3 4 22 3" xfId="30723" xr:uid="{A8E7F786-9385-4113-913B-56F7B3336F6C}"/>
    <cellStyle name="Separador de milhares 7 3 4 23" xfId="21881" xr:uid="{00000000-0005-0000-0000-0000C35F0000}"/>
    <cellStyle name="Separador de milhares 7 3 4 23 2" xfId="21882" xr:uid="{00000000-0005-0000-0000-0000C45F0000}"/>
    <cellStyle name="Separador de milhares 7 3 4 23 2 2" xfId="30726" xr:uid="{DA3BD14E-A0E2-42B0-80AB-B201AED5C17B}"/>
    <cellStyle name="Separador de milhares 7 3 4 23 3" xfId="30725" xr:uid="{89D9E006-773C-49FA-A7C1-91F89E341884}"/>
    <cellStyle name="Separador de milhares 7 3 4 24" xfId="21883" xr:uid="{00000000-0005-0000-0000-0000C55F0000}"/>
    <cellStyle name="Separador de milhares 7 3 4 24 2" xfId="21884" xr:uid="{00000000-0005-0000-0000-0000C65F0000}"/>
    <cellStyle name="Separador de milhares 7 3 4 24 2 2" xfId="30728" xr:uid="{6633EBE5-FF13-4AD0-B52D-7AF35B842920}"/>
    <cellStyle name="Separador de milhares 7 3 4 24 3" xfId="30727" xr:uid="{AE7607C4-6B84-4D00-9893-8E1A870B12EC}"/>
    <cellStyle name="Separador de milhares 7 3 4 25" xfId="21885" xr:uid="{00000000-0005-0000-0000-0000C75F0000}"/>
    <cellStyle name="Separador de milhares 7 3 4 25 2" xfId="21886" xr:uid="{00000000-0005-0000-0000-0000C85F0000}"/>
    <cellStyle name="Separador de milhares 7 3 4 25 2 2" xfId="30730" xr:uid="{A6D9C497-5B82-477F-9633-0FE0D3BBF4CD}"/>
    <cellStyle name="Separador de milhares 7 3 4 25 3" xfId="30729" xr:uid="{2F4C22DD-73A8-434B-86EC-18D88353AA60}"/>
    <cellStyle name="Separador de milhares 7 3 4 26" xfId="21887" xr:uid="{00000000-0005-0000-0000-0000C95F0000}"/>
    <cellStyle name="Separador de milhares 7 3 4 26 2" xfId="21888" xr:uid="{00000000-0005-0000-0000-0000CA5F0000}"/>
    <cellStyle name="Separador de milhares 7 3 4 26 2 2" xfId="30732" xr:uid="{22815CB9-0808-4DBA-8387-6216A804F353}"/>
    <cellStyle name="Separador de milhares 7 3 4 26 3" xfId="30731" xr:uid="{012B5087-2795-472C-AA88-02EBA66827C3}"/>
    <cellStyle name="Separador de milhares 7 3 4 27" xfId="21889" xr:uid="{00000000-0005-0000-0000-0000CB5F0000}"/>
    <cellStyle name="Separador de milhares 7 3 4 27 2" xfId="21890" xr:uid="{00000000-0005-0000-0000-0000CC5F0000}"/>
    <cellStyle name="Separador de milhares 7 3 4 27 2 2" xfId="30734" xr:uid="{A309B437-6BAD-47FA-9A72-9BD46A56B06C}"/>
    <cellStyle name="Separador de milhares 7 3 4 27 3" xfId="30733" xr:uid="{9A50CFED-D785-4371-8FB2-ED55D9A5F804}"/>
    <cellStyle name="Separador de milhares 7 3 4 28" xfId="21891" xr:uid="{00000000-0005-0000-0000-0000CD5F0000}"/>
    <cellStyle name="Separador de milhares 7 3 4 28 2" xfId="21892" xr:uid="{00000000-0005-0000-0000-0000CE5F0000}"/>
    <cellStyle name="Separador de milhares 7 3 4 28 2 2" xfId="30736" xr:uid="{FAFFA2F4-D8B8-496B-BA86-30D595D6E1F4}"/>
    <cellStyle name="Separador de milhares 7 3 4 28 3" xfId="30735" xr:uid="{041134AF-6C02-47CB-814B-CDFFED6F7069}"/>
    <cellStyle name="Separador de milhares 7 3 4 29" xfId="21893" xr:uid="{00000000-0005-0000-0000-0000CF5F0000}"/>
    <cellStyle name="Separador de milhares 7 3 4 29 2" xfId="21894" xr:uid="{00000000-0005-0000-0000-0000D05F0000}"/>
    <cellStyle name="Separador de milhares 7 3 4 29 2 2" xfId="30738" xr:uid="{7F5B4DAA-5EDF-4FB6-B18F-010E55EB5B9D}"/>
    <cellStyle name="Separador de milhares 7 3 4 29 3" xfId="30737" xr:uid="{A287712F-8312-482D-81E3-8E9D4102D6D5}"/>
    <cellStyle name="Separador de milhares 7 3 4 3" xfId="21895" xr:uid="{00000000-0005-0000-0000-0000D15F0000}"/>
    <cellStyle name="Separador de milhares 7 3 4 3 2" xfId="21896" xr:uid="{00000000-0005-0000-0000-0000D25F0000}"/>
    <cellStyle name="Separador de milhares 7 3 4 3 2 2" xfId="21897" xr:uid="{00000000-0005-0000-0000-0000D35F0000}"/>
    <cellStyle name="Separador de milhares 7 3 4 3 2 2 2" xfId="30741" xr:uid="{55EA66A0-5122-4000-A15F-C3A9CD716FA3}"/>
    <cellStyle name="Separador de milhares 7 3 4 3 2 3" xfId="30740" xr:uid="{C26957FA-C992-4787-A746-FF8644718C65}"/>
    <cellStyle name="Separador de milhares 7 3 4 3 3" xfId="21898" xr:uid="{00000000-0005-0000-0000-0000D45F0000}"/>
    <cellStyle name="Separador de milhares 7 3 4 3 3 2" xfId="21899" xr:uid="{00000000-0005-0000-0000-0000D55F0000}"/>
    <cellStyle name="Separador de milhares 7 3 4 3 3 2 2" xfId="30743" xr:uid="{2A313835-B129-40A3-975F-122B02CAF0C7}"/>
    <cellStyle name="Separador de milhares 7 3 4 3 3 3" xfId="30742" xr:uid="{32EBF3F2-CCA3-4985-9A2A-B19950839B29}"/>
    <cellStyle name="Separador de milhares 7 3 4 3 4" xfId="21900" xr:uid="{00000000-0005-0000-0000-0000D65F0000}"/>
    <cellStyle name="Separador de milhares 7 3 4 3 4 2" xfId="21901" xr:uid="{00000000-0005-0000-0000-0000D75F0000}"/>
    <cellStyle name="Separador de milhares 7 3 4 3 4 2 2" xfId="30745" xr:uid="{3657953B-0F3F-4380-8ED6-B9F14ABB1AC2}"/>
    <cellStyle name="Separador de milhares 7 3 4 3 4 3" xfId="30744" xr:uid="{AF1548F6-B0E8-4F08-8D40-D0D2E151B84F}"/>
    <cellStyle name="Separador de milhares 7 3 4 3 5" xfId="21902" xr:uid="{00000000-0005-0000-0000-0000D85F0000}"/>
    <cellStyle name="Separador de milhares 7 3 4 3 5 2" xfId="21903" xr:uid="{00000000-0005-0000-0000-0000D95F0000}"/>
    <cellStyle name="Separador de milhares 7 3 4 3 5 2 2" xfId="30747" xr:uid="{48214320-5B72-4406-9D4E-374E51847D25}"/>
    <cellStyle name="Separador de milhares 7 3 4 3 5 3" xfId="30746" xr:uid="{0991A25B-E293-41C6-BA3C-675DE9A1CF62}"/>
    <cellStyle name="Separador de milhares 7 3 4 3 6" xfId="21904" xr:uid="{00000000-0005-0000-0000-0000DA5F0000}"/>
    <cellStyle name="Separador de milhares 7 3 4 3 6 2" xfId="30748" xr:uid="{B889DE10-9BCE-489B-BBC2-1183F88EFF7E}"/>
    <cellStyle name="Separador de milhares 7 3 4 3 7" xfId="30739" xr:uid="{0B2F4F6F-780E-40F0-A0C8-A2B23EC4A1C3}"/>
    <cellStyle name="Separador de milhares 7 3 4 30" xfId="21905" xr:uid="{00000000-0005-0000-0000-0000DB5F0000}"/>
    <cellStyle name="Separador de milhares 7 3 4 30 2" xfId="21906" xr:uid="{00000000-0005-0000-0000-0000DC5F0000}"/>
    <cellStyle name="Separador de milhares 7 3 4 30 2 2" xfId="30750" xr:uid="{42B8AF0E-6524-4CAC-B714-6849F86A76FA}"/>
    <cellStyle name="Separador de milhares 7 3 4 30 3" xfId="30749" xr:uid="{16320A66-322F-48DB-8179-57E8DD29CC50}"/>
    <cellStyle name="Separador de milhares 7 3 4 31" xfId="21907" xr:uid="{00000000-0005-0000-0000-0000DD5F0000}"/>
    <cellStyle name="Separador de milhares 7 3 4 31 2" xfId="21908" xr:uid="{00000000-0005-0000-0000-0000DE5F0000}"/>
    <cellStyle name="Separador de milhares 7 3 4 31 2 2" xfId="30752" xr:uid="{0203332F-9572-4DC0-A835-3F6D6BE195E4}"/>
    <cellStyle name="Separador de milhares 7 3 4 31 3" xfId="30751" xr:uid="{714BDB4F-E988-41C0-ABFA-F5A381EDA3AF}"/>
    <cellStyle name="Separador de milhares 7 3 4 32" xfId="21909" xr:uid="{00000000-0005-0000-0000-0000DF5F0000}"/>
    <cellStyle name="Separador de milhares 7 3 4 32 2" xfId="21910" xr:uid="{00000000-0005-0000-0000-0000E05F0000}"/>
    <cellStyle name="Separador de milhares 7 3 4 32 2 2" xfId="30754" xr:uid="{1C087094-D529-4C34-8DCE-B1B74C4B5F41}"/>
    <cellStyle name="Separador de milhares 7 3 4 32 3" xfId="30753" xr:uid="{D3546E64-B6F0-4A53-AB5D-4946F08180A1}"/>
    <cellStyle name="Separador de milhares 7 3 4 33" xfId="21911" xr:uid="{00000000-0005-0000-0000-0000E15F0000}"/>
    <cellStyle name="Separador de milhares 7 3 4 33 2" xfId="21912" xr:uid="{00000000-0005-0000-0000-0000E25F0000}"/>
    <cellStyle name="Separador de milhares 7 3 4 33 2 2" xfId="30756" xr:uid="{9832A4F6-09CB-4DA4-B760-BC13011704F1}"/>
    <cellStyle name="Separador de milhares 7 3 4 33 3" xfId="30755" xr:uid="{8DDE6E09-5AEF-466D-A14F-F9D30229923E}"/>
    <cellStyle name="Separador de milhares 7 3 4 34" xfId="21913" xr:uid="{00000000-0005-0000-0000-0000E35F0000}"/>
    <cellStyle name="Separador de milhares 7 3 4 34 2" xfId="21914" xr:uid="{00000000-0005-0000-0000-0000E45F0000}"/>
    <cellStyle name="Separador de milhares 7 3 4 34 2 2" xfId="30758" xr:uid="{E2408ACC-8C74-4C64-B242-99153F83CDB6}"/>
    <cellStyle name="Separador de milhares 7 3 4 34 3" xfId="30757" xr:uid="{D4EEC929-EFC2-4271-B4CE-D9DB63907AF6}"/>
    <cellStyle name="Separador de milhares 7 3 4 35" xfId="21915" xr:uid="{00000000-0005-0000-0000-0000E55F0000}"/>
    <cellStyle name="Separador de milhares 7 3 4 35 2" xfId="21916" xr:uid="{00000000-0005-0000-0000-0000E65F0000}"/>
    <cellStyle name="Separador de milhares 7 3 4 35 2 2" xfId="30760" xr:uid="{83A791CD-5ACF-4791-A0AD-E388AA866AE6}"/>
    <cellStyle name="Separador de milhares 7 3 4 35 3" xfId="30759" xr:uid="{14CFD3A3-49B6-449E-8638-5DB9961D6C32}"/>
    <cellStyle name="Separador de milhares 7 3 4 36" xfId="21917" xr:uid="{00000000-0005-0000-0000-0000E75F0000}"/>
    <cellStyle name="Separador de milhares 7 3 4 36 2" xfId="21918" xr:uid="{00000000-0005-0000-0000-0000E85F0000}"/>
    <cellStyle name="Separador de milhares 7 3 4 36 2 2" xfId="30762" xr:uid="{1DBF8A42-51BA-423E-B9E7-17B1BACBCDFD}"/>
    <cellStyle name="Separador de milhares 7 3 4 36 3" xfId="30761" xr:uid="{0050A34B-FD85-43B9-B8AB-BE219F909253}"/>
    <cellStyle name="Separador de milhares 7 3 4 37" xfId="21919" xr:uid="{00000000-0005-0000-0000-0000E95F0000}"/>
    <cellStyle name="Separador de milhares 7 3 4 37 2" xfId="21920" xr:uid="{00000000-0005-0000-0000-0000EA5F0000}"/>
    <cellStyle name="Separador de milhares 7 3 4 37 2 2" xfId="30764" xr:uid="{53E5965D-34C6-4657-910A-6E35C57FD31A}"/>
    <cellStyle name="Separador de milhares 7 3 4 37 3" xfId="30763" xr:uid="{5AC35D57-491B-4820-865E-3D6CE0FC44AB}"/>
    <cellStyle name="Separador de milhares 7 3 4 38" xfId="21921" xr:uid="{00000000-0005-0000-0000-0000EB5F0000}"/>
    <cellStyle name="Separador de milhares 7 3 4 38 2" xfId="21922" xr:uid="{00000000-0005-0000-0000-0000EC5F0000}"/>
    <cellStyle name="Separador de milhares 7 3 4 38 2 2" xfId="30766" xr:uid="{7AF8B0DD-70BD-4A8B-A8E7-791086657600}"/>
    <cellStyle name="Separador de milhares 7 3 4 38 3" xfId="30765" xr:uid="{5646970D-3E1F-4761-90D2-22A8D6C6E00F}"/>
    <cellStyle name="Separador de milhares 7 3 4 39" xfId="21923" xr:uid="{00000000-0005-0000-0000-0000ED5F0000}"/>
    <cellStyle name="Separador de milhares 7 3 4 39 2" xfId="21924" xr:uid="{00000000-0005-0000-0000-0000EE5F0000}"/>
    <cellStyle name="Separador de milhares 7 3 4 39 2 2" xfId="30768" xr:uid="{708397E9-B2B6-4306-A478-AF0AA8903595}"/>
    <cellStyle name="Separador de milhares 7 3 4 39 3" xfId="30767" xr:uid="{9FFFE05D-85CD-47F0-ACFB-0606BED86BB1}"/>
    <cellStyle name="Separador de milhares 7 3 4 4" xfId="21925" xr:uid="{00000000-0005-0000-0000-0000EF5F0000}"/>
    <cellStyle name="Separador de milhares 7 3 4 4 2" xfId="21926" xr:uid="{00000000-0005-0000-0000-0000F05F0000}"/>
    <cellStyle name="Separador de milhares 7 3 4 4 2 2" xfId="21927" xr:uid="{00000000-0005-0000-0000-0000F15F0000}"/>
    <cellStyle name="Separador de milhares 7 3 4 4 2 2 2" xfId="30771" xr:uid="{A1A7863C-7A3D-41C4-B96A-995AFC882287}"/>
    <cellStyle name="Separador de milhares 7 3 4 4 2 3" xfId="30770" xr:uid="{40B2DAEE-C989-4745-8FDB-2DB219322217}"/>
    <cellStyle name="Separador de milhares 7 3 4 4 3" xfId="21928" xr:uid="{00000000-0005-0000-0000-0000F25F0000}"/>
    <cellStyle name="Separador de milhares 7 3 4 4 3 2" xfId="21929" xr:uid="{00000000-0005-0000-0000-0000F35F0000}"/>
    <cellStyle name="Separador de milhares 7 3 4 4 3 2 2" xfId="30773" xr:uid="{82BE56F3-7423-41B3-AFEA-B4761DBF1FA7}"/>
    <cellStyle name="Separador de milhares 7 3 4 4 3 3" xfId="30772" xr:uid="{A1FAF4D2-E872-4393-BC93-B20AEC593A31}"/>
    <cellStyle name="Separador de milhares 7 3 4 4 4" xfId="21930" xr:uid="{00000000-0005-0000-0000-0000F45F0000}"/>
    <cellStyle name="Separador de milhares 7 3 4 4 4 2" xfId="21931" xr:uid="{00000000-0005-0000-0000-0000F55F0000}"/>
    <cellStyle name="Separador de milhares 7 3 4 4 4 2 2" xfId="30775" xr:uid="{B76A1B1A-5244-412D-B939-8DCFB22F45D5}"/>
    <cellStyle name="Separador de milhares 7 3 4 4 4 3" xfId="30774" xr:uid="{86F96AB6-18A9-4750-8994-730EC77276AD}"/>
    <cellStyle name="Separador de milhares 7 3 4 4 5" xfId="21932" xr:uid="{00000000-0005-0000-0000-0000F65F0000}"/>
    <cellStyle name="Separador de milhares 7 3 4 4 5 2" xfId="21933" xr:uid="{00000000-0005-0000-0000-0000F75F0000}"/>
    <cellStyle name="Separador de milhares 7 3 4 4 5 2 2" xfId="30777" xr:uid="{5569913B-CD54-4FBD-B917-A25692EB7EDB}"/>
    <cellStyle name="Separador de milhares 7 3 4 4 5 3" xfId="30776" xr:uid="{4A15D3F5-FC6D-4528-A65A-7E17496B2BEB}"/>
    <cellStyle name="Separador de milhares 7 3 4 4 6" xfId="21934" xr:uid="{00000000-0005-0000-0000-0000F85F0000}"/>
    <cellStyle name="Separador de milhares 7 3 4 4 6 2" xfId="30778" xr:uid="{69BBA476-36E5-4DBD-8729-C8DA58C9EE2A}"/>
    <cellStyle name="Separador de milhares 7 3 4 4 7" xfId="30769" xr:uid="{78124F87-5AB3-49B8-A71D-D07DBAA006C0}"/>
    <cellStyle name="Separador de milhares 7 3 4 40" xfId="21935" xr:uid="{00000000-0005-0000-0000-0000F95F0000}"/>
    <cellStyle name="Separador de milhares 7 3 4 40 2" xfId="21936" xr:uid="{00000000-0005-0000-0000-0000FA5F0000}"/>
    <cellStyle name="Separador de milhares 7 3 4 40 2 2" xfId="30780" xr:uid="{A102D839-4F33-41DC-8F86-09B4760AA313}"/>
    <cellStyle name="Separador de milhares 7 3 4 40 3" xfId="30779" xr:uid="{D0EA4A81-552F-4BCB-945E-134C8C36B9E9}"/>
    <cellStyle name="Separador de milhares 7 3 4 41" xfId="21937" xr:uid="{00000000-0005-0000-0000-0000FB5F0000}"/>
    <cellStyle name="Separador de milhares 7 3 4 41 2" xfId="21938" xr:uid="{00000000-0005-0000-0000-0000FC5F0000}"/>
    <cellStyle name="Separador de milhares 7 3 4 41 2 2" xfId="30782" xr:uid="{6701C4B9-0CEF-4E87-B5D2-9C60063EB3CD}"/>
    <cellStyle name="Separador de milhares 7 3 4 41 3" xfId="30781" xr:uid="{FCBF84F3-2117-411C-BE5D-B1B507E06957}"/>
    <cellStyle name="Separador de milhares 7 3 4 42" xfId="21939" xr:uid="{00000000-0005-0000-0000-0000FD5F0000}"/>
    <cellStyle name="Separador de milhares 7 3 4 42 2" xfId="21940" xr:uid="{00000000-0005-0000-0000-0000FE5F0000}"/>
    <cellStyle name="Separador de milhares 7 3 4 42 2 2" xfId="30784" xr:uid="{65C77FB4-451F-42F7-8236-BB02C3B0C34A}"/>
    <cellStyle name="Separador de milhares 7 3 4 42 3" xfId="30783" xr:uid="{DCBBF021-6269-4F1A-81B9-B94AA9977A6D}"/>
    <cellStyle name="Separador de milhares 7 3 4 43" xfId="21941" xr:uid="{00000000-0005-0000-0000-0000FF5F0000}"/>
    <cellStyle name="Separador de milhares 7 3 4 43 2" xfId="21942" xr:uid="{00000000-0005-0000-0000-000000600000}"/>
    <cellStyle name="Separador de milhares 7 3 4 43 2 2" xfId="30786" xr:uid="{5F69B397-6751-419F-BEF2-23B8A0985B4C}"/>
    <cellStyle name="Separador de milhares 7 3 4 43 3" xfId="30785" xr:uid="{A9D4749A-3A53-44CD-9CC1-8C6A56605C58}"/>
    <cellStyle name="Separador de milhares 7 3 4 44" xfId="21943" xr:uid="{00000000-0005-0000-0000-000001600000}"/>
    <cellStyle name="Separador de milhares 7 3 4 44 2" xfId="21944" xr:uid="{00000000-0005-0000-0000-000002600000}"/>
    <cellStyle name="Separador de milhares 7 3 4 44 2 2" xfId="30788" xr:uid="{32AD7DA4-0374-489A-818C-230EB391B692}"/>
    <cellStyle name="Separador de milhares 7 3 4 44 3" xfId="30787" xr:uid="{EBE57022-6C24-4B9B-BA57-03875B943CA5}"/>
    <cellStyle name="Separador de milhares 7 3 4 45" xfId="21945" xr:uid="{00000000-0005-0000-0000-000003600000}"/>
    <cellStyle name="Separador de milhares 7 3 4 45 2" xfId="21946" xr:uid="{00000000-0005-0000-0000-000004600000}"/>
    <cellStyle name="Separador de milhares 7 3 4 45 2 2" xfId="30790" xr:uid="{6A8FF727-0A88-4B4D-9135-06E5A184326A}"/>
    <cellStyle name="Separador de milhares 7 3 4 45 3" xfId="30789" xr:uid="{DED837BE-DDB6-4C8E-8A1F-82B33071FC99}"/>
    <cellStyle name="Separador de milhares 7 3 4 46" xfId="21947" xr:uid="{00000000-0005-0000-0000-000005600000}"/>
    <cellStyle name="Separador de milhares 7 3 4 46 2" xfId="30791" xr:uid="{0C664E53-D5C7-4368-ACFB-06DD12B869C7}"/>
    <cellStyle name="Separador de milhares 7 3 4 47" xfId="21844" xr:uid="{00000000-0005-0000-0000-000006600000}"/>
    <cellStyle name="Separador de milhares 7 3 4 48" xfId="28082" xr:uid="{B0466E7F-C674-4558-A769-3284F278EA75}"/>
    <cellStyle name="Separador de milhares 7 3 4 5" xfId="21948" xr:uid="{00000000-0005-0000-0000-000007600000}"/>
    <cellStyle name="Separador de milhares 7 3 4 5 2" xfId="21949" xr:uid="{00000000-0005-0000-0000-000008600000}"/>
    <cellStyle name="Separador de milhares 7 3 4 5 2 2" xfId="30793" xr:uid="{0A761BC2-05E9-41EB-9681-6591C71D3474}"/>
    <cellStyle name="Separador de milhares 7 3 4 5 3" xfId="30792" xr:uid="{F1FEE835-CB3D-4504-A80E-D404AC97539F}"/>
    <cellStyle name="Separador de milhares 7 3 4 6" xfId="21950" xr:uid="{00000000-0005-0000-0000-000009600000}"/>
    <cellStyle name="Separador de milhares 7 3 4 6 2" xfId="21951" xr:uid="{00000000-0005-0000-0000-00000A600000}"/>
    <cellStyle name="Separador de milhares 7 3 4 6 2 2" xfId="30795" xr:uid="{57BEF2D2-9774-450E-B434-917EA4030D84}"/>
    <cellStyle name="Separador de milhares 7 3 4 6 3" xfId="30794" xr:uid="{59142E69-63BB-40BC-8DB3-DA6203CC92F5}"/>
    <cellStyle name="Separador de milhares 7 3 4 7" xfId="21952" xr:uid="{00000000-0005-0000-0000-00000B600000}"/>
    <cellStyle name="Separador de milhares 7 3 4 7 2" xfId="21953" xr:uid="{00000000-0005-0000-0000-00000C600000}"/>
    <cellStyle name="Separador de milhares 7 3 4 7 2 2" xfId="30797" xr:uid="{028025EC-9CCB-436E-82F0-3344D6EEE2AA}"/>
    <cellStyle name="Separador de milhares 7 3 4 7 3" xfId="30796" xr:uid="{2406F314-F951-4D02-BBF9-0EF4195791C9}"/>
    <cellStyle name="Separador de milhares 7 3 4 8" xfId="21954" xr:uid="{00000000-0005-0000-0000-00000D600000}"/>
    <cellStyle name="Separador de milhares 7 3 4 8 2" xfId="21955" xr:uid="{00000000-0005-0000-0000-00000E600000}"/>
    <cellStyle name="Separador de milhares 7 3 4 8 2 2" xfId="30799" xr:uid="{B5E20D8A-E22F-4BCB-806D-D8186E8942B2}"/>
    <cellStyle name="Separador de milhares 7 3 4 8 3" xfId="30798" xr:uid="{68FA4252-43C5-40E5-89A9-7292C2AFAEEC}"/>
    <cellStyle name="Separador de milhares 7 3 4 9" xfId="21956" xr:uid="{00000000-0005-0000-0000-00000F600000}"/>
    <cellStyle name="Separador de milhares 7 3 4 9 2" xfId="21957" xr:uid="{00000000-0005-0000-0000-000010600000}"/>
    <cellStyle name="Separador de milhares 7 3 4 9 2 2" xfId="30801" xr:uid="{EE33E7CC-26AF-49AA-A444-F72D4E1FB370}"/>
    <cellStyle name="Separador de milhares 7 3 4 9 3" xfId="30800" xr:uid="{8567A0FF-F376-4F6B-AAA7-861890AF7E91}"/>
    <cellStyle name="Separador de milhares 7 3 40" xfId="21958" xr:uid="{00000000-0005-0000-0000-000011600000}"/>
    <cellStyle name="Separador de milhares 7 3 40 2" xfId="21959" xr:uid="{00000000-0005-0000-0000-000012600000}"/>
    <cellStyle name="Separador de milhares 7 3 40 2 2" xfId="30803" xr:uid="{7ECE2857-D98E-4F35-987D-6B8193F4D175}"/>
    <cellStyle name="Separador de milhares 7 3 40 3" xfId="30802" xr:uid="{6FEB7C44-1F32-4342-B07A-28EBCA0EE09D}"/>
    <cellStyle name="Separador de milhares 7 3 41" xfId="21960" xr:uid="{00000000-0005-0000-0000-000013600000}"/>
    <cellStyle name="Separador de milhares 7 3 41 2" xfId="21961" xr:uid="{00000000-0005-0000-0000-000014600000}"/>
    <cellStyle name="Separador de milhares 7 3 41 2 2" xfId="30805" xr:uid="{177AF4B0-D29E-4C5F-8F14-379E77A367D2}"/>
    <cellStyle name="Separador de milhares 7 3 41 3" xfId="30804" xr:uid="{26A37DAA-6CBB-40A7-BC29-27F2617ECBBC}"/>
    <cellStyle name="Separador de milhares 7 3 42" xfId="21962" xr:uid="{00000000-0005-0000-0000-000015600000}"/>
    <cellStyle name="Separador de milhares 7 3 42 2" xfId="21963" xr:uid="{00000000-0005-0000-0000-000016600000}"/>
    <cellStyle name="Separador de milhares 7 3 42 2 2" xfId="30807" xr:uid="{BDA952AC-3813-4666-9AC1-1328EAC84E7C}"/>
    <cellStyle name="Separador de milhares 7 3 42 3" xfId="30806" xr:uid="{5FEB13E0-CCCC-45EC-B9D0-7BBA0FCA843E}"/>
    <cellStyle name="Separador de milhares 7 3 43" xfId="21964" xr:uid="{00000000-0005-0000-0000-000017600000}"/>
    <cellStyle name="Separador de milhares 7 3 43 2" xfId="21965" xr:uid="{00000000-0005-0000-0000-000018600000}"/>
    <cellStyle name="Separador de milhares 7 3 43 2 2" xfId="30809" xr:uid="{01ABD13D-5640-4272-AF03-6533D1BFCDDD}"/>
    <cellStyle name="Separador de milhares 7 3 43 3" xfId="30808" xr:uid="{A72C244F-6EF8-4635-AF8F-74322E21D704}"/>
    <cellStyle name="Separador de milhares 7 3 44" xfId="21966" xr:uid="{00000000-0005-0000-0000-000019600000}"/>
    <cellStyle name="Separador de milhares 7 3 44 2" xfId="21967" xr:uid="{00000000-0005-0000-0000-00001A600000}"/>
    <cellStyle name="Separador de milhares 7 3 44 2 2" xfId="30811" xr:uid="{A6CA73C7-F32A-49C7-AF06-9806EED62675}"/>
    <cellStyle name="Separador de milhares 7 3 44 3" xfId="30810" xr:uid="{63D39B90-0B3E-440A-91F5-BA7B4C8AF8D6}"/>
    <cellStyle name="Separador de milhares 7 3 45" xfId="21968" xr:uid="{00000000-0005-0000-0000-00001B600000}"/>
    <cellStyle name="Separador de milhares 7 3 45 2" xfId="21969" xr:uid="{00000000-0005-0000-0000-00001C600000}"/>
    <cellStyle name="Separador de milhares 7 3 45 2 2" xfId="30813" xr:uid="{9D1B3300-26EF-4EAA-936E-EF5B6E3E7EBD}"/>
    <cellStyle name="Separador de milhares 7 3 45 3" xfId="30812" xr:uid="{23D1BF75-2D84-4070-9442-38A9DCCBCC8B}"/>
    <cellStyle name="Separador de milhares 7 3 46" xfId="21970" xr:uid="{00000000-0005-0000-0000-00001D600000}"/>
    <cellStyle name="Separador de milhares 7 3 46 2" xfId="21971" xr:uid="{00000000-0005-0000-0000-00001E600000}"/>
    <cellStyle name="Separador de milhares 7 3 46 2 2" xfId="30815" xr:uid="{93BC90BE-98AE-4134-866A-7A7C24ED6456}"/>
    <cellStyle name="Separador de milhares 7 3 46 3" xfId="30814" xr:uid="{1284F8A9-E7A5-4557-923F-677F544BE88F}"/>
    <cellStyle name="Separador de milhares 7 3 47" xfId="21972" xr:uid="{00000000-0005-0000-0000-00001F600000}"/>
    <cellStyle name="Separador de milhares 7 3 47 2" xfId="21973" xr:uid="{00000000-0005-0000-0000-000020600000}"/>
    <cellStyle name="Separador de milhares 7 3 47 2 2" xfId="30817" xr:uid="{D0673D7D-FA88-4054-A1C5-BDA86E2CADA3}"/>
    <cellStyle name="Separador de milhares 7 3 47 3" xfId="30816" xr:uid="{A89A03B9-7511-4905-87FA-11B051485851}"/>
    <cellStyle name="Separador de milhares 7 3 48" xfId="21974" xr:uid="{00000000-0005-0000-0000-000021600000}"/>
    <cellStyle name="Separador de milhares 7 3 48 2" xfId="21975" xr:uid="{00000000-0005-0000-0000-000022600000}"/>
    <cellStyle name="Separador de milhares 7 3 48 2 2" xfId="30819" xr:uid="{39F44A90-D4F5-45F8-BD4F-02C702F7AE70}"/>
    <cellStyle name="Separador de milhares 7 3 48 3" xfId="30818" xr:uid="{A709BF6A-9E5C-4164-96E6-FE23558F0BA9}"/>
    <cellStyle name="Separador de milhares 7 3 49" xfId="21976" xr:uid="{00000000-0005-0000-0000-000023600000}"/>
    <cellStyle name="Separador de milhares 7 3 49 2" xfId="21977" xr:uid="{00000000-0005-0000-0000-000024600000}"/>
    <cellStyle name="Separador de milhares 7 3 49 2 2" xfId="30821" xr:uid="{D87CC7CE-F3AD-4094-A858-27A5DC3842FF}"/>
    <cellStyle name="Separador de milhares 7 3 49 3" xfId="30820" xr:uid="{BCC28393-B454-4EEE-820B-81535DCB3E28}"/>
    <cellStyle name="Separador de milhares 7 3 5" xfId="21978" xr:uid="{00000000-0005-0000-0000-000025600000}"/>
    <cellStyle name="Separador de milhares 7 3 5 10" xfId="21979" xr:uid="{00000000-0005-0000-0000-000026600000}"/>
    <cellStyle name="Separador de milhares 7 3 5 10 2" xfId="21980" xr:uid="{00000000-0005-0000-0000-000027600000}"/>
    <cellStyle name="Separador de milhares 7 3 5 10 2 2" xfId="30823" xr:uid="{7C6B3188-9E2B-4BF1-83D7-FDAAB6C4B49D}"/>
    <cellStyle name="Separador de milhares 7 3 5 10 3" xfId="30822" xr:uid="{C9892347-8ACF-4E04-B4C5-F158D14120F8}"/>
    <cellStyle name="Separador de milhares 7 3 5 11" xfId="21981" xr:uid="{00000000-0005-0000-0000-000028600000}"/>
    <cellStyle name="Separador de milhares 7 3 5 11 2" xfId="21982" xr:uid="{00000000-0005-0000-0000-000029600000}"/>
    <cellStyle name="Separador de milhares 7 3 5 11 2 2" xfId="30825" xr:uid="{A0C3DD72-C6AE-4242-94F0-562824DC1057}"/>
    <cellStyle name="Separador de milhares 7 3 5 11 3" xfId="30824" xr:uid="{51B0D86D-D136-40CA-B028-5D3B67C49BDE}"/>
    <cellStyle name="Separador de milhares 7 3 5 12" xfId="21983" xr:uid="{00000000-0005-0000-0000-00002A600000}"/>
    <cellStyle name="Separador de milhares 7 3 5 12 2" xfId="21984" xr:uid="{00000000-0005-0000-0000-00002B600000}"/>
    <cellStyle name="Separador de milhares 7 3 5 12 2 2" xfId="30827" xr:uid="{B207DACC-0FE2-4DC7-947C-D4B49A7E54A9}"/>
    <cellStyle name="Separador de milhares 7 3 5 12 3" xfId="30826" xr:uid="{0C81298B-1995-48A8-9D08-321076613EFF}"/>
    <cellStyle name="Separador de milhares 7 3 5 13" xfId="21985" xr:uid="{00000000-0005-0000-0000-00002C600000}"/>
    <cellStyle name="Separador de milhares 7 3 5 13 2" xfId="21986" xr:uid="{00000000-0005-0000-0000-00002D600000}"/>
    <cellStyle name="Separador de milhares 7 3 5 13 2 2" xfId="30829" xr:uid="{95073288-4917-4F4A-BD91-84D37B1C8D03}"/>
    <cellStyle name="Separador de milhares 7 3 5 13 3" xfId="30828" xr:uid="{85694790-8E25-4D32-A60B-FAD7A8F27465}"/>
    <cellStyle name="Separador de milhares 7 3 5 14" xfId="21987" xr:uid="{00000000-0005-0000-0000-00002E600000}"/>
    <cellStyle name="Separador de milhares 7 3 5 14 2" xfId="21988" xr:uid="{00000000-0005-0000-0000-00002F600000}"/>
    <cellStyle name="Separador de milhares 7 3 5 14 2 2" xfId="30831" xr:uid="{4FD00507-FD4A-4D89-8D83-91E0EF2971B1}"/>
    <cellStyle name="Separador de milhares 7 3 5 14 3" xfId="30830" xr:uid="{12160115-D25F-44C3-BA73-CD0D693C4F48}"/>
    <cellStyle name="Separador de milhares 7 3 5 15" xfId="21989" xr:uid="{00000000-0005-0000-0000-000030600000}"/>
    <cellStyle name="Separador de milhares 7 3 5 15 2" xfId="21990" xr:uid="{00000000-0005-0000-0000-000031600000}"/>
    <cellStyle name="Separador de milhares 7 3 5 15 2 2" xfId="30833" xr:uid="{C0D3F6F3-4E38-4C80-9ED9-A459736382C8}"/>
    <cellStyle name="Separador de milhares 7 3 5 15 3" xfId="30832" xr:uid="{C51141B1-D80E-41E4-9A9D-B124CEFFD889}"/>
    <cellStyle name="Separador de milhares 7 3 5 16" xfId="21991" xr:uid="{00000000-0005-0000-0000-000032600000}"/>
    <cellStyle name="Separador de milhares 7 3 5 16 2" xfId="21992" xr:uid="{00000000-0005-0000-0000-000033600000}"/>
    <cellStyle name="Separador de milhares 7 3 5 16 2 2" xfId="30835" xr:uid="{F676ABBF-4E58-4312-95D6-43626DB4567F}"/>
    <cellStyle name="Separador de milhares 7 3 5 16 3" xfId="30834" xr:uid="{DB46FEA9-C8DC-42F9-B293-E62174872F78}"/>
    <cellStyle name="Separador de milhares 7 3 5 17" xfId="21993" xr:uid="{00000000-0005-0000-0000-000034600000}"/>
    <cellStyle name="Separador de milhares 7 3 5 17 2" xfId="21994" xr:uid="{00000000-0005-0000-0000-000035600000}"/>
    <cellStyle name="Separador de milhares 7 3 5 17 2 2" xfId="30837" xr:uid="{C8CF028E-EE28-4083-85D0-410574973378}"/>
    <cellStyle name="Separador de milhares 7 3 5 17 3" xfId="30836" xr:uid="{FB1B6450-E01E-498A-B77C-0514CBF01A6C}"/>
    <cellStyle name="Separador de milhares 7 3 5 18" xfId="21995" xr:uid="{00000000-0005-0000-0000-000036600000}"/>
    <cellStyle name="Separador de milhares 7 3 5 18 2" xfId="21996" xr:uid="{00000000-0005-0000-0000-000037600000}"/>
    <cellStyle name="Separador de milhares 7 3 5 18 2 2" xfId="30839" xr:uid="{4EF1EEE9-73A0-4AD5-AA87-2E1AB5F85042}"/>
    <cellStyle name="Separador de milhares 7 3 5 18 3" xfId="30838" xr:uid="{FD847056-015C-4594-B955-AC109E3198AC}"/>
    <cellStyle name="Separador de milhares 7 3 5 19" xfId="21997" xr:uid="{00000000-0005-0000-0000-000038600000}"/>
    <cellStyle name="Separador de milhares 7 3 5 19 2" xfId="21998" xr:uid="{00000000-0005-0000-0000-000039600000}"/>
    <cellStyle name="Separador de milhares 7 3 5 19 2 2" xfId="30841" xr:uid="{56CAFBD8-6A6E-42FE-A571-8A676758CBBB}"/>
    <cellStyle name="Separador de milhares 7 3 5 19 3" xfId="30840" xr:uid="{B74CF925-0AD0-45AE-9A37-3DDF8BBBA744}"/>
    <cellStyle name="Separador de milhares 7 3 5 2" xfId="21999" xr:uid="{00000000-0005-0000-0000-00003A600000}"/>
    <cellStyle name="Separador de milhares 7 3 5 2 2" xfId="22000" xr:uid="{00000000-0005-0000-0000-00003B600000}"/>
    <cellStyle name="Separador de milhares 7 3 5 2 2 2" xfId="30843" xr:uid="{63A02482-6889-4734-86B3-A0F49BA6F6B5}"/>
    <cellStyle name="Separador de milhares 7 3 5 2 3" xfId="30842" xr:uid="{0311D6E9-0C85-4846-AFCB-F3BCC396ED13}"/>
    <cellStyle name="Separador de milhares 7 3 5 20" xfId="22001" xr:uid="{00000000-0005-0000-0000-00003C600000}"/>
    <cellStyle name="Separador de milhares 7 3 5 20 2" xfId="22002" xr:uid="{00000000-0005-0000-0000-00003D600000}"/>
    <cellStyle name="Separador de milhares 7 3 5 20 2 2" xfId="30845" xr:uid="{CA70B15B-D814-4FB3-A642-F8A925B59532}"/>
    <cellStyle name="Separador de milhares 7 3 5 20 3" xfId="30844" xr:uid="{58BB2156-6217-47AE-B555-4A14DE8CBFB2}"/>
    <cellStyle name="Separador de milhares 7 3 5 21" xfId="22003" xr:uid="{00000000-0005-0000-0000-00003E600000}"/>
    <cellStyle name="Separador de milhares 7 3 5 21 2" xfId="22004" xr:uid="{00000000-0005-0000-0000-00003F600000}"/>
    <cellStyle name="Separador de milhares 7 3 5 21 2 2" xfId="30847" xr:uid="{CFFD8CAE-DC12-422B-A885-30F57CF62D66}"/>
    <cellStyle name="Separador de milhares 7 3 5 21 3" xfId="30846" xr:uid="{8D761F7E-1545-45D0-811A-4C9BA91F8E8F}"/>
    <cellStyle name="Separador de milhares 7 3 5 22" xfId="22005" xr:uid="{00000000-0005-0000-0000-000040600000}"/>
    <cellStyle name="Separador de milhares 7 3 5 22 2" xfId="22006" xr:uid="{00000000-0005-0000-0000-000041600000}"/>
    <cellStyle name="Separador de milhares 7 3 5 22 2 2" xfId="30849" xr:uid="{8648393E-7934-4ED4-9F07-034ED756C701}"/>
    <cellStyle name="Separador de milhares 7 3 5 22 3" xfId="30848" xr:uid="{51E7C1F9-3473-47AF-91AF-02FA8EA8C84C}"/>
    <cellStyle name="Separador de milhares 7 3 5 23" xfId="22007" xr:uid="{00000000-0005-0000-0000-000042600000}"/>
    <cellStyle name="Separador de milhares 7 3 5 23 2" xfId="22008" xr:uid="{00000000-0005-0000-0000-000043600000}"/>
    <cellStyle name="Separador de milhares 7 3 5 23 2 2" xfId="30851" xr:uid="{25C24156-AFC4-4F0B-8499-A09283134429}"/>
    <cellStyle name="Separador de milhares 7 3 5 23 3" xfId="30850" xr:uid="{7B45446D-6978-48D7-8711-4E51C095620A}"/>
    <cellStyle name="Separador de milhares 7 3 5 24" xfId="22009" xr:uid="{00000000-0005-0000-0000-000044600000}"/>
    <cellStyle name="Separador de milhares 7 3 5 24 2" xfId="22010" xr:uid="{00000000-0005-0000-0000-000045600000}"/>
    <cellStyle name="Separador de milhares 7 3 5 24 2 2" xfId="30853" xr:uid="{C76B6C13-EFD0-41D3-A037-1B744165EF21}"/>
    <cellStyle name="Separador de milhares 7 3 5 24 3" xfId="30852" xr:uid="{4B68AF28-9BD1-4E29-9FCD-0C83DF09AA9D}"/>
    <cellStyle name="Separador de milhares 7 3 5 25" xfId="22011" xr:uid="{00000000-0005-0000-0000-000046600000}"/>
    <cellStyle name="Separador de milhares 7 3 5 25 2" xfId="22012" xr:uid="{00000000-0005-0000-0000-000047600000}"/>
    <cellStyle name="Separador de milhares 7 3 5 25 2 2" xfId="30855" xr:uid="{70561357-0640-46BD-8684-C2EF12104091}"/>
    <cellStyle name="Separador de milhares 7 3 5 25 3" xfId="30854" xr:uid="{FC6CF96B-D7FB-4C4C-B3E7-8CA895ED333D}"/>
    <cellStyle name="Separador de milhares 7 3 5 26" xfId="22013" xr:uid="{00000000-0005-0000-0000-000048600000}"/>
    <cellStyle name="Separador de milhares 7 3 5 26 2" xfId="22014" xr:uid="{00000000-0005-0000-0000-000049600000}"/>
    <cellStyle name="Separador de milhares 7 3 5 26 2 2" xfId="30857" xr:uid="{4F46F2EE-FAB9-44EE-BCD4-37E0570FEDFF}"/>
    <cellStyle name="Separador de milhares 7 3 5 26 3" xfId="30856" xr:uid="{D9FC7AF7-F913-4501-9ED6-7DE458253474}"/>
    <cellStyle name="Separador de milhares 7 3 5 27" xfId="22015" xr:uid="{00000000-0005-0000-0000-00004A600000}"/>
    <cellStyle name="Separador de milhares 7 3 5 27 2" xfId="22016" xr:uid="{00000000-0005-0000-0000-00004B600000}"/>
    <cellStyle name="Separador de milhares 7 3 5 27 2 2" xfId="30859" xr:uid="{96D39109-9220-49FF-8B9C-F9CCE9A814D8}"/>
    <cellStyle name="Separador de milhares 7 3 5 27 3" xfId="30858" xr:uid="{092CE54F-C160-470A-9C63-CCE1B7E99C8B}"/>
    <cellStyle name="Separador de milhares 7 3 5 28" xfId="22017" xr:uid="{00000000-0005-0000-0000-00004C600000}"/>
    <cellStyle name="Separador de milhares 7 3 5 28 2" xfId="22018" xr:uid="{00000000-0005-0000-0000-00004D600000}"/>
    <cellStyle name="Separador de milhares 7 3 5 28 2 2" xfId="30861" xr:uid="{8F967292-6E6E-4B2C-9ABE-731D49002B21}"/>
    <cellStyle name="Separador de milhares 7 3 5 28 3" xfId="30860" xr:uid="{542A8DD5-C930-42FC-8EA8-46155440CB39}"/>
    <cellStyle name="Separador de milhares 7 3 5 29" xfId="22019" xr:uid="{00000000-0005-0000-0000-00004E600000}"/>
    <cellStyle name="Separador de milhares 7 3 5 29 2" xfId="22020" xr:uid="{00000000-0005-0000-0000-00004F600000}"/>
    <cellStyle name="Separador de milhares 7 3 5 29 2 2" xfId="30863" xr:uid="{BD9DA425-31FD-4190-8F52-BC700E399778}"/>
    <cellStyle name="Separador de milhares 7 3 5 29 3" xfId="30862" xr:uid="{12C3D8BE-772B-40C6-8372-1A8C88CDB3EC}"/>
    <cellStyle name="Separador de milhares 7 3 5 3" xfId="22021" xr:uid="{00000000-0005-0000-0000-000050600000}"/>
    <cellStyle name="Separador de milhares 7 3 5 3 2" xfId="22022" xr:uid="{00000000-0005-0000-0000-000051600000}"/>
    <cellStyle name="Separador de milhares 7 3 5 3 2 2" xfId="30865" xr:uid="{723DF78A-89A4-4F3A-A963-AA8D31A178A2}"/>
    <cellStyle name="Separador de milhares 7 3 5 3 3" xfId="30864" xr:uid="{B3F71979-7D07-42EB-B0BC-1975F1A60ED7}"/>
    <cellStyle name="Separador de milhares 7 3 5 30" xfId="22023" xr:uid="{00000000-0005-0000-0000-000052600000}"/>
    <cellStyle name="Separador de milhares 7 3 5 30 2" xfId="22024" xr:uid="{00000000-0005-0000-0000-000053600000}"/>
    <cellStyle name="Separador de milhares 7 3 5 30 2 2" xfId="30867" xr:uid="{93F09986-D8A0-40AE-A933-754CFC9EF9F8}"/>
    <cellStyle name="Separador de milhares 7 3 5 30 3" xfId="30866" xr:uid="{E7D678AC-1C33-44AC-B117-87BCAEDE7ADD}"/>
    <cellStyle name="Separador de milhares 7 3 5 31" xfId="22025" xr:uid="{00000000-0005-0000-0000-000054600000}"/>
    <cellStyle name="Separador de milhares 7 3 5 31 2" xfId="22026" xr:uid="{00000000-0005-0000-0000-000055600000}"/>
    <cellStyle name="Separador de milhares 7 3 5 31 2 2" xfId="30869" xr:uid="{8BC3116E-23EC-4B6B-ADD9-8C9FB5FCDA9A}"/>
    <cellStyle name="Separador de milhares 7 3 5 31 3" xfId="30868" xr:uid="{3465BBE6-043F-4787-9B5A-5D9904492353}"/>
    <cellStyle name="Separador de milhares 7 3 5 32" xfId="22027" xr:uid="{00000000-0005-0000-0000-000056600000}"/>
    <cellStyle name="Separador de milhares 7 3 5 32 2" xfId="22028" xr:uid="{00000000-0005-0000-0000-000057600000}"/>
    <cellStyle name="Separador de milhares 7 3 5 32 2 2" xfId="30871" xr:uid="{207DE436-1CE7-4E43-9E63-251C3A7A7A9D}"/>
    <cellStyle name="Separador de milhares 7 3 5 32 3" xfId="30870" xr:uid="{1FB558CD-A564-4DBE-A74A-B4B47011E151}"/>
    <cellStyle name="Separador de milhares 7 3 5 33" xfId="22029" xr:uid="{00000000-0005-0000-0000-000058600000}"/>
    <cellStyle name="Separador de milhares 7 3 5 33 2" xfId="22030" xr:uid="{00000000-0005-0000-0000-000059600000}"/>
    <cellStyle name="Separador de milhares 7 3 5 33 2 2" xfId="30873" xr:uid="{4AFDE338-3C01-458B-B6C0-BBB0F95E6105}"/>
    <cellStyle name="Separador de milhares 7 3 5 33 3" xfId="30872" xr:uid="{ACF384D9-AC7E-4795-8EFD-A3E7CDF9FB1D}"/>
    <cellStyle name="Separador de milhares 7 3 5 34" xfId="22031" xr:uid="{00000000-0005-0000-0000-00005A600000}"/>
    <cellStyle name="Separador de milhares 7 3 5 34 2" xfId="22032" xr:uid="{00000000-0005-0000-0000-00005B600000}"/>
    <cellStyle name="Separador de milhares 7 3 5 34 2 2" xfId="30875" xr:uid="{322B6961-1697-4732-906C-3B33A74CC2AE}"/>
    <cellStyle name="Separador de milhares 7 3 5 34 3" xfId="30874" xr:uid="{5ACCC914-B677-457B-8A4E-72576E232136}"/>
    <cellStyle name="Separador de milhares 7 3 5 35" xfId="22033" xr:uid="{00000000-0005-0000-0000-00005C600000}"/>
    <cellStyle name="Separador de milhares 7 3 5 35 2" xfId="30876" xr:uid="{BCA7B1D8-7E9E-45FD-8282-0F7FD44812A9}"/>
    <cellStyle name="Separador de milhares 7 3 5 4" xfId="22034" xr:uid="{00000000-0005-0000-0000-00005D600000}"/>
    <cellStyle name="Separador de milhares 7 3 5 4 2" xfId="22035" xr:uid="{00000000-0005-0000-0000-00005E600000}"/>
    <cellStyle name="Separador de milhares 7 3 5 4 2 2" xfId="30878" xr:uid="{797C0453-4D6B-4894-B849-810ABDDAEA5F}"/>
    <cellStyle name="Separador de milhares 7 3 5 4 3" xfId="30877" xr:uid="{4C971630-899D-4520-B74A-3716BBCDA50A}"/>
    <cellStyle name="Separador de milhares 7 3 5 5" xfId="22036" xr:uid="{00000000-0005-0000-0000-00005F600000}"/>
    <cellStyle name="Separador de milhares 7 3 5 5 2" xfId="22037" xr:uid="{00000000-0005-0000-0000-000060600000}"/>
    <cellStyle name="Separador de milhares 7 3 5 5 2 2" xfId="30880" xr:uid="{4F552A4B-FDC5-4540-9200-CD15B37E1913}"/>
    <cellStyle name="Separador de milhares 7 3 5 5 3" xfId="30879" xr:uid="{71340485-7E56-4EEB-9089-808E8FF4F6ED}"/>
    <cellStyle name="Separador de milhares 7 3 5 6" xfId="22038" xr:uid="{00000000-0005-0000-0000-000061600000}"/>
    <cellStyle name="Separador de milhares 7 3 5 6 2" xfId="22039" xr:uid="{00000000-0005-0000-0000-000062600000}"/>
    <cellStyle name="Separador de milhares 7 3 5 6 2 2" xfId="30882" xr:uid="{E509FF39-44DB-42B5-929D-570FD6EBF825}"/>
    <cellStyle name="Separador de milhares 7 3 5 6 3" xfId="30881" xr:uid="{2D9606C5-332A-4853-8377-F51C3A409FBF}"/>
    <cellStyle name="Separador de milhares 7 3 5 7" xfId="22040" xr:uid="{00000000-0005-0000-0000-000063600000}"/>
    <cellStyle name="Separador de milhares 7 3 5 7 2" xfId="22041" xr:uid="{00000000-0005-0000-0000-000064600000}"/>
    <cellStyle name="Separador de milhares 7 3 5 7 2 2" xfId="30884" xr:uid="{D15DA83F-E0A2-45A0-8F38-FD8757B8E402}"/>
    <cellStyle name="Separador de milhares 7 3 5 7 3" xfId="30883" xr:uid="{8304632D-059B-48EA-BB01-9088CEBBF0E2}"/>
    <cellStyle name="Separador de milhares 7 3 5 8" xfId="22042" xr:uid="{00000000-0005-0000-0000-000065600000}"/>
    <cellStyle name="Separador de milhares 7 3 5 8 2" xfId="22043" xr:uid="{00000000-0005-0000-0000-000066600000}"/>
    <cellStyle name="Separador de milhares 7 3 5 8 2 2" xfId="30886" xr:uid="{4830DDD9-1B7B-45D8-9369-5864BEF61658}"/>
    <cellStyle name="Separador de milhares 7 3 5 8 3" xfId="30885" xr:uid="{20F3960C-1228-4301-8E9F-53E6F08DA91E}"/>
    <cellStyle name="Separador de milhares 7 3 5 9" xfId="22044" xr:uid="{00000000-0005-0000-0000-000067600000}"/>
    <cellStyle name="Separador de milhares 7 3 5 9 2" xfId="22045" xr:uid="{00000000-0005-0000-0000-000068600000}"/>
    <cellStyle name="Separador de milhares 7 3 5 9 2 2" xfId="30888" xr:uid="{FC461667-6C78-4790-BE32-DFD8A4828A87}"/>
    <cellStyle name="Separador de milhares 7 3 5 9 3" xfId="30887" xr:uid="{22543FD6-CB11-4319-B8FC-A38C50C36D92}"/>
    <cellStyle name="Separador de milhares 7 3 50" xfId="22046" xr:uid="{00000000-0005-0000-0000-000069600000}"/>
    <cellStyle name="Separador de milhares 7 3 50 2" xfId="22047" xr:uid="{00000000-0005-0000-0000-00006A600000}"/>
    <cellStyle name="Separador de milhares 7 3 50 2 2" xfId="30890" xr:uid="{08A1B7A7-C6D9-4AD8-A453-725A3772527F}"/>
    <cellStyle name="Separador de milhares 7 3 50 3" xfId="30889" xr:uid="{92C1401E-98D5-4A7B-A994-B86D1DD52E56}"/>
    <cellStyle name="Separador de milhares 7 3 51" xfId="22048" xr:uid="{00000000-0005-0000-0000-00006B600000}"/>
    <cellStyle name="Separador de milhares 7 3 51 2" xfId="30891" xr:uid="{D6055E8E-F1CA-44C4-AE56-A25476582D5D}"/>
    <cellStyle name="Separador de milhares 7 3 52" xfId="21319" xr:uid="{00000000-0005-0000-0000-00006C600000}"/>
    <cellStyle name="Separador de milhares 7 3 53" xfId="28075" xr:uid="{7F33E995-2629-4BA6-9578-8D92D1932074}"/>
    <cellStyle name="Separador de milhares 7 3 6" xfId="22049" xr:uid="{00000000-0005-0000-0000-00006D600000}"/>
    <cellStyle name="Separador de milhares 7 3 6 2" xfId="22050" xr:uid="{00000000-0005-0000-0000-00006E600000}"/>
    <cellStyle name="Separador de milhares 7 3 6 2 2" xfId="22051" xr:uid="{00000000-0005-0000-0000-00006F600000}"/>
    <cellStyle name="Separador de milhares 7 3 6 2 2 2" xfId="30893" xr:uid="{8B709C5B-78D9-4FD6-A0DB-35711A48ADC9}"/>
    <cellStyle name="Separador de milhares 7 3 6 2 3" xfId="30892" xr:uid="{4D1B0C4B-8F32-4D2F-8C19-6560CBD6D90A}"/>
    <cellStyle name="Separador de milhares 7 3 6 3" xfId="22052" xr:uid="{00000000-0005-0000-0000-000070600000}"/>
    <cellStyle name="Separador de milhares 7 3 6 3 2" xfId="22053" xr:uid="{00000000-0005-0000-0000-000071600000}"/>
    <cellStyle name="Separador de milhares 7 3 6 3 2 2" xfId="30895" xr:uid="{2086CE44-8696-4E72-9AD2-578BC6764AD7}"/>
    <cellStyle name="Separador de milhares 7 3 6 3 3" xfId="30894" xr:uid="{FD55557A-E3A3-4076-8730-252D01B736D4}"/>
    <cellStyle name="Separador de milhares 7 3 6 4" xfId="22054" xr:uid="{00000000-0005-0000-0000-000072600000}"/>
    <cellStyle name="Separador de milhares 7 3 6 4 2" xfId="22055" xr:uid="{00000000-0005-0000-0000-000073600000}"/>
    <cellStyle name="Separador de milhares 7 3 6 4 2 2" xfId="30897" xr:uid="{479AD02E-AFC5-41B9-B7A0-7C00AA2B5F50}"/>
    <cellStyle name="Separador de milhares 7 3 6 4 3" xfId="30896" xr:uid="{5C9A2D5F-AA12-4BF0-9AEE-C880DE6368C5}"/>
    <cellStyle name="Separador de milhares 7 3 6 5" xfId="22056" xr:uid="{00000000-0005-0000-0000-000074600000}"/>
    <cellStyle name="Separador de milhares 7 3 6 5 2" xfId="22057" xr:uid="{00000000-0005-0000-0000-000075600000}"/>
    <cellStyle name="Separador de milhares 7 3 6 5 2 2" xfId="30899" xr:uid="{47A3009B-265C-4553-9927-C6CACEF27936}"/>
    <cellStyle name="Separador de milhares 7 3 6 5 3" xfId="30898" xr:uid="{BB1701AA-A3E0-4F51-A82E-11FBF3541CA7}"/>
    <cellStyle name="Separador de milhares 7 3 6 6" xfId="22058" xr:uid="{00000000-0005-0000-0000-000076600000}"/>
    <cellStyle name="Separador de milhares 7 3 6 6 2" xfId="30900" xr:uid="{327AD57F-0F02-415B-8307-B6F5549C0C73}"/>
    <cellStyle name="Separador de milhares 7 3 7" xfId="22059" xr:uid="{00000000-0005-0000-0000-000077600000}"/>
    <cellStyle name="Separador de milhares 7 3 7 2" xfId="22060" xr:uid="{00000000-0005-0000-0000-000078600000}"/>
    <cellStyle name="Separador de milhares 7 3 7 2 2" xfId="22061" xr:uid="{00000000-0005-0000-0000-000079600000}"/>
    <cellStyle name="Separador de milhares 7 3 7 2 2 2" xfId="30902" xr:uid="{005E9818-0C1D-440B-B8B0-A5B88241847B}"/>
    <cellStyle name="Separador de milhares 7 3 7 2 3" xfId="30901" xr:uid="{5EE1015F-7504-4AFB-8E5F-EC6877EBA431}"/>
    <cellStyle name="Separador de milhares 7 3 7 3" xfId="22062" xr:uid="{00000000-0005-0000-0000-00007A600000}"/>
    <cellStyle name="Separador de milhares 7 3 7 3 2" xfId="22063" xr:uid="{00000000-0005-0000-0000-00007B600000}"/>
    <cellStyle name="Separador de milhares 7 3 7 3 2 2" xfId="30904" xr:uid="{F43C9547-74DB-4C9B-B8F4-DE5867CBD833}"/>
    <cellStyle name="Separador de milhares 7 3 7 3 3" xfId="30903" xr:uid="{1DBC4F83-38E3-48CD-B5D5-B9F0EC77A926}"/>
    <cellStyle name="Separador de milhares 7 3 7 4" xfId="22064" xr:uid="{00000000-0005-0000-0000-00007C600000}"/>
    <cellStyle name="Separador de milhares 7 3 7 4 2" xfId="22065" xr:uid="{00000000-0005-0000-0000-00007D600000}"/>
    <cellStyle name="Separador de milhares 7 3 7 4 2 2" xfId="30906" xr:uid="{3A31D509-2DFC-4A99-A7E4-F89C4B603A1B}"/>
    <cellStyle name="Separador de milhares 7 3 7 4 3" xfId="30905" xr:uid="{35697F31-F801-48C6-A715-1454733E181A}"/>
    <cellStyle name="Separador de milhares 7 3 7 5" xfId="22066" xr:uid="{00000000-0005-0000-0000-00007E600000}"/>
    <cellStyle name="Separador de milhares 7 3 7 5 2" xfId="22067" xr:uid="{00000000-0005-0000-0000-00007F600000}"/>
    <cellStyle name="Separador de milhares 7 3 7 5 2 2" xfId="30908" xr:uid="{B033DBDF-EE70-4F7A-9624-3644A12D4515}"/>
    <cellStyle name="Separador de milhares 7 3 7 5 3" xfId="30907" xr:uid="{8EB8BBFF-5925-4895-86E9-212B14B36FC4}"/>
    <cellStyle name="Separador de milhares 7 3 7 6" xfId="22068" xr:uid="{00000000-0005-0000-0000-000080600000}"/>
    <cellStyle name="Separador de milhares 7 3 7 6 2" xfId="30909" xr:uid="{62EABCE3-A38E-4A5A-8FF0-5267A4789AF7}"/>
    <cellStyle name="Separador de milhares 7 3 8" xfId="22069" xr:uid="{00000000-0005-0000-0000-000081600000}"/>
    <cellStyle name="Separador de milhares 7 3 8 2" xfId="22070" xr:uid="{00000000-0005-0000-0000-000082600000}"/>
    <cellStyle name="Separador de milhares 7 3 8 2 2" xfId="30910" xr:uid="{38DC157B-082A-4003-BBBD-F657E0ABDB0A}"/>
    <cellStyle name="Separador de milhares 7 3 9" xfId="22071" xr:uid="{00000000-0005-0000-0000-000083600000}"/>
    <cellStyle name="Separador de milhares 7 3 9 2" xfId="22072" xr:uid="{00000000-0005-0000-0000-000084600000}"/>
    <cellStyle name="Separador de milhares 7 3 9 2 2" xfId="30911" xr:uid="{7CBA9024-9043-4249-8573-C33B9D65A9D4}"/>
    <cellStyle name="Separador de milhares 7 30" xfId="22073" xr:uid="{00000000-0005-0000-0000-000085600000}"/>
    <cellStyle name="Separador de milhares 7 30 2" xfId="22074" xr:uid="{00000000-0005-0000-0000-000086600000}"/>
    <cellStyle name="Separador de milhares 7 30 2 2" xfId="30913" xr:uid="{032DFC49-E38C-4950-9E4B-353F1655DB2D}"/>
    <cellStyle name="Separador de milhares 7 30 3" xfId="30912" xr:uid="{466C94CC-89F7-4DA5-80F1-F2B0C949DBE7}"/>
    <cellStyle name="Separador de milhares 7 31" xfId="22075" xr:uid="{00000000-0005-0000-0000-000087600000}"/>
    <cellStyle name="Separador de milhares 7 31 2" xfId="22076" xr:uid="{00000000-0005-0000-0000-000088600000}"/>
    <cellStyle name="Separador de milhares 7 31 2 2" xfId="30915" xr:uid="{7F7B66F8-DC4B-403C-AAD8-A9E8B66605A3}"/>
    <cellStyle name="Separador de milhares 7 31 3" xfId="30914" xr:uid="{1BF85C65-B2A8-4254-93F3-C80DD6602DBC}"/>
    <cellStyle name="Separador de milhares 7 32" xfId="22077" xr:uid="{00000000-0005-0000-0000-000089600000}"/>
    <cellStyle name="Separador de milhares 7 32 2" xfId="22078" xr:uid="{00000000-0005-0000-0000-00008A600000}"/>
    <cellStyle name="Separador de milhares 7 32 2 2" xfId="30917" xr:uid="{F22C02DB-D24F-42A4-9B40-CE43CC0058ED}"/>
    <cellStyle name="Separador de milhares 7 32 3" xfId="30916" xr:uid="{9A5BFE14-7DB7-412D-925C-5181808D06FB}"/>
    <cellStyle name="Separador de milhares 7 33" xfId="22079" xr:uid="{00000000-0005-0000-0000-00008B600000}"/>
    <cellStyle name="Separador de milhares 7 33 2" xfId="22080" xr:uid="{00000000-0005-0000-0000-00008C600000}"/>
    <cellStyle name="Separador de milhares 7 33 2 2" xfId="30919" xr:uid="{2224AFFE-5523-4051-BFFD-EF950B46CF0E}"/>
    <cellStyle name="Separador de milhares 7 33 3" xfId="30918" xr:uid="{FB0AC7D7-561E-41AB-9CDC-0E58FCB4DB88}"/>
    <cellStyle name="Separador de milhares 7 34" xfId="22081" xr:uid="{00000000-0005-0000-0000-00008D600000}"/>
    <cellStyle name="Separador de milhares 7 34 2" xfId="22082" xr:uid="{00000000-0005-0000-0000-00008E600000}"/>
    <cellStyle name="Separador de milhares 7 34 2 2" xfId="30921" xr:uid="{9A2F59A2-C3F6-4519-A795-5AC98B6F97C9}"/>
    <cellStyle name="Separador de milhares 7 34 3" xfId="30920" xr:uid="{703C120C-A969-4130-B917-49807418767C}"/>
    <cellStyle name="Separador de milhares 7 35" xfId="22083" xr:uid="{00000000-0005-0000-0000-00008F600000}"/>
    <cellStyle name="Separador de milhares 7 35 2" xfId="22084" xr:uid="{00000000-0005-0000-0000-000090600000}"/>
    <cellStyle name="Separador de milhares 7 35 2 2" xfId="30923" xr:uid="{783E5FB9-DBB7-47A1-BD19-90C2F777BB5B}"/>
    <cellStyle name="Separador de milhares 7 35 3" xfId="30922" xr:uid="{9B2149AE-CE0C-4D26-8F25-43FB9FAC5374}"/>
    <cellStyle name="Separador de milhares 7 36" xfId="22085" xr:uid="{00000000-0005-0000-0000-000091600000}"/>
    <cellStyle name="Separador de milhares 7 36 2" xfId="22086" xr:uid="{00000000-0005-0000-0000-000092600000}"/>
    <cellStyle name="Separador de milhares 7 36 2 2" xfId="30925" xr:uid="{D81E2C52-4F7E-4024-9853-BAFD46561C5E}"/>
    <cellStyle name="Separador de milhares 7 36 3" xfId="30924" xr:uid="{6B6B1CAE-C0AF-4F2F-8981-E23F466D1A01}"/>
    <cellStyle name="Separador de milhares 7 37" xfId="22087" xr:uid="{00000000-0005-0000-0000-000093600000}"/>
    <cellStyle name="Separador de milhares 7 37 2" xfId="22088" xr:uid="{00000000-0005-0000-0000-000094600000}"/>
    <cellStyle name="Separador de milhares 7 37 2 2" xfId="30927" xr:uid="{70EE9A8F-5CBA-432E-B90A-755B84F2624A}"/>
    <cellStyle name="Separador de milhares 7 37 3" xfId="30926" xr:uid="{330B68EE-56D8-4A54-8074-51DA0D691098}"/>
    <cellStyle name="Separador de milhares 7 38" xfId="22089" xr:uid="{00000000-0005-0000-0000-000095600000}"/>
    <cellStyle name="Separador de milhares 7 38 2" xfId="22090" xr:uid="{00000000-0005-0000-0000-000096600000}"/>
    <cellStyle name="Separador de milhares 7 38 2 2" xfId="30929" xr:uid="{545B21C3-5D6A-4CF8-A145-649DE4D125E1}"/>
    <cellStyle name="Separador de milhares 7 38 3" xfId="30928" xr:uid="{BFF66A6E-0B5F-41B4-B643-90253EF191DD}"/>
    <cellStyle name="Separador de milhares 7 39" xfId="22091" xr:uid="{00000000-0005-0000-0000-000097600000}"/>
    <cellStyle name="Separador de milhares 7 39 2" xfId="22092" xr:uid="{00000000-0005-0000-0000-000098600000}"/>
    <cellStyle name="Separador de milhares 7 39 2 2" xfId="30931" xr:uid="{FE461E8A-3D8F-4415-B464-CAA521F8D2E7}"/>
    <cellStyle name="Separador de milhares 7 39 3" xfId="30930" xr:uid="{E2581FAB-5078-472E-B526-5680D54B2EFD}"/>
    <cellStyle name="Separador de milhares 7 4" xfId="849" xr:uid="{00000000-0005-0000-0000-000099600000}"/>
    <cellStyle name="Separador de milhares 7 4 10" xfId="22094" xr:uid="{00000000-0005-0000-0000-00009A600000}"/>
    <cellStyle name="Separador de milhares 7 4 10 2" xfId="22095" xr:uid="{00000000-0005-0000-0000-00009B600000}"/>
    <cellStyle name="Separador de milhares 7 4 10 2 2" xfId="30932" xr:uid="{42EFB278-D8ED-4161-B424-FBCA40AAFD52}"/>
    <cellStyle name="Separador de milhares 7 4 11" xfId="22096" xr:uid="{00000000-0005-0000-0000-00009C600000}"/>
    <cellStyle name="Separador de milhares 7 4 11 2" xfId="22097" xr:uid="{00000000-0005-0000-0000-00009D600000}"/>
    <cellStyle name="Separador de milhares 7 4 11 2 2" xfId="30934" xr:uid="{D18CFB12-F4DD-4D28-9C25-8E6FFBF04ABB}"/>
    <cellStyle name="Separador de milhares 7 4 11 3" xfId="30933" xr:uid="{8E9C2A8E-9F20-46F5-BAF1-45C199F8564C}"/>
    <cellStyle name="Separador de milhares 7 4 12" xfId="22098" xr:uid="{00000000-0005-0000-0000-00009E600000}"/>
    <cellStyle name="Separador de milhares 7 4 12 2" xfId="22099" xr:uid="{00000000-0005-0000-0000-00009F600000}"/>
    <cellStyle name="Separador de milhares 7 4 12 2 2" xfId="30936" xr:uid="{499A1DD7-A90B-4BBE-A05C-3B04BA57AF8E}"/>
    <cellStyle name="Separador de milhares 7 4 12 3" xfId="30935" xr:uid="{4D551544-7487-4435-BD6C-21604F74EB01}"/>
    <cellStyle name="Separador de milhares 7 4 13" xfId="22100" xr:uid="{00000000-0005-0000-0000-0000A0600000}"/>
    <cellStyle name="Separador de milhares 7 4 13 2" xfId="22101" xr:uid="{00000000-0005-0000-0000-0000A1600000}"/>
    <cellStyle name="Separador de milhares 7 4 13 2 2" xfId="30938" xr:uid="{B1D480F9-55EE-43D7-8F81-0AC34073CA72}"/>
    <cellStyle name="Separador de milhares 7 4 13 3" xfId="30937" xr:uid="{CA53B078-23A2-4DCB-8280-1AAD6A42E15A}"/>
    <cellStyle name="Separador de milhares 7 4 14" xfId="22102" xr:uid="{00000000-0005-0000-0000-0000A2600000}"/>
    <cellStyle name="Separador de milhares 7 4 14 2" xfId="22103" xr:uid="{00000000-0005-0000-0000-0000A3600000}"/>
    <cellStyle name="Separador de milhares 7 4 14 2 2" xfId="30940" xr:uid="{81111790-89F1-4439-B4F9-E3079D282E2B}"/>
    <cellStyle name="Separador de milhares 7 4 14 3" xfId="30939" xr:uid="{A3356B86-E957-47DF-AA7F-704F14892B73}"/>
    <cellStyle name="Separador de milhares 7 4 15" xfId="22104" xr:uid="{00000000-0005-0000-0000-0000A4600000}"/>
    <cellStyle name="Separador de milhares 7 4 15 2" xfId="22105" xr:uid="{00000000-0005-0000-0000-0000A5600000}"/>
    <cellStyle name="Separador de milhares 7 4 15 2 2" xfId="30942" xr:uid="{580947E2-1233-40E6-B1AA-E69ABAA179E8}"/>
    <cellStyle name="Separador de milhares 7 4 15 3" xfId="30941" xr:uid="{29718CD0-DCC9-4F37-8982-811A50804421}"/>
    <cellStyle name="Separador de milhares 7 4 16" xfId="22106" xr:uid="{00000000-0005-0000-0000-0000A6600000}"/>
    <cellStyle name="Separador de milhares 7 4 16 2" xfId="22107" xr:uid="{00000000-0005-0000-0000-0000A7600000}"/>
    <cellStyle name="Separador de milhares 7 4 16 2 2" xfId="30944" xr:uid="{E125A1FF-E75A-41E5-8F71-3385D6795EF5}"/>
    <cellStyle name="Separador de milhares 7 4 16 3" xfId="30943" xr:uid="{69A3A8A2-1E42-440C-8E02-D84A0F5575C1}"/>
    <cellStyle name="Separador de milhares 7 4 17" xfId="22108" xr:uid="{00000000-0005-0000-0000-0000A8600000}"/>
    <cellStyle name="Separador de milhares 7 4 17 2" xfId="22109" xr:uid="{00000000-0005-0000-0000-0000A9600000}"/>
    <cellStyle name="Separador de milhares 7 4 17 2 2" xfId="30946" xr:uid="{B1C1DF6F-A77C-429A-B792-58F8719639CA}"/>
    <cellStyle name="Separador de milhares 7 4 17 3" xfId="30945" xr:uid="{EB71A77E-885F-4036-B608-DD34E69022BB}"/>
    <cellStyle name="Separador de milhares 7 4 18" xfId="22110" xr:uid="{00000000-0005-0000-0000-0000AA600000}"/>
    <cellStyle name="Separador de milhares 7 4 18 2" xfId="22111" xr:uid="{00000000-0005-0000-0000-0000AB600000}"/>
    <cellStyle name="Separador de milhares 7 4 18 2 2" xfId="30948" xr:uid="{FD945907-CE53-428B-BB51-0A67D16B699F}"/>
    <cellStyle name="Separador de milhares 7 4 18 3" xfId="30947" xr:uid="{66B92CBB-3C3D-4220-AA1D-F26FAA67B54E}"/>
    <cellStyle name="Separador de milhares 7 4 19" xfId="22112" xr:uid="{00000000-0005-0000-0000-0000AC600000}"/>
    <cellStyle name="Separador de milhares 7 4 19 2" xfId="22113" xr:uid="{00000000-0005-0000-0000-0000AD600000}"/>
    <cellStyle name="Separador de milhares 7 4 19 2 2" xfId="30950" xr:uid="{31850ABD-1365-43FA-9E29-84DC183334DB}"/>
    <cellStyle name="Separador de milhares 7 4 19 3" xfId="30949" xr:uid="{D4661ED8-357C-4BE4-B4EA-B944D128CC9F}"/>
    <cellStyle name="Separador de milhares 7 4 2" xfId="850" xr:uid="{00000000-0005-0000-0000-0000AE600000}"/>
    <cellStyle name="Separador de milhares 7 4 2 10" xfId="22115" xr:uid="{00000000-0005-0000-0000-0000AF600000}"/>
    <cellStyle name="Separador de milhares 7 4 2 10 2" xfId="22116" xr:uid="{00000000-0005-0000-0000-0000B0600000}"/>
    <cellStyle name="Separador de milhares 7 4 2 10 2 2" xfId="30952" xr:uid="{AF163BAB-6E0B-49A2-A422-6F21738A21AA}"/>
    <cellStyle name="Separador de milhares 7 4 2 10 3" xfId="30951" xr:uid="{06440A8C-A2D3-4EC8-9E54-B5BDC2A24626}"/>
    <cellStyle name="Separador de milhares 7 4 2 11" xfId="22117" xr:uid="{00000000-0005-0000-0000-0000B1600000}"/>
    <cellStyle name="Separador de milhares 7 4 2 11 2" xfId="22118" xr:uid="{00000000-0005-0000-0000-0000B2600000}"/>
    <cellStyle name="Separador de milhares 7 4 2 11 2 2" xfId="30954" xr:uid="{EC26C82F-E28E-4F20-BB73-2F3B2B4859C1}"/>
    <cellStyle name="Separador de milhares 7 4 2 11 3" xfId="30953" xr:uid="{FB4B8654-5228-4DB6-B206-4CAE744AB4BF}"/>
    <cellStyle name="Separador de milhares 7 4 2 12" xfId="22119" xr:uid="{00000000-0005-0000-0000-0000B3600000}"/>
    <cellStyle name="Separador de milhares 7 4 2 12 2" xfId="22120" xr:uid="{00000000-0005-0000-0000-0000B4600000}"/>
    <cellStyle name="Separador de milhares 7 4 2 12 2 2" xfId="30956" xr:uid="{DED58C7A-E308-4267-B1B9-80DFB995F779}"/>
    <cellStyle name="Separador de milhares 7 4 2 12 3" xfId="30955" xr:uid="{3D92D527-22AF-433C-BA03-81C714D8B5DF}"/>
    <cellStyle name="Separador de milhares 7 4 2 13" xfId="22121" xr:uid="{00000000-0005-0000-0000-0000B5600000}"/>
    <cellStyle name="Separador de milhares 7 4 2 13 2" xfId="22122" xr:uid="{00000000-0005-0000-0000-0000B6600000}"/>
    <cellStyle name="Separador de milhares 7 4 2 13 2 2" xfId="30958" xr:uid="{98E49F86-7448-4E4D-A912-47B190E04E83}"/>
    <cellStyle name="Separador de milhares 7 4 2 13 3" xfId="30957" xr:uid="{71CD9697-E791-4196-BB77-C3FBC103BF76}"/>
    <cellStyle name="Separador de milhares 7 4 2 14" xfId="22123" xr:uid="{00000000-0005-0000-0000-0000B7600000}"/>
    <cellStyle name="Separador de milhares 7 4 2 14 2" xfId="22124" xr:uid="{00000000-0005-0000-0000-0000B8600000}"/>
    <cellStyle name="Separador de milhares 7 4 2 14 2 2" xfId="30960" xr:uid="{A5C6E407-B94B-415B-A422-B46C2CAFB52C}"/>
    <cellStyle name="Separador de milhares 7 4 2 14 3" xfId="30959" xr:uid="{59508D7A-A8DC-4914-9307-7F7D81F046AD}"/>
    <cellStyle name="Separador de milhares 7 4 2 15" xfId="22125" xr:uid="{00000000-0005-0000-0000-0000B9600000}"/>
    <cellStyle name="Separador de milhares 7 4 2 15 2" xfId="22126" xr:uid="{00000000-0005-0000-0000-0000BA600000}"/>
    <cellStyle name="Separador de milhares 7 4 2 15 2 2" xfId="30962" xr:uid="{C2BAA7C5-CBDE-4927-AE8E-A90F05B34BC5}"/>
    <cellStyle name="Separador de milhares 7 4 2 15 3" xfId="30961" xr:uid="{13454A49-F92F-4828-8FC4-8820F9C127DF}"/>
    <cellStyle name="Separador de milhares 7 4 2 16" xfId="22127" xr:uid="{00000000-0005-0000-0000-0000BB600000}"/>
    <cellStyle name="Separador de milhares 7 4 2 16 2" xfId="22128" xr:uid="{00000000-0005-0000-0000-0000BC600000}"/>
    <cellStyle name="Separador de milhares 7 4 2 16 2 2" xfId="30964" xr:uid="{64D499BF-6717-4012-8F44-1FA56C94F9A7}"/>
    <cellStyle name="Separador de milhares 7 4 2 16 3" xfId="30963" xr:uid="{B2DDCEF6-43C9-4117-BE12-AD626D488EA3}"/>
    <cellStyle name="Separador de milhares 7 4 2 17" xfId="22129" xr:uid="{00000000-0005-0000-0000-0000BD600000}"/>
    <cellStyle name="Separador de milhares 7 4 2 17 2" xfId="22130" xr:uid="{00000000-0005-0000-0000-0000BE600000}"/>
    <cellStyle name="Separador de milhares 7 4 2 17 2 2" xfId="30966" xr:uid="{10A804DF-DADC-48E1-A419-8CAA0EFD8AAC}"/>
    <cellStyle name="Separador de milhares 7 4 2 17 3" xfId="30965" xr:uid="{84ACFC1D-C9D8-4A42-83BE-4C43FC397E0C}"/>
    <cellStyle name="Separador de milhares 7 4 2 18" xfId="22131" xr:uid="{00000000-0005-0000-0000-0000BF600000}"/>
    <cellStyle name="Separador de milhares 7 4 2 18 2" xfId="22132" xr:uid="{00000000-0005-0000-0000-0000C0600000}"/>
    <cellStyle name="Separador de milhares 7 4 2 18 2 2" xfId="30968" xr:uid="{C015DAD6-8769-4944-A261-F03C4187F263}"/>
    <cellStyle name="Separador de milhares 7 4 2 18 3" xfId="30967" xr:uid="{ED9EDA06-B35B-4128-BFB7-54FC24CB74C1}"/>
    <cellStyle name="Separador de milhares 7 4 2 19" xfId="22133" xr:uid="{00000000-0005-0000-0000-0000C1600000}"/>
    <cellStyle name="Separador de milhares 7 4 2 19 2" xfId="22134" xr:uid="{00000000-0005-0000-0000-0000C2600000}"/>
    <cellStyle name="Separador de milhares 7 4 2 19 2 2" xfId="30970" xr:uid="{AA7A8C90-7DDC-41CB-9B00-2E6C2DB0B1E6}"/>
    <cellStyle name="Separador de milhares 7 4 2 19 3" xfId="30969" xr:uid="{9A82AB51-5AAA-4FCB-BBF0-C8E4CD498386}"/>
    <cellStyle name="Separador de milhares 7 4 2 2" xfId="851" xr:uid="{00000000-0005-0000-0000-0000C3600000}"/>
    <cellStyle name="Separador de milhares 7 4 2 2 10" xfId="22136" xr:uid="{00000000-0005-0000-0000-0000C4600000}"/>
    <cellStyle name="Separador de milhares 7 4 2 2 10 2" xfId="22137" xr:uid="{00000000-0005-0000-0000-0000C5600000}"/>
    <cellStyle name="Separador de milhares 7 4 2 2 10 2 2" xfId="30973" xr:uid="{D7F6CD79-8482-4836-AC42-0624B4D215A4}"/>
    <cellStyle name="Separador de milhares 7 4 2 2 10 3" xfId="30972" xr:uid="{06046686-F1FB-4208-AD3D-334498561C74}"/>
    <cellStyle name="Separador de milhares 7 4 2 2 11" xfId="22138" xr:uid="{00000000-0005-0000-0000-0000C6600000}"/>
    <cellStyle name="Separador de milhares 7 4 2 2 11 2" xfId="22139" xr:uid="{00000000-0005-0000-0000-0000C7600000}"/>
    <cellStyle name="Separador de milhares 7 4 2 2 11 2 2" xfId="30975" xr:uid="{DD307529-219A-4E0D-9CC5-3496BB9070ED}"/>
    <cellStyle name="Separador de milhares 7 4 2 2 11 3" xfId="30974" xr:uid="{BF384937-29E5-4FFE-A5D0-0EBC38D9412C}"/>
    <cellStyle name="Separador de milhares 7 4 2 2 12" xfId="22140" xr:uid="{00000000-0005-0000-0000-0000C8600000}"/>
    <cellStyle name="Separador de milhares 7 4 2 2 12 2" xfId="22141" xr:uid="{00000000-0005-0000-0000-0000C9600000}"/>
    <cellStyle name="Separador de milhares 7 4 2 2 12 2 2" xfId="30977" xr:uid="{48028E58-A42C-4C3E-8572-8276AAF3D58C}"/>
    <cellStyle name="Separador de milhares 7 4 2 2 12 3" xfId="30976" xr:uid="{3115CCEB-67F4-4416-8AEB-DEEA6ADF9163}"/>
    <cellStyle name="Separador de milhares 7 4 2 2 13" xfId="22142" xr:uid="{00000000-0005-0000-0000-0000CA600000}"/>
    <cellStyle name="Separador de milhares 7 4 2 2 13 2" xfId="22143" xr:uid="{00000000-0005-0000-0000-0000CB600000}"/>
    <cellStyle name="Separador de milhares 7 4 2 2 13 2 2" xfId="30979" xr:uid="{798E7F0A-A9BA-4F40-90BC-39CC8A8A13F8}"/>
    <cellStyle name="Separador de milhares 7 4 2 2 13 3" xfId="30978" xr:uid="{E1F6C5EB-948C-4357-A017-B53774F88A21}"/>
    <cellStyle name="Separador de milhares 7 4 2 2 14" xfId="22144" xr:uid="{00000000-0005-0000-0000-0000CC600000}"/>
    <cellStyle name="Separador de milhares 7 4 2 2 14 2" xfId="22145" xr:uid="{00000000-0005-0000-0000-0000CD600000}"/>
    <cellStyle name="Separador de milhares 7 4 2 2 14 2 2" xfId="30981" xr:uid="{A0D4C27A-9EC7-4D24-9EBA-3EBF2CBE19B6}"/>
    <cellStyle name="Separador de milhares 7 4 2 2 14 3" xfId="30980" xr:uid="{157C665F-A856-49AD-ABC8-3C62B2506364}"/>
    <cellStyle name="Separador de milhares 7 4 2 2 15" xfId="22146" xr:uid="{00000000-0005-0000-0000-0000CE600000}"/>
    <cellStyle name="Separador de milhares 7 4 2 2 15 2" xfId="22147" xr:uid="{00000000-0005-0000-0000-0000CF600000}"/>
    <cellStyle name="Separador de milhares 7 4 2 2 15 2 2" xfId="30983" xr:uid="{EDFC1C40-8F82-491D-B20A-DE43A0BAD10A}"/>
    <cellStyle name="Separador de milhares 7 4 2 2 15 3" xfId="30982" xr:uid="{F21B1C55-39A6-49F9-8B4B-08568D325A41}"/>
    <cellStyle name="Separador de milhares 7 4 2 2 16" xfId="22148" xr:uid="{00000000-0005-0000-0000-0000D0600000}"/>
    <cellStyle name="Separador de milhares 7 4 2 2 16 2" xfId="22149" xr:uid="{00000000-0005-0000-0000-0000D1600000}"/>
    <cellStyle name="Separador de milhares 7 4 2 2 16 2 2" xfId="30985" xr:uid="{5750826F-D014-4282-B2A1-3218308562AC}"/>
    <cellStyle name="Separador de milhares 7 4 2 2 16 3" xfId="30984" xr:uid="{6A885A52-DA88-46DB-A3F1-537E5FD190B0}"/>
    <cellStyle name="Separador de milhares 7 4 2 2 17" xfId="22150" xr:uid="{00000000-0005-0000-0000-0000D2600000}"/>
    <cellStyle name="Separador de milhares 7 4 2 2 17 2" xfId="22151" xr:uid="{00000000-0005-0000-0000-0000D3600000}"/>
    <cellStyle name="Separador de milhares 7 4 2 2 17 2 2" xfId="30987" xr:uid="{29CFB687-D208-4E03-85E3-533950C76352}"/>
    <cellStyle name="Separador de milhares 7 4 2 2 17 3" xfId="30986" xr:uid="{8DC28955-B922-4A81-B1A6-E03DF1FF2C99}"/>
    <cellStyle name="Separador de milhares 7 4 2 2 18" xfId="22152" xr:uid="{00000000-0005-0000-0000-0000D4600000}"/>
    <cellStyle name="Separador de milhares 7 4 2 2 18 2" xfId="22153" xr:uid="{00000000-0005-0000-0000-0000D5600000}"/>
    <cellStyle name="Separador de milhares 7 4 2 2 18 2 2" xfId="30989" xr:uid="{AADEC8AE-4659-46EB-865B-6EA386904421}"/>
    <cellStyle name="Separador de milhares 7 4 2 2 18 3" xfId="30988" xr:uid="{3285F46F-D107-43B0-ABF5-622AC6F635A4}"/>
    <cellStyle name="Separador de milhares 7 4 2 2 19" xfId="22154" xr:uid="{00000000-0005-0000-0000-0000D6600000}"/>
    <cellStyle name="Separador de milhares 7 4 2 2 19 2" xfId="22155" xr:uid="{00000000-0005-0000-0000-0000D7600000}"/>
    <cellStyle name="Separador de milhares 7 4 2 2 19 2 2" xfId="30991" xr:uid="{835BF6BF-0F8F-4B6F-A2A2-F89015057979}"/>
    <cellStyle name="Separador de milhares 7 4 2 2 19 3" xfId="30990" xr:uid="{1DA20D19-2DF9-4085-8113-CC6AD2C94431}"/>
    <cellStyle name="Separador de milhares 7 4 2 2 2" xfId="22156" xr:uid="{00000000-0005-0000-0000-0000D8600000}"/>
    <cellStyle name="Separador de milhares 7 4 2 2 2 2" xfId="22157" xr:uid="{00000000-0005-0000-0000-0000D9600000}"/>
    <cellStyle name="Separador de milhares 7 4 2 2 2 2 2" xfId="30993" xr:uid="{265E9F67-7D06-41F2-8911-53539128FCD4}"/>
    <cellStyle name="Separador de milhares 7 4 2 2 2 3" xfId="30992" xr:uid="{E045FEA2-E957-4A06-BFA6-130D04340F73}"/>
    <cellStyle name="Separador de milhares 7 4 2 2 20" xfId="22158" xr:uid="{00000000-0005-0000-0000-0000DA600000}"/>
    <cellStyle name="Separador de milhares 7 4 2 2 20 2" xfId="22159" xr:uid="{00000000-0005-0000-0000-0000DB600000}"/>
    <cellStyle name="Separador de milhares 7 4 2 2 20 2 2" xfId="30995" xr:uid="{41140166-A048-4885-9349-C4A29F956EF4}"/>
    <cellStyle name="Separador de milhares 7 4 2 2 20 3" xfId="30994" xr:uid="{9B8CAB51-D785-4124-87A1-6D367161731D}"/>
    <cellStyle name="Separador de milhares 7 4 2 2 21" xfId="22160" xr:uid="{00000000-0005-0000-0000-0000DC600000}"/>
    <cellStyle name="Separador de milhares 7 4 2 2 21 2" xfId="22161" xr:uid="{00000000-0005-0000-0000-0000DD600000}"/>
    <cellStyle name="Separador de milhares 7 4 2 2 21 2 2" xfId="30997" xr:uid="{6B81AFA7-1411-4326-B41E-F1AC87BD4F88}"/>
    <cellStyle name="Separador de milhares 7 4 2 2 21 3" xfId="30996" xr:uid="{E70026A5-424E-48B5-848C-8673B0F715AD}"/>
    <cellStyle name="Separador de milhares 7 4 2 2 22" xfId="22162" xr:uid="{00000000-0005-0000-0000-0000DE600000}"/>
    <cellStyle name="Separador de milhares 7 4 2 2 22 2" xfId="22163" xr:uid="{00000000-0005-0000-0000-0000DF600000}"/>
    <cellStyle name="Separador de milhares 7 4 2 2 22 2 2" xfId="30999" xr:uid="{7DB7F101-8F0F-4BE1-8423-89A3D84FBAA6}"/>
    <cellStyle name="Separador de milhares 7 4 2 2 22 3" xfId="30998" xr:uid="{D6449834-16F2-4BAD-A337-EA1FCF844846}"/>
    <cellStyle name="Separador de milhares 7 4 2 2 23" xfId="22164" xr:uid="{00000000-0005-0000-0000-0000E0600000}"/>
    <cellStyle name="Separador de milhares 7 4 2 2 23 2" xfId="22165" xr:uid="{00000000-0005-0000-0000-0000E1600000}"/>
    <cellStyle name="Separador de milhares 7 4 2 2 23 2 2" xfId="31001" xr:uid="{DB95CBA9-112E-4E54-9F68-92B525482351}"/>
    <cellStyle name="Separador de milhares 7 4 2 2 23 3" xfId="31000" xr:uid="{2DA5438F-20A8-45C0-A571-D5187A50EB52}"/>
    <cellStyle name="Separador de milhares 7 4 2 2 24" xfId="22166" xr:uid="{00000000-0005-0000-0000-0000E2600000}"/>
    <cellStyle name="Separador de milhares 7 4 2 2 24 2" xfId="22167" xr:uid="{00000000-0005-0000-0000-0000E3600000}"/>
    <cellStyle name="Separador de milhares 7 4 2 2 24 2 2" xfId="31003" xr:uid="{C92D4166-ABE7-4D4A-8EAC-F3C526619DB0}"/>
    <cellStyle name="Separador de milhares 7 4 2 2 24 3" xfId="31002" xr:uid="{0A936A52-A75C-435E-A0A0-5BF41791435D}"/>
    <cellStyle name="Separador de milhares 7 4 2 2 25" xfId="22168" xr:uid="{00000000-0005-0000-0000-0000E4600000}"/>
    <cellStyle name="Separador de milhares 7 4 2 2 25 2" xfId="22169" xr:uid="{00000000-0005-0000-0000-0000E5600000}"/>
    <cellStyle name="Separador de milhares 7 4 2 2 25 2 2" xfId="31005" xr:uid="{6D25EE46-5678-47AF-943E-3D22267048E3}"/>
    <cellStyle name="Separador de milhares 7 4 2 2 25 3" xfId="31004" xr:uid="{6267AB9A-2088-4EAE-8609-473C34766705}"/>
    <cellStyle name="Separador de milhares 7 4 2 2 26" xfId="22170" xr:uid="{00000000-0005-0000-0000-0000E6600000}"/>
    <cellStyle name="Separador de milhares 7 4 2 2 26 2" xfId="22171" xr:uid="{00000000-0005-0000-0000-0000E7600000}"/>
    <cellStyle name="Separador de milhares 7 4 2 2 26 2 2" xfId="31007" xr:uid="{0FA06502-A28D-4053-8E39-0800371AA2A2}"/>
    <cellStyle name="Separador de milhares 7 4 2 2 26 3" xfId="31006" xr:uid="{6BC51089-A004-4606-9109-2896EE89A377}"/>
    <cellStyle name="Separador de milhares 7 4 2 2 27" xfId="22172" xr:uid="{00000000-0005-0000-0000-0000E8600000}"/>
    <cellStyle name="Separador de milhares 7 4 2 2 27 2" xfId="22173" xr:uid="{00000000-0005-0000-0000-0000E9600000}"/>
    <cellStyle name="Separador de milhares 7 4 2 2 27 2 2" xfId="31009" xr:uid="{BDEF9D03-4B5E-4A61-B81D-051396612A54}"/>
    <cellStyle name="Separador de milhares 7 4 2 2 27 3" xfId="31008" xr:uid="{0F163900-8EDB-492F-B002-A6ADFEF72F43}"/>
    <cellStyle name="Separador de milhares 7 4 2 2 28" xfId="22174" xr:uid="{00000000-0005-0000-0000-0000EA600000}"/>
    <cellStyle name="Separador de milhares 7 4 2 2 28 2" xfId="22175" xr:uid="{00000000-0005-0000-0000-0000EB600000}"/>
    <cellStyle name="Separador de milhares 7 4 2 2 28 2 2" xfId="31011" xr:uid="{9B3B8DF6-D9FE-4374-8863-9F1D51944D9A}"/>
    <cellStyle name="Separador de milhares 7 4 2 2 28 3" xfId="31010" xr:uid="{64C2CF08-5002-43CF-BA30-2F20D7F29F1D}"/>
    <cellStyle name="Separador de milhares 7 4 2 2 29" xfId="22176" xr:uid="{00000000-0005-0000-0000-0000EC600000}"/>
    <cellStyle name="Separador de milhares 7 4 2 2 29 2" xfId="22177" xr:uid="{00000000-0005-0000-0000-0000ED600000}"/>
    <cellStyle name="Separador de milhares 7 4 2 2 29 2 2" xfId="31013" xr:uid="{7FE09298-BCC7-4A3D-AB6F-8B88D6B72056}"/>
    <cellStyle name="Separador de milhares 7 4 2 2 29 3" xfId="31012" xr:uid="{021322AF-F93E-4E90-9B81-5B787EBF985D}"/>
    <cellStyle name="Separador de milhares 7 4 2 2 3" xfId="22178" xr:uid="{00000000-0005-0000-0000-0000EE600000}"/>
    <cellStyle name="Separador de milhares 7 4 2 2 3 2" xfId="22179" xr:uid="{00000000-0005-0000-0000-0000EF600000}"/>
    <cellStyle name="Separador de milhares 7 4 2 2 3 2 2" xfId="31015" xr:uid="{2AE48A1D-9C6C-46B0-A7E8-614C86414024}"/>
    <cellStyle name="Separador de milhares 7 4 2 2 3 3" xfId="31014" xr:uid="{B31EB48A-96E8-4C65-AF20-CF54E19FF529}"/>
    <cellStyle name="Separador de milhares 7 4 2 2 30" xfId="22180" xr:uid="{00000000-0005-0000-0000-0000F0600000}"/>
    <cellStyle name="Separador de milhares 7 4 2 2 30 2" xfId="22181" xr:uid="{00000000-0005-0000-0000-0000F1600000}"/>
    <cellStyle name="Separador de milhares 7 4 2 2 30 2 2" xfId="31017" xr:uid="{A7FCB2DC-8F91-41F4-89B2-36423B57B2E9}"/>
    <cellStyle name="Separador de milhares 7 4 2 2 30 3" xfId="31016" xr:uid="{F4C833E8-D2AD-4C0E-90F0-9D469C56BECC}"/>
    <cellStyle name="Separador de milhares 7 4 2 2 31" xfId="22182" xr:uid="{00000000-0005-0000-0000-0000F2600000}"/>
    <cellStyle name="Separador de milhares 7 4 2 2 31 2" xfId="22183" xr:uid="{00000000-0005-0000-0000-0000F3600000}"/>
    <cellStyle name="Separador de milhares 7 4 2 2 31 2 2" xfId="31019" xr:uid="{5B2F4FA2-E372-4044-9997-A7704D3D683F}"/>
    <cellStyle name="Separador de milhares 7 4 2 2 31 3" xfId="31018" xr:uid="{0B2AC5C4-F92A-43C2-B95E-63D8710C6B55}"/>
    <cellStyle name="Separador de milhares 7 4 2 2 32" xfId="22184" xr:uid="{00000000-0005-0000-0000-0000F4600000}"/>
    <cellStyle name="Separador de milhares 7 4 2 2 32 2" xfId="22185" xr:uid="{00000000-0005-0000-0000-0000F5600000}"/>
    <cellStyle name="Separador de milhares 7 4 2 2 32 2 2" xfId="31021" xr:uid="{DC7625F2-C3B8-4921-B030-0A5888A428C3}"/>
    <cellStyle name="Separador de milhares 7 4 2 2 32 3" xfId="31020" xr:uid="{62542DBE-53C0-4DDF-BED9-3452356913DA}"/>
    <cellStyle name="Separador de milhares 7 4 2 2 33" xfId="22186" xr:uid="{00000000-0005-0000-0000-0000F6600000}"/>
    <cellStyle name="Separador de milhares 7 4 2 2 33 2" xfId="22187" xr:uid="{00000000-0005-0000-0000-0000F7600000}"/>
    <cellStyle name="Separador de milhares 7 4 2 2 33 2 2" xfId="31023" xr:uid="{FD257B72-5831-4C5A-82D2-08EAC9EE4450}"/>
    <cellStyle name="Separador de milhares 7 4 2 2 33 3" xfId="31022" xr:uid="{41455332-4663-41C5-AC99-2E61A773E7FD}"/>
    <cellStyle name="Separador de milhares 7 4 2 2 34" xfId="22188" xr:uid="{00000000-0005-0000-0000-0000F8600000}"/>
    <cellStyle name="Separador de milhares 7 4 2 2 34 2" xfId="22189" xr:uid="{00000000-0005-0000-0000-0000F9600000}"/>
    <cellStyle name="Separador de milhares 7 4 2 2 34 2 2" xfId="31025" xr:uid="{04B6D54C-5452-44CC-82D1-CC811FBE4049}"/>
    <cellStyle name="Separador de milhares 7 4 2 2 34 3" xfId="31024" xr:uid="{8E090CA1-0C17-4F87-BA6E-03C50915E4D1}"/>
    <cellStyle name="Separador de milhares 7 4 2 2 35" xfId="22190" xr:uid="{00000000-0005-0000-0000-0000FA600000}"/>
    <cellStyle name="Separador de milhares 7 4 2 2 35 2" xfId="31026" xr:uid="{7AB78783-6504-4F5B-BC15-60C208630582}"/>
    <cellStyle name="Separador de milhares 7 4 2 2 36" xfId="22135" xr:uid="{00000000-0005-0000-0000-0000FB600000}"/>
    <cellStyle name="Separador de milhares 7 4 2 2 36 2" xfId="30971" xr:uid="{ED5E0BD2-31A5-4DA9-AC43-1EC2F239218C}"/>
    <cellStyle name="Separador de milhares 7 4 2 2 37" xfId="28085" xr:uid="{D0EA2464-DB04-4B74-8EE2-93DE6C64C84B}"/>
    <cellStyle name="Separador de milhares 7 4 2 2 4" xfId="22191" xr:uid="{00000000-0005-0000-0000-0000FC600000}"/>
    <cellStyle name="Separador de milhares 7 4 2 2 4 2" xfId="22192" xr:uid="{00000000-0005-0000-0000-0000FD600000}"/>
    <cellStyle name="Separador de milhares 7 4 2 2 4 2 2" xfId="31028" xr:uid="{B71D94AA-DA21-48E2-B85B-B892408CAC2B}"/>
    <cellStyle name="Separador de milhares 7 4 2 2 4 3" xfId="31027" xr:uid="{643D24AC-C5C8-4E89-AA17-4826376DB60C}"/>
    <cellStyle name="Separador de milhares 7 4 2 2 5" xfId="22193" xr:uid="{00000000-0005-0000-0000-0000FE600000}"/>
    <cellStyle name="Separador de milhares 7 4 2 2 5 2" xfId="22194" xr:uid="{00000000-0005-0000-0000-0000FF600000}"/>
    <cellStyle name="Separador de milhares 7 4 2 2 5 2 2" xfId="31030" xr:uid="{33127D46-F416-4FC3-86F1-D84492D96076}"/>
    <cellStyle name="Separador de milhares 7 4 2 2 5 3" xfId="31029" xr:uid="{98E604D0-E702-4690-97EC-9C121DF231CD}"/>
    <cellStyle name="Separador de milhares 7 4 2 2 6" xfId="22195" xr:uid="{00000000-0005-0000-0000-000000610000}"/>
    <cellStyle name="Separador de milhares 7 4 2 2 6 2" xfId="22196" xr:uid="{00000000-0005-0000-0000-000001610000}"/>
    <cellStyle name="Separador de milhares 7 4 2 2 6 2 2" xfId="31032" xr:uid="{08964DE3-748F-4DB9-8AAC-E5D950F60335}"/>
    <cellStyle name="Separador de milhares 7 4 2 2 6 3" xfId="31031" xr:uid="{6FDDD74D-9AB9-48BD-A54A-8D0E2BCB7ED4}"/>
    <cellStyle name="Separador de milhares 7 4 2 2 7" xfId="22197" xr:uid="{00000000-0005-0000-0000-000002610000}"/>
    <cellStyle name="Separador de milhares 7 4 2 2 7 2" xfId="22198" xr:uid="{00000000-0005-0000-0000-000003610000}"/>
    <cellStyle name="Separador de milhares 7 4 2 2 7 2 2" xfId="31034" xr:uid="{4FCDEAFB-DBF1-4C31-A5D4-C07F42D28F16}"/>
    <cellStyle name="Separador de milhares 7 4 2 2 7 3" xfId="31033" xr:uid="{C78A5474-A74F-466F-905E-6348CCFC26F9}"/>
    <cellStyle name="Separador de milhares 7 4 2 2 8" xfId="22199" xr:uid="{00000000-0005-0000-0000-000004610000}"/>
    <cellStyle name="Separador de milhares 7 4 2 2 8 2" xfId="22200" xr:uid="{00000000-0005-0000-0000-000005610000}"/>
    <cellStyle name="Separador de milhares 7 4 2 2 8 2 2" xfId="31036" xr:uid="{EF420608-633B-4F44-A7A1-E5E05AF6F143}"/>
    <cellStyle name="Separador de milhares 7 4 2 2 8 3" xfId="31035" xr:uid="{634FFC5F-4F4D-43D8-9C1F-68E188C6B939}"/>
    <cellStyle name="Separador de milhares 7 4 2 2 9" xfId="22201" xr:uid="{00000000-0005-0000-0000-000006610000}"/>
    <cellStyle name="Separador de milhares 7 4 2 2 9 2" xfId="22202" xr:uid="{00000000-0005-0000-0000-000007610000}"/>
    <cellStyle name="Separador de milhares 7 4 2 2 9 2 2" xfId="31038" xr:uid="{9905DCF4-FFF5-4651-87C7-2D667A8CFEE6}"/>
    <cellStyle name="Separador de milhares 7 4 2 2 9 3" xfId="31037" xr:uid="{972394EF-6E55-4A0C-B86F-FF47F0C4DB7B}"/>
    <cellStyle name="Separador de milhares 7 4 2 20" xfId="22203" xr:uid="{00000000-0005-0000-0000-000008610000}"/>
    <cellStyle name="Separador de milhares 7 4 2 20 2" xfId="22204" xr:uid="{00000000-0005-0000-0000-000009610000}"/>
    <cellStyle name="Separador de milhares 7 4 2 20 2 2" xfId="31040" xr:uid="{2ADC4FE8-C800-4B61-819F-D43597273C96}"/>
    <cellStyle name="Separador de milhares 7 4 2 20 3" xfId="31039" xr:uid="{7D52BA1C-3F19-4D38-820C-928A57F8D79C}"/>
    <cellStyle name="Separador de milhares 7 4 2 21" xfId="22205" xr:uid="{00000000-0005-0000-0000-00000A610000}"/>
    <cellStyle name="Separador de milhares 7 4 2 21 2" xfId="22206" xr:uid="{00000000-0005-0000-0000-00000B610000}"/>
    <cellStyle name="Separador de milhares 7 4 2 21 2 2" xfId="31042" xr:uid="{5803FBD0-27E2-484D-AE4A-3CDB85310A7A}"/>
    <cellStyle name="Separador de milhares 7 4 2 21 3" xfId="31041" xr:uid="{C9808D85-045C-473D-AFF8-BBA75009D4F1}"/>
    <cellStyle name="Separador de milhares 7 4 2 22" xfId="22207" xr:uid="{00000000-0005-0000-0000-00000C610000}"/>
    <cellStyle name="Separador de milhares 7 4 2 22 2" xfId="22208" xr:uid="{00000000-0005-0000-0000-00000D610000}"/>
    <cellStyle name="Separador de milhares 7 4 2 22 2 2" xfId="31044" xr:uid="{EDD57B3C-2952-40B0-9F74-64C557A7A997}"/>
    <cellStyle name="Separador de milhares 7 4 2 22 3" xfId="31043" xr:uid="{63B52BAE-0796-48FB-B863-BD866E5604ED}"/>
    <cellStyle name="Separador de milhares 7 4 2 23" xfId="22209" xr:uid="{00000000-0005-0000-0000-00000E610000}"/>
    <cellStyle name="Separador de milhares 7 4 2 23 2" xfId="22210" xr:uid="{00000000-0005-0000-0000-00000F610000}"/>
    <cellStyle name="Separador de milhares 7 4 2 23 2 2" xfId="31046" xr:uid="{6975C508-DE46-404B-A285-DA377CFD3D11}"/>
    <cellStyle name="Separador de milhares 7 4 2 23 3" xfId="31045" xr:uid="{EAD9B0D7-59B5-4B00-A383-B0966F8C3339}"/>
    <cellStyle name="Separador de milhares 7 4 2 24" xfId="22211" xr:uid="{00000000-0005-0000-0000-000010610000}"/>
    <cellStyle name="Separador de milhares 7 4 2 24 2" xfId="22212" xr:uid="{00000000-0005-0000-0000-000011610000}"/>
    <cellStyle name="Separador de milhares 7 4 2 24 2 2" xfId="31048" xr:uid="{3BA4A7DB-6AC7-47D6-BDE1-1FDCF0D01D25}"/>
    <cellStyle name="Separador de milhares 7 4 2 24 3" xfId="31047" xr:uid="{492EAC91-63B7-4471-8A5D-AA7F41363F71}"/>
    <cellStyle name="Separador de milhares 7 4 2 25" xfId="22213" xr:uid="{00000000-0005-0000-0000-000012610000}"/>
    <cellStyle name="Separador de milhares 7 4 2 25 2" xfId="22214" xr:uid="{00000000-0005-0000-0000-000013610000}"/>
    <cellStyle name="Separador de milhares 7 4 2 25 2 2" xfId="31050" xr:uid="{B2462EF5-A312-44E1-9E15-164EC2D3C5E2}"/>
    <cellStyle name="Separador de milhares 7 4 2 25 3" xfId="31049" xr:uid="{6587D0D2-B09C-4B25-90B5-4BD0746A832F}"/>
    <cellStyle name="Separador de milhares 7 4 2 26" xfId="22215" xr:uid="{00000000-0005-0000-0000-000014610000}"/>
    <cellStyle name="Separador de milhares 7 4 2 26 2" xfId="22216" xr:uid="{00000000-0005-0000-0000-000015610000}"/>
    <cellStyle name="Separador de milhares 7 4 2 26 2 2" xfId="31052" xr:uid="{4C44A8CB-D844-4D07-BDBC-35CAE3EB9760}"/>
    <cellStyle name="Separador de milhares 7 4 2 26 3" xfId="31051" xr:uid="{F71A45C8-8D49-4DC4-ADC6-3E7E5B47ADEA}"/>
    <cellStyle name="Separador de milhares 7 4 2 27" xfId="22217" xr:uid="{00000000-0005-0000-0000-000016610000}"/>
    <cellStyle name="Separador de milhares 7 4 2 27 2" xfId="22218" xr:uid="{00000000-0005-0000-0000-000017610000}"/>
    <cellStyle name="Separador de milhares 7 4 2 27 2 2" xfId="31054" xr:uid="{81022C1E-CBBD-4050-BF29-198877A13E72}"/>
    <cellStyle name="Separador de milhares 7 4 2 27 3" xfId="31053" xr:uid="{F8083337-7804-49E2-840B-BFCAC857EBDF}"/>
    <cellStyle name="Separador de milhares 7 4 2 28" xfId="22219" xr:uid="{00000000-0005-0000-0000-000018610000}"/>
    <cellStyle name="Separador de milhares 7 4 2 28 2" xfId="22220" xr:uid="{00000000-0005-0000-0000-000019610000}"/>
    <cellStyle name="Separador de milhares 7 4 2 28 2 2" xfId="31056" xr:uid="{CB62938F-FDD6-4A33-88CC-87FFACA1F0BA}"/>
    <cellStyle name="Separador de milhares 7 4 2 28 3" xfId="31055" xr:uid="{1BDA6EA2-3B67-4C73-A5A6-9EDD568BFAD9}"/>
    <cellStyle name="Separador de milhares 7 4 2 29" xfId="22221" xr:uid="{00000000-0005-0000-0000-00001A610000}"/>
    <cellStyle name="Separador de milhares 7 4 2 29 2" xfId="22222" xr:uid="{00000000-0005-0000-0000-00001B610000}"/>
    <cellStyle name="Separador de milhares 7 4 2 29 2 2" xfId="31058" xr:uid="{E968C52B-1137-487C-8155-68A1F4729DD4}"/>
    <cellStyle name="Separador de milhares 7 4 2 29 3" xfId="31057" xr:uid="{45FB8765-4D9D-42DF-A1FB-6FAE2838487D}"/>
    <cellStyle name="Separador de milhares 7 4 2 3" xfId="22223" xr:uid="{00000000-0005-0000-0000-00001C610000}"/>
    <cellStyle name="Separador de milhares 7 4 2 3 10" xfId="22224" xr:uid="{00000000-0005-0000-0000-00001D610000}"/>
    <cellStyle name="Separador de milhares 7 4 2 3 10 2" xfId="22225" xr:uid="{00000000-0005-0000-0000-00001E610000}"/>
    <cellStyle name="Separador de milhares 7 4 2 3 10 2 2" xfId="31061" xr:uid="{C33C0A6E-BD25-412D-AA3C-2DB1678BD49F}"/>
    <cellStyle name="Separador de milhares 7 4 2 3 10 3" xfId="31060" xr:uid="{5E735C95-0516-4AC3-88E8-68678C555BF2}"/>
    <cellStyle name="Separador de milhares 7 4 2 3 11" xfId="22226" xr:uid="{00000000-0005-0000-0000-00001F610000}"/>
    <cellStyle name="Separador de milhares 7 4 2 3 11 2" xfId="22227" xr:uid="{00000000-0005-0000-0000-000020610000}"/>
    <cellStyle name="Separador de milhares 7 4 2 3 11 2 2" xfId="31063" xr:uid="{BC9208A2-E67E-4CEC-B655-92941F741FF6}"/>
    <cellStyle name="Separador de milhares 7 4 2 3 11 3" xfId="31062" xr:uid="{A96A5108-FB06-4B6F-B000-00E5312018DB}"/>
    <cellStyle name="Separador de milhares 7 4 2 3 12" xfId="22228" xr:uid="{00000000-0005-0000-0000-000021610000}"/>
    <cellStyle name="Separador de milhares 7 4 2 3 12 2" xfId="22229" xr:uid="{00000000-0005-0000-0000-000022610000}"/>
    <cellStyle name="Separador de milhares 7 4 2 3 12 2 2" xfId="31065" xr:uid="{ADB7B771-E085-443C-85C6-81A5A2C6B346}"/>
    <cellStyle name="Separador de milhares 7 4 2 3 12 3" xfId="31064" xr:uid="{A46B5102-9F61-4C3C-9FCA-41380953BC17}"/>
    <cellStyle name="Separador de milhares 7 4 2 3 13" xfId="22230" xr:uid="{00000000-0005-0000-0000-000023610000}"/>
    <cellStyle name="Separador de milhares 7 4 2 3 13 2" xfId="22231" xr:uid="{00000000-0005-0000-0000-000024610000}"/>
    <cellStyle name="Separador de milhares 7 4 2 3 13 2 2" xfId="31067" xr:uid="{212DE36B-E1C7-4050-9E6A-9C30BB79121C}"/>
    <cellStyle name="Separador de milhares 7 4 2 3 13 3" xfId="31066" xr:uid="{C2DCD50C-A7F8-4CDF-8F0D-7FECD5863D20}"/>
    <cellStyle name="Separador de milhares 7 4 2 3 14" xfId="22232" xr:uid="{00000000-0005-0000-0000-000025610000}"/>
    <cellStyle name="Separador de milhares 7 4 2 3 14 2" xfId="22233" xr:uid="{00000000-0005-0000-0000-000026610000}"/>
    <cellStyle name="Separador de milhares 7 4 2 3 14 2 2" xfId="31069" xr:uid="{60053BF8-639A-48E4-BFBB-FC0DD47270DE}"/>
    <cellStyle name="Separador de milhares 7 4 2 3 14 3" xfId="31068" xr:uid="{0EC352B4-EA61-4CFC-81D9-F918494DD4A8}"/>
    <cellStyle name="Separador de milhares 7 4 2 3 15" xfId="22234" xr:uid="{00000000-0005-0000-0000-000027610000}"/>
    <cellStyle name="Separador de milhares 7 4 2 3 15 2" xfId="22235" xr:uid="{00000000-0005-0000-0000-000028610000}"/>
    <cellStyle name="Separador de milhares 7 4 2 3 15 2 2" xfId="31071" xr:uid="{43F4EC3C-B5C2-4E0B-9C4B-34D8C9183851}"/>
    <cellStyle name="Separador de milhares 7 4 2 3 15 3" xfId="31070" xr:uid="{B6643896-84D1-403F-81D0-2B07C8E8389D}"/>
    <cellStyle name="Separador de milhares 7 4 2 3 16" xfId="22236" xr:uid="{00000000-0005-0000-0000-000029610000}"/>
    <cellStyle name="Separador de milhares 7 4 2 3 16 2" xfId="22237" xr:uid="{00000000-0005-0000-0000-00002A610000}"/>
    <cellStyle name="Separador de milhares 7 4 2 3 16 2 2" xfId="31073" xr:uid="{DDC1AC03-3D1D-4F2D-A1D5-185B68E35668}"/>
    <cellStyle name="Separador de milhares 7 4 2 3 16 3" xfId="31072" xr:uid="{331C55E9-9CE7-4FFF-962C-EB229649F187}"/>
    <cellStyle name="Separador de milhares 7 4 2 3 17" xfId="22238" xr:uid="{00000000-0005-0000-0000-00002B610000}"/>
    <cellStyle name="Separador de milhares 7 4 2 3 17 2" xfId="22239" xr:uid="{00000000-0005-0000-0000-00002C610000}"/>
    <cellStyle name="Separador de milhares 7 4 2 3 17 2 2" xfId="31075" xr:uid="{7CD63BC4-A3A0-4DA9-9F10-F74784EE5F2F}"/>
    <cellStyle name="Separador de milhares 7 4 2 3 17 3" xfId="31074" xr:uid="{ECB361C6-F2EC-4D80-B0CB-324CEFA826FE}"/>
    <cellStyle name="Separador de milhares 7 4 2 3 18" xfId="22240" xr:uid="{00000000-0005-0000-0000-00002D610000}"/>
    <cellStyle name="Separador de milhares 7 4 2 3 18 2" xfId="22241" xr:uid="{00000000-0005-0000-0000-00002E610000}"/>
    <cellStyle name="Separador de milhares 7 4 2 3 18 2 2" xfId="31077" xr:uid="{F92ECD75-E0BF-430D-9899-426B2848DD08}"/>
    <cellStyle name="Separador de milhares 7 4 2 3 18 3" xfId="31076" xr:uid="{7599D017-4A12-4460-BDBF-9C8FA1BB17C8}"/>
    <cellStyle name="Separador de milhares 7 4 2 3 19" xfId="22242" xr:uid="{00000000-0005-0000-0000-00002F610000}"/>
    <cellStyle name="Separador de milhares 7 4 2 3 19 2" xfId="22243" xr:uid="{00000000-0005-0000-0000-000030610000}"/>
    <cellStyle name="Separador de milhares 7 4 2 3 19 2 2" xfId="31079" xr:uid="{E0D21EE6-0D9F-4B71-8CB5-682E61C1C411}"/>
    <cellStyle name="Separador de milhares 7 4 2 3 19 3" xfId="31078" xr:uid="{DAE7BB15-B309-428E-9F01-62890F3F2D52}"/>
    <cellStyle name="Separador de milhares 7 4 2 3 2" xfId="22244" xr:uid="{00000000-0005-0000-0000-000031610000}"/>
    <cellStyle name="Separador de milhares 7 4 2 3 2 2" xfId="22245" xr:uid="{00000000-0005-0000-0000-000032610000}"/>
    <cellStyle name="Separador de milhares 7 4 2 3 2 2 2" xfId="31081" xr:uid="{B8E104C9-7D31-44D5-95D4-66AF7A9DD27B}"/>
    <cellStyle name="Separador de milhares 7 4 2 3 2 3" xfId="31080" xr:uid="{7BAFCD3E-EE23-41A6-AB9A-95E7F7BF5E40}"/>
    <cellStyle name="Separador de milhares 7 4 2 3 20" xfId="22246" xr:uid="{00000000-0005-0000-0000-000033610000}"/>
    <cellStyle name="Separador de milhares 7 4 2 3 20 2" xfId="22247" xr:uid="{00000000-0005-0000-0000-000034610000}"/>
    <cellStyle name="Separador de milhares 7 4 2 3 20 2 2" xfId="31083" xr:uid="{82DACB16-4145-42BA-A063-F0B658B8D81F}"/>
    <cellStyle name="Separador de milhares 7 4 2 3 20 3" xfId="31082" xr:uid="{588B29E5-77E8-4037-841C-4D91EE05DB5B}"/>
    <cellStyle name="Separador de milhares 7 4 2 3 21" xfId="22248" xr:uid="{00000000-0005-0000-0000-000035610000}"/>
    <cellStyle name="Separador de milhares 7 4 2 3 21 2" xfId="22249" xr:uid="{00000000-0005-0000-0000-000036610000}"/>
    <cellStyle name="Separador de milhares 7 4 2 3 21 2 2" xfId="31085" xr:uid="{86A5ADDA-BF05-4ED8-80E6-30E3AAFFF27A}"/>
    <cellStyle name="Separador de milhares 7 4 2 3 21 3" xfId="31084" xr:uid="{8C887327-DB90-460D-86AA-23FE2227E9BE}"/>
    <cellStyle name="Separador de milhares 7 4 2 3 22" xfId="22250" xr:uid="{00000000-0005-0000-0000-000037610000}"/>
    <cellStyle name="Separador de milhares 7 4 2 3 22 2" xfId="22251" xr:uid="{00000000-0005-0000-0000-000038610000}"/>
    <cellStyle name="Separador de milhares 7 4 2 3 22 2 2" xfId="31087" xr:uid="{D4E06C6F-11A6-41F8-A672-54460996F068}"/>
    <cellStyle name="Separador de milhares 7 4 2 3 22 3" xfId="31086" xr:uid="{6F8E05A0-80C9-41CE-A5BB-BEABDE8092D1}"/>
    <cellStyle name="Separador de milhares 7 4 2 3 23" xfId="22252" xr:uid="{00000000-0005-0000-0000-000039610000}"/>
    <cellStyle name="Separador de milhares 7 4 2 3 23 2" xfId="22253" xr:uid="{00000000-0005-0000-0000-00003A610000}"/>
    <cellStyle name="Separador de milhares 7 4 2 3 23 2 2" xfId="31089" xr:uid="{7359FC8F-B393-4C6C-8B17-89FE0A7BB0B5}"/>
    <cellStyle name="Separador de milhares 7 4 2 3 23 3" xfId="31088" xr:uid="{0A4DA2D5-98A5-419E-A766-2B268A9D695B}"/>
    <cellStyle name="Separador de milhares 7 4 2 3 24" xfId="22254" xr:uid="{00000000-0005-0000-0000-00003B610000}"/>
    <cellStyle name="Separador de milhares 7 4 2 3 24 2" xfId="22255" xr:uid="{00000000-0005-0000-0000-00003C610000}"/>
    <cellStyle name="Separador de milhares 7 4 2 3 24 2 2" xfId="31091" xr:uid="{1E2325B9-5C3E-4B1D-9A4C-9D6675CD23FF}"/>
    <cellStyle name="Separador de milhares 7 4 2 3 24 3" xfId="31090" xr:uid="{45A4DE3D-B193-46B5-B37B-5A0A5C65210A}"/>
    <cellStyle name="Separador de milhares 7 4 2 3 25" xfId="22256" xr:uid="{00000000-0005-0000-0000-00003D610000}"/>
    <cellStyle name="Separador de milhares 7 4 2 3 25 2" xfId="22257" xr:uid="{00000000-0005-0000-0000-00003E610000}"/>
    <cellStyle name="Separador de milhares 7 4 2 3 25 2 2" xfId="31093" xr:uid="{E559A472-FCF5-4D86-AAA6-A2F6677564E4}"/>
    <cellStyle name="Separador de milhares 7 4 2 3 25 3" xfId="31092" xr:uid="{C347259A-30AF-4227-8612-80CEED5EC712}"/>
    <cellStyle name="Separador de milhares 7 4 2 3 26" xfId="22258" xr:uid="{00000000-0005-0000-0000-00003F610000}"/>
    <cellStyle name="Separador de milhares 7 4 2 3 26 2" xfId="22259" xr:uid="{00000000-0005-0000-0000-000040610000}"/>
    <cellStyle name="Separador de milhares 7 4 2 3 26 2 2" xfId="31095" xr:uid="{C595D1C8-0908-43EB-A16A-684DF32DCC8D}"/>
    <cellStyle name="Separador de milhares 7 4 2 3 26 3" xfId="31094" xr:uid="{97F1E48B-5E8A-4934-9923-E16A91633F60}"/>
    <cellStyle name="Separador de milhares 7 4 2 3 27" xfId="22260" xr:uid="{00000000-0005-0000-0000-000041610000}"/>
    <cellStyle name="Separador de milhares 7 4 2 3 27 2" xfId="22261" xr:uid="{00000000-0005-0000-0000-000042610000}"/>
    <cellStyle name="Separador de milhares 7 4 2 3 27 2 2" xfId="31097" xr:uid="{BBF23596-87C8-468D-849C-41172CCB1AFE}"/>
    <cellStyle name="Separador de milhares 7 4 2 3 27 3" xfId="31096" xr:uid="{B77CD188-714D-4F3A-A0D2-154D47321995}"/>
    <cellStyle name="Separador de milhares 7 4 2 3 28" xfId="22262" xr:uid="{00000000-0005-0000-0000-000043610000}"/>
    <cellStyle name="Separador de milhares 7 4 2 3 28 2" xfId="22263" xr:uid="{00000000-0005-0000-0000-000044610000}"/>
    <cellStyle name="Separador de milhares 7 4 2 3 28 2 2" xfId="31099" xr:uid="{E2D57AEA-AF49-4E36-9E24-005235DEF3B1}"/>
    <cellStyle name="Separador de milhares 7 4 2 3 28 3" xfId="31098" xr:uid="{D05D8290-45DE-4520-86DD-15E52FA9D6A6}"/>
    <cellStyle name="Separador de milhares 7 4 2 3 29" xfId="22264" xr:uid="{00000000-0005-0000-0000-000045610000}"/>
    <cellStyle name="Separador de milhares 7 4 2 3 29 2" xfId="22265" xr:uid="{00000000-0005-0000-0000-000046610000}"/>
    <cellStyle name="Separador de milhares 7 4 2 3 29 2 2" xfId="31101" xr:uid="{D1635AAB-AFC0-4F98-B601-588496FB77F9}"/>
    <cellStyle name="Separador de milhares 7 4 2 3 29 3" xfId="31100" xr:uid="{FF910B42-BCE7-424C-A4AF-0A22C8BF51BD}"/>
    <cellStyle name="Separador de milhares 7 4 2 3 3" xfId="22266" xr:uid="{00000000-0005-0000-0000-000047610000}"/>
    <cellStyle name="Separador de milhares 7 4 2 3 3 2" xfId="22267" xr:uid="{00000000-0005-0000-0000-000048610000}"/>
    <cellStyle name="Separador de milhares 7 4 2 3 3 2 2" xfId="31103" xr:uid="{A221621E-A3A2-425B-B9C5-303FF3FE126B}"/>
    <cellStyle name="Separador de milhares 7 4 2 3 3 3" xfId="31102" xr:uid="{87C1EA11-0990-4D54-B6D3-4ECDE6AA97B0}"/>
    <cellStyle name="Separador de milhares 7 4 2 3 30" xfId="22268" xr:uid="{00000000-0005-0000-0000-000049610000}"/>
    <cellStyle name="Separador de milhares 7 4 2 3 30 2" xfId="22269" xr:uid="{00000000-0005-0000-0000-00004A610000}"/>
    <cellStyle name="Separador de milhares 7 4 2 3 30 2 2" xfId="31105" xr:uid="{87BECC6E-3485-4115-ADAD-1FDC847B3F39}"/>
    <cellStyle name="Separador de milhares 7 4 2 3 30 3" xfId="31104" xr:uid="{A5882C5F-C256-4F92-B76B-645E072E82B2}"/>
    <cellStyle name="Separador de milhares 7 4 2 3 31" xfId="22270" xr:uid="{00000000-0005-0000-0000-00004B610000}"/>
    <cellStyle name="Separador de milhares 7 4 2 3 31 2" xfId="22271" xr:uid="{00000000-0005-0000-0000-00004C610000}"/>
    <cellStyle name="Separador de milhares 7 4 2 3 31 2 2" xfId="31107" xr:uid="{875B57F4-6D56-43FE-8B09-CB5E54E089F6}"/>
    <cellStyle name="Separador de milhares 7 4 2 3 31 3" xfId="31106" xr:uid="{C1D74AA3-4177-40EB-B275-416A35CDFE80}"/>
    <cellStyle name="Separador de milhares 7 4 2 3 32" xfId="22272" xr:uid="{00000000-0005-0000-0000-00004D610000}"/>
    <cellStyle name="Separador de milhares 7 4 2 3 32 2" xfId="22273" xr:uid="{00000000-0005-0000-0000-00004E610000}"/>
    <cellStyle name="Separador de milhares 7 4 2 3 32 2 2" xfId="31109" xr:uid="{BCBAA498-BBA8-4520-944B-1C0F67F1CC4F}"/>
    <cellStyle name="Separador de milhares 7 4 2 3 32 3" xfId="31108" xr:uid="{A2A92FF9-F524-4304-B13C-0981E029975C}"/>
    <cellStyle name="Separador de milhares 7 4 2 3 33" xfId="22274" xr:uid="{00000000-0005-0000-0000-00004F610000}"/>
    <cellStyle name="Separador de milhares 7 4 2 3 33 2" xfId="22275" xr:uid="{00000000-0005-0000-0000-000050610000}"/>
    <cellStyle name="Separador de milhares 7 4 2 3 33 2 2" xfId="31111" xr:uid="{06E81D29-F2B1-4440-AFB5-6CE9D82BE4A8}"/>
    <cellStyle name="Separador de milhares 7 4 2 3 33 3" xfId="31110" xr:uid="{3BC7639C-2916-4536-9473-9EAE0B38770A}"/>
    <cellStyle name="Separador de milhares 7 4 2 3 34" xfId="22276" xr:uid="{00000000-0005-0000-0000-000051610000}"/>
    <cellStyle name="Separador de milhares 7 4 2 3 34 2" xfId="22277" xr:uid="{00000000-0005-0000-0000-000052610000}"/>
    <cellStyle name="Separador de milhares 7 4 2 3 34 2 2" xfId="31113" xr:uid="{5BEE2CA5-4E6D-433D-A0FC-47D4B982D621}"/>
    <cellStyle name="Separador de milhares 7 4 2 3 34 3" xfId="31112" xr:uid="{B819F5A0-5A9F-4155-B1D9-C22F57FE02BC}"/>
    <cellStyle name="Separador de milhares 7 4 2 3 35" xfId="22278" xr:uid="{00000000-0005-0000-0000-000053610000}"/>
    <cellStyle name="Separador de milhares 7 4 2 3 35 2" xfId="31114" xr:uid="{5F26C0EA-8F09-4AD4-BA81-3C6525C248C8}"/>
    <cellStyle name="Separador de milhares 7 4 2 3 36" xfId="31059" xr:uid="{E76906D1-1761-4F6C-9AAA-95E3C59C49F9}"/>
    <cellStyle name="Separador de milhares 7 4 2 3 4" xfId="22279" xr:uid="{00000000-0005-0000-0000-000054610000}"/>
    <cellStyle name="Separador de milhares 7 4 2 3 4 2" xfId="22280" xr:uid="{00000000-0005-0000-0000-000055610000}"/>
    <cellStyle name="Separador de milhares 7 4 2 3 4 2 2" xfId="31116" xr:uid="{11B6D881-6BAF-4BFA-93A6-6FE0CA26B5D4}"/>
    <cellStyle name="Separador de milhares 7 4 2 3 4 3" xfId="31115" xr:uid="{91A9B835-1F04-4687-BAD8-BAC2840FFB2A}"/>
    <cellStyle name="Separador de milhares 7 4 2 3 5" xfId="22281" xr:uid="{00000000-0005-0000-0000-000056610000}"/>
    <cellStyle name="Separador de milhares 7 4 2 3 5 2" xfId="22282" xr:uid="{00000000-0005-0000-0000-000057610000}"/>
    <cellStyle name="Separador de milhares 7 4 2 3 5 2 2" xfId="31118" xr:uid="{77F599F6-4E33-42A8-B065-B0C840C4BCD7}"/>
    <cellStyle name="Separador de milhares 7 4 2 3 5 3" xfId="31117" xr:uid="{1DEF4C08-26F5-41D5-998D-F57AD41824A3}"/>
    <cellStyle name="Separador de milhares 7 4 2 3 6" xfId="22283" xr:uid="{00000000-0005-0000-0000-000058610000}"/>
    <cellStyle name="Separador de milhares 7 4 2 3 6 2" xfId="22284" xr:uid="{00000000-0005-0000-0000-000059610000}"/>
    <cellStyle name="Separador de milhares 7 4 2 3 6 2 2" xfId="31120" xr:uid="{CA4EA3E3-EC32-45E2-9597-07D9FB4F832A}"/>
    <cellStyle name="Separador de milhares 7 4 2 3 6 3" xfId="31119" xr:uid="{0D283E74-C7A2-43F0-894A-0AC6372F1E08}"/>
    <cellStyle name="Separador de milhares 7 4 2 3 7" xfId="22285" xr:uid="{00000000-0005-0000-0000-00005A610000}"/>
    <cellStyle name="Separador de milhares 7 4 2 3 7 2" xfId="22286" xr:uid="{00000000-0005-0000-0000-00005B610000}"/>
    <cellStyle name="Separador de milhares 7 4 2 3 7 2 2" xfId="31122" xr:uid="{4D6D635D-CBD1-4BE1-A4CF-D4B8C7876646}"/>
    <cellStyle name="Separador de milhares 7 4 2 3 7 3" xfId="31121" xr:uid="{DC72717E-4C36-48B1-8958-714467A7744C}"/>
    <cellStyle name="Separador de milhares 7 4 2 3 8" xfId="22287" xr:uid="{00000000-0005-0000-0000-00005C610000}"/>
    <cellStyle name="Separador de milhares 7 4 2 3 8 2" xfId="22288" xr:uid="{00000000-0005-0000-0000-00005D610000}"/>
    <cellStyle name="Separador de milhares 7 4 2 3 8 2 2" xfId="31124" xr:uid="{2A285104-1EE4-4491-913D-FF6ECD62745C}"/>
    <cellStyle name="Separador de milhares 7 4 2 3 8 3" xfId="31123" xr:uid="{B4C5D4F2-A30B-4898-8D74-7D1815D63163}"/>
    <cellStyle name="Separador de milhares 7 4 2 3 9" xfId="22289" xr:uid="{00000000-0005-0000-0000-00005E610000}"/>
    <cellStyle name="Separador de milhares 7 4 2 3 9 2" xfId="22290" xr:uid="{00000000-0005-0000-0000-00005F610000}"/>
    <cellStyle name="Separador de milhares 7 4 2 3 9 2 2" xfId="31126" xr:uid="{2E685BFC-3F23-4EC0-B264-ADE12BF3256B}"/>
    <cellStyle name="Separador de milhares 7 4 2 3 9 3" xfId="31125" xr:uid="{E00291F2-D1F1-45D8-8C27-A4A14FF90CF9}"/>
    <cellStyle name="Separador de milhares 7 4 2 30" xfId="22291" xr:uid="{00000000-0005-0000-0000-000060610000}"/>
    <cellStyle name="Separador de milhares 7 4 2 30 2" xfId="22292" xr:uid="{00000000-0005-0000-0000-000061610000}"/>
    <cellStyle name="Separador de milhares 7 4 2 30 2 2" xfId="31128" xr:uid="{0CF50F79-7CA3-432D-BE18-20E863EFD0F8}"/>
    <cellStyle name="Separador de milhares 7 4 2 30 3" xfId="31127" xr:uid="{E9A71A9F-9EF1-4509-AC42-DA28EE3FFEC0}"/>
    <cellStyle name="Separador de milhares 7 4 2 31" xfId="22293" xr:uid="{00000000-0005-0000-0000-000062610000}"/>
    <cellStyle name="Separador de milhares 7 4 2 31 2" xfId="22294" xr:uid="{00000000-0005-0000-0000-000063610000}"/>
    <cellStyle name="Separador de milhares 7 4 2 31 2 2" xfId="31130" xr:uid="{046E0173-5297-4D47-800B-EE433A6FBEE9}"/>
    <cellStyle name="Separador de milhares 7 4 2 31 3" xfId="31129" xr:uid="{3FE0C76A-8AE8-46EF-956F-0320FC4B3EA6}"/>
    <cellStyle name="Separador de milhares 7 4 2 32" xfId="22295" xr:uid="{00000000-0005-0000-0000-000064610000}"/>
    <cellStyle name="Separador de milhares 7 4 2 32 2" xfId="22296" xr:uid="{00000000-0005-0000-0000-000065610000}"/>
    <cellStyle name="Separador de milhares 7 4 2 32 2 2" xfId="31132" xr:uid="{824DC7D5-7E18-40E1-9B5B-CDAC0F2FE788}"/>
    <cellStyle name="Separador de milhares 7 4 2 32 3" xfId="31131" xr:uid="{23505497-0A66-4583-9769-2F29548F3AC8}"/>
    <cellStyle name="Separador de milhares 7 4 2 33" xfId="22297" xr:uid="{00000000-0005-0000-0000-000066610000}"/>
    <cellStyle name="Separador de milhares 7 4 2 33 2" xfId="22298" xr:uid="{00000000-0005-0000-0000-000067610000}"/>
    <cellStyle name="Separador de milhares 7 4 2 33 2 2" xfId="31134" xr:uid="{338DF674-3E06-4391-A3B8-44C99CA06A70}"/>
    <cellStyle name="Separador de milhares 7 4 2 33 3" xfId="31133" xr:uid="{1A90B999-8A36-4D96-9B55-BFFF89BE1DFF}"/>
    <cellStyle name="Separador de milhares 7 4 2 34" xfId="22299" xr:uid="{00000000-0005-0000-0000-000068610000}"/>
    <cellStyle name="Separador de milhares 7 4 2 34 2" xfId="22300" xr:uid="{00000000-0005-0000-0000-000069610000}"/>
    <cellStyle name="Separador de milhares 7 4 2 34 2 2" xfId="31136" xr:uid="{A4F32334-E236-470A-ADA3-214B32293833}"/>
    <cellStyle name="Separador de milhares 7 4 2 34 3" xfId="31135" xr:uid="{FD225BAF-EA0B-48AF-95D4-721CFCC38FFF}"/>
    <cellStyle name="Separador de milhares 7 4 2 35" xfId="22301" xr:uid="{00000000-0005-0000-0000-00006A610000}"/>
    <cellStyle name="Separador de milhares 7 4 2 35 2" xfId="22302" xr:uid="{00000000-0005-0000-0000-00006B610000}"/>
    <cellStyle name="Separador de milhares 7 4 2 35 2 2" xfId="31138" xr:uid="{5D6723F8-B15E-4982-8BB0-36E1B8D8BCAD}"/>
    <cellStyle name="Separador de milhares 7 4 2 35 3" xfId="31137" xr:uid="{362B4E9A-D504-473E-ACE7-4E589E305125}"/>
    <cellStyle name="Separador de milhares 7 4 2 36" xfId="22303" xr:uid="{00000000-0005-0000-0000-00006C610000}"/>
    <cellStyle name="Separador de milhares 7 4 2 36 2" xfId="22304" xr:uid="{00000000-0005-0000-0000-00006D610000}"/>
    <cellStyle name="Separador de milhares 7 4 2 36 2 2" xfId="31140" xr:uid="{49179D92-1D6F-4B92-A99B-5130481427E9}"/>
    <cellStyle name="Separador de milhares 7 4 2 36 3" xfId="31139" xr:uid="{3FD6CCE6-9CD5-481F-88DD-E453070DCEF8}"/>
    <cellStyle name="Separador de milhares 7 4 2 37" xfId="22305" xr:uid="{00000000-0005-0000-0000-00006E610000}"/>
    <cellStyle name="Separador de milhares 7 4 2 37 2" xfId="22306" xr:uid="{00000000-0005-0000-0000-00006F610000}"/>
    <cellStyle name="Separador de milhares 7 4 2 37 2 2" xfId="31142" xr:uid="{4D9A75EE-9078-4BC7-AAEE-A43671BE8DCE}"/>
    <cellStyle name="Separador de milhares 7 4 2 37 3" xfId="31141" xr:uid="{29EC18DC-0667-4618-AF88-1E2A9ECCEDB7}"/>
    <cellStyle name="Separador de milhares 7 4 2 38" xfId="22307" xr:uid="{00000000-0005-0000-0000-000070610000}"/>
    <cellStyle name="Separador de milhares 7 4 2 38 2" xfId="22308" xr:uid="{00000000-0005-0000-0000-000071610000}"/>
    <cellStyle name="Separador de milhares 7 4 2 38 2 2" xfId="31144" xr:uid="{63BA5994-2BA5-46C5-B503-8641D5ADFF91}"/>
    <cellStyle name="Separador de milhares 7 4 2 38 3" xfId="31143" xr:uid="{1AD007D8-FB1C-41ED-80B0-2862AD994FBF}"/>
    <cellStyle name="Separador de milhares 7 4 2 39" xfId="22309" xr:uid="{00000000-0005-0000-0000-000072610000}"/>
    <cellStyle name="Separador de milhares 7 4 2 39 2" xfId="22310" xr:uid="{00000000-0005-0000-0000-000073610000}"/>
    <cellStyle name="Separador de milhares 7 4 2 39 2 2" xfId="31146" xr:uid="{9692D5E6-126B-42AD-BE3D-0F2814CF7BE4}"/>
    <cellStyle name="Separador de milhares 7 4 2 39 3" xfId="31145" xr:uid="{57D4CAE6-4CCE-41B0-9C09-B584C3091F6A}"/>
    <cellStyle name="Separador de milhares 7 4 2 4" xfId="22311" xr:uid="{00000000-0005-0000-0000-000074610000}"/>
    <cellStyle name="Separador de milhares 7 4 2 4 2" xfId="22312" xr:uid="{00000000-0005-0000-0000-000075610000}"/>
    <cellStyle name="Separador de milhares 7 4 2 4 2 2" xfId="22313" xr:uid="{00000000-0005-0000-0000-000076610000}"/>
    <cellStyle name="Separador de milhares 7 4 2 4 2 2 2" xfId="31149" xr:uid="{2E664B40-772E-4484-8EF0-354EF8AA446F}"/>
    <cellStyle name="Separador de milhares 7 4 2 4 2 3" xfId="31148" xr:uid="{422640F4-B57A-438F-BF4E-5DA9558198F9}"/>
    <cellStyle name="Separador de milhares 7 4 2 4 3" xfId="22314" xr:uid="{00000000-0005-0000-0000-000077610000}"/>
    <cellStyle name="Separador de milhares 7 4 2 4 3 2" xfId="22315" xr:uid="{00000000-0005-0000-0000-000078610000}"/>
    <cellStyle name="Separador de milhares 7 4 2 4 3 2 2" xfId="31151" xr:uid="{3AE440D6-A445-42DC-990D-6A298897ED4A}"/>
    <cellStyle name="Separador de milhares 7 4 2 4 3 3" xfId="31150" xr:uid="{30899D31-BF9D-4C13-960C-6C8CAFC50E69}"/>
    <cellStyle name="Separador de milhares 7 4 2 4 4" xfId="22316" xr:uid="{00000000-0005-0000-0000-000079610000}"/>
    <cellStyle name="Separador de milhares 7 4 2 4 4 2" xfId="22317" xr:uid="{00000000-0005-0000-0000-00007A610000}"/>
    <cellStyle name="Separador de milhares 7 4 2 4 4 2 2" xfId="31153" xr:uid="{9669A416-F38B-4083-8450-D84ECA10E5A1}"/>
    <cellStyle name="Separador de milhares 7 4 2 4 4 3" xfId="31152" xr:uid="{A0988026-13CC-428F-8591-4AB93882D83C}"/>
    <cellStyle name="Separador de milhares 7 4 2 4 5" xfId="22318" xr:uid="{00000000-0005-0000-0000-00007B610000}"/>
    <cellStyle name="Separador de milhares 7 4 2 4 5 2" xfId="22319" xr:uid="{00000000-0005-0000-0000-00007C610000}"/>
    <cellStyle name="Separador de milhares 7 4 2 4 5 2 2" xfId="31155" xr:uid="{407543FC-96E9-41D9-ABCC-DA7493303474}"/>
    <cellStyle name="Separador de milhares 7 4 2 4 5 3" xfId="31154" xr:uid="{EC00751C-5CEB-4E51-80C8-1E6342CB9904}"/>
    <cellStyle name="Separador de milhares 7 4 2 4 6" xfId="22320" xr:uid="{00000000-0005-0000-0000-00007D610000}"/>
    <cellStyle name="Separador de milhares 7 4 2 4 6 2" xfId="31156" xr:uid="{2F75357F-1629-4545-90D0-0001595F5992}"/>
    <cellStyle name="Separador de milhares 7 4 2 4 7" xfId="31147" xr:uid="{F67A2E45-3BC4-4D7A-BB9B-200835C64ED5}"/>
    <cellStyle name="Separador de milhares 7 4 2 40" xfId="22321" xr:uid="{00000000-0005-0000-0000-00007E610000}"/>
    <cellStyle name="Separador de milhares 7 4 2 40 2" xfId="22322" xr:uid="{00000000-0005-0000-0000-00007F610000}"/>
    <cellStyle name="Separador de milhares 7 4 2 40 2 2" xfId="31158" xr:uid="{EEBED647-4AF7-4105-A205-A66C53B077BD}"/>
    <cellStyle name="Separador de milhares 7 4 2 40 3" xfId="31157" xr:uid="{9EE30F88-69F7-47A0-87CE-E75EEE48E656}"/>
    <cellStyle name="Separador de milhares 7 4 2 41" xfId="22323" xr:uid="{00000000-0005-0000-0000-000080610000}"/>
    <cellStyle name="Separador de milhares 7 4 2 41 2" xfId="22324" xr:uid="{00000000-0005-0000-0000-000081610000}"/>
    <cellStyle name="Separador de milhares 7 4 2 41 2 2" xfId="31160" xr:uid="{CA6ECE2D-A068-42B1-902A-92C3BC31BF2C}"/>
    <cellStyle name="Separador de milhares 7 4 2 41 3" xfId="31159" xr:uid="{9279BF0C-D598-4212-8CF8-E12B408B64EB}"/>
    <cellStyle name="Separador de milhares 7 4 2 42" xfId="22325" xr:uid="{00000000-0005-0000-0000-000082610000}"/>
    <cellStyle name="Separador de milhares 7 4 2 42 2" xfId="22326" xr:uid="{00000000-0005-0000-0000-000083610000}"/>
    <cellStyle name="Separador de milhares 7 4 2 42 2 2" xfId="31162" xr:uid="{6549C3B4-89FE-470C-9E73-4E6A18554B74}"/>
    <cellStyle name="Separador de milhares 7 4 2 42 3" xfId="31161" xr:uid="{9289AE35-5AEF-407D-9997-25D898835E5C}"/>
    <cellStyle name="Separador de milhares 7 4 2 43" xfId="22327" xr:uid="{00000000-0005-0000-0000-000084610000}"/>
    <cellStyle name="Separador de milhares 7 4 2 43 2" xfId="22328" xr:uid="{00000000-0005-0000-0000-000085610000}"/>
    <cellStyle name="Separador de milhares 7 4 2 43 2 2" xfId="31164" xr:uid="{E74848EC-A223-46A5-8915-E61CA0BBAE74}"/>
    <cellStyle name="Separador de milhares 7 4 2 43 3" xfId="31163" xr:uid="{2DA2A112-A613-4431-B039-B2662CA619B9}"/>
    <cellStyle name="Separador de milhares 7 4 2 44" xfId="22329" xr:uid="{00000000-0005-0000-0000-000086610000}"/>
    <cellStyle name="Separador de milhares 7 4 2 44 2" xfId="22330" xr:uid="{00000000-0005-0000-0000-000087610000}"/>
    <cellStyle name="Separador de milhares 7 4 2 44 2 2" xfId="31166" xr:uid="{A15D0AD9-D947-4794-A1B1-9FFD28E66D75}"/>
    <cellStyle name="Separador de milhares 7 4 2 44 3" xfId="31165" xr:uid="{E37D93E0-BB6B-4FB7-BC84-BEB9DBD51538}"/>
    <cellStyle name="Separador de milhares 7 4 2 45" xfId="22331" xr:uid="{00000000-0005-0000-0000-000088610000}"/>
    <cellStyle name="Separador de milhares 7 4 2 45 2" xfId="22332" xr:uid="{00000000-0005-0000-0000-000089610000}"/>
    <cellStyle name="Separador de milhares 7 4 2 45 2 2" xfId="31168" xr:uid="{6FB3E48F-585A-4EF3-8C39-BCC85F5F0DDF}"/>
    <cellStyle name="Separador de milhares 7 4 2 45 3" xfId="31167" xr:uid="{341B89C7-A36E-4A9D-A0A9-9A0D30761D5F}"/>
    <cellStyle name="Separador de milhares 7 4 2 46" xfId="22333" xr:uid="{00000000-0005-0000-0000-00008A610000}"/>
    <cellStyle name="Separador de milhares 7 4 2 46 2" xfId="22334" xr:uid="{00000000-0005-0000-0000-00008B610000}"/>
    <cellStyle name="Separador de milhares 7 4 2 46 2 2" xfId="31170" xr:uid="{4932FF75-B395-4A3E-B2BF-BE1F7588515F}"/>
    <cellStyle name="Separador de milhares 7 4 2 46 3" xfId="31169" xr:uid="{3872948B-7EDD-4C96-AABC-E1B3C926A827}"/>
    <cellStyle name="Separador de milhares 7 4 2 47" xfId="22335" xr:uid="{00000000-0005-0000-0000-00008C610000}"/>
    <cellStyle name="Separador de milhares 7 4 2 47 2" xfId="31171" xr:uid="{ECDFEDA6-FB22-4519-937F-4B0758995A09}"/>
    <cellStyle name="Separador de milhares 7 4 2 48" xfId="22114" xr:uid="{00000000-0005-0000-0000-00008D610000}"/>
    <cellStyle name="Separador de milhares 7 4 2 49" xfId="28084" xr:uid="{C69BA899-5452-4D78-9273-738F1D180392}"/>
    <cellStyle name="Separador de milhares 7 4 2 5" xfId="22336" xr:uid="{00000000-0005-0000-0000-00008E610000}"/>
    <cellStyle name="Separador de milhares 7 4 2 5 2" xfId="22337" xr:uid="{00000000-0005-0000-0000-00008F610000}"/>
    <cellStyle name="Separador de milhares 7 4 2 5 2 2" xfId="31173" xr:uid="{D9EB368D-C7BC-450E-83CE-BEBFA8C773D0}"/>
    <cellStyle name="Separador de milhares 7 4 2 5 3" xfId="31172" xr:uid="{A310696B-7E35-4ACD-8A20-485EA7DF3B74}"/>
    <cellStyle name="Separador de milhares 7 4 2 6" xfId="22338" xr:uid="{00000000-0005-0000-0000-000090610000}"/>
    <cellStyle name="Separador de milhares 7 4 2 6 2" xfId="22339" xr:uid="{00000000-0005-0000-0000-000091610000}"/>
    <cellStyle name="Separador de milhares 7 4 2 6 2 2" xfId="31175" xr:uid="{C2F00553-08E3-4A7A-A744-9975B4906FF1}"/>
    <cellStyle name="Separador de milhares 7 4 2 6 3" xfId="31174" xr:uid="{22EBACED-7FBA-4EAB-A770-90D318F00086}"/>
    <cellStyle name="Separador de milhares 7 4 2 7" xfId="22340" xr:uid="{00000000-0005-0000-0000-000092610000}"/>
    <cellStyle name="Separador de milhares 7 4 2 7 2" xfId="22341" xr:uid="{00000000-0005-0000-0000-000093610000}"/>
    <cellStyle name="Separador de milhares 7 4 2 7 2 2" xfId="31177" xr:uid="{A258534C-BF9E-4BF3-A77E-BEAE9BD04CF4}"/>
    <cellStyle name="Separador de milhares 7 4 2 7 3" xfId="31176" xr:uid="{F38BDB91-3FF1-4374-AB2E-4F8BCB8F2E7E}"/>
    <cellStyle name="Separador de milhares 7 4 2 8" xfId="22342" xr:uid="{00000000-0005-0000-0000-000094610000}"/>
    <cellStyle name="Separador de milhares 7 4 2 8 2" xfId="22343" xr:uid="{00000000-0005-0000-0000-000095610000}"/>
    <cellStyle name="Separador de milhares 7 4 2 8 2 2" xfId="31179" xr:uid="{CE31598E-E9D0-4AF0-9D28-3EFC1D7D6567}"/>
    <cellStyle name="Separador de milhares 7 4 2 8 3" xfId="31178" xr:uid="{7D6194CD-4815-4E0A-AEC3-C6D07575F58B}"/>
    <cellStyle name="Separador de milhares 7 4 2 9" xfId="22344" xr:uid="{00000000-0005-0000-0000-000096610000}"/>
    <cellStyle name="Separador de milhares 7 4 2 9 2" xfId="22345" xr:uid="{00000000-0005-0000-0000-000097610000}"/>
    <cellStyle name="Separador de milhares 7 4 2 9 2 2" xfId="31181" xr:uid="{990F086C-C57B-4C2A-B05C-797B7EF25A45}"/>
    <cellStyle name="Separador de milhares 7 4 2 9 3" xfId="31180" xr:uid="{9710A004-60F0-4F0B-A7C2-2A107752B6F8}"/>
    <cellStyle name="Separador de milhares 7 4 20" xfId="22346" xr:uid="{00000000-0005-0000-0000-000098610000}"/>
    <cellStyle name="Separador de milhares 7 4 20 2" xfId="22347" xr:uid="{00000000-0005-0000-0000-000099610000}"/>
    <cellStyle name="Separador de milhares 7 4 20 2 2" xfId="31183" xr:uid="{3A394389-B69E-4E75-9520-4F00FA420F8A}"/>
    <cellStyle name="Separador de milhares 7 4 20 3" xfId="31182" xr:uid="{6ADB0BAA-5BA3-4C62-B61B-659D9221535D}"/>
    <cellStyle name="Separador de milhares 7 4 21" xfId="22348" xr:uid="{00000000-0005-0000-0000-00009A610000}"/>
    <cellStyle name="Separador de milhares 7 4 21 2" xfId="22349" xr:uid="{00000000-0005-0000-0000-00009B610000}"/>
    <cellStyle name="Separador de milhares 7 4 21 2 2" xfId="31185" xr:uid="{F96550A2-3145-483C-9A37-2C4490313E44}"/>
    <cellStyle name="Separador de milhares 7 4 21 3" xfId="31184" xr:uid="{57F5919C-F93B-4EF2-ACEF-83CF6F9B60C9}"/>
    <cellStyle name="Separador de milhares 7 4 22" xfId="22350" xr:uid="{00000000-0005-0000-0000-00009C610000}"/>
    <cellStyle name="Separador de milhares 7 4 22 2" xfId="22351" xr:uid="{00000000-0005-0000-0000-00009D610000}"/>
    <cellStyle name="Separador de milhares 7 4 22 2 2" xfId="31187" xr:uid="{A5B0EC38-E94E-42C4-B5A9-215DF063A463}"/>
    <cellStyle name="Separador de milhares 7 4 22 3" xfId="31186" xr:uid="{E82CB2D2-8881-44DD-B427-4540A008738F}"/>
    <cellStyle name="Separador de milhares 7 4 23" xfId="22352" xr:uid="{00000000-0005-0000-0000-00009E610000}"/>
    <cellStyle name="Separador de milhares 7 4 23 2" xfId="22353" xr:uid="{00000000-0005-0000-0000-00009F610000}"/>
    <cellStyle name="Separador de milhares 7 4 23 2 2" xfId="31189" xr:uid="{616E7EB9-AAEC-43E3-8994-B05CC971BB88}"/>
    <cellStyle name="Separador de milhares 7 4 23 3" xfId="31188" xr:uid="{B1BB2BE4-F38F-4324-9623-B55AF31C4226}"/>
    <cellStyle name="Separador de milhares 7 4 24" xfId="22354" xr:uid="{00000000-0005-0000-0000-0000A0610000}"/>
    <cellStyle name="Separador de milhares 7 4 24 2" xfId="22355" xr:uid="{00000000-0005-0000-0000-0000A1610000}"/>
    <cellStyle name="Separador de milhares 7 4 24 2 2" xfId="31191" xr:uid="{B6042AE4-1883-4FA9-AD47-436395D88307}"/>
    <cellStyle name="Separador de milhares 7 4 24 3" xfId="31190" xr:uid="{8B5A91C0-3A83-4406-BE6A-6288C9638F4F}"/>
    <cellStyle name="Separador de milhares 7 4 25" xfId="22356" xr:uid="{00000000-0005-0000-0000-0000A2610000}"/>
    <cellStyle name="Separador de milhares 7 4 25 2" xfId="22357" xr:uid="{00000000-0005-0000-0000-0000A3610000}"/>
    <cellStyle name="Separador de milhares 7 4 25 2 2" xfId="31193" xr:uid="{8A7055A7-BD20-4AB7-B7C4-D34766E22B99}"/>
    <cellStyle name="Separador de milhares 7 4 25 3" xfId="31192" xr:uid="{F0829CF3-3E1C-4677-AFFF-9E0382BDCA4F}"/>
    <cellStyle name="Separador de milhares 7 4 26" xfId="22358" xr:uid="{00000000-0005-0000-0000-0000A4610000}"/>
    <cellStyle name="Separador de milhares 7 4 26 2" xfId="22359" xr:uid="{00000000-0005-0000-0000-0000A5610000}"/>
    <cellStyle name="Separador de milhares 7 4 26 2 2" xfId="31195" xr:uid="{FD4EDD75-FE1C-4CE9-BDDA-6C6BB2AA2FC5}"/>
    <cellStyle name="Separador de milhares 7 4 26 3" xfId="31194" xr:uid="{B9CCFCA2-F3A9-44C8-831F-3D73AD624B08}"/>
    <cellStyle name="Separador de milhares 7 4 27" xfId="22360" xr:uid="{00000000-0005-0000-0000-0000A6610000}"/>
    <cellStyle name="Separador de milhares 7 4 27 2" xfId="22361" xr:uid="{00000000-0005-0000-0000-0000A7610000}"/>
    <cellStyle name="Separador de milhares 7 4 27 2 2" xfId="31197" xr:uid="{79752C86-34B5-47FD-961A-B7EE86B2B951}"/>
    <cellStyle name="Separador de milhares 7 4 27 3" xfId="31196" xr:uid="{6ED9CE71-F016-4D79-80B4-6D0EB0460549}"/>
    <cellStyle name="Separador de milhares 7 4 28" xfId="22362" xr:uid="{00000000-0005-0000-0000-0000A8610000}"/>
    <cellStyle name="Separador de milhares 7 4 28 2" xfId="22363" xr:uid="{00000000-0005-0000-0000-0000A9610000}"/>
    <cellStyle name="Separador de milhares 7 4 28 2 2" xfId="31199" xr:uid="{20BD518B-BD2C-48EB-B24A-4050F60077D1}"/>
    <cellStyle name="Separador de milhares 7 4 28 3" xfId="31198" xr:uid="{5CEA49B9-0CC7-42F7-ABD2-0544AA43BEA5}"/>
    <cellStyle name="Separador de milhares 7 4 29" xfId="22364" xr:uid="{00000000-0005-0000-0000-0000AA610000}"/>
    <cellStyle name="Separador de milhares 7 4 29 2" xfId="22365" xr:uid="{00000000-0005-0000-0000-0000AB610000}"/>
    <cellStyle name="Separador de milhares 7 4 29 2 2" xfId="31201" xr:uid="{27CC3E6E-B5D5-44BD-965B-D2609A491B2F}"/>
    <cellStyle name="Separador de milhares 7 4 29 3" xfId="31200" xr:uid="{CEAD961D-D18A-4CAF-B47E-E75971B5E085}"/>
    <cellStyle name="Separador de milhares 7 4 3" xfId="852" xr:uid="{00000000-0005-0000-0000-0000AC610000}"/>
    <cellStyle name="Separador de milhares 7 4 3 10" xfId="22367" xr:uid="{00000000-0005-0000-0000-0000AD610000}"/>
    <cellStyle name="Separador de milhares 7 4 3 10 2" xfId="22368" xr:uid="{00000000-0005-0000-0000-0000AE610000}"/>
    <cellStyle name="Separador de milhares 7 4 3 10 2 2" xfId="31203" xr:uid="{20B12870-A4D9-4EBC-AE85-4FA8586F63A1}"/>
    <cellStyle name="Separador de milhares 7 4 3 10 3" xfId="31202" xr:uid="{5EB9FE02-CBAE-44AA-9FEB-ED84BA21F2D8}"/>
    <cellStyle name="Separador de milhares 7 4 3 11" xfId="22369" xr:uid="{00000000-0005-0000-0000-0000AF610000}"/>
    <cellStyle name="Separador de milhares 7 4 3 11 2" xfId="22370" xr:uid="{00000000-0005-0000-0000-0000B0610000}"/>
    <cellStyle name="Separador de milhares 7 4 3 11 2 2" xfId="31205" xr:uid="{EDF0366B-3B8B-4FDC-96E5-48CF8F75F7F4}"/>
    <cellStyle name="Separador de milhares 7 4 3 11 3" xfId="31204" xr:uid="{B083BD0D-3E1B-42ED-9C50-55BFE5B3AE25}"/>
    <cellStyle name="Separador de milhares 7 4 3 12" xfId="22371" xr:uid="{00000000-0005-0000-0000-0000B1610000}"/>
    <cellStyle name="Separador de milhares 7 4 3 12 2" xfId="22372" xr:uid="{00000000-0005-0000-0000-0000B2610000}"/>
    <cellStyle name="Separador de milhares 7 4 3 12 2 2" xfId="31207" xr:uid="{1B830DC7-B0F5-4F87-92D8-3B7FD877A26E}"/>
    <cellStyle name="Separador de milhares 7 4 3 12 3" xfId="31206" xr:uid="{6A45DBD1-E78D-4374-9CED-1466A0BD4711}"/>
    <cellStyle name="Separador de milhares 7 4 3 13" xfId="22373" xr:uid="{00000000-0005-0000-0000-0000B3610000}"/>
    <cellStyle name="Separador de milhares 7 4 3 13 2" xfId="22374" xr:uid="{00000000-0005-0000-0000-0000B4610000}"/>
    <cellStyle name="Separador de milhares 7 4 3 13 2 2" xfId="31209" xr:uid="{E5CEEECE-1F99-4D03-B232-714451740F40}"/>
    <cellStyle name="Separador de milhares 7 4 3 13 3" xfId="31208" xr:uid="{F95B2A7B-5A83-42A4-B578-63F90C4475EC}"/>
    <cellStyle name="Separador de milhares 7 4 3 14" xfId="22375" xr:uid="{00000000-0005-0000-0000-0000B5610000}"/>
    <cellStyle name="Separador de milhares 7 4 3 14 2" xfId="22376" xr:uid="{00000000-0005-0000-0000-0000B6610000}"/>
    <cellStyle name="Separador de milhares 7 4 3 14 2 2" xfId="31211" xr:uid="{ADD15CC9-D277-462D-AD70-16ABB718E6EB}"/>
    <cellStyle name="Separador de milhares 7 4 3 14 3" xfId="31210" xr:uid="{3C88CB72-A200-45CA-B086-ED13ED2D9066}"/>
    <cellStyle name="Separador de milhares 7 4 3 15" xfId="22377" xr:uid="{00000000-0005-0000-0000-0000B7610000}"/>
    <cellStyle name="Separador de milhares 7 4 3 15 2" xfId="22378" xr:uid="{00000000-0005-0000-0000-0000B8610000}"/>
    <cellStyle name="Separador de milhares 7 4 3 15 2 2" xfId="31213" xr:uid="{05396C14-2E14-45BA-9CFC-99F5D2AA915D}"/>
    <cellStyle name="Separador de milhares 7 4 3 15 3" xfId="31212" xr:uid="{4F31DB04-1B5F-44DE-A3AA-49DE5C626F27}"/>
    <cellStyle name="Separador de milhares 7 4 3 16" xfId="22379" xr:uid="{00000000-0005-0000-0000-0000B9610000}"/>
    <cellStyle name="Separador de milhares 7 4 3 16 2" xfId="22380" xr:uid="{00000000-0005-0000-0000-0000BA610000}"/>
    <cellStyle name="Separador de milhares 7 4 3 16 2 2" xfId="31215" xr:uid="{7AF10804-D228-444C-9435-E52121D4253B}"/>
    <cellStyle name="Separador de milhares 7 4 3 16 3" xfId="31214" xr:uid="{E33620DB-CA58-4134-8843-60B0440426DD}"/>
    <cellStyle name="Separador de milhares 7 4 3 17" xfId="22381" xr:uid="{00000000-0005-0000-0000-0000BB610000}"/>
    <cellStyle name="Separador de milhares 7 4 3 17 2" xfId="22382" xr:uid="{00000000-0005-0000-0000-0000BC610000}"/>
    <cellStyle name="Separador de milhares 7 4 3 17 2 2" xfId="31217" xr:uid="{02EBDB37-2CE0-4119-8F41-08EC789691E1}"/>
    <cellStyle name="Separador de milhares 7 4 3 17 3" xfId="31216" xr:uid="{B3337D30-50AC-4C8F-BD7F-027A621084C8}"/>
    <cellStyle name="Separador de milhares 7 4 3 18" xfId="22383" xr:uid="{00000000-0005-0000-0000-0000BD610000}"/>
    <cellStyle name="Separador de milhares 7 4 3 18 2" xfId="22384" xr:uid="{00000000-0005-0000-0000-0000BE610000}"/>
    <cellStyle name="Separador de milhares 7 4 3 18 2 2" xfId="31219" xr:uid="{552018E9-380F-4EC5-907F-3063B936AD9F}"/>
    <cellStyle name="Separador de milhares 7 4 3 18 3" xfId="31218" xr:uid="{2CD95A64-560E-4B4A-97D0-55C2963A17A8}"/>
    <cellStyle name="Separador de milhares 7 4 3 19" xfId="22385" xr:uid="{00000000-0005-0000-0000-0000BF610000}"/>
    <cellStyle name="Separador de milhares 7 4 3 19 2" xfId="22386" xr:uid="{00000000-0005-0000-0000-0000C0610000}"/>
    <cellStyle name="Separador de milhares 7 4 3 19 2 2" xfId="31221" xr:uid="{AD039CF0-4714-4112-A4B9-B6404352984D}"/>
    <cellStyle name="Separador de milhares 7 4 3 19 3" xfId="31220" xr:uid="{74A11375-51AD-4AE4-92D6-31058250E6AC}"/>
    <cellStyle name="Separador de milhares 7 4 3 2" xfId="22387" xr:uid="{00000000-0005-0000-0000-0000C1610000}"/>
    <cellStyle name="Separador de milhares 7 4 3 2 10" xfId="22388" xr:uid="{00000000-0005-0000-0000-0000C2610000}"/>
    <cellStyle name="Separador de milhares 7 4 3 2 10 2" xfId="22389" xr:uid="{00000000-0005-0000-0000-0000C3610000}"/>
    <cellStyle name="Separador de milhares 7 4 3 2 10 2 2" xfId="31224" xr:uid="{32AC124E-046A-4425-8F3E-B570FF0AB9FE}"/>
    <cellStyle name="Separador de milhares 7 4 3 2 10 3" xfId="31223" xr:uid="{28CE33D4-4F76-4E54-8199-0B203C255874}"/>
    <cellStyle name="Separador de milhares 7 4 3 2 11" xfId="22390" xr:uid="{00000000-0005-0000-0000-0000C4610000}"/>
    <cellStyle name="Separador de milhares 7 4 3 2 11 2" xfId="22391" xr:uid="{00000000-0005-0000-0000-0000C5610000}"/>
    <cellStyle name="Separador de milhares 7 4 3 2 11 2 2" xfId="31226" xr:uid="{D1727B19-41A3-41DD-B2DD-E2DE47514FD8}"/>
    <cellStyle name="Separador de milhares 7 4 3 2 11 3" xfId="31225" xr:uid="{6A2DC322-4105-4B30-ABD2-6B8992F3FE84}"/>
    <cellStyle name="Separador de milhares 7 4 3 2 12" xfId="22392" xr:uid="{00000000-0005-0000-0000-0000C6610000}"/>
    <cellStyle name="Separador de milhares 7 4 3 2 12 2" xfId="22393" xr:uid="{00000000-0005-0000-0000-0000C7610000}"/>
    <cellStyle name="Separador de milhares 7 4 3 2 12 2 2" xfId="31228" xr:uid="{AA562197-98BD-4ED5-B2B4-74E2B73D6233}"/>
    <cellStyle name="Separador de milhares 7 4 3 2 12 3" xfId="31227" xr:uid="{B1E5F457-663F-43D6-9E56-21B361C38EE6}"/>
    <cellStyle name="Separador de milhares 7 4 3 2 13" xfId="22394" xr:uid="{00000000-0005-0000-0000-0000C8610000}"/>
    <cellStyle name="Separador de milhares 7 4 3 2 13 2" xfId="22395" xr:uid="{00000000-0005-0000-0000-0000C9610000}"/>
    <cellStyle name="Separador de milhares 7 4 3 2 13 2 2" xfId="31230" xr:uid="{C15E6C6F-5D41-4426-8B89-5EB4788D2445}"/>
    <cellStyle name="Separador de milhares 7 4 3 2 13 3" xfId="31229" xr:uid="{6B55CF6F-BB94-4BEF-A783-6C781EC601D3}"/>
    <cellStyle name="Separador de milhares 7 4 3 2 14" xfId="22396" xr:uid="{00000000-0005-0000-0000-0000CA610000}"/>
    <cellStyle name="Separador de milhares 7 4 3 2 14 2" xfId="22397" xr:uid="{00000000-0005-0000-0000-0000CB610000}"/>
    <cellStyle name="Separador de milhares 7 4 3 2 14 2 2" xfId="31232" xr:uid="{49B6DB0D-13C8-464D-B866-4ABEB4787888}"/>
    <cellStyle name="Separador de milhares 7 4 3 2 14 3" xfId="31231" xr:uid="{20B5718A-6550-4F10-AC52-774348F09589}"/>
    <cellStyle name="Separador de milhares 7 4 3 2 15" xfId="22398" xr:uid="{00000000-0005-0000-0000-0000CC610000}"/>
    <cellStyle name="Separador de milhares 7 4 3 2 15 2" xfId="22399" xr:uid="{00000000-0005-0000-0000-0000CD610000}"/>
    <cellStyle name="Separador de milhares 7 4 3 2 15 2 2" xfId="31234" xr:uid="{5AA80B1C-CE99-43E9-AA6C-2B19C59809AB}"/>
    <cellStyle name="Separador de milhares 7 4 3 2 15 3" xfId="31233" xr:uid="{6FA52852-573E-4ABC-AA0C-10979ABC3804}"/>
    <cellStyle name="Separador de milhares 7 4 3 2 16" xfId="22400" xr:uid="{00000000-0005-0000-0000-0000CE610000}"/>
    <cellStyle name="Separador de milhares 7 4 3 2 16 2" xfId="22401" xr:uid="{00000000-0005-0000-0000-0000CF610000}"/>
    <cellStyle name="Separador de milhares 7 4 3 2 16 2 2" xfId="31236" xr:uid="{26F56DEE-20D4-4372-893D-8E9C9E9F8CDC}"/>
    <cellStyle name="Separador de milhares 7 4 3 2 16 3" xfId="31235" xr:uid="{D5E9BA54-C24D-46CC-AB07-43B6B2DC298D}"/>
    <cellStyle name="Separador de milhares 7 4 3 2 17" xfId="22402" xr:uid="{00000000-0005-0000-0000-0000D0610000}"/>
    <cellStyle name="Separador de milhares 7 4 3 2 17 2" xfId="22403" xr:uid="{00000000-0005-0000-0000-0000D1610000}"/>
    <cellStyle name="Separador de milhares 7 4 3 2 17 2 2" xfId="31238" xr:uid="{739F49C3-55D1-4E41-9E11-D65C1D85F8FD}"/>
    <cellStyle name="Separador de milhares 7 4 3 2 17 3" xfId="31237" xr:uid="{6843A9FC-F4AB-400E-90E8-51D53E8E4CA7}"/>
    <cellStyle name="Separador de milhares 7 4 3 2 18" xfId="22404" xr:uid="{00000000-0005-0000-0000-0000D2610000}"/>
    <cellStyle name="Separador de milhares 7 4 3 2 18 2" xfId="22405" xr:uid="{00000000-0005-0000-0000-0000D3610000}"/>
    <cellStyle name="Separador de milhares 7 4 3 2 18 2 2" xfId="31240" xr:uid="{FDA1183E-9AB3-4C03-B19E-C27FDE97D400}"/>
    <cellStyle name="Separador de milhares 7 4 3 2 18 3" xfId="31239" xr:uid="{717A9A16-C9BC-4E9A-845D-AB8FEA2DCD01}"/>
    <cellStyle name="Separador de milhares 7 4 3 2 19" xfId="22406" xr:uid="{00000000-0005-0000-0000-0000D4610000}"/>
    <cellStyle name="Separador de milhares 7 4 3 2 19 2" xfId="22407" xr:uid="{00000000-0005-0000-0000-0000D5610000}"/>
    <cellStyle name="Separador de milhares 7 4 3 2 19 2 2" xfId="31242" xr:uid="{262C02C2-096D-435C-9213-96582D579C0C}"/>
    <cellStyle name="Separador de milhares 7 4 3 2 19 3" xfId="31241" xr:uid="{B3E6B3D1-CDBC-42F7-8D95-891556084512}"/>
    <cellStyle name="Separador de milhares 7 4 3 2 2" xfId="22408" xr:uid="{00000000-0005-0000-0000-0000D6610000}"/>
    <cellStyle name="Separador de milhares 7 4 3 2 2 2" xfId="22409" xr:uid="{00000000-0005-0000-0000-0000D7610000}"/>
    <cellStyle name="Separador de milhares 7 4 3 2 2 2 2" xfId="31244" xr:uid="{D99AA775-81DD-4CE3-BB47-FB1BE0627098}"/>
    <cellStyle name="Separador de milhares 7 4 3 2 2 3" xfId="31243" xr:uid="{4FC39B6D-7827-4FB9-9181-C57D4936F214}"/>
    <cellStyle name="Separador de milhares 7 4 3 2 20" xfId="22410" xr:uid="{00000000-0005-0000-0000-0000D8610000}"/>
    <cellStyle name="Separador de milhares 7 4 3 2 20 2" xfId="22411" xr:uid="{00000000-0005-0000-0000-0000D9610000}"/>
    <cellStyle name="Separador de milhares 7 4 3 2 20 2 2" xfId="31246" xr:uid="{96CB5985-9CD9-4480-A903-9BC004108A77}"/>
    <cellStyle name="Separador de milhares 7 4 3 2 20 3" xfId="31245" xr:uid="{5E908360-02E8-496F-A381-582667A3C96B}"/>
    <cellStyle name="Separador de milhares 7 4 3 2 21" xfId="22412" xr:uid="{00000000-0005-0000-0000-0000DA610000}"/>
    <cellStyle name="Separador de milhares 7 4 3 2 21 2" xfId="22413" xr:uid="{00000000-0005-0000-0000-0000DB610000}"/>
    <cellStyle name="Separador de milhares 7 4 3 2 21 2 2" xfId="31248" xr:uid="{D0E345FF-50F1-4798-8F6C-1CC4A19C194E}"/>
    <cellStyle name="Separador de milhares 7 4 3 2 21 3" xfId="31247" xr:uid="{8FD6D8A6-8A5E-4131-A874-C6236C2F15BC}"/>
    <cellStyle name="Separador de milhares 7 4 3 2 22" xfId="22414" xr:uid="{00000000-0005-0000-0000-0000DC610000}"/>
    <cellStyle name="Separador de milhares 7 4 3 2 22 2" xfId="22415" xr:uid="{00000000-0005-0000-0000-0000DD610000}"/>
    <cellStyle name="Separador de milhares 7 4 3 2 22 2 2" xfId="31250" xr:uid="{DBCBAE99-7331-4C0F-844E-3DE45BF540F1}"/>
    <cellStyle name="Separador de milhares 7 4 3 2 22 3" xfId="31249" xr:uid="{35BEECD0-9E18-469A-99DA-8BF54A60FBD7}"/>
    <cellStyle name="Separador de milhares 7 4 3 2 23" xfId="22416" xr:uid="{00000000-0005-0000-0000-0000DE610000}"/>
    <cellStyle name="Separador de milhares 7 4 3 2 23 2" xfId="22417" xr:uid="{00000000-0005-0000-0000-0000DF610000}"/>
    <cellStyle name="Separador de milhares 7 4 3 2 23 2 2" xfId="31252" xr:uid="{EC73744D-C0E6-4A02-8EBD-C3B303F44A84}"/>
    <cellStyle name="Separador de milhares 7 4 3 2 23 3" xfId="31251" xr:uid="{FE4D6147-33D4-4599-B55A-24060464AD8B}"/>
    <cellStyle name="Separador de milhares 7 4 3 2 24" xfId="22418" xr:uid="{00000000-0005-0000-0000-0000E0610000}"/>
    <cellStyle name="Separador de milhares 7 4 3 2 24 2" xfId="22419" xr:uid="{00000000-0005-0000-0000-0000E1610000}"/>
    <cellStyle name="Separador de milhares 7 4 3 2 24 2 2" xfId="31254" xr:uid="{105E8826-4076-457B-9247-D9BF93D20830}"/>
    <cellStyle name="Separador de milhares 7 4 3 2 24 3" xfId="31253" xr:uid="{2590C29C-3CBA-4F5F-9C52-82A76B3D1BED}"/>
    <cellStyle name="Separador de milhares 7 4 3 2 25" xfId="22420" xr:uid="{00000000-0005-0000-0000-0000E2610000}"/>
    <cellStyle name="Separador de milhares 7 4 3 2 25 2" xfId="22421" xr:uid="{00000000-0005-0000-0000-0000E3610000}"/>
    <cellStyle name="Separador de milhares 7 4 3 2 25 2 2" xfId="31256" xr:uid="{C2892761-D12A-4EA5-BD90-2FC052E20837}"/>
    <cellStyle name="Separador de milhares 7 4 3 2 25 3" xfId="31255" xr:uid="{E49EF5DA-BD51-4D8D-B5F9-0AA06FD5FD0A}"/>
    <cellStyle name="Separador de milhares 7 4 3 2 26" xfId="22422" xr:uid="{00000000-0005-0000-0000-0000E4610000}"/>
    <cellStyle name="Separador de milhares 7 4 3 2 26 2" xfId="22423" xr:uid="{00000000-0005-0000-0000-0000E5610000}"/>
    <cellStyle name="Separador de milhares 7 4 3 2 26 2 2" xfId="31258" xr:uid="{1124BA26-0A66-4365-881F-053290646B72}"/>
    <cellStyle name="Separador de milhares 7 4 3 2 26 3" xfId="31257" xr:uid="{A22C3E8A-0AF6-4518-8138-8C62F42B03CB}"/>
    <cellStyle name="Separador de milhares 7 4 3 2 27" xfId="22424" xr:uid="{00000000-0005-0000-0000-0000E6610000}"/>
    <cellStyle name="Separador de milhares 7 4 3 2 27 2" xfId="22425" xr:uid="{00000000-0005-0000-0000-0000E7610000}"/>
    <cellStyle name="Separador de milhares 7 4 3 2 27 2 2" xfId="31260" xr:uid="{75367C7A-6743-4268-8A16-F62F479EA151}"/>
    <cellStyle name="Separador de milhares 7 4 3 2 27 3" xfId="31259" xr:uid="{741530A3-5482-4765-9809-A14CFEA2E758}"/>
    <cellStyle name="Separador de milhares 7 4 3 2 28" xfId="22426" xr:uid="{00000000-0005-0000-0000-0000E8610000}"/>
    <cellStyle name="Separador de milhares 7 4 3 2 28 2" xfId="22427" xr:uid="{00000000-0005-0000-0000-0000E9610000}"/>
    <cellStyle name="Separador de milhares 7 4 3 2 28 2 2" xfId="31262" xr:uid="{93BFE45D-FB6B-4FAC-A610-AB6F81F3E610}"/>
    <cellStyle name="Separador de milhares 7 4 3 2 28 3" xfId="31261" xr:uid="{7286C400-BE26-4A13-949B-EA3C9A600210}"/>
    <cellStyle name="Separador de milhares 7 4 3 2 29" xfId="22428" xr:uid="{00000000-0005-0000-0000-0000EA610000}"/>
    <cellStyle name="Separador de milhares 7 4 3 2 29 2" xfId="22429" xr:uid="{00000000-0005-0000-0000-0000EB610000}"/>
    <cellStyle name="Separador de milhares 7 4 3 2 29 2 2" xfId="31264" xr:uid="{FCAEB8F9-A86A-49A6-A377-84A871B395FF}"/>
    <cellStyle name="Separador de milhares 7 4 3 2 29 3" xfId="31263" xr:uid="{E3D83AD3-B5E4-41F8-B3BF-934684BC1BA4}"/>
    <cellStyle name="Separador de milhares 7 4 3 2 3" xfId="22430" xr:uid="{00000000-0005-0000-0000-0000EC610000}"/>
    <cellStyle name="Separador de milhares 7 4 3 2 3 2" xfId="22431" xr:uid="{00000000-0005-0000-0000-0000ED610000}"/>
    <cellStyle name="Separador de milhares 7 4 3 2 3 2 2" xfId="31266" xr:uid="{A9114FA7-3E90-4D0C-A46F-5C96FBCB6E9B}"/>
    <cellStyle name="Separador de milhares 7 4 3 2 3 3" xfId="31265" xr:uid="{5DE9F59C-3AF3-4869-9737-1019C25224CA}"/>
    <cellStyle name="Separador de milhares 7 4 3 2 30" xfId="22432" xr:uid="{00000000-0005-0000-0000-0000EE610000}"/>
    <cellStyle name="Separador de milhares 7 4 3 2 30 2" xfId="22433" xr:uid="{00000000-0005-0000-0000-0000EF610000}"/>
    <cellStyle name="Separador de milhares 7 4 3 2 30 2 2" xfId="31268" xr:uid="{17A16712-EE9C-4A69-A015-DA0B1E613327}"/>
    <cellStyle name="Separador de milhares 7 4 3 2 30 3" xfId="31267" xr:uid="{E1B8630B-6636-4002-87E5-B444E0371D85}"/>
    <cellStyle name="Separador de milhares 7 4 3 2 31" xfId="22434" xr:uid="{00000000-0005-0000-0000-0000F0610000}"/>
    <cellStyle name="Separador de milhares 7 4 3 2 31 2" xfId="22435" xr:uid="{00000000-0005-0000-0000-0000F1610000}"/>
    <cellStyle name="Separador de milhares 7 4 3 2 31 2 2" xfId="31270" xr:uid="{20951931-2A7F-4001-9426-EA5A06083925}"/>
    <cellStyle name="Separador de milhares 7 4 3 2 31 3" xfId="31269" xr:uid="{39FD9640-C83B-498B-8EB1-F0DC4299A337}"/>
    <cellStyle name="Separador de milhares 7 4 3 2 32" xfId="22436" xr:uid="{00000000-0005-0000-0000-0000F2610000}"/>
    <cellStyle name="Separador de milhares 7 4 3 2 32 2" xfId="22437" xr:uid="{00000000-0005-0000-0000-0000F3610000}"/>
    <cellStyle name="Separador de milhares 7 4 3 2 32 2 2" xfId="31272" xr:uid="{5704AD18-748E-44D7-A425-836BAFF612CD}"/>
    <cellStyle name="Separador de milhares 7 4 3 2 32 3" xfId="31271" xr:uid="{45044650-41FB-4307-B6D7-DCA4BA13234C}"/>
    <cellStyle name="Separador de milhares 7 4 3 2 33" xfId="22438" xr:uid="{00000000-0005-0000-0000-0000F4610000}"/>
    <cellStyle name="Separador de milhares 7 4 3 2 33 2" xfId="22439" xr:uid="{00000000-0005-0000-0000-0000F5610000}"/>
    <cellStyle name="Separador de milhares 7 4 3 2 33 2 2" xfId="31274" xr:uid="{995548EB-EFCE-4FBE-A95F-882EE4D69E37}"/>
    <cellStyle name="Separador de milhares 7 4 3 2 33 3" xfId="31273" xr:uid="{2AF540A5-B621-4EDD-864A-5B8E3A279603}"/>
    <cellStyle name="Separador de milhares 7 4 3 2 34" xfId="22440" xr:uid="{00000000-0005-0000-0000-0000F6610000}"/>
    <cellStyle name="Separador de milhares 7 4 3 2 34 2" xfId="22441" xr:uid="{00000000-0005-0000-0000-0000F7610000}"/>
    <cellStyle name="Separador de milhares 7 4 3 2 34 2 2" xfId="31276" xr:uid="{7701953D-3A73-4416-B58F-37E9DA7077E6}"/>
    <cellStyle name="Separador de milhares 7 4 3 2 34 3" xfId="31275" xr:uid="{CB00FAE4-47BA-47BE-B7B2-D9C6348ECAEA}"/>
    <cellStyle name="Separador de milhares 7 4 3 2 35" xfId="22442" xr:uid="{00000000-0005-0000-0000-0000F8610000}"/>
    <cellStyle name="Separador de milhares 7 4 3 2 35 2" xfId="31277" xr:uid="{1B63987D-0426-4F59-839F-1BB79024EBC8}"/>
    <cellStyle name="Separador de milhares 7 4 3 2 36" xfId="31222" xr:uid="{A0617354-1BAD-4191-9D79-2C79B6D23FC7}"/>
    <cellStyle name="Separador de milhares 7 4 3 2 4" xfId="22443" xr:uid="{00000000-0005-0000-0000-0000F9610000}"/>
    <cellStyle name="Separador de milhares 7 4 3 2 4 2" xfId="22444" xr:uid="{00000000-0005-0000-0000-0000FA610000}"/>
    <cellStyle name="Separador de milhares 7 4 3 2 4 2 2" xfId="31279" xr:uid="{0C4AD45F-6CBF-4F29-908F-47969BC675E8}"/>
    <cellStyle name="Separador de milhares 7 4 3 2 4 3" xfId="31278" xr:uid="{977FEEBE-6128-451E-83E4-5FBD5B72278E}"/>
    <cellStyle name="Separador de milhares 7 4 3 2 5" xfId="22445" xr:uid="{00000000-0005-0000-0000-0000FB610000}"/>
    <cellStyle name="Separador de milhares 7 4 3 2 5 2" xfId="22446" xr:uid="{00000000-0005-0000-0000-0000FC610000}"/>
    <cellStyle name="Separador de milhares 7 4 3 2 5 2 2" xfId="31281" xr:uid="{EBB1353F-67DA-4BBA-9929-0673F63F0D48}"/>
    <cellStyle name="Separador de milhares 7 4 3 2 5 3" xfId="31280" xr:uid="{C1F1E44D-7BBB-4386-9871-79E3858AE45C}"/>
    <cellStyle name="Separador de milhares 7 4 3 2 6" xfId="22447" xr:uid="{00000000-0005-0000-0000-0000FD610000}"/>
    <cellStyle name="Separador de milhares 7 4 3 2 6 2" xfId="22448" xr:uid="{00000000-0005-0000-0000-0000FE610000}"/>
    <cellStyle name="Separador de milhares 7 4 3 2 6 2 2" xfId="31283" xr:uid="{434731A6-2899-4BFE-B366-77B48E704870}"/>
    <cellStyle name="Separador de milhares 7 4 3 2 6 3" xfId="31282" xr:uid="{B49BE419-1D3E-4B29-B4A9-CC52F2EF765A}"/>
    <cellStyle name="Separador de milhares 7 4 3 2 7" xfId="22449" xr:uid="{00000000-0005-0000-0000-0000FF610000}"/>
    <cellStyle name="Separador de milhares 7 4 3 2 7 2" xfId="22450" xr:uid="{00000000-0005-0000-0000-000000620000}"/>
    <cellStyle name="Separador de milhares 7 4 3 2 7 2 2" xfId="31285" xr:uid="{66B0525E-E827-47DB-A598-F5CF6BD01F1A}"/>
    <cellStyle name="Separador de milhares 7 4 3 2 7 3" xfId="31284" xr:uid="{2581177A-9EAF-44D5-944C-48E743D7C136}"/>
    <cellStyle name="Separador de milhares 7 4 3 2 8" xfId="22451" xr:uid="{00000000-0005-0000-0000-000001620000}"/>
    <cellStyle name="Separador de milhares 7 4 3 2 8 2" xfId="22452" xr:uid="{00000000-0005-0000-0000-000002620000}"/>
    <cellStyle name="Separador de milhares 7 4 3 2 8 2 2" xfId="31287" xr:uid="{77B3F598-D947-491B-BBA8-A6DD34831F51}"/>
    <cellStyle name="Separador de milhares 7 4 3 2 8 3" xfId="31286" xr:uid="{B428A10B-F261-4C10-B0EC-53623538D86B}"/>
    <cellStyle name="Separador de milhares 7 4 3 2 9" xfId="22453" xr:uid="{00000000-0005-0000-0000-000003620000}"/>
    <cellStyle name="Separador de milhares 7 4 3 2 9 2" xfId="22454" xr:uid="{00000000-0005-0000-0000-000004620000}"/>
    <cellStyle name="Separador de milhares 7 4 3 2 9 2 2" xfId="31289" xr:uid="{4FEB0B89-AD28-4A7A-A009-C8C5EE52C5BE}"/>
    <cellStyle name="Separador de milhares 7 4 3 2 9 3" xfId="31288" xr:uid="{73268AC6-1AB5-491B-AD0D-8DB7F0F90D13}"/>
    <cellStyle name="Separador de milhares 7 4 3 20" xfId="22455" xr:uid="{00000000-0005-0000-0000-000005620000}"/>
    <cellStyle name="Separador de milhares 7 4 3 20 2" xfId="22456" xr:uid="{00000000-0005-0000-0000-000006620000}"/>
    <cellStyle name="Separador de milhares 7 4 3 20 2 2" xfId="31291" xr:uid="{86F22D42-C7ED-4227-9434-486FE4F4E046}"/>
    <cellStyle name="Separador de milhares 7 4 3 20 3" xfId="31290" xr:uid="{FEB7BC1D-AE77-4901-81B5-B2C367DCC3C5}"/>
    <cellStyle name="Separador de milhares 7 4 3 21" xfId="22457" xr:uid="{00000000-0005-0000-0000-000007620000}"/>
    <cellStyle name="Separador de milhares 7 4 3 21 2" xfId="22458" xr:uid="{00000000-0005-0000-0000-000008620000}"/>
    <cellStyle name="Separador de milhares 7 4 3 21 2 2" xfId="31293" xr:uid="{06CD96A3-7E9F-494D-AC33-F5D7DC982AB0}"/>
    <cellStyle name="Separador de milhares 7 4 3 21 3" xfId="31292" xr:uid="{F41316F5-96BA-4862-B8FC-31F09F4B626F}"/>
    <cellStyle name="Separador de milhares 7 4 3 22" xfId="22459" xr:uid="{00000000-0005-0000-0000-000009620000}"/>
    <cellStyle name="Separador de milhares 7 4 3 22 2" xfId="22460" xr:uid="{00000000-0005-0000-0000-00000A620000}"/>
    <cellStyle name="Separador de milhares 7 4 3 22 2 2" xfId="31295" xr:uid="{929BABD4-A7FD-489A-BCD6-DCA89D57E52E}"/>
    <cellStyle name="Separador de milhares 7 4 3 22 3" xfId="31294" xr:uid="{FD805C62-6FFC-48FD-B534-F4324903CAAA}"/>
    <cellStyle name="Separador de milhares 7 4 3 23" xfId="22461" xr:uid="{00000000-0005-0000-0000-00000B620000}"/>
    <cellStyle name="Separador de milhares 7 4 3 23 2" xfId="22462" xr:uid="{00000000-0005-0000-0000-00000C620000}"/>
    <cellStyle name="Separador de milhares 7 4 3 23 2 2" xfId="31297" xr:uid="{74432E7B-EB44-44F0-952E-883CFC6998FE}"/>
    <cellStyle name="Separador de milhares 7 4 3 23 3" xfId="31296" xr:uid="{0A82AE7D-E911-4121-B964-B40BACA2E44A}"/>
    <cellStyle name="Separador de milhares 7 4 3 24" xfId="22463" xr:uid="{00000000-0005-0000-0000-00000D620000}"/>
    <cellStyle name="Separador de milhares 7 4 3 24 2" xfId="22464" xr:uid="{00000000-0005-0000-0000-00000E620000}"/>
    <cellStyle name="Separador de milhares 7 4 3 24 2 2" xfId="31299" xr:uid="{884C548C-9B6A-4D10-870D-8E4824C568B2}"/>
    <cellStyle name="Separador de milhares 7 4 3 24 3" xfId="31298" xr:uid="{AE98C9AA-2719-4705-9B06-E54A2C6DCC62}"/>
    <cellStyle name="Separador de milhares 7 4 3 25" xfId="22465" xr:uid="{00000000-0005-0000-0000-00000F620000}"/>
    <cellStyle name="Separador de milhares 7 4 3 25 2" xfId="22466" xr:uid="{00000000-0005-0000-0000-000010620000}"/>
    <cellStyle name="Separador de milhares 7 4 3 25 2 2" xfId="31301" xr:uid="{3484CA57-89B3-45DA-9FA1-8C3C732B659A}"/>
    <cellStyle name="Separador de milhares 7 4 3 25 3" xfId="31300" xr:uid="{59C64F08-3B99-4A1E-9EC5-51F23D388DB4}"/>
    <cellStyle name="Separador de milhares 7 4 3 26" xfId="22467" xr:uid="{00000000-0005-0000-0000-000011620000}"/>
    <cellStyle name="Separador de milhares 7 4 3 26 2" xfId="22468" xr:uid="{00000000-0005-0000-0000-000012620000}"/>
    <cellStyle name="Separador de milhares 7 4 3 26 2 2" xfId="31303" xr:uid="{F27FB399-0AF9-4C66-AC4A-4FD5755D2F8C}"/>
    <cellStyle name="Separador de milhares 7 4 3 26 3" xfId="31302" xr:uid="{4A693440-4244-4099-A9AB-1434811AEBE7}"/>
    <cellStyle name="Separador de milhares 7 4 3 27" xfId="22469" xr:uid="{00000000-0005-0000-0000-000013620000}"/>
    <cellStyle name="Separador de milhares 7 4 3 27 2" xfId="22470" xr:uid="{00000000-0005-0000-0000-000014620000}"/>
    <cellStyle name="Separador de milhares 7 4 3 27 2 2" xfId="31305" xr:uid="{F2977DA3-09C4-473B-97BA-D7E99BDBB463}"/>
    <cellStyle name="Separador de milhares 7 4 3 27 3" xfId="31304" xr:uid="{646D9B05-3D26-4AED-988D-E541650129BD}"/>
    <cellStyle name="Separador de milhares 7 4 3 28" xfId="22471" xr:uid="{00000000-0005-0000-0000-000015620000}"/>
    <cellStyle name="Separador de milhares 7 4 3 28 2" xfId="22472" xr:uid="{00000000-0005-0000-0000-000016620000}"/>
    <cellStyle name="Separador de milhares 7 4 3 28 2 2" xfId="31307" xr:uid="{E5FBCBEC-934A-45E7-AFFF-C5B516881C65}"/>
    <cellStyle name="Separador de milhares 7 4 3 28 3" xfId="31306" xr:uid="{A2CF19E6-7EE5-4A3D-BAA0-027E839E7D20}"/>
    <cellStyle name="Separador de milhares 7 4 3 29" xfId="22473" xr:uid="{00000000-0005-0000-0000-000017620000}"/>
    <cellStyle name="Separador de milhares 7 4 3 29 2" xfId="22474" xr:uid="{00000000-0005-0000-0000-000018620000}"/>
    <cellStyle name="Separador de milhares 7 4 3 29 2 2" xfId="31309" xr:uid="{1354A048-781B-4803-93E3-824E0A3A5778}"/>
    <cellStyle name="Separador de milhares 7 4 3 29 3" xfId="31308" xr:uid="{97A658C2-AA5E-4DFA-A531-90C655AA4158}"/>
    <cellStyle name="Separador de milhares 7 4 3 3" xfId="22475" xr:uid="{00000000-0005-0000-0000-000019620000}"/>
    <cellStyle name="Separador de milhares 7 4 3 3 10" xfId="22476" xr:uid="{00000000-0005-0000-0000-00001A620000}"/>
    <cellStyle name="Separador de milhares 7 4 3 3 10 2" xfId="22477" xr:uid="{00000000-0005-0000-0000-00001B620000}"/>
    <cellStyle name="Separador de milhares 7 4 3 3 10 2 2" xfId="31312" xr:uid="{0F15A374-7433-439D-8E8F-1FD16536A919}"/>
    <cellStyle name="Separador de milhares 7 4 3 3 10 3" xfId="31311" xr:uid="{C17207A9-EB5B-48E5-819E-008F32AC31D8}"/>
    <cellStyle name="Separador de milhares 7 4 3 3 11" xfId="22478" xr:uid="{00000000-0005-0000-0000-00001C620000}"/>
    <cellStyle name="Separador de milhares 7 4 3 3 11 2" xfId="22479" xr:uid="{00000000-0005-0000-0000-00001D620000}"/>
    <cellStyle name="Separador de milhares 7 4 3 3 11 2 2" xfId="31314" xr:uid="{8696DCD2-7AB2-4E44-BFBF-7F0B911D136A}"/>
    <cellStyle name="Separador de milhares 7 4 3 3 11 3" xfId="31313" xr:uid="{6D1E7076-06B2-4A33-83FF-9FDABD141180}"/>
    <cellStyle name="Separador de milhares 7 4 3 3 12" xfId="22480" xr:uid="{00000000-0005-0000-0000-00001E620000}"/>
    <cellStyle name="Separador de milhares 7 4 3 3 12 2" xfId="22481" xr:uid="{00000000-0005-0000-0000-00001F620000}"/>
    <cellStyle name="Separador de milhares 7 4 3 3 12 2 2" xfId="31316" xr:uid="{A84C802C-A0FC-4A94-B996-27B5285DC56A}"/>
    <cellStyle name="Separador de milhares 7 4 3 3 12 3" xfId="31315" xr:uid="{4ABC5A47-A808-4019-B72D-23CF40D3AB77}"/>
    <cellStyle name="Separador de milhares 7 4 3 3 13" xfId="22482" xr:uid="{00000000-0005-0000-0000-000020620000}"/>
    <cellStyle name="Separador de milhares 7 4 3 3 13 2" xfId="22483" xr:uid="{00000000-0005-0000-0000-000021620000}"/>
    <cellStyle name="Separador de milhares 7 4 3 3 13 2 2" xfId="31318" xr:uid="{E44C68B9-82B2-47D6-B41E-C27892AE1776}"/>
    <cellStyle name="Separador de milhares 7 4 3 3 13 3" xfId="31317" xr:uid="{FD21C569-762B-429E-B7B5-BCE5943F4515}"/>
    <cellStyle name="Separador de milhares 7 4 3 3 14" xfId="22484" xr:uid="{00000000-0005-0000-0000-000022620000}"/>
    <cellStyle name="Separador de milhares 7 4 3 3 14 2" xfId="22485" xr:uid="{00000000-0005-0000-0000-000023620000}"/>
    <cellStyle name="Separador de milhares 7 4 3 3 14 2 2" xfId="31320" xr:uid="{01679329-2D02-48EE-8AD0-A8F3E9295B24}"/>
    <cellStyle name="Separador de milhares 7 4 3 3 14 3" xfId="31319" xr:uid="{AFDBDC8B-3C41-4D64-9E7C-F8E66F182F24}"/>
    <cellStyle name="Separador de milhares 7 4 3 3 15" xfId="22486" xr:uid="{00000000-0005-0000-0000-000024620000}"/>
    <cellStyle name="Separador de milhares 7 4 3 3 15 2" xfId="22487" xr:uid="{00000000-0005-0000-0000-000025620000}"/>
    <cellStyle name="Separador de milhares 7 4 3 3 15 2 2" xfId="31322" xr:uid="{4F8FC83E-9FBA-4993-99C0-B29DB6F68A16}"/>
    <cellStyle name="Separador de milhares 7 4 3 3 15 3" xfId="31321" xr:uid="{77951CA3-C30E-43B8-9398-58D2AA10FC1C}"/>
    <cellStyle name="Separador de milhares 7 4 3 3 16" xfId="22488" xr:uid="{00000000-0005-0000-0000-000026620000}"/>
    <cellStyle name="Separador de milhares 7 4 3 3 16 2" xfId="22489" xr:uid="{00000000-0005-0000-0000-000027620000}"/>
    <cellStyle name="Separador de milhares 7 4 3 3 16 2 2" xfId="31324" xr:uid="{9A30FB0B-21C3-4CA8-A0E8-D01229B75BF1}"/>
    <cellStyle name="Separador de milhares 7 4 3 3 16 3" xfId="31323" xr:uid="{D98AA1FE-EBA3-40E0-BF04-4CB9AC414836}"/>
    <cellStyle name="Separador de milhares 7 4 3 3 17" xfId="22490" xr:uid="{00000000-0005-0000-0000-000028620000}"/>
    <cellStyle name="Separador de milhares 7 4 3 3 17 2" xfId="22491" xr:uid="{00000000-0005-0000-0000-000029620000}"/>
    <cellStyle name="Separador de milhares 7 4 3 3 17 2 2" xfId="31326" xr:uid="{AA2DEF6C-78A0-4A55-8274-CAC04B466752}"/>
    <cellStyle name="Separador de milhares 7 4 3 3 17 3" xfId="31325" xr:uid="{7362E921-0CD3-4133-A998-B135F772127E}"/>
    <cellStyle name="Separador de milhares 7 4 3 3 18" xfId="22492" xr:uid="{00000000-0005-0000-0000-00002A620000}"/>
    <cellStyle name="Separador de milhares 7 4 3 3 18 2" xfId="22493" xr:uid="{00000000-0005-0000-0000-00002B620000}"/>
    <cellStyle name="Separador de milhares 7 4 3 3 18 2 2" xfId="31328" xr:uid="{756A8C06-115D-4B13-9783-4812396F602B}"/>
    <cellStyle name="Separador de milhares 7 4 3 3 18 3" xfId="31327" xr:uid="{DB757BAF-A61E-41CB-9250-27A8170147D2}"/>
    <cellStyle name="Separador de milhares 7 4 3 3 19" xfId="22494" xr:uid="{00000000-0005-0000-0000-00002C620000}"/>
    <cellStyle name="Separador de milhares 7 4 3 3 19 2" xfId="22495" xr:uid="{00000000-0005-0000-0000-00002D620000}"/>
    <cellStyle name="Separador de milhares 7 4 3 3 19 2 2" xfId="31330" xr:uid="{358B4525-6B40-48D3-BD20-4DD56A184925}"/>
    <cellStyle name="Separador de milhares 7 4 3 3 19 3" xfId="31329" xr:uid="{49B0F726-BFB8-462D-9CC4-3460547CC1CE}"/>
    <cellStyle name="Separador de milhares 7 4 3 3 2" xfId="22496" xr:uid="{00000000-0005-0000-0000-00002E620000}"/>
    <cellStyle name="Separador de milhares 7 4 3 3 2 2" xfId="22497" xr:uid="{00000000-0005-0000-0000-00002F620000}"/>
    <cellStyle name="Separador de milhares 7 4 3 3 2 2 2" xfId="31332" xr:uid="{7238D2DD-7829-4FA7-BB13-940BDB366FE2}"/>
    <cellStyle name="Separador de milhares 7 4 3 3 2 3" xfId="31331" xr:uid="{49459A33-C9C0-4B7B-8CE7-1F8D77058955}"/>
    <cellStyle name="Separador de milhares 7 4 3 3 20" xfId="22498" xr:uid="{00000000-0005-0000-0000-000030620000}"/>
    <cellStyle name="Separador de milhares 7 4 3 3 20 2" xfId="22499" xr:uid="{00000000-0005-0000-0000-000031620000}"/>
    <cellStyle name="Separador de milhares 7 4 3 3 20 2 2" xfId="31334" xr:uid="{DC3D0ABC-F338-40E7-81C9-0E5E66F0B5E5}"/>
    <cellStyle name="Separador de milhares 7 4 3 3 20 3" xfId="31333" xr:uid="{23D020C2-EEDA-4802-A690-B34993CED6C6}"/>
    <cellStyle name="Separador de milhares 7 4 3 3 21" xfId="22500" xr:uid="{00000000-0005-0000-0000-000032620000}"/>
    <cellStyle name="Separador de milhares 7 4 3 3 21 2" xfId="22501" xr:uid="{00000000-0005-0000-0000-000033620000}"/>
    <cellStyle name="Separador de milhares 7 4 3 3 21 2 2" xfId="31336" xr:uid="{312D6F50-BDCB-45D1-9F3E-E9646B7523F5}"/>
    <cellStyle name="Separador de milhares 7 4 3 3 21 3" xfId="31335" xr:uid="{03D7DBF1-E62C-4A83-8071-56A73E86257A}"/>
    <cellStyle name="Separador de milhares 7 4 3 3 22" xfId="22502" xr:uid="{00000000-0005-0000-0000-000034620000}"/>
    <cellStyle name="Separador de milhares 7 4 3 3 22 2" xfId="22503" xr:uid="{00000000-0005-0000-0000-000035620000}"/>
    <cellStyle name="Separador de milhares 7 4 3 3 22 2 2" xfId="31338" xr:uid="{8FB2AF1F-370B-45C5-9605-35DCF31356FE}"/>
    <cellStyle name="Separador de milhares 7 4 3 3 22 3" xfId="31337" xr:uid="{032A6E52-DABA-4506-BCF0-17BFE49BBC6C}"/>
    <cellStyle name="Separador de milhares 7 4 3 3 23" xfId="22504" xr:uid="{00000000-0005-0000-0000-000036620000}"/>
    <cellStyle name="Separador de milhares 7 4 3 3 23 2" xfId="22505" xr:uid="{00000000-0005-0000-0000-000037620000}"/>
    <cellStyle name="Separador de milhares 7 4 3 3 23 2 2" xfId="31340" xr:uid="{8E6895D1-82A4-4697-8E2A-CA65087D852D}"/>
    <cellStyle name="Separador de milhares 7 4 3 3 23 3" xfId="31339" xr:uid="{BA311CE9-6D39-453A-A035-114E93AAB27F}"/>
    <cellStyle name="Separador de milhares 7 4 3 3 24" xfId="22506" xr:uid="{00000000-0005-0000-0000-000038620000}"/>
    <cellStyle name="Separador de milhares 7 4 3 3 24 2" xfId="22507" xr:uid="{00000000-0005-0000-0000-000039620000}"/>
    <cellStyle name="Separador de milhares 7 4 3 3 24 2 2" xfId="31342" xr:uid="{1990D927-F2B2-4752-857D-7417221D6615}"/>
    <cellStyle name="Separador de milhares 7 4 3 3 24 3" xfId="31341" xr:uid="{79B67C39-8D7B-460D-8F5E-ED05BE17E104}"/>
    <cellStyle name="Separador de milhares 7 4 3 3 25" xfId="22508" xr:uid="{00000000-0005-0000-0000-00003A620000}"/>
    <cellStyle name="Separador de milhares 7 4 3 3 25 2" xfId="22509" xr:uid="{00000000-0005-0000-0000-00003B620000}"/>
    <cellStyle name="Separador de milhares 7 4 3 3 25 2 2" xfId="31344" xr:uid="{DC4F75B1-C260-4A18-A186-58806BE1082A}"/>
    <cellStyle name="Separador de milhares 7 4 3 3 25 3" xfId="31343" xr:uid="{EDFE264D-7DAA-4FA9-9ABE-AA87F5436FE3}"/>
    <cellStyle name="Separador de milhares 7 4 3 3 26" xfId="22510" xr:uid="{00000000-0005-0000-0000-00003C620000}"/>
    <cellStyle name="Separador de milhares 7 4 3 3 26 2" xfId="22511" xr:uid="{00000000-0005-0000-0000-00003D620000}"/>
    <cellStyle name="Separador de milhares 7 4 3 3 26 2 2" xfId="31346" xr:uid="{44F39DB7-A4ED-4DEC-A262-B9F57BC6AB9C}"/>
    <cellStyle name="Separador de milhares 7 4 3 3 26 3" xfId="31345" xr:uid="{560CBA25-C300-43E5-8A96-332EB1E4F763}"/>
    <cellStyle name="Separador de milhares 7 4 3 3 27" xfId="22512" xr:uid="{00000000-0005-0000-0000-00003E620000}"/>
    <cellStyle name="Separador de milhares 7 4 3 3 27 2" xfId="22513" xr:uid="{00000000-0005-0000-0000-00003F620000}"/>
    <cellStyle name="Separador de milhares 7 4 3 3 27 2 2" xfId="31348" xr:uid="{FCDF7804-8B08-4AC1-9490-C0FB0A5962FA}"/>
    <cellStyle name="Separador de milhares 7 4 3 3 27 3" xfId="31347" xr:uid="{8AB0C36E-FB08-48E5-8C63-87D323543BD4}"/>
    <cellStyle name="Separador de milhares 7 4 3 3 28" xfId="22514" xr:uid="{00000000-0005-0000-0000-000040620000}"/>
    <cellStyle name="Separador de milhares 7 4 3 3 28 2" xfId="22515" xr:uid="{00000000-0005-0000-0000-000041620000}"/>
    <cellStyle name="Separador de milhares 7 4 3 3 28 2 2" xfId="31350" xr:uid="{F40B04D4-8EE8-445B-9C9F-C5BA58C26397}"/>
    <cellStyle name="Separador de milhares 7 4 3 3 28 3" xfId="31349" xr:uid="{31A8990D-AC9F-4C2B-BDEF-117A726B0686}"/>
    <cellStyle name="Separador de milhares 7 4 3 3 29" xfId="22516" xr:uid="{00000000-0005-0000-0000-000042620000}"/>
    <cellStyle name="Separador de milhares 7 4 3 3 29 2" xfId="22517" xr:uid="{00000000-0005-0000-0000-000043620000}"/>
    <cellStyle name="Separador de milhares 7 4 3 3 29 2 2" xfId="31352" xr:uid="{9D06EB3D-98DD-4CAB-8EA8-2E5A1DDC719F}"/>
    <cellStyle name="Separador de milhares 7 4 3 3 29 3" xfId="31351" xr:uid="{3AA90BF3-FD8C-4565-9AED-2BF3AD6BBDFB}"/>
    <cellStyle name="Separador de milhares 7 4 3 3 3" xfId="22518" xr:uid="{00000000-0005-0000-0000-000044620000}"/>
    <cellStyle name="Separador de milhares 7 4 3 3 3 2" xfId="22519" xr:uid="{00000000-0005-0000-0000-000045620000}"/>
    <cellStyle name="Separador de milhares 7 4 3 3 3 2 2" xfId="31354" xr:uid="{D80B4C7C-EFBA-4931-B7B9-F280B7C9645F}"/>
    <cellStyle name="Separador de milhares 7 4 3 3 3 3" xfId="31353" xr:uid="{1C6E57F3-A2DA-47A9-AAB0-868F00672F84}"/>
    <cellStyle name="Separador de milhares 7 4 3 3 30" xfId="22520" xr:uid="{00000000-0005-0000-0000-000046620000}"/>
    <cellStyle name="Separador de milhares 7 4 3 3 30 2" xfId="22521" xr:uid="{00000000-0005-0000-0000-000047620000}"/>
    <cellStyle name="Separador de milhares 7 4 3 3 30 2 2" xfId="31356" xr:uid="{24773AEA-B8D5-4CAF-B436-1B45329718BA}"/>
    <cellStyle name="Separador de milhares 7 4 3 3 30 3" xfId="31355" xr:uid="{D31B510C-1E51-4745-867F-D2825E62C041}"/>
    <cellStyle name="Separador de milhares 7 4 3 3 31" xfId="22522" xr:uid="{00000000-0005-0000-0000-000048620000}"/>
    <cellStyle name="Separador de milhares 7 4 3 3 31 2" xfId="22523" xr:uid="{00000000-0005-0000-0000-000049620000}"/>
    <cellStyle name="Separador de milhares 7 4 3 3 31 2 2" xfId="31358" xr:uid="{347BF4B2-4F0A-4F41-B627-4EC96D76B854}"/>
    <cellStyle name="Separador de milhares 7 4 3 3 31 3" xfId="31357" xr:uid="{623EBBE4-2A0E-4E81-85B3-2816D4D76560}"/>
    <cellStyle name="Separador de milhares 7 4 3 3 32" xfId="22524" xr:uid="{00000000-0005-0000-0000-00004A620000}"/>
    <cellStyle name="Separador de milhares 7 4 3 3 32 2" xfId="22525" xr:uid="{00000000-0005-0000-0000-00004B620000}"/>
    <cellStyle name="Separador de milhares 7 4 3 3 32 2 2" xfId="31360" xr:uid="{24CDADD0-2535-4527-8632-9253E536B7F7}"/>
    <cellStyle name="Separador de milhares 7 4 3 3 32 3" xfId="31359" xr:uid="{1880D0FF-9533-4D77-8E67-FF536E6FA67B}"/>
    <cellStyle name="Separador de milhares 7 4 3 3 33" xfId="22526" xr:uid="{00000000-0005-0000-0000-00004C620000}"/>
    <cellStyle name="Separador de milhares 7 4 3 3 33 2" xfId="22527" xr:uid="{00000000-0005-0000-0000-00004D620000}"/>
    <cellStyle name="Separador de milhares 7 4 3 3 33 2 2" xfId="31362" xr:uid="{8FC09FD4-8F54-48C7-A703-B2AC2165E909}"/>
    <cellStyle name="Separador de milhares 7 4 3 3 33 3" xfId="31361" xr:uid="{980FCAE4-ABE1-45CE-89C2-83200C6BA994}"/>
    <cellStyle name="Separador de milhares 7 4 3 3 34" xfId="22528" xr:uid="{00000000-0005-0000-0000-00004E620000}"/>
    <cellStyle name="Separador de milhares 7 4 3 3 34 2" xfId="22529" xr:uid="{00000000-0005-0000-0000-00004F620000}"/>
    <cellStyle name="Separador de milhares 7 4 3 3 34 2 2" xfId="31364" xr:uid="{9828DBAC-9C62-44BA-9E7E-16E647E576DB}"/>
    <cellStyle name="Separador de milhares 7 4 3 3 34 3" xfId="31363" xr:uid="{7426F3DB-1479-496D-B2FA-F2E75D7C1C4A}"/>
    <cellStyle name="Separador de milhares 7 4 3 3 35" xfId="22530" xr:uid="{00000000-0005-0000-0000-000050620000}"/>
    <cellStyle name="Separador de milhares 7 4 3 3 35 2" xfId="31365" xr:uid="{7B78DBF2-2AB4-42FE-AF82-F2D2550851D1}"/>
    <cellStyle name="Separador de milhares 7 4 3 3 36" xfId="31310" xr:uid="{6283187F-337D-4277-9B70-4336A30F0AE0}"/>
    <cellStyle name="Separador de milhares 7 4 3 3 4" xfId="22531" xr:uid="{00000000-0005-0000-0000-000051620000}"/>
    <cellStyle name="Separador de milhares 7 4 3 3 4 2" xfId="22532" xr:uid="{00000000-0005-0000-0000-000052620000}"/>
    <cellStyle name="Separador de milhares 7 4 3 3 4 2 2" xfId="31367" xr:uid="{224BEF11-95EE-4912-B637-32B5F3059343}"/>
    <cellStyle name="Separador de milhares 7 4 3 3 4 3" xfId="31366" xr:uid="{9CF074F5-A52F-48B4-88C6-8744577EB205}"/>
    <cellStyle name="Separador de milhares 7 4 3 3 5" xfId="22533" xr:uid="{00000000-0005-0000-0000-000053620000}"/>
    <cellStyle name="Separador de milhares 7 4 3 3 5 2" xfId="22534" xr:uid="{00000000-0005-0000-0000-000054620000}"/>
    <cellStyle name="Separador de milhares 7 4 3 3 5 2 2" xfId="31369" xr:uid="{58C597A1-D8BA-4521-B1C4-C8591AB98F64}"/>
    <cellStyle name="Separador de milhares 7 4 3 3 5 3" xfId="31368" xr:uid="{709FC47C-D47F-49DD-8233-A627522C5C12}"/>
    <cellStyle name="Separador de milhares 7 4 3 3 6" xfId="22535" xr:uid="{00000000-0005-0000-0000-000055620000}"/>
    <cellStyle name="Separador de milhares 7 4 3 3 6 2" xfId="22536" xr:uid="{00000000-0005-0000-0000-000056620000}"/>
    <cellStyle name="Separador de milhares 7 4 3 3 6 2 2" xfId="31371" xr:uid="{68338359-0619-45D6-9186-0DD0684B7DFC}"/>
    <cellStyle name="Separador de milhares 7 4 3 3 6 3" xfId="31370" xr:uid="{9AD39BD2-08D0-4158-BDD5-58F52461EE0A}"/>
    <cellStyle name="Separador de milhares 7 4 3 3 7" xfId="22537" xr:uid="{00000000-0005-0000-0000-000057620000}"/>
    <cellStyle name="Separador de milhares 7 4 3 3 7 2" xfId="22538" xr:uid="{00000000-0005-0000-0000-000058620000}"/>
    <cellStyle name="Separador de milhares 7 4 3 3 7 2 2" xfId="31373" xr:uid="{F334CE1E-DF90-4079-8D5A-E13C9EDF2279}"/>
    <cellStyle name="Separador de milhares 7 4 3 3 7 3" xfId="31372" xr:uid="{ECFEFB40-9F8D-4DDB-83FB-F2590DC20BEB}"/>
    <cellStyle name="Separador de milhares 7 4 3 3 8" xfId="22539" xr:uid="{00000000-0005-0000-0000-000059620000}"/>
    <cellStyle name="Separador de milhares 7 4 3 3 8 2" xfId="22540" xr:uid="{00000000-0005-0000-0000-00005A620000}"/>
    <cellStyle name="Separador de milhares 7 4 3 3 8 2 2" xfId="31375" xr:uid="{85921251-8FD3-4E5C-9722-F661522A3682}"/>
    <cellStyle name="Separador de milhares 7 4 3 3 8 3" xfId="31374" xr:uid="{8ACF1170-91F3-41E2-BB6E-F21AB38E71E4}"/>
    <cellStyle name="Separador de milhares 7 4 3 3 9" xfId="22541" xr:uid="{00000000-0005-0000-0000-00005B620000}"/>
    <cellStyle name="Separador de milhares 7 4 3 3 9 2" xfId="22542" xr:uid="{00000000-0005-0000-0000-00005C620000}"/>
    <cellStyle name="Separador de milhares 7 4 3 3 9 2 2" xfId="31377" xr:uid="{7BE6BFC2-94FF-41D4-932B-79882FF0D3C3}"/>
    <cellStyle name="Separador de milhares 7 4 3 3 9 3" xfId="31376" xr:uid="{F642FF11-EB96-41B5-8662-080A654E288B}"/>
    <cellStyle name="Separador de milhares 7 4 3 30" xfId="22543" xr:uid="{00000000-0005-0000-0000-00005D620000}"/>
    <cellStyle name="Separador de milhares 7 4 3 30 2" xfId="22544" xr:uid="{00000000-0005-0000-0000-00005E620000}"/>
    <cellStyle name="Separador de milhares 7 4 3 30 2 2" xfId="31379" xr:uid="{68B60421-4E75-455A-A915-3FA0B0A0F021}"/>
    <cellStyle name="Separador de milhares 7 4 3 30 3" xfId="31378" xr:uid="{1DFACD68-C66D-4E9C-85A7-E476E2BF7981}"/>
    <cellStyle name="Separador de milhares 7 4 3 31" xfId="22545" xr:uid="{00000000-0005-0000-0000-00005F620000}"/>
    <cellStyle name="Separador de milhares 7 4 3 31 2" xfId="22546" xr:uid="{00000000-0005-0000-0000-000060620000}"/>
    <cellStyle name="Separador de milhares 7 4 3 31 2 2" xfId="31381" xr:uid="{632FDA70-3F9C-4E51-B332-828383EBA1C4}"/>
    <cellStyle name="Separador de milhares 7 4 3 31 3" xfId="31380" xr:uid="{87479A32-5C40-47E4-8BFF-A2AE3449398B}"/>
    <cellStyle name="Separador de milhares 7 4 3 32" xfId="22547" xr:uid="{00000000-0005-0000-0000-000061620000}"/>
    <cellStyle name="Separador de milhares 7 4 3 32 2" xfId="22548" xr:uid="{00000000-0005-0000-0000-000062620000}"/>
    <cellStyle name="Separador de milhares 7 4 3 32 2 2" xfId="31383" xr:uid="{3DF12527-5A97-4FE5-B7B6-34D31BDA89A3}"/>
    <cellStyle name="Separador de milhares 7 4 3 32 3" xfId="31382" xr:uid="{47618779-4728-4A3D-9894-37D554080E92}"/>
    <cellStyle name="Separador de milhares 7 4 3 33" xfId="22549" xr:uid="{00000000-0005-0000-0000-000063620000}"/>
    <cellStyle name="Separador de milhares 7 4 3 33 2" xfId="22550" xr:uid="{00000000-0005-0000-0000-000064620000}"/>
    <cellStyle name="Separador de milhares 7 4 3 33 2 2" xfId="31385" xr:uid="{727D3E81-863E-445B-9CC1-048711AEAC71}"/>
    <cellStyle name="Separador de milhares 7 4 3 33 3" xfId="31384" xr:uid="{359D2FE9-1362-48B2-8EDF-D47E8A6AE9F1}"/>
    <cellStyle name="Separador de milhares 7 4 3 34" xfId="22551" xr:uid="{00000000-0005-0000-0000-000065620000}"/>
    <cellStyle name="Separador de milhares 7 4 3 34 2" xfId="22552" xr:uid="{00000000-0005-0000-0000-000066620000}"/>
    <cellStyle name="Separador de milhares 7 4 3 34 2 2" xfId="31387" xr:uid="{18DD1CC3-85EC-422C-BB02-380D26668CFC}"/>
    <cellStyle name="Separador de milhares 7 4 3 34 3" xfId="31386" xr:uid="{82B4D033-DEAA-4559-B683-9DD48F732D47}"/>
    <cellStyle name="Separador de milhares 7 4 3 35" xfId="22553" xr:uid="{00000000-0005-0000-0000-000067620000}"/>
    <cellStyle name="Separador de milhares 7 4 3 35 2" xfId="22554" xr:uid="{00000000-0005-0000-0000-000068620000}"/>
    <cellStyle name="Separador de milhares 7 4 3 35 2 2" xfId="31389" xr:uid="{359AB777-860A-4BB5-8E31-70EDF7685A82}"/>
    <cellStyle name="Separador de milhares 7 4 3 35 3" xfId="31388" xr:uid="{167C056C-2968-4524-BA46-F167E99CEF8C}"/>
    <cellStyle name="Separador de milhares 7 4 3 36" xfId="22555" xr:uid="{00000000-0005-0000-0000-000069620000}"/>
    <cellStyle name="Separador de milhares 7 4 3 36 2" xfId="22556" xr:uid="{00000000-0005-0000-0000-00006A620000}"/>
    <cellStyle name="Separador de milhares 7 4 3 36 2 2" xfId="31391" xr:uid="{ADA1782B-06A5-4433-8D25-C9C43C0BDF9B}"/>
    <cellStyle name="Separador de milhares 7 4 3 36 3" xfId="31390" xr:uid="{715005D4-55A3-4FB8-97C1-878E1104C0D6}"/>
    <cellStyle name="Separador de milhares 7 4 3 37" xfId="22557" xr:uid="{00000000-0005-0000-0000-00006B620000}"/>
    <cellStyle name="Separador de milhares 7 4 3 37 2" xfId="22558" xr:uid="{00000000-0005-0000-0000-00006C620000}"/>
    <cellStyle name="Separador de milhares 7 4 3 37 2 2" xfId="31393" xr:uid="{BAE76074-FB50-43AA-A8A6-4C3729EAE9B1}"/>
    <cellStyle name="Separador de milhares 7 4 3 37 3" xfId="31392" xr:uid="{6B3C9D92-544E-4FE4-B253-1FB19E7DAFB5}"/>
    <cellStyle name="Separador de milhares 7 4 3 38" xfId="22559" xr:uid="{00000000-0005-0000-0000-00006D620000}"/>
    <cellStyle name="Separador de milhares 7 4 3 38 2" xfId="22560" xr:uid="{00000000-0005-0000-0000-00006E620000}"/>
    <cellStyle name="Separador de milhares 7 4 3 38 2 2" xfId="31395" xr:uid="{36DE04B6-9D84-47F7-9C92-EE80A33506FB}"/>
    <cellStyle name="Separador de milhares 7 4 3 38 3" xfId="31394" xr:uid="{2642AF63-B974-47E4-8EE3-26AE933A361F}"/>
    <cellStyle name="Separador de milhares 7 4 3 39" xfId="22561" xr:uid="{00000000-0005-0000-0000-00006F620000}"/>
    <cellStyle name="Separador de milhares 7 4 3 39 2" xfId="22562" xr:uid="{00000000-0005-0000-0000-000070620000}"/>
    <cellStyle name="Separador de milhares 7 4 3 39 2 2" xfId="31397" xr:uid="{6D2CB823-22C6-43A0-9997-81E706D3DF6F}"/>
    <cellStyle name="Separador de milhares 7 4 3 39 3" xfId="31396" xr:uid="{C3A07734-4600-4AB7-87E8-819D1812E463}"/>
    <cellStyle name="Separador de milhares 7 4 3 4" xfId="22563" xr:uid="{00000000-0005-0000-0000-000071620000}"/>
    <cellStyle name="Separador de milhares 7 4 3 4 2" xfId="22564" xr:uid="{00000000-0005-0000-0000-000072620000}"/>
    <cellStyle name="Separador de milhares 7 4 3 4 2 2" xfId="22565" xr:uid="{00000000-0005-0000-0000-000073620000}"/>
    <cellStyle name="Separador de milhares 7 4 3 4 2 2 2" xfId="31400" xr:uid="{71CFFE03-46E2-4369-8E22-F3DE214C5415}"/>
    <cellStyle name="Separador de milhares 7 4 3 4 2 3" xfId="31399" xr:uid="{2E83EFA6-4135-4B93-B4D7-F94FB36EBB7A}"/>
    <cellStyle name="Separador de milhares 7 4 3 4 3" xfId="22566" xr:uid="{00000000-0005-0000-0000-000074620000}"/>
    <cellStyle name="Separador de milhares 7 4 3 4 3 2" xfId="22567" xr:uid="{00000000-0005-0000-0000-000075620000}"/>
    <cellStyle name="Separador de milhares 7 4 3 4 3 2 2" xfId="31402" xr:uid="{8F9B53BE-9157-4DBB-B8FB-798D777A5577}"/>
    <cellStyle name="Separador de milhares 7 4 3 4 3 3" xfId="31401" xr:uid="{15B02138-464D-484A-B5AF-77A1331094D7}"/>
    <cellStyle name="Separador de milhares 7 4 3 4 4" xfId="22568" xr:uid="{00000000-0005-0000-0000-000076620000}"/>
    <cellStyle name="Separador de milhares 7 4 3 4 4 2" xfId="22569" xr:uid="{00000000-0005-0000-0000-000077620000}"/>
    <cellStyle name="Separador de milhares 7 4 3 4 4 2 2" xfId="31404" xr:uid="{4C0A28B3-D409-4D0F-9BE4-37AD67912A38}"/>
    <cellStyle name="Separador de milhares 7 4 3 4 4 3" xfId="31403" xr:uid="{AD4C1BA7-FA08-4F73-BEDB-594F4421C9C6}"/>
    <cellStyle name="Separador de milhares 7 4 3 4 5" xfId="22570" xr:uid="{00000000-0005-0000-0000-000078620000}"/>
    <cellStyle name="Separador de milhares 7 4 3 4 5 2" xfId="22571" xr:uid="{00000000-0005-0000-0000-000079620000}"/>
    <cellStyle name="Separador de milhares 7 4 3 4 5 2 2" xfId="31406" xr:uid="{9976F1A3-C1B2-4876-B0E8-9DF7C51146C1}"/>
    <cellStyle name="Separador de milhares 7 4 3 4 5 3" xfId="31405" xr:uid="{F25A3EC4-17A1-4889-89BA-56B952FDF4FE}"/>
    <cellStyle name="Separador de milhares 7 4 3 4 6" xfId="22572" xr:uid="{00000000-0005-0000-0000-00007A620000}"/>
    <cellStyle name="Separador de milhares 7 4 3 4 6 2" xfId="31407" xr:uid="{A598DE93-1D66-4CB9-8383-11FC411AD3A1}"/>
    <cellStyle name="Separador de milhares 7 4 3 4 7" xfId="31398" xr:uid="{8D6DF4E4-D51C-4029-85DE-1056A525820F}"/>
    <cellStyle name="Separador de milhares 7 4 3 40" xfId="22573" xr:uid="{00000000-0005-0000-0000-00007B620000}"/>
    <cellStyle name="Separador de milhares 7 4 3 40 2" xfId="22574" xr:uid="{00000000-0005-0000-0000-00007C620000}"/>
    <cellStyle name="Separador de milhares 7 4 3 40 2 2" xfId="31409" xr:uid="{1BB13D91-61EF-4718-9A8C-F91B7819F691}"/>
    <cellStyle name="Separador de milhares 7 4 3 40 3" xfId="31408" xr:uid="{D3B42AB3-4E07-434E-A61D-17B0B78D3DB9}"/>
    <cellStyle name="Separador de milhares 7 4 3 41" xfId="22575" xr:uid="{00000000-0005-0000-0000-00007D620000}"/>
    <cellStyle name="Separador de milhares 7 4 3 41 2" xfId="22576" xr:uid="{00000000-0005-0000-0000-00007E620000}"/>
    <cellStyle name="Separador de milhares 7 4 3 41 2 2" xfId="31411" xr:uid="{D980D0DC-B8AC-4A62-8A18-F57EBF363A52}"/>
    <cellStyle name="Separador de milhares 7 4 3 41 3" xfId="31410" xr:uid="{67FA9B06-6F78-40AD-88E3-9D8149761262}"/>
    <cellStyle name="Separador de milhares 7 4 3 42" xfId="22577" xr:uid="{00000000-0005-0000-0000-00007F620000}"/>
    <cellStyle name="Separador de milhares 7 4 3 42 2" xfId="22578" xr:uid="{00000000-0005-0000-0000-000080620000}"/>
    <cellStyle name="Separador de milhares 7 4 3 42 2 2" xfId="31413" xr:uid="{AA517966-8832-4F22-A450-AEFE905A931A}"/>
    <cellStyle name="Separador de milhares 7 4 3 42 3" xfId="31412" xr:uid="{CCC553B7-5D9D-4030-9248-40660DFF6916}"/>
    <cellStyle name="Separador de milhares 7 4 3 43" xfId="22579" xr:uid="{00000000-0005-0000-0000-000081620000}"/>
    <cellStyle name="Separador de milhares 7 4 3 43 2" xfId="22580" xr:uid="{00000000-0005-0000-0000-000082620000}"/>
    <cellStyle name="Separador de milhares 7 4 3 43 2 2" xfId="31415" xr:uid="{9677AEB8-5749-4C3B-9B0F-753846638845}"/>
    <cellStyle name="Separador de milhares 7 4 3 43 3" xfId="31414" xr:uid="{52DC47EC-9B91-41B2-92EB-09CE269424BD}"/>
    <cellStyle name="Separador de milhares 7 4 3 44" xfId="22581" xr:uid="{00000000-0005-0000-0000-000083620000}"/>
    <cellStyle name="Separador de milhares 7 4 3 44 2" xfId="22582" xr:uid="{00000000-0005-0000-0000-000084620000}"/>
    <cellStyle name="Separador de milhares 7 4 3 44 2 2" xfId="31417" xr:uid="{70986491-79CA-4DE4-B6AD-16D3482B51C7}"/>
    <cellStyle name="Separador de milhares 7 4 3 44 3" xfId="31416" xr:uid="{9187D102-F02E-4B2A-8373-70D96ECE5881}"/>
    <cellStyle name="Separador de milhares 7 4 3 45" xfId="22583" xr:uid="{00000000-0005-0000-0000-000085620000}"/>
    <cellStyle name="Separador de milhares 7 4 3 45 2" xfId="22584" xr:uid="{00000000-0005-0000-0000-000086620000}"/>
    <cellStyle name="Separador de milhares 7 4 3 45 2 2" xfId="31419" xr:uid="{3A957959-C1E2-4631-8371-65ECF4DFFEAD}"/>
    <cellStyle name="Separador de milhares 7 4 3 45 3" xfId="31418" xr:uid="{7A637F96-A73D-4358-98A2-0E1D763B7A5B}"/>
    <cellStyle name="Separador de milhares 7 4 3 46" xfId="22585" xr:uid="{00000000-0005-0000-0000-000087620000}"/>
    <cellStyle name="Separador de milhares 7 4 3 46 2" xfId="22586" xr:uid="{00000000-0005-0000-0000-000088620000}"/>
    <cellStyle name="Separador de milhares 7 4 3 46 2 2" xfId="31421" xr:uid="{6E729A79-9451-4814-BE89-0EE87CE1C545}"/>
    <cellStyle name="Separador de milhares 7 4 3 46 3" xfId="31420" xr:uid="{7AF02775-726D-4B49-93D7-1BC51773D9E2}"/>
    <cellStyle name="Separador de milhares 7 4 3 47" xfId="22587" xr:uid="{00000000-0005-0000-0000-000089620000}"/>
    <cellStyle name="Separador de milhares 7 4 3 47 2" xfId="31422" xr:uid="{5F671506-E070-4D99-A67E-E6E63CBB5BDA}"/>
    <cellStyle name="Separador de milhares 7 4 3 48" xfId="22366" xr:uid="{00000000-0005-0000-0000-00008A620000}"/>
    <cellStyle name="Separador de milhares 7 4 3 49" xfId="28086" xr:uid="{7A5C7CC1-DBFA-48C3-AB09-1C37B63D8FC5}"/>
    <cellStyle name="Separador de milhares 7 4 3 5" xfId="22588" xr:uid="{00000000-0005-0000-0000-00008B620000}"/>
    <cellStyle name="Separador de milhares 7 4 3 5 2" xfId="22589" xr:uid="{00000000-0005-0000-0000-00008C620000}"/>
    <cellStyle name="Separador de milhares 7 4 3 5 2 2" xfId="31424" xr:uid="{2504BB68-B0FE-4531-8021-9DDDE0EEC263}"/>
    <cellStyle name="Separador de milhares 7 4 3 5 3" xfId="31423" xr:uid="{946AB163-728B-421A-A53B-6F5B43E221E3}"/>
    <cellStyle name="Separador de milhares 7 4 3 6" xfId="22590" xr:uid="{00000000-0005-0000-0000-00008D620000}"/>
    <cellStyle name="Separador de milhares 7 4 3 6 2" xfId="22591" xr:uid="{00000000-0005-0000-0000-00008E620000}"/>
    <cellStyle name="Separador de milhares 7 4 3 6 2 2" xfId="31426" xr:uid="{70CF75BC-5571-4C72-9D62-6830953FD984}"/>
    <cellStyle name="Separador de milhares 7 4 3 6 3" xfId="31425" xr:uid="{1291E433-9337-43E2-8990-C81897B4A3EB}"/>
    <cellStyle name="Separador de milhares 7 4 3 7" xfId="22592" xr:uid="{00000000-0005-0000-0000-00008F620000}"/>
    <cellStyle name="Separador de milhares 7 4 3 7 2" xfId="22593" xr:uid="{00000000-0005-0000-0000-000090620000}"/>
    <cellStyle name="Separador de milhares 7 4 3 7 2 2" xfId="31428" xr:uid="{8D914887-C77C-400C-A9CD-8C86F699B3A8}"/>
    <cellStyle name="Separador de milhares 7 4 3 7 3" xfId="31427" xr:uid="{A378DE24-891E-4F19-8CEF-9B36982ADC98}"/>
    <cellStyle name="Separador de milhares 7 4 3 8" xfId="22594" xr:uid="{00000000-0005-0000-0000-000091620000}"/>
    <cellStyle name="Separador de milhares 7 4 3 8 2" xfId="22595" xr:uid="{00000000-0005-0000-0000-000092620000}"/>
    <cellStyle name="Separador de milhares 7 4 3 8 2 2" xfId="31430" xr:uid="{0692C9B0-C49D-44ED-9495-298000F8BF07}"/>
    <cellStyle name="Separador de milhares 7 4 3 8 3" xfId="31429" xr:uid="{080966F3-4B0E-492A-8520-1D1CA81A68EA}"/>
    <cellStyle name="Separador de milhares 7 4 3 9" xfId="22596" xr:uid="{00000000-0005-0000-0000-000093620000}"/>
    <cellStyle name="Separador de milhares 7 4 3 9 2" xfId="22597" xr:uid="{00000000-0005-0000-0000-000094620000}"/>
    <cellStyle name="Separador de milhares 7 4 3 9 2 2" xfId="31432" xr:uid="{1696F079-459D-4D05-BC0B-356BEAEB79E5}"/>
    <cellStyle name="Separador de milhares 7 4 3 9 3" xfId="31431" xr:uid="{E993BA13-CE2F-4187-8D94-F549F748A4A8}"/>
    <cellStyle name="Separador de milhares 7 4 30" xfId="22598" xr:uid="{00000000-0005-0000-0000-000095620000}"/>
    <cellStyle name="Separador de milhares 7 4 30 2" xfId="22599" xr:uid="{00000000-0005-0000-0000-000096620000}"/>
    <cellStyle name="Separador de milhares 7 4 30 2 2" xfId="31434" xr:uid="{073DA3C1-F504-444C-9F06-456AF71DF966}"/>
    <cellStyle name="Separador de milhares 7 4 30 3" xfId="31433" xr:uid="{8C25FB32-1DD3-4A20-B9AA-48CFEEFA4E00}"/>
    <cellStyle name="Separador de milhares 7 4 31" xfId="22600" xr:uid="{00000000-0005-0000-0000-000097620000}"/>
    <cellStyle name="Separador de milhares 7 4 31 2" xfId="22601" xr:uid="{00000000-0005-0000-0000-000098620000}"/>
    <cellStyle name="Separador de milhares 7 4 31 2 2" xfId="31436" xr:uid="{12B8301D-841F-4EF1-9BA3-8A20FC0AC414}"/>
    <cellStyle name="Separador de milhares 7 4 31 3" xfId="31435" xr:uid="{236638BB-3EEF-4A3C-8C32-D3EE3DDFEE6A}"/>
    <cellStyle name="Separador de milhares 7 4 32" xfId="22602" xr:uid="{00000000-0005-0000-0000-000099620000}"/>
    <cellStyle name="Separador de milhares 7 4 32 2" xfId="22603" xr:uid="{00000000-0005-0000-0000-00009A620000}"/>
    <cellStyle name="Separador de milhares 7 4 32 2 2" xfId="31438" xr:uid="{6B902BC7-5DD5-4017-8397-D29717C4E0D3}"/>
    <cellStyle name="Separador de milhares 7 4 32 3" xfId="31437" xr:uid="{578E75F4-6E87-479F-8561-746F8C7622EE}"/>
    <cellStyle name="Separador de milhares 7 4 33" xfId="22604" xr:uid="{00000000-0005-0000-0000-00009B620000}"/>
    <cellStyle name="Separador de milhares 7 4 33 2" xfId="22605" xr:uid="{00000000-0005-0000-0000-00009C620000}"/>
    <cellStyle name="Separador de milhares 7 4 33 2 2" xfId="31440" xr:uid="{9C223ACA-D27D-45C4-8FD0-0833B2326601}"/>
    <cellStyle name="Separador de milhares 7 4 33 3" xfId="31439" xr:uid="{2F693C3B-E2E9-4FF5-B578-FC0D3D54AB84}"/>
    <cellStyle name="Separador de milhares 7 4 34" xfId="22606" xr:uid="{00000000-0005-0000-0000-00009D620000}"/>
    <cellStyle name="Separador de milhares 7 4 34 2" xfId="22607" xr:uid="{00000000-0005-0000-0000-00009E620000}"/>
    <cellStyle name="Separador de milhares 7 4 34 2 2" xfId="31442" xr:uid="{A0AB70B9-8F4F-45B3-8DBD-2728A3F2992E}"/>
    <cellStyle name="Separador de milhares 7 4 34 3" xfId="31441" xr:uid="{D8D0F7D7-B2EC-451C-BA41-BEFC92081E68}"/>
    <cellStyle name="Separador de milhares 7 4 35" xfId="22608" xr:uid="{00000000-0005-0000-0000-00009F620000}"/>
    <cellStyle name="Separador de milhares 7 4 35 2" xfId="22609" xr:uid="{00000000-0005-0000-0000-0000A0620000}"/>
    <cellStyle name="Separador de milhares 7 4 35 2 2" xfId="31444" xr:uid="{AB015CAB-AC68-4864-BEF3-EE136C6EF50F}"/>
    <cellStyle name="Separador de milhares 7 4 35 3" xfId="31443" xr:uid="{60285BC2-619C-4DB2-962B-1EA4C509676F}"/>
    <cellStyle name="Separador de milhares 7 4 36" xfId="22610" xr:uid="{00000000-0005-0000-0000-0000A1620000}"/>
    <cellStyle name="Separador de milhares 7 4 36 2" xfId="22611" xr:uid="{00000000-0005-0000-0000-0000A2620000}"/>
    <cellStyle name="Separador de milhares 7 4 36 2 2" xfId="31446" xr:uid="{5989D462-49AD-46D9-8C06-64D987F2141B}"/>
    <cellStyle name="Separador de milhares 7 4 36 3" xfId="31445" xr:uid="{A7CFD965-8D53-4379-ADE0-1A1EBB656947}"/>
    <cellStyle name="Separador de milhares 7 4 37" xfId="22612" xr:uid="{00000000-0005-0000-0000-0000A3620000}"/>
    <cellStyle name="Separador de milhares 7 4 37 2" xfId="22613" xr:uid="{00000000-0005-0000-0000-0000A4620000}"/>
    <cellStyle name="Separador de milhares 7 4 37 2 2" xfId="31448" xr:uid="{88F3D258-146C-414E-BA94-CAAF56F314D9}"/>
    <cellStyle name="Separador de milhares 7 4 37 3" xfId="31447" xr:uid="{FBF914C6-A7B1-4F8C-93CE-1F1FBA0D834E}"/>
    <cellStyle name="Separador de milhares 7 4 38" xfId="22614" xr:uid="{00000000-0005-0000-0000-0000A5620000}"/>
    <cellStyle name="Separador de milhares 7 4 38 2" xfId="22615" xr:uid="{00000000-0005-0000-0000-0000A6620000}"/>
    <cellStyle name="Separador de milhares 7 4 38 2 2" xfId="31450" xr:uid="{25BD5C92-C0EF-4613-9438-6E0FE0A4A457}"/>
    <cellStyle name="Separador de milhares 7 4 38 3" xfId="31449" xr:uid="{E28FC73F-806E-458A-AF40-E135B3F89AD7}"/>
    <cellStyle name="Separador de milhares 7 4 39" xfId="22616" xr:uid="{00000000-0005-0000-0000-0000A7620000}"/>
    <cellStyle name="Separador de milhares 7 4 39 2" xfId="22617" xr:uid="{00000000-0005-0000-0000-0000A8620000}"/>
    <cellStyle name="Separador de milhares 7 4 39 2 2" xfId="31452" xr:uid="{E65A000C-A98E-4112-A181-C082CA09F893}"/>
    <cellStyle name="Separador de milhares 7 4 39 3" xfId="31451" xr:uid="{B704FA79-469F-45CB-A280-594FEA0CA596}"/>
    <cellStyle name="Separador de milhares 7 4 4" xfId="22618" xr:uid="{00000000-0005-0000-0000-0000A9620000}"/>
    <cellStyle name="Separador de milhares 7 4 4 10" xfId="22619" xr:uid="{00000000-0005-0000-0000-0000AA620000}"/>
    <cellStyle name="Separador de milhares 7 4 4 10 2" xfId="22620" xr:uid="{00000000-0005-0000-0000-0000AB620000}"/>
    <cellStyle name="Separador de milhares 7 4 4 10 2 2" xfId="31454" xr:uid="{B084D383-0596-4135-863C-D4CE870F8B58}"/>
    <cellStyle name="Separador de milhares 7 4 4 10 3" xfId="31453" xr:uid="{854DCB7F-680D-4C0E-B878-59733FBA1FE3}"/>
    <cellStyle name="Separador de milhares 7 4 4 11" xfId="22621" xr:uid="{00000000-0005-0000-0000-0000AC620000}"/>
    <cellStyle name="Separador de milhares 7 4 4 11 2" xfId="22622" xr:uid="{00000000-0005-0000-0000-0000AD620000}"/>
    <cellStyle name="Separador de milhares 7 4 4 11 2 2" xfId="31456" xr:uid="{D3B9A979-65C1-47F4-8FEB-7B30C0B0D005}"/>
    <cellStyle name="Separador de milhares 7 4 4 11 3" xfId="31455" xr:uid="{D8653545-4E70-4925-9998-89185A783E86}"/>
    <cellStyle name="Separador de milhares 7 4 4 12" xfId="22623" xr:uid="{00000000-0005-0000-0000-0000AE620000}"/>
    <cellStyle name="Separador de milhares 7 4 4 12 2" xfId="22624" xr:uid="{00000000-0005-0000-0000-0000AF620000}"/>
    <cellStyle name="Separador de milhares 7 4 4 12 2 2" xfId="31458" xr:uid="{64E69416-4425-4E5C-A721-875A34F1C14A}"/>
    <cellStyle name="Separador de milhares 7 4 4 12 3" xfId="31457" xr:uid="{5A99093B-9997-46EA-ACE5-0F28CAB6148B}"/>
    <cellStyle name="Separador de milhares 7 4 4 13" xfId="22625" xr:uid="{00000000-0005-0000-0000-0000B0620000}"/>
    <cellStyle name="Separador de milhares 7 4 4 13 2" xfId="22626" xr:uid="{00000000-0005-0000-0000-0000B1620000}"/>
    <cellStyle name="Separador de milhares 7 4 4 13 2 2" xfId="31460" xr:uid="{BF7B24DE-0A04-4F67-8B1E-0C30C32ACC1B}"/>
    <cellStyle name="Separador de milhares 7 4 4 13 3" xfId="31459" xr:uid="{06787CA5-88F3-44E3-80E3-2374018A7EF4}"/>
    <cellStyle name="Separador de milhares 7 4 4 14" xfId="22627" xr:uid="{00000000-0005-0000-0000-0000B2620000}"/>
    <cellStyle name="Separador de milhares 7 4 4 14 2" xfId="22628" xr:uid="{00000000-0005-0000-0000-0000B3620000}"/>
    <cellStyle name="Separador de milhares 7 4 4 14 2 2" xfId="31462" xr:uid="{E8C5BB67-81EF-4C4D-B223-65ED6DCBF156}"/>
    <cellStyle name="Separador de milhares 7 4 4 14 3" xfId="31461" xr:uid="{7355308B-3DBA-4848-9D52-AE19081FBB8F}"/>
    <cellStyle name="Separador de milhares 7 4 4 15" xfId="22629" xr:uid="{00000000-0005-0000-0000-0000B4620000}"/>
    <cellStyle name="Separador de milhares 7 4 4 15 2" xfId="22630" xr:uid="{00000000-0005-0000-0000-0000B5620000}"/>
    <cellStyle name="Separador de milhares 7 4 4 15 2 2" xfId="31464" xr:uid="{A0D5D587-64C2-4043-99E9-469B077A7CF3}"/>
    <cellStyle name="Separador de milhares 7 4 4 15 3" xfId="31463" xr:uid="{53ACC996-A896-4D32-A168-B13BEE182FDF}"/>
    <cellStyle name="Separador de milhares 7 4 4 16" xfId="22631" xr:uid="{00000000-0005-0000-0000-0000B6620000}"/>
    <cellStyle name="Separador de milhares 7 4 4 16 2" xfId="22632" xr:uid="{00000000-0005-0000-0000-0000B7620000}"/>
    <cellStyle name="Separador de milhares 7 4 4 16 2 2" xfId="31466" xr:uid="{B4AB9179-57B3-406C-8A8E-9F3CA17B366A}"/>
    <cellStyle name="Separador de milhares 7 4 4 16 3" xfId="31465" xr:uid="{89D0B847-F85A-4EE6-B385-77EBD15BB4EF}"/>
    <cellStyle name="Separador de milhares 7 4 4 17" xfId="22633" xr:uid="{00000000-0005-0000-0000-0000B8620000}"/>
    <cellStyle name="Separador de milhares 7 4 4 17 2" xfId="22634" xr:uid="{00000000-0005-0000-0000-0000B9620000}"/>
    <cellStyle name="Separador de milhares 7 4 4 17 2 2" xfId="31468" xr:uid="{121FCA6D-6FED-4C2F-BF9C-0F7F52A7E5A3}"/>
    <cellStyle name="Separador de milhares 7 4 4 17 3" xfId="31467" xr:uid="{89DF19FF-AC6B-4F59-B8C8-CB1F45E3AB2D}"/>
    <cellStyle name="Separador de milhares 7 4 4 18" xfId="22635" xr:uid="{00000000-0005-0000-0000-0000BA620000}"/>
    <cellStyle name="Separador de milhares 7 4 4 18 2" xfId="22636" xr:uid="{00000000-0005-0000-0000-0000BB620000}"/>
    <cellStyle name="Separador de milhares 7 4 4 18 2 2" xfId="31470" xr:uid="{7ACD1F74-C0FB-4E6B-8481-4CD9BDFE7E2A}"/>
    <cellStyle name="Separador de milhares 7 4 4 18 3" xfId="31469" xr:uid="{3DADE42F-AAF3-415B-8900-4DDD8E2DA4E4}"/>
    <cellStyle name="Separador de milhares 7 4 4 19" xfId="22637" xr:uid="{00000000-0005-0000-0000-0000BC620000}"/>
    <cellStyle name="Separador de milhares 7 4 4 19 2" xfId="22638" xr:uid="{00000000-0005-0000-0000-0000BD620000}"/>
    <cellStyle name="Separador de milhares 7 4 4 19 2 2" xfId="31472" xr:uid="{21E6C6D6-DEA0-434C-8B45-DA123B7C6585}"/>
    <cellStyle name="Separador de milhares 7 4 4 19 3" xfId="31471" xr:uid="{C8EE6E6F-4ED1-4363-8F8B-3E4747C8E781}"/>
    <cellStyle name="Separador de milhares 7 4 4 2" xfId="22639" xr:uid="{00000000-0005-0000-0000-0000BE620000}"/>
    <cellStyle name="Separador de milhares 7 4 4 2 2" xfId="22640" xr:uid="{00000000-0005-0000-0000-0000BF620000}"/>
    <cellStyle name="Separador de milhares 7 4 4 2 2 2" xfId="22641" xr:uid="{00000000-0005-0000-0000-0000C0620000}"/>
    <cellStyle name="Separador de milhares 7 4 4 2 2 2 2" xfId="31475" xr:uid="{3BEB692B-E65C-4990-92CE-639245E0A600}"/>
    <cellStyle name="Separador de milhares 7 4 4 2 2 3" xfId="31474" xr:uid="{8243DD22-405E-4C9E-B398-8C5A003C1EF2}"/>
    <cellStyle name="Separador de milhares 7 4 4 2 3" xfId="22642" xr:uid="{00000000-0005-0000-0000-0000C1620000}"/>
    <cellStyle name="Separador de milhares 7 4 4 2 3 2" xfId="22643" xr:uid="{00000000-0005-0000-0000-0000C2620000}"/>
    <cellStyle name="Separador de milhares 7 4 4 2 3 2 2" xfId="31477" xr:uid="{1B2F7D63-522C-4917-969D-B30AC28EF392}"/>
    <cellStyle name="Separador de milhares 7 4 4 2 3 3" xfId="31476" xr:uid="{B3430D3C-E027-4AD3-8A24-295F79DFC5C9}"/>
    <cellStyle name="Separador de milhares 7 4 4 2 4" xfId="22644" xr:uid="{00000000-0005-0000-0000-0000C3620000}"/>
    <cellStyle name="Separador de milhares 7 4 4 2 4 2" xfId="22645" xr:uid="{00000000-0005-0000-0000-0000C4620000}"/>
    <cellStyle name="Separador de milhares 7 4 4 2 4 2 2" xfId="31479" xr:uid="{80D0DA11-4E71-4450-B712-24A5AFA31A7E}"/>
    <cellStyle name="Separador de milhares 7 4 4 2 4 3" xfId="31478" xr:uid="{A9BDB9F8-AFEA-4C26-B5CF-411B432C9A11}"/>
    <cellStyle name="Separador de milhares 7 4 4 2 5" xfId="22646" xr:uid="{00000000-0005-0000-0000-0000C5620000}"/>
    <cellStyle name="Separador de milhares 7 4 4 2 5 2" xfId="22647" xr:uid="{00000000-0005-0000-0000-0000C6620000}"/>
    <cellStyle name="Separador de milhares 7 4 4 2 5 2 2" xfId="31481" xr:uid="{9C7A845E-D030-4940-ABBF-C620C15E71FC}"/>
    <cellStyle name="Separador de milhares 7 4 4 2 5 3" xfId="31480" xr:uid="{8F093550-C30C-4333-96E4-810C7BDD2DB2}"/>
    <cellStyle name="Separador de milhares 7 4 4 2 6" xfId="22648" xr:uid="{00000000-0005-0000-0000-0000C7620000}"/>
    <cellStyle name="Separador de milhares 7 4 4 2 6 2" xfId="31482" xr:uid="{B224BC11-EA56-4362-9356-EA1E8A9EBA38}"/>
    <cellStyle name="Separador de milhares 7 4 4 2 7" xfId="31473" xr:uid="{44A1485F-0800-4ADE-AD4D-0F33B4AFDB89}"/>
    <cellStyle name="Separador de milhares 7 4 4 20" xfId="22649" xr:uid="{00000000-0005-0000-0000-0000C8620000}"/>
    <cellStyle name="Separador de milhares 7 4 4 20 2" xfId="22650" xr:uid="{00000000-0005-0000-0000-0000C9620000}"/>
    <cellStyle name="Separador de milhares 7 4 4 20 2 2" xfId="31484" xr:uid="{0CE2E276-CA03-4300-841D-6BB47D12E646}"/>
    <cellStyle name="Separador de milhares 7 4 4 20 3" xfId="31483" xr:uid="{9CC864F4-4D34-41E7-ACA3-C8F0F76F7602}"/>
    <cellStyle name="Separador de milhares 7 4 4 21" xfId="22651" xr:uid="{00000000-0005-0000-0000-0000CA620000}"/>
    <cellStyle name="Separador de milhares 7 4 4 21 2" xfId="22652" xr:uid="{00000000-0005-0000-0000-0000CB620000}"/>
    <cellStyle name="Separador de milhares 7 4 4 21 2 2" xfId="31486" xr:uid="{10942706-6E22-4246-A076-C95A75145DD9}"/>
    <cellStyle name="Separador de milhares 7 4 4 21 3" xfId="31485" xr:uid="{588B5070-4C6E-4B1E-BBB9-307F0FBD4127}"/>
    <cellStyle name="Separador de milhares 7 4 4 22" xfId="22653" xr:uid="{00000000-0005-0000-0000-0000CC620000}"/>
    <cellStyle name="Separador de milhares 7 4 4 22 2" xfId="22654" xr:uid="{00000000-0005-0000-0000-0000CD620000}"/>
    <cellStyle name="Separador de milhares 7 4 4 22 2 2" xfId="31488" xr:uid="{AFC79A6F-1E81-42F2-9894-38161D2777AD}"/>
    <cellStyle name="Separador de milhares 7 4 4 22 3" xfId="31487" xr:uid="{6D5F3A63-9203-4D93-BC57-E77379A2F07E}"/>
    <cellStyle name="Separador de milhares 7 4 4 23" xfId="22655" xr:uid="{00000000-0005-0000-0000-0000CE620000}"/>
    <cellStyle name="Separador de milhares 7 4 4 23 2" xfId="22656" xr:uid="{00000000-0005-0000-0000-0000CF620000}"/>
    <cellStyle name="Separador de milhares 7 4 4 23 2 2" xfId="31490" xr:uid="{9A0F0738-4ADD-454B-BAC2-466049EDEC81}"/>
    <cellStyle name="Separador de milhares 7 4 4 23 3" xfId="31489" xr:uid="{3AE6429B-AD0D-40C5-9981-DA3480B9BB1D}"/>
    <cellStyle name="Separador de milhares 7 4 4 24" xfId="22657" xr:uid="{00000000-0005-0000-0000-0000D0620000}"/>
    <cellStyle name="Separador de milhares 7 4 4 24 2" xfId="22658" xr:uid="{00000000-0005-0000-0000-0000D1620000}"/>
    <cellStyle name="Separador de milhares 7 4 4 24 2 2" xfId="31492" xr:uid="{24425DA6-F12D-4ED4-9EC3-91FF759294D0}"/>
    <cellStyle name="Separador de milhares 7 4 4 24 3" xfId="31491" xr:uid="{8A67135A-126B-428C-9C7C-0730B821AD56}"/>
    <cellStyle name="Separador de milhares 7 4 4 25" xfId="22659" xr:uid="{00000000-0005-0000-0000-0000D2620000}"/>
    <cellStyle name="Separador de milhares 7 4 4 25 2" xfId="22660" xr:uid="{00000000-0005-0000-0000-0000D3620000}"/>
    <cellStyle name="Separador de milhares 7 4 4 25 2 2" xfId="31494" xr:uid="{AB70FEB6-97EE-4C5C-B426-17943430EA70}"/>
    <cellStyle name="Separador de milhares 7 4 4 25 3" xfId="31493" xr:uid="{A782D162-7308-4BEB-ACE1-EBCD5467F7F0}"/>
    <cellStyle name="Separador de milhares 7 4 4 26" xfId="22661" xr:uid="{00000000-0005-0000-0000-0000D4620000}"/>
    <cellStyle name="Separador de milhares 7 4 4 26 2" xfId="22662" xr:uid="{00000000-0005-0000-0000-0000D5620000}"/>
    <cellStyle name="Separador de milhares 7 4 4 26 2 2" xfId="31496" xr:uid="{5348A00B-4A9A-4AB6-8688-55EE8DF899A9}"/>
    <cellStyle name="Separador de milhares 7 4 4 26 3" xfId="31495" xr:uid="{9A7E5353-7333-4466-85C2-C8B08532128F}"/>
    <cellStyle name="Separador de milhares 7 4 4 27" xfId="22663" xr:uid="{00000000-0005-0000-0000-0000D6620000}"/>
    <cellStyle name="Separador de milhares 7 4 4 27 2" xfId="22664" xr:uid="{00000000-0005-0000-0000-0000D7620000}"/>
    <cellStyle name="Separador de milhares 7 4 4 27 2 2" xfId="31498" xr:uid="{C5B52BA7-4013-490E-A68D-953EA849AE13}"/>
    <cellStyle name="Separador de milhares 7 4 4 27 3" xfId="31497" xr:uid="{47F0716F-95A2-4917-965D-8AB93C0D9976}"/>
    <cellStyle name="Separador de milhares 7 4 4 28" xfId="22665" xr:uid="{00000000-0005-0000-0000-0000D8620000}"/>
    <cellStyle name="Separador de milhares 7 4 4 28 2" xfId="22666" xr:uid="{00000000-0005-0000-0000-0000D9620000}"/>
    <cellStyle name="Separador de milhares 7 4 4 28 2 2" xfId="31500" xr:uid="{EA2821F7-7374-443B-B8C2-FB1031E05481}"/>
    <cellStyle name="Separador de milhares 7 4 4 28 3" xfId="31499" xr:uid="{BA936E79-FF57-4CA1-BD40-4B098BF414C0}"/>
    <cellStyle name="Separador de milhares 7 4 4 29" xfId="22667" xr:uid="{00000000-0005-0000-0000-0000DA620000}"/>
    <cellStyle name="Separador de milhares 7 4 4 29 2" xfId="22668" xr:uid="{00000000-0005-0000-0000-0000DB620000}"/>
    <cellStyle name="Separador de milhares 7 4 4 29 2 2" xfId="31502" xr:uid="{0B4BD77E-410D-45CF-94DA-EBE2558C162E}"/>
    <cellStyle name="Separador de milhares 7 4 4 29 3" xfId="31501" xr:uid="{E3FD9B05-A8BA-464D-B314-C5B9287DDF3D}"/>
    <cellStyle name="Separador de milhares 7 4 4 3" xfId="22669" xr:uid="{00000000-0005-0000-0000-0000DC620000}"/>
    <cellStyle name="Separador de milhares 7 4 4 3 2" xfId="22670" xr:uid="{00000000-0005-0000-0000-0000DD620000}"/>
    <cellStyle name="Separador de milhares 7 4 4 3 2 2" xfId="22671" xr:uid="{00000000-0005-0000-0000-0000DE620000}"/>
    <cellStyle name="Separador de milhares 7 4 4 3 2 2 2" xfId="31505" xr:uid="{BD9B46CB-9DC5-4EDB-8F49-4274ECF00046}"/>
    <cellStyle name="Separador de milhares 7 4 4 3 2 3" xfId="31504" xr:uid="{612699D2-F32C-407A-979A-838752B4AA71}"/>
    <cellStyle name="Separador de milhares 7 4 4 3 3" xfId="22672" xr:uid="{00000000-0005-0000-0000-0000DF620000}"/>
    <cellStyle name="Separador de milhares 7 4 4 3 3 2" xfId="22673" xr:uid="{00000000-0005-0000-0000-0000E0620000}"/>
    <cellStyle name="Separador de milhares 7 4 4 3 3 2 2" xfId="31507" xr:uid="{BBDBA5AB-00F0-4F49-8A31-C79810C16573}"/>
    <cellStyle name="Separador de milhares 7 4 4 3 3 3" xfId="31506" xr:uid="{68C8F540-A6AC-469D-BDBA-29B21C2FA8AB}"/>
    <cellStyle name="Separador de milhares 7 4 4 3 4" xfId="22674" xr:uid="{00000000-0005-0000-0000-0000E1620000}"/>
    <cellStyle name="Separador de milhares 7 4 4 3 4 2" xfId="22675" xr:uid="{00000000-0005-0000-0000-0000E2620000}"/>
    <cellStyle name="Separador de milhares 7 4 4 3 4 2 2" xfId="31509" xr:uid="{E7B846A0-A73D-479C-8A73-C46C76F1555A}"/>
    <cellStyle name="Separador de milhares 7 4 4 3 4 3" xfId="31508" xr:uid="{F3566747-52CA-47C9-8F37-4FE12128B82B}"/>
    <cellStyle name="Separador de milhares 7 4 4 3 5" xfId="22676" xr:uid="{00000000-0005-0000-0000-0000E3620000}"/>
    <cellStyle name="Separador de milhares 7 4 4 3 5 2" xfId="22677" xr:uid="{00000000-0005-0000-0000-0000E4620000}"/>
    <cellStyle name="Separador de milhares 7 4 4 3 5 2 2" xfId="31511" xr:uid="{DD5BF6B7-5705-438A-B6F3-A61BA4744A3E}"/>
    <cellStyle name="Separador de milhares 7 4 4 3 5 3" xfId="31510" xr:uid="{CF192FBF-E038-45CB-95D9-1D0E8F911432}"/>
    <cellStyle name="Separador de milhares 7 4 4 3 6" xfId="22678" xr:uid="{00000000-0005-0000-0000-0000E5620000}"/>
    <cellStyle name="Separador de milhares 7 4 4 3 6 2" xfId="31512" xr:uid="{11EF480B-7513-47A2-A963-EF2E305C4067}"/>
    <cellStyle name="Separador de milhares 7 4 4 3 7" xfId="31503" xr:uid="{61F35CF7-48C5-4FD5-B797-56783A88A3A2}"/>
    <cellStyle name="Separador de milhares 7 4 4 30" xfId="22679" xr:uid="{00000000-0005-0000-0000-0000E6620000}"/>
    <cellStyle name="Separador de milhares 7 4 4 30 2" xfId="22680" xr:uid="{00000000-0005-0000-0000-0000E7620000}"/>
    <cellStyle name="Separador de milhares 7 4 4 30 2 2" xfId="31514" xr:uid="{84985153-735C-4863-B098-4D29A2ECAAC9}"/>
    <cellStyle name="Separador de milhares 7 4 4 30 3" xfId="31513" xr:uid="{3DD7389B-6AB7-4CA1-B1E6-9FB32D350E15}"/>
    <cellStyle name="Separador de milhares 7 4 4 31" xfId="22681" xr:uid="{00000000-0005-0000-0000-0000E8620000}"/>
    <cellStyle name="Separador de milhares 7 4 4 31 2" xfId="22682" xr:uid="{00000000-0005-0000-0000-0000E9620000}"/>
    <cellStyle name="Separador de milhares 7 4 4 31 2 2" xfId="31516" xr:uid="{C6120579-44AE-4050-A48A-DF694124B9EE}"/>
    <cellStyle name="Separador de milhares 7 4 4 31 3" xfId="31515" xr:uid="{DAFC8944-6EF1-47AB-8AB5-9F896BA74000}"/>
    <cellStyle name="Separador de milhares 7 4 4 32" xfId="22683" xr:uid="{00000000-0005-0000-0000-0000EA620000}"/>
    <cellStyle name="Separador de milhares 7 4 4 32 2" xfId="22684" xr:uid="{00000000-0005-0000-0000-0000EB620000}"/>
    <cellStyle name="Separador de milhares 7 4 4 32 2 2" xfId="31518" xr:uid="{E7087A95-9515-4EF9-A1D5-9FDA19997204}"/>
    <cellStyle name="Separador de milhares 7 4 4 32 3" xfId="31517" xr:uid="{0443100C-03B8-4916-A31B-7C82F57A3A20}"/>
    <cellStyle name="Separador de milhares 7 4 4 33" xfId="22685" xr:uid="{00000000-0005-0000-0000-0000EC620000}"/>
    <cellStyle name="Separador de milhares 7 4 4 33 2" xfId="22686" xr:uid="{00000000-0005-0000-0000-0000ED620000}"/>
    <cellStyle name="Separador de milhares 7 4 4 33 2 2" xfId="31520" xr:uid="{5A485D16-CD95-40AF-AD42-0D56D3794C74}"/>
    <cellStyle name="Separador de milhares 7 4 4 33 3" xfId="31519" xr:uid="{96736A85-A201-4A6C-B51A-0C05C8F5440A}"/>
    <cellStyle name="Separador de milhares 7 4 4 34" xfId="22687" xr:uid="{00000000-0005-0000-0000-0000EE620000}"/>
    <cellStyle name="Separador de milhares 7 4 4 34 2" xfId="22688" xr:uid="{00000000-0005-0000-0000-0000EF620000}"/>
    <cellStyle name="Separador de milhares 7 4 4 34 2 2" xfId="31522" xr:uid="{04D81263-CA26-4D1D-AF1D-1C3787F6D6B8}"/>
    <cellStyle name="Separador de milhares 7 4 4 34 3" xfId="31521" xr:uid="{07E43BCF-69AC-42EF-8C99-8CD6E96B2CCC}"/>
    <cellStyle name="Separador de milhares 7 4 4 35" xfId="22689" xr:uid="{00000000-0005-0000-0000-0000F0620000}"/>
    <cellStyle name="Separador de milhares 7 4 4 35 2" xfId="22690" xr:uid="{00000000-0005-0000-0000-0000F1620000}"/>
    <cellStyle name="Separador de milhares 7 4 4 35 2 2" xfId="31524" xr:uid="{68B4EBBE-8A12-43BA-8F3E-1E4B807323CF}"/>
    <cellStyle name="Separador de milhares 7 4 4 35 3" xfId="31523" xr:uid="{4D4B022D-C9CE-4035-99EC-4B8EF9BE2C26}"/>
    <cellStyle name="Separador de milhares 7 4 4 36" xfId="22691" xr:uid="{00000000-0005-0000-0000-0000F2620000}"/>
    <cellStyle name="Separador de milhares 7 4 4 36 2" xfId="22692" xr:uid="{00000000-0005-0000-0000-0000F3620000}"/>
    <cellStyle name="Separador de milhares 7 4 4 36 2 2" xfId="31526" xr:uid="{97143D4B-0BEC-414B-A54B-8250F3385EC0}"/>
    <cellStyle name="Separador de milhares 7 4 4 36 3" xfId="31525" xr:uid="{7FC8D6EC-1BD2-4E1E-A9B5-8A265E1F6926}"/>
    <cellStyle name="Separador de milhares 7 4 4 37" xfId="22693" xr:uid="{00000000-0005-0000-0000-0000F4620000}"/>
    <cellStyle name="Separador de milhares 7 4 4 37 2" xfId="22694" xr:uid="{00000000-0005-0000-0000-0000F5620000}"/>
    <cellStyle name="Separador de milhares 7 4 4 37 2 2" xfId="31528" xr:uid="{7EF839BA-A50A-4F43-B82E-6DA0117D1726}"/>
    <cellStyle name="Separador de milhares 7 4 4 37 3" xfId="31527" xr:uid="{60AD8553-EF2E-4977-8EDE-6EB6345F0151}"/>
    <cellStyle name="Separador de milhares 7 4 4 38" xfId="22695" xr:uid="{00000000-0005-0000-0000-0000F6620000}"/>
    <cellStyle name="Separador de milhares 7 4 4 38 2" xfId="22696" xr:uid="{00000000-0005-0000-0000-0000F7620000}"/>
    <cellStyle name="Separador de milhares 7 4 4 38 2 2" xfId="31530" xr:uid="{1E07BBC4-D62F-4523-8CCC-1F1545329BF4}"/>
    <cellStyle name="Separador de milhares 7 4 4 38 3" xfId="31529" xr:uid="{5A3E7266-7FCB-4073-95BD-D6E852A7C0D4}"/>
    <cellStyle name="Separador de milhares 7 4 4 39" xfId="22697" xr:uid="{00000000-0005-0000-0000-0000F8620000}"/>
    <cellStyle name="Separador de milhares 7 4 4 39 2" xfId="22698" xr:uid="{00000000-0005-0000-0000-0000F9620000}"/>
    <cellStyle name="Separador de milhares 7 4 4 39 2 2" xfId="31532" xr:uid="{65233B91-29F9-479A-94D2-81B7E8F27643}"/>
    <cellStyle name="Separador de milhares 7 4 4 39 3" xfId="31531" xr:uid="{C17A662B-6823-4B3C-94EF-8CCEBC1535FF}"/>
    <cellStyle name="Separador de milhares 7 4 4 4" xfId="22699" xr:uid="{00000000-0005-0000-0000-0000FA620000}"/>
    <cellStyle name="Separador de milhares 7 4 4 4 2" xfId="22700" xr:uid="{00000000-0005-0000-0000-0000FB620000}"/>
    <cellStyle name="Separador de milhares 7 4 4 4 2 2" xfId="22701" xr:uid="{00000000-0005-0000-0000-0000FC620000}"/>
    <cellStyle name="Separador de milhares 7 4 4 4 2 2 2" xfId="31535" xr:uid="{6516090B-32AE-4622-9307-9478ED2DABC7}"/>
    <cellStyle name="Separador de milhares 7 4 4 4 2 3" xfId="31534" xr:uid="{7F040E14-4DA8-459C-9CA7-758BEFC22DCE}"/>
    <cellStyle name="Separador de milhares 7 4 4 4 3" xfId="22702" xr:uid="{00000000-0005-0000-0000-0000FD620000}"/>
    <cellStyle name="Separador de milhares 7 4 4 4 3 2" xfId="22703" xr:uid="{00000000-0005-0000-0000-0000FE620000}"/>
    <cellStyle name="Separador de milhares 7 4 4 4 3 2 2" xfId="31537" xr:uid="{70112A76-4AEC-49AB-AE2C-C9A5D4C75B9D}"/>
    <cellStyle name="Separador de milhares 7 4 4 4 3 3" xfId="31536" xr:uid="{C1A17CC6-4C5F-4F54-8B00-63A0EB33A26A}"/>
    <cellStyle name="Separador de milhares 7 4 4 4 4" xfId="22704" xr:uid="{00000000-0005-0000-0000-0000FF620000}"/>
    <cellStyle name="Separador de milhares 7 4 4 4 4 2" xfId="22705" xr:uid="{00000000-0005-0000-0000-000000630000}"/>
    <cellStyle name="Separador de milhares 7 4 4 4 4 2 2" xfId="31539" xr:uid="{7F128DD4-D671-4873-9D45-13CB8F81A9DA}"/>
    <cellStyle name="Separador de milhares 7 4 4 4 4 3" xfId="31538" xr:uid="{88DA5B0F-5100-4EFD-B540-A4451192B6AF}"/>
    <cellStyle name="Separador de milhares 7 4 4 4 5" xfId="22706" xr:uid="{00000000-0005-0000-0000-000001630000}"/>
    <cellStyle name="Separador de milhares 7 4 4 4 5 2" xfId="22707" xr:uid="{00000000-0005-0000-0000-000002630000}"/>
    <cellStyle name="Separador de milhares 7 4 4 4 5 2 2" xfId="31541" xr:uid="{09DFA735-8209-4730-81D8-78148D5D1722}"/>
    <cellStyle name="Separador de milhares 7 4 4 4 5 3" xfId="31540" xr:uid="{F936F876-3704-4713-95CA-E23E88E01145}"/>
    <cellStyle name="Separador de milhares 7 4 4 4 6" xfId="22708" xr:uid="{00000000-0005-0000-0000-000003630000}"/>
    <cellStyle name="Separador de milhares 7 4 4 4 6 2" xfId="31542" xr:uid="{878AB940-B65B-415B-B752-A42D27AE70E2}"/>
    <cellStyle name="Separador de milhares 7 4 4 4 7" xfId="31533" xr:uid="{BF5FB409-E9BB-4B2E-8D83-3CFD08243D47}"/>
    <cellStyle name="Separador de milhares 7 4 4 40" xfId="22709" xr:uid="{00000000-0005-0000-0000-000004630000}"/>
    <cellStyle name="Separador de milhares 7 4 4 40 2" xfId="22710" xr:uid="{00000000-0005-0000-0000-000005630000}"/>
    <cellStyle name="Separador de milhares 7 4 4 40 2 2" xfId="31544" xr:uid="{60BC71C1-3324-4682-A4B2-D4539BE0D1D4}"/>
    <cellStyle name="Separador de milhares 7 4 4 40 3" xfId="31543" xr:uid="{0803AC16-F330-406A-A9C1-B9173F458456}"/>
    <cellStyle name="Separador de milhares 7 4 4 41" xfId="22711" xr:uid="{00000000-0005-0000-0000-000006630000}"/>
    <cellStyle name="Separador de milhares 7 4 4 41 2" xfId="22712" xr:uid="{00000000-0005-0000-0000-000007630000}"/>
    <cellStyle name="Separador de milhares 7 4 4 41 2 2" xfId="31546" xr:uid="{439240DC-38A0-449C-BAE9-0478E2F94C9E}"/>
    <cellStyle name="Separador de milhares 7 4 4 41 3" xfId="31545" xr:uid="{3E994177-A82B-415A-8938-A3F1AEAE889C}"/>
    <cellStyle name="Separador de milhares 7 4 4 42" xfId="22713" xr:uid="{00000000-0005-0000-0000-000008630000}"/>
    <cellStyle name="Separador de milhares 7 4 4 42 2" xfId="22714" xr:uid="{00000000-0005-0000-0000-000009630000}"/>
    <cellStyle name="Separador de milhares 7 4 4 42 2 2" xfId="31548" xr:uid="{46E9690A-CD6D-4470-8C50-02CDE8672C5B}"/>
    <cellStyle name="Separador de milhares 7 4 4 42 3" xfId="31547" xr:uid="{DBAC9BC3-C5B8-49CF-9F3F-AEA0D0AFFBD8}"/>
    <cellStyle name="Separador de milhares 7 4 4 43" xfId="22715" xr:uid="{00000000-0005-0000-0000-00000A630000}"/>
    <cellStyle name="Separador de milhares 7 4 4 43 2" xfId="22716" xr:uid="{00000000-0005-0000-0000-00000B630000}"/>
    <cellStyle name="Separador de milhares 7 4 4 43 2 2" xfId="31550" xr:uid="{549E56BD-81AA-47AE-BB91-DC1F711E600A}"/>
    <cellStyle name="Separador de milhares 7 4 4 43 3" xfId="31549" xr:uid="{D926E8C9-6962-4176-BDD1-321540BFACBF}"/>
    <cellStyle name="Separador de milhares 7 4 4 44" xfId="22717" xr:uid="{00000000-0005-0000-0000-00000C630000}"/>
    <cellStyle name="Separador de milhares 7 4 4 44 2" xfId="22718" xr:uid="{00000000-0005-0000-0000-00000D630000}"/>
    <cellStyle name="Separador de milhares 7 4 4 44 2 2" xfId="31552" xr:uid="{3C405939-D3EE-42B5-A05F-638EE5A265B6}"/>
    <cellStyle name="Separador de milhares 7 4 4 44 3" xfId="31551" xr:uid="{4857E1D4-4331-4970-8F0C-D68A34A611FD}"/>
    <cellStyle name="Separador de milhares 7 4 4 45" xfId="22719" xr:uid="{00000000-0005-0000-0000-00000E630000}"/>
    <cellStyle name="Separador de milhares 7 4 4 45 2" xfId="22720" xr:uid="{00000000-0005-0000-0000-00000F630000}"/>
    <cellStyle name="Separador de milhares 7 4 4 45 2 2" xfId="31554" xr:uid="{D754531F-2977-4365-9E26-EC05E2C04321}"/>
    <cellStyle name="Separador de milhares 7 4 4 45 3" xfId="31553" xr:uid="{593CD26C-388D-4214-9132-C99EB88AC85C}"/>
    <cellStyle name="Separador de milhares 7 4 4 46" xfId="22721" xr:uid="{00000000-0005-0000-0000-000010630000}"/>
    <cellStyle name="Separador de milhares 7 4 4 46 2" xfId="31555" xr:uid="{DFEB98EF-4ECC-4D35-B41D-D050BF11B4F6}"/>
    <cellStyle name="Separador de milhares 7 4 4 5" xfId="22722" xr:uid="{00000000-0005-0000-0000-000011630000}"/>
    <cellStyle name="Separador de milhares 7 4 4 5 2" xfId="22723" xr:uid="{00000000-0005-0000-0000-000012630000}"/>
    <cellStyle name="Separador de milhares 7 4 4 5 2 2" xfId="31557" xr:uid="{2AD4A981-FDA8-4572-A3FE-23B0192E13D9}"/>
    <cellStyle name="Separador de milhares 7 4 4 5 3" xfId="31556" xr:uid="{98AB55E2-3634-4FC3-948F-62CCE72F207F}"/>
    <cellStyle name="Separador de milhares 7 4 4 6" xfId="22724" xr:uid="{00000000-0005-0000-0000-000013630000}"/>
    <cellStyle name="Separador de milhares 7 4 4 6 2" xfId="22725" xr:uid="{00000000-0005-0000-0000-000014630000}"/>
    <cellStyle name="Separador de milhares 7 4 4 6 2 2" xfId="31559" xr:uid="{9F1DFF6C-5249-4D7B-ACDF-E4A4C7AE52DC}"/>
    <cellStyle name="Separador de milhares 7 4 4 6 3" xfId="31558" xr:uid="{CE5FD33A-60D1-46B0-950F-841E9193586F}"/>
    <cellStyle name="Separador de milhares 7 4 4 7" xfId="22726" xr:uid="{00000000-0005-0000-0000-000015630000}"/>
    <cellStyle name="Separador de milhares 7 4 4 7 2" xfId="22727" xr:uid="{00000000-0005-0000-0000-000016630000}"/>
    <cellStyle name="Separador de milhares 7 4 4 7 2 2" xfId="31561" xr:uid="{163614BE-8DF2-4193-93AD-F816517C64BB}"/>
    <cellStyle name="Separador de milhares 7 4 4 7 3" xfId="31560" xr:uid="{CBE4D199-00E0-4D65-9481-21E69DCBD6EE}"/>
    <cellStyle name="Separador de milhares 7 4 4 8" xfId="22728" xr:uid="{00000000-0005-0000-0000-000017630000}"/>
    <cellStyle name="Separador de milhares 7 4 4 8 2" xfId="22729" xr:uid="{00000000-0005-0000-0000-000018630000}"/>
    <cellStyle name="Separador de milhares 7 4 4 8 2 2" xfId="31563" xr:uid="{581917ED-7342-42B0-8C90-276CA61BB18B}"/>
    <cellStyle name="Separador de milhares 7 4 4 8 3" xfId="31562" xr:uid="{84D8E243-6064-4977-8EBA-B90E4461507B}"/>
    <cellStyle name="Separador de milhares 7 4 4 9" xfId="22730" xr:uid="{00000000-0005-0000-0000-000019630000}"/>
    <cellStyle name="Separador de milhares 7 4 4 9 2" xfId="22731" xr:uid="{00000000-0005-0000-0000-00001A630000}"/>
    <cellStyle name="Separador de milhares 7 4 4 9 2 2" xfId="31565" xr:uid="{CC7EB505-5788-4C4E-8466-A0E673ABD2E9}"/>
    <cellStyle name="Separador de milhares 7 4 4 9 3" xfId="31564" xr:uid="{3D5705AE-1943-4D41-A1F0-31E016C101BE}"/>
    <cellStyle name="Separador de milhares 7 4 40" xfId="22732" xr:uid="{00000000-0005-0000-0000-00001B630000}"/>
    <cellStyle name="Separador de milhares 7 4 40 2" xfId="22733" xr:uid="{00000000-0005-0000-0000-00001C630000}"/>
    <cellStyle name="Separador de milhares 7 4 40 2 2" xfId="31567" xr:uid="{4DFF20B5-63A4-416D-92B2-BC8BEC0501D4}"/>
    <cellStyle name="Separador de milhares 7 4 40 3" xfId="31566" xr:uid="{AD4B98FA-ED25-43EB-8DA1-DE3765C003CC}"/>
    <cellStyle name="Separador de milhares 7 4 41" xfId="22734" xr:uid="{00000000-0005-0000-0000-00001D630000}"/>
    <cellStyle name="Separador de milhares 7 4 41 2" xfId="22735" xr:uid="{00000000-0005-0000-0000-00001E630000}"/>
    <cellStyle name="Separador de milhares 7 4 41 2 2" xfId="31569" xr:uid="{BDC5850C-0610-42D5-BBF7-C608691180F2}"/>
    <cellStyle name="Separador de milhares 7 4 41 3" xfId="31568" xr:uid="{BBCA9392-8CD6-4808-ABAF-6B9F44545976}"/>
    <cellStyle name="Separador de milhares 7 4 42" xfId="22736" xr:uid="{00000000-0005-0000-0000-00001F630000}"/>
    <cellStyle name="Separador de milhares 7 4 42 2" xfId="22737" xr:uid="{00000000-0005-0000-0000-000020630000}"/>
    <cellStyle name="Separador de milhares 7 4 42 2 2" xfId="31571" xr:uid="{0C8332AF-7D16-4611-8173-D45CFCB39BFE}"/>
    <cellStyle name="Separador de milhares 7 4 42 3" xfId="31570" xr:uid="{DABF86C5-6912-4340-A520-FA1B983852BF}"/>
    <cellStyle name="Separador de milhares 7 4 43" xfId="22738" xr:uid="{00000000-0005-0000-0000-000021630000}"/>
    <cellStyle name="Separador de milhares 7 4 43 2" xfId="22739" xr:uid="{00000000-0005-0000-0000-000022630000}"/>
    <cellStyle name="Separador de milhares 7 4 43 2 2" xfId="31573" xr:uid="{2EB074FA-1E6B-498B-8EEF-9B517F50A63D}"/>
    <cellStyle name="Separador de milhares 7 4 43 3" xfId="31572" xr:uid="{D321DD6D-21BF-443E-99AB-8B943E2FED48}"/>
    <cellStyle name="Separador de milhares 7 4 44" xfId="22740" xr:uid="{00000000-0005-0000-0000-000023630000}"/>
    <cellStyle name="Separador de milhares 7 4 44 2" xfId="22741" xr:uid="{00000000-0005-0000-0000-000024630000}"/>
    <cellStyle name="Separador de milhares 7 4 44 2 2" xfId="31575" xr:uid="{5E304337-296C-46C2-A22B-D69EDD162FEB}"/>
    <cellStyle name="Separador de milhares 7 4 44 3" xfId="31574" xr:uid="{867BB60F-A8F6-4672-8CF6-67F45435A377}"/>
    <cellStyle name="Separador de milhares 7 4 45" xfId="22742" xr:uid="{00000000-0005-0000-0000-000025630000}"/>
    <cellStyle name="Separador de milhares 7 4 45 2" xfId="22743" xr:uid="{00000000-0005-0000-0000-000026630000}"/>
    <cellStyle name="Separador de milhares 7 4 45 2 2" xfId="31577" xr:uid="{61C98CB3-962B-4247-B2C1-B5AE429D3EEC}"/>
    <cellStyle name="Separador de milhares 7 4 45 3" xfId="31576" xr:uid="{D256D7E9-52E6-41B6-BB80-45D8B22CE495}"/>
    <cellStyle name="Separador de milhares 7 4 46" xfId="22744" xr:uid="{00000000-0005-0000-0000-000027630000}"/>
    <cellStyle name="Separador de milhares 7 4 46 2" xfId="22745" xr:uid="{00000000-0005-0000-0000-000028630000}"/>
    <cellStyle name="Separador de milhares 7 4 46 2 2" xfId="31579" xr:uid="{F99B45DE-573A-41C2-BBA6-5336D46E727E}"/>
    <cellStyle name="Separador de milhares 7 4 46 3" xfId="31578" xr:uid="{15350C19-E1D7-48A2-BCE3-6D7C9095D65E}"/>
    <cellStyle name="Separador de milhares 7 4 47" xfId="22746" xr:uid="{00000000-0005-0000-0000-000029630000}"/>
    <cellStyle name="Separador de milhares 7 4 47 2" xfId="22747" xr:uid="{00000000-0005-0000-0000-00002A630000}"/>
    <cellStyle name="Separador de milhares 7 4 47 2 2" xfId="31581" xr:uid="{3E312884-83E1-4BF1-8093-82DD30EC4D88}"/>
    <cellStyle name="Separador de milhares 7 4 47 3" xfId="31580" xr:uid="{FF0CE19B-B554-4F67-85C6-79411DD37D27}"/>
    <cellStyle name="Separador de milhares 7 4 48" xfId="22748" xr:uid="{00000000-0005-0000-0000-00002B630000}"/>
    <cellStyle name="Separador de milhares 7 4 48 2" xfId="22749" xr:uid="{00000000-0005-0000-0000-00002C630000}"/>
    <cellStyle name="Separador de milhares 7 4 48 2 2" xfId="31583" xr:uid="{89232B94-310B-447A-B322-EDA5D8C67EE8}"/>
    <cellStyle name="Separador de milhares 7 4 48 3" xfId="31582" xr:uid="{59A64545-F0A8-4B31-A8FC-B49544D74F60}"/>
    <cellStyle name="Separador de milhares 7 4 49" xfId="22750" xr:uid="{00000000-0005-0000-0000-00002D630000}"/>
    <cellStyle name="Separador de milhares 7 4 49 2" xfId="22751" xr:uid="{00000000-0005-0000-0000-00002E630000}"/>
    <cellStyle name="Separador de milhares 7 4 49 2 2" xfId="31585" xr:uid="{5CBCADE1-D9E3-4813-8126-B8F39FA7A995}"/>
    <cellStyle name="Separador de milhares 7 4 49 3" xfId="31584" xr:uid="{8A1DDA98-4408-4DF9-B41A-4ED0E64595CE}"/>
    <cellStyle name="Separador de milhares 7 4 5" xfId="22752" xr:uid="{00000000-0005-0000-0000-00002F630000}"/>
    <cellStyle name="Separador de milhares 7 4 5 10" xfId="22753" xr:uid="{00000000-0005-0000-0000-000030630000}"/>
    <cellStyle name="Separador de milhares 7 4 5 10 2" xfId="22754" xr:uid="{00000000-0005-0000-0000-000031630000}"/>
    <cellStyle name="Separador de milhares 7 4 5 10 2 2" xfId="31587" xr:uid="{C05164E1-8A67-45B2-BB6F-28453DB908C1}"/>
    <cellStyle name="Separador de milhares 7 4 5 10 3" xfId="31586" xr:uid="{02D86BAB-726D-4E49-AE4D-B7C262FD4904}"/>
    <cellStyle name="Separador de milhares 7 4 5 11" xfId="22755" xr:uid="{00000000-0005-0000-0000-000032630000}"/>
    <cellStyle name="Separador de milhares 7 4 5 11 2" xfId="22756" xr:uid="{00000000-0005-0000-0000-000033630000}"/>
    <cellStyle name="Separador de milhares 7 4 5 11 2 2" xfId="31589" xr:uid="{C633AD84-A47D-497D-9689-0B85934E2CF0}"/>
    <cellStyle name="Separador de milhares 7 4 5 11 3" xfId="31588" xr:uid="{E1E2B58C-CF9D-493E-A88D-40A7804E1A32}"/>
    <cellStyle name="Separador de milhares 7 4 5 12" xfId="22757" xr:uid="{00000000-0005-0000-0000-000034630000}"/>
    <cellStyle name="Separador de milhares 7 4 5 12 2" xfId="22758" xr:uid="{00000000-0005-0000-0000-000035630000}"/>
    <cellStyle name="Separador de milhares 7 4 5 12 2 2" xfId="31591" xr:uid="{9DF41E2F-35A2-4A6C-909D-3874342A9F69}"/>
    <cellStyle name="Separador de milhares 7 4 5 12 3" xfId="31590" xr:uid="{8DCEC5B5-2C79-47F6-B283-ADB7A1286256}"/>
    <cellStyle name="Separador de milhares 7 4 5 13" xfId="22759" xr:uid="{00000000-0005-0000-0000-000036630000}"/>
    <cellStyle name="Separador de milhares 7 4 5 13 2" xfId="22760" xr:uid="{00000000-0005-0000-0000-000037630000}"/>
    <cellStyle name="Separador de milhares 7 4 5 13 2 2" xfId="31593" xr:uid="{15F56381-6EE9-424D-9FC5-B6A2DAEE0B3E}"/>
    <cellStyle name="Separador de milhares 7 4 5 13 3" xfId="31592" xr:uid="{8390BB80-C644-46D6-B6BB-7DCE7B726047}"/>
    <cellStyle name="Separador de milhares 7 4 5 14" xfId="22761" xr:uid="{00000000-0005-0000-0000-000038630000}"/>
    <cellStyle name="Separador de milhares 7 4 5 14 2" xfId="22762" xr:uid="{00000000-0005-0000-0000-000039630000}"/>
    <cellStyle name="Separador de milhares 7 4 5 14 2 2" xfId="31595" xr:uid="{092409A2-F842-421D-B09B-6882E7BB0C51}"/>
    <cellStyle name="Separador de milhares 7 4 5 14 3" xfId="31594" xr:uid="{098BA1DD-46D6-4201-A6D6-7BE96E7CF66D}"/>
    <cellStyle name="Separador de milhares 7 4 5 15" xfId="22763" xr:uid="{00000000-0005-0000-0000-00003A630000}"/>
    <cellStyle name="Separador de milhares 7 4 5 15 2" xfId="22764" xr:uid="{00000000-0005-0000-0000-00003B630000}"/>
    <cellStyle name="Separador de milhares 7 4 5 15 2 2" xfId="31597" xr:uid="{4667CEAA-737D-45D0-8678-47E35699A897}"/>
    <cellStyle name="Separador de milhares 7 4 5 15 3" xfId="31596" xr:uid="{FF343627-BA17-4B75-9F5E-5E7110C69500}"/>
    <cellStyle name="Separador de milhares 7 4 5 16" xfId="22765" xr:uid="{00000000-0005-0000-0000-00003C630000}"/>
    <cellStyle name="Separador de milhares 7 4 5 16 2" xfId="22766" xr:uid="{00000000-0005-0000-0000-00003D630000}"/>
    <cellStyle name="Separador de milhares 7 4 5 16 2 2" xfId="31599" xr:uid="{E35EEE75-D230-4A44-AA9D-F936C0B2B332}"/>
    <cellStyle name="Separador de milhares 7 4 5 16 3" xfId="31598" xr:uid="{93E3981B-2866-482D-9ADB-DB5842BD5F2A}"/>
    <cellStyle name="Separador de milhares 7 4 5 17" xfId="22767" xr:uid="{00000000-0005-0000-0000-00003E630000}"/>
    <cellStyle name="Separador de milhares 7 4 5 17 2" xfId="22768" xr:uid="{00000000-0005-0000-0000-00003F630000}"/>
    <cellStyle name="Separador de milhares 7 4 5 17 2 2" xfId="31601" xr:uid="{2C61A124-E761-4947-9F16-64D6362FCCAA}"/>
    <cellStyle name="Separador de milhares 7 4 5 17 3" xfId="31600" xr:uid="{5662B7A6-B3E0-4054-9632-AED5EABCCFA8}"/>
    <cellStyle name="Separador de milhares 7 4 5 18" xfId="22769" xr:uid="{00000000-0005-0000-0000-000040630000}"/>
    <cellStyle name="Separador de milhares 7 4 5 18 2" xfId="22770" xr:uid="{00000000-0005-0000-0000-000041630000}"/>
    <cellStyle name="Separador de milhares 7 4 5 18 2 2" xfId="31603" xr:uid="{82A4E83D-CA81-407E-B8B5-01141F990C1D}"/>
    <cellStyle name="Separador de milhares 7 4 5 18 3" xfId="31602" xr:uid="{772E347B-FA6F-47AC-BF4E-ACF6AC599710}"/>
    <cellStyle name="Separador de milhares 7 4 5 19" xfId="22771" xr:uid="{00000000-0005-0000-0000-000042630000}"/>
    <cellStyle name="Separador de milhares 7 4 5 19 2" xfId="22772" xr:uid="{00000000-0005-0000-0000-000043630000}"/>
    <cellStyle name="Separador de milhares 7 4 5 19 2 2" xfId="31605" xr:uid="{1178A4FE-9A8B-4264-A85E-5A719150BE22}"/>
    <cellStyle name="Separador de milhares 7 4 5 19 3" xfId="31604" xr:uid="{FE0EB6AF-7608-4760-8774-6B11FC44B887}"/>
    <cellStyle name="Separador de milhares 7 4 5 2" xfId="22773" xr:uid="{00000000-0005-0000-0000-000044630000}"/>
    <cellStyle name="Separador de milhares 7 4 5 2 2" xfId="22774" xr:uid="{00000000-0005-0000-0000-000045630000}"/>
    <cellStyle name="Separador de milhares 7 4 5 2 2 2" xfId="31607" xr:uid="{36C6C64E-A0D2-4270-9830-16CE9E4F7083}"/>
    <cellStyle name="Separador de milhares 7 4 5 2 3" xfId="31606" xr:uid="{0B8233BA-5AD2-4224-A3B9-F3E838BF745E}"/>
    <cellStyle name="Separador de milhares 7 4 5 20" xfId="22775" xr:uid="{00000000-0005-0000-0000-000046630000}"/>
    <cellStyle name="Separador de milhares 7 4 5 20 2" xfId="22776" xr:uid="{00000000-0005-0000-0000-000047630000}"/>
    <cellStyle name="Separador de milhares 7 4 5 20 2 2" xfId="31609" xr:uid="{F2327CB6-1C37-4EFE-A5B2-DDC6388FB38F}"/>
    <cellStyle name="Separador de milhares 7 4 5 20 3" xfId="31608" xr:uid="{F7ACB4AC-D6BE-4069-954D-AEBFA1246D31}"/>
    <cellStyle name="Separador de milhares 7 4 5 21" xfId="22777" xr:uid="{00000000-0005-0000-0000-000048630000}"/>
    <cellStyle name="Separador de milhares 7 4 5 21 2" xfId="22778" xr:uid="{00000000-0005-0000-0000-000049630000}"/>
    <cellStyle name="Separador de milhares 7 4 5 21 2 2" xfId="31611" xr:uid="{3805C1FB-1A9B-48A9-BC5A-B049EDE999B9}"/>
    <cellStyle name="Separador de milhares 7 4 5 21 3" xfId="31610" xr:uid="{4FCD2849-44BC-47F9-A910-84D3409B838F}"/>
    <cellStyle name="Separador de milhares 7 4 5 22" xfId="22779" xr:uid="{00000000-0005-0000-0000-00004A630000}"/>
    <cellStyle name="Separador de milhares 7 4 5 22 2" xfId="22780" xr:uid="{00000000-0005-0000-0000-00004B630000}"/>
    <cellStyle name="Separador de milhares 7 4 5 22 2 2" xfId="31613" xr:uid="{F3550BD1-C448-4258-B988-0D543D2D2391}"/>
    <cellStyle name="Separador de milhares 7 4 5 22 3" xfId="31612" xr:uid="{FDF85116-71A0-46C8-8DA0-8D4156E7E120}"/>
    <cellStyle name="Separador de milhares 7 4 5 23" xfId="22781" xr:uid="{00000000-0005-0000-0000-00004C630000}"/>
    <cellStyle name="Separador de milhares 7 4 5 23 2" xfId="22782" xr:uid="{00000000-0005-0000-0000-00004D630000}"/>
    <cellStyle name="Separador de milhares 7 4 5 23 2 2" xfId="31615" xr:uid="{46B7C553-3ABD-4280-B625-1B95FAEFFFC9}"/>
    <cellStyle name="Separador de milhares 7 4 5 23 3" xfId="31614" xr:uid="{2952ADFF-BBB3-4B38-AB97-8C07076916E8}"/>
    <cellStyle name="Separador de milhares 7 4 5 24" xfId="22783" xr:uid="{00000000-0005-0000-0000-00004E630000}"/>
    <cellStyle name="Separador de milhares 7 4 5 24 2" xfId="22784" xr:uid="{00000000-0005-0000-0000-00004F630000}"/>
    <cellStyle name="Separador de milhares 7 4 5 24 2 2" xfId="31617" xr:uid="{0F198AA5-2308-452D-9B17-CAEAE5C90F80}"/>
    <cellStyle name="Separador de milhares 7 4 5 24 3" xfId="31616" xr:uid="{1B7ED4FF-6EE8-40CD-AE0A-C556618AB11D}"/>
    <cellStyle name="Separador de milhares 7 4 5 25" xfId="22785" xr:uid="{00000000-0005-0000-0000-000050630000}"/>
    <cellStyle name="Separador de milhares 7 4 5 25 2" xfId="22786" xr:uid="{00000000-0005-0000-0000-000051630000}"/>
    <cellStyle name="Separador de milhares 7 4 5 25 2 2" xfId="31619" xr:uid="{4F03724A-17A5-4E02-834A-38B3B9770CAB}"/>
    <cellStyle name="Separador de milhares 7 4 5 25 3" xfId="31618" xr:uid="{78FD868D-5159-46CF-AEC1-DB388AF310FE}"/>
    <cellStyle name="Separador de milhares 7 4 5 26" xfId="22787" xr:uid="{00000000-0005-0000-0000-000052630000}"/>
    <cellStyle name="Separador de milhares 7 4 5 26 2" xfId="22788" xr:uid="{00000000-0005-0000-0000-000053630000}"/>
    <cellStyle name="Separador de milhares 7 4 5 26 2 2" xfId="31621" xr:uid="{1B6C0E6A-DBDE-47E0-81AA-44E038A71A6D}"/>
    <cellStyle name="Separador de milhares 7 4 5 26 3" xfId="31620" xr:uid="{96BFE68F-7E19-4F1C-A453-0D5E1247BCBD}"/>
    <cellStyle name="Separador de milhares 7 4 5 27" xfId="22789" xr:uid="{00000000-0005-0000-0000-000054630000}"/>
    <cellStyle name="Separador de milhares 7 4 5 27 2" xfId="22790" xr:uid="{00000000-0005-0000-0000-000055630000}"/>
    <cellStyle name="Separador de milhares 7 4 5 27 2 2" xfId="31623" xr:uid="{F196F9BF-5882-49F1-ABE5-B94849EA2952}"/>
    <cellStyle name="Separador de milhares 7 4 5 27 3" xfId="31622" xr:uid="{71756136-C01B-4277-B29B-8E623ECDA28B}"/>
    <cellStyle name="Separador de milhares 7 4 5 28" xfId="22791" xr:uid="{00000000-0005-0000-0000-000056630000}"/>
    <cellStyle name="Separador de milhares 7 4 5 28 2" xfId="22792" xr:uid="{00000000-0005-0000-0000-000057630000}"/>
    <cellStyle name="Separador de milhares 7 4 5 28 2 2" xfId="31625" xr:uid="{2F6AED23-2F36-4F0D-8F14-972356AFA62A}"/>
    <cellStyle name="Separador de milhares 7 4 5 28 3" xfId="31624" xr:uid="{2CCBFC6E-8314-4EF1-8074-FAF6DEF2AA48}"/>
    <cellStyle name="Separador de milhares 7 4 5 29" xfId="22793" xr:uid="{00000000-0005-0000-0000-000058630000}"/>
    <cellStyle name="Separador de milhares 7 4 5 29 2" xfId="22794" xr:uid="{00000000-0005-0000-0000-000059630000}"/>
    <cellStyle name="Separador de milhares 7 4 5 29 2 2" xfId="31627" xr:uid="{8D447AA8-EA13-40E6-B633-3929CCBF9B63}"/>
    <cellStyle name="Separador de milhares 7 4 5 29 3" xfId="31626" xr:uid="{54679F80-5322-4A22-9C76-BFB5C81D3DA9}"/>
    <cellStyle name="Separador de milhares 7 4 5 3" xfId="22795" xr:uid="{00000000-0005-0000-0000-00005A630000}"/>
    <cellStyle name="Separador de milhares 7 4 5 3 2" xfId="22796" xr:uid="{00000000-0005-0000-0000-00005B630000}"/>
    <cellStyle name="Separador de milhares 7 4 5 3 2 2" xfId="31629" xr:uid="{A6784716-2B8C-442C-8A17-83B86DB4E5F4}"/>
    <cellStyle name="Separador de milhares 7 4 5 3 3" xfId="31628" xr:uid="{68135335-2540-48A0-9693-245F36A3674E}"/>
    <cellStyle name="Separador de milhares 7 4 5 30" xfId="22797" xr:uid="{00000000-0005-0000-0000-00005C630000}"/>
    <cellStyle name="Separador de milhares 7 4 5 30 2" xfId="22798" xr:uid="{00000000-0005-0000-0000-00005D630000}"/>
    <cellStyle name="Separador de milhares 7 4 5 30 2 2" xfId="31631" xr:uid="{9EE63929-20C9-4C4C-9D20-C042D341D795}"/>
    <cellStyle name="Separador de milhares 7 4 5 30 3" xfId="31630" xr:uid="{07824B6C-D472-4737-AE1F-1631EEA422E6}"/>
    <cellStyle name="Separador de milhares 7 4 5 31" xfId="22799" xr:uid="{00000000-0005-0000-0000-00005E630000}"/>
    <cellStyle name="Separador de milhares 7 4 5 31 2" xfId="22800" xr:uid="{00000000-0005-0000-0000-00005F630000}"/>
    <cellStyle name="Separador de milhares 7 4 5 31 2 2" xfId="31633" xr:uid="{128F849B-B7D7-4A86-9C5F-0A85427A9453}"/>
    <cellStyle name="Separador de milhares 7 4 5 31 3" xfId="31632" xr:uid="{9E37B65D-C14D-4FB7-A77D-DDED4543B9B8}"/>
    <cellStyle name="Separador de milhares 7 4 5 32" xfId="22801" xr:uid="{00000000-0005-0000-0000-000060630000}"/>
    <cellStyle name="Separador de milhares 7 4 5 32 2" xfId="22802" xr:uid="{00000000-0005-0000-0000-000061630000}"/>
    <cellStyle name="Separador de milhares 7 4 5 32 2 2" xfId="31635" xr:uid="{9A0871AE-5E5C-4688-A996-BF3B7A8EE314}"/>
    <cellStyle name="Separador de milhares 7 4 5 32 3" xfId="31634" xr:uid="{9AF28837-67A3-4738-AC21-6B588AD3FB02}"/>
    <cellStyle name="Separador de milhares 7 4 5 33" xfId="22803" xr:uid="{00000000-0005-0000-0000-000062630000}"/>
    <cellStyle name="Separador de milhares 7 4 5 33 2" xfId="22804" xr:uid="{00000000-0005-0000-0000-000063630000}"/>
    <cellStyle name="Separador de milhares 7 4 5 33 2 2" xfId="31637" xr:uid="{9FB37D6E-9669-4533-8EFA-7DA190DF96B9}"/>
    <cellStyle name="Separador de milhares 7 4 5 33 3" xfId="31636" xr:uid="{655685E6-343F-494B-98D8-599EC3F6BAA8}"/>
    <cellStyle name="Separador de milhares 7 4 5 34" xfId="22805" xr:uid="{00000000-0005-0000-0000-000064630000}"/>
    <cellStyle name="Separador de milhares 7 4 5 34 2" xfId="22806" xr:uid="{00000000-0005-0000-0000-000065630000}"/>
    <cellStyle name="Separador de milhares 7 4 5 34 2 2" xfId="31639" xr:uid="{5F2EABBA-A70B-4995-80FC-D94E9C6B8536}"/>
    <cellStyle name="Separador de milhares 7 4 5 34 3" xfId="31638" xr:uid="{B6596E3E-C029-4237-A22C-EFAEA8435E95}"/>
    <cellStyle name="Separador de milhares 7 4 5 35" xfId="22807" xr:uid="{00000000-0005-0000-0000-000066630000}"/>
    <cellStyle name="Separador de milhares 7 4 5 35 2" xfId="31640" xr:uid="{1C7FD300-0C77-4288-87F8-1CB13DEFE0ED}"/>
    <cellStyle name="Separador de milhares 7 4 5 4" xfId="22808" xr:uid="{00000000-0005-0000-0000-000067630000}"/>
    <cellStyle name="Separador de milhares 7 4 5 4 2" xfId="22809" xr:uid="{00000000-0005-0000-0000-000068630000}"/>
    <cellStyle name="Separador de milhares 7 4 5 4 2 2" xfId="31642" xr:uid="{F53AB110-0219-47BE-AE9C-55525EDCE670}"/>
    <cellStyle name="Separador de milhares 7 4 5 4 3" xfId="31641" xr:uid="{5BB31EF9-E892-444C-B197-3266B3A819B9}"/>
    <cellStyle name="Separador de milhares 7 4 5 5" xfId="22810" xr:uid="{00000000-0005-0000-0000-000069630000}"/>
    <cellStyle name="Separador de milhares 7 4 5 5 2" xfId="22811" xr:uid="{00000000-0005-0000-0000-00006A630000}"/>
    <cellStyle name="Separador de milhares 7 4 5 5 2 2" xfId="31644" xr:uid="{2BAE03BB-D0CB-4844-BEC9-EEB7F8359670}"/>
    <cellStyle name="Separador de milhares 7 4 5 5 3" xfId="31643" xr:uid="{DAA42847-CD32-4BC0-AEBB-8BB6113DA104}"/>
    <cellStyle name="Separador de milhares 7 4 5 6" xfId="22812" xr:uid="{00000000-0005-0000-0000-00006B630000}"/>
    <cellStyle name="Separador de milhares 7 4 5 6 2" xfId="22813" xr:uid="{00000000-0005-0000-0000-00006C630000}"/>
    <cellStyle name="Separador de milhares 7 4 5 6 2 2" xfId="31646" xr:uid="{F4A08E7C-59B6-4C12-8407-16188C499452}"/>
    <cellStyle name="Separador de milhares 7 4 5 6 3" xfId="31645" xr:uid="{1EA8CDD0-7AD4-4B6B-AE4B-94A68A201A12}"/>
    <cellStyle name="Separador de milhares 7 4 5 7" xfId="22814" xr:uid="{00000000-0005-0000-0000-00006D630000}"/>
    <cellStyle name="Separador de milhares 7 4 5 7 2" xfId="22815" xr:uid="{00000000-0005-0000-0000-00006E630000}"/>
    <cellStyle name="Separador de milhares 7 4 5 7 2 2" xfId="31648" xr:uid="{4D84FFBD-1608-4716-B5F7-700E5F3D56B6}"/>
    <cellStyle name="Separador de milhares 7 4 5 7 3" xfId="31647" xr:uid="{CBA65C1B-9475-47C2-9DB4-80CEF76B178E}"/>
    <cellStyle name="Separador de milhares 7 4 5 8" xfId="22816" xr:uid="{00000000-0005-0000-0000-00006F630000}"/>
    <cellStyle name="Separador de milhares 7 4 5 8 2" xfId="22817" xr:uid="{00000000-0005-0000-0000-000070630000}"/>
    <cellStyle name="Separador de milhares 7 4 5 8 2 2" xfId="31650" xr:uid="{06A99573-A59C-4BEE-86A9-897B31B89B9B}"/>
    <cellStyle name="Separador de milhares 7 4 5 8 3" xfId="31649" xr:uid="{BCF42823-962E-419A-BC44-1F6BDBFDC271}"/>
    <cellStyle name="Separador de milhares 7 4 5 9" xfId="22818" xr:uid="{00000000-0005-0000-0000-000071630000}"/>
    <cellStyle name="Separador de milhares 7 4 5 9 2" xfId="22819" xr:uid="{00000000-0005-0000-0000-000072630000}"/>
    <cellStyle name="Separador de milhares 7 4 5 9 2 2" xfId="31652" xr:uid="{2D6F71AE-49D6-4CBC-ABAA-3673FC246B34}"/>
    <cellStyle name="Separador de milhares 7 4 5 9 3" xfId="31651" xr:uid="{70E9CD72-9914-4757-A36D-E8FDBECA27FB}"/>
    <cellStyle name="Separador de milhares 7 4 50" xfId="22820" xr:uid="{00000000-0005-0000-0000-000073630000}"/>
    <cellStyle name="Separador de milhares 7 4 50 2" xfId="22821" xr:uid="{00000000-0005-0000-0000-000074630000}"/>
    <cellStyle name="Separador de milhares 7 4 50 2 2" xfId="31654" xr:uid="{94B27CAB-D14E-4246-9829-CEB2354FF241}"/>
    <cellStyle name="Separador de milhares 7 4 50 3" xfId="31653" xr:uid="{AC375402-A6DF-482D-94B0-7A92282EBC4B}"/>
    <cellStyle name="Separador de milhares 7 4 51" xfId="22822" xr:uid="{00000000-0005-0000-0000-000075630000}"/>
    <cellStyle name="Separador de milhares 7 4 51 2" xfId="31655" xr:uid="{1A1D5C6D-4777-4B1D-9C6E-5D05309654CB}"/>
    <cellStyle name="Separador de milhares 7 4 52" xfId="22093" xr:uid="{00000000-0005-0000-0000-000076630000}"/>
    <cellStyle name="Separador de milhares 7 4 53" xfId="28083" xr:uid="{BB9B02DF-9966-44DC-BC92-8419C409E9D2}"/>
    <cellStyle name="Separador de milhares 7 4 6" xfId="22823" xr:uid="{00000000-0005-0000-0000-000077630000}"/>
    <cellStyle name="Separador de milhares 7 4 6 2" xfId="22824" xr:uid="{00000000-0005-0000-0000-000078630000}"/>
    <cellStyle name="Separador de milhares 7 4 6 2 2" xfId="22825" xr:uid="{00000000-0005-0000-0000-000079630000}"/>
    <cellStyle name="Separador de milhares 7 4 6 2 2 2" xfId="31657" xr:uid="{923ED947-5076-42E1-8B57-8A7322849433}"/>
    <cellStyle name="Separador de milhares 7 4 6 2 3" xfId="31656" xr:uid="{73D906B1-3408-456A-B3B9-67601FF764FD}"/>
    <cellStyle name="Separador de milhares 7 4 6 3" xfId="22826" xr:uid="{00000000-0005-0000-0000-00007A630000}"/>
    <cellStyle name="Separador de milhares 7 4 6 3 2" xfId="22827" xr:uid="{00000000-0005-0000-0000-00007B630000}"/>
    <cellStyle name="Separador de milhares 7 4 6 3 2 2" xfId="31659" xr:uid="{56917660-4E3D-4D57-AB61-05C6DC4A4DAF}"/>
    <cellStyle name="Separador de milhares 7 4 6 3 3" xfId="31658" xr:uid="{2F129D42-F9E8-428C-A023-18490FB073F9}"/>
    <cellStyle name="Separador de milhares 7 4 6 4" xfId="22828" xr:uid="{00000000-0005-0000-0000-00007C630000}"/>
    <cellStyle name="Separador de milhares 7 4 6 4 2" xfId="22829" xr:uid="{00000000-0005-0000-0000-00007D630000}"/>
    <cellStyle name="Separador de milhares 7 4 6 4 2 2" xfId="31661" xr:uid="{CF5F043B-9855-4D1B-BA6E-F740D4B84A0F}"/>
    <cellStyle name="Separador de milhares 7 4 6 4 3" xfId="31660" xr:uid="{6CC760B5-90CF-4E07-851C-2934D1E42AD3}"/>
    <cellStyle name="Separador de milhares 7 4 6 5" xfId="22830" xr:uid="{00000000-0005-0000-0000-00007E630000}"/>
    <cellStyle name="Separador de milhares 7 4 6 5 2" xfId="22831" xr:uid="{00000000-0005-0000-0000-00007F630000}"/>
    <cellStyle name="Separador de milhares 7 4 6 5 2 2" xfId="31663" xr:uid="{515C91D7-49C7-4807-9511-4A420A1CC736}"/>
    <cellStyle name="Separador de milhares 7 4 6 5 3" xfId="31662" xr:uid="{83F8B8A6-E6BA-4C1D-910C-AC2FF9E132DF}"/>
    <cellStyle name="Separador de milhares 7 4 6 6" xfId="22832" xr:uid="{00000000-0005-0000-0000-000080630000}"/>
    <cellStyle name="Separador de milhares 7 4 6 6 2" xfId="31664" xr:uid="{98DB0AE4-F1B7-4B99-885D-1C35254DF0D2}"/>
    <cellStyle name="Separador de milhares 7 4 7" xfId="22833" xr:uid="{00000000-0005-0000-0000-000081630000}"/>
    <cellStyle name="Separador de milhares 7 4 7 2" xfId="22834" xr:uid="{00000000-0005-0000-0000-000082630000}"/>
    <cellStyle name="Separador de milhares 7 4 7 2 2" xfId="22835" xr:uid="{00000000-0005-0000-0000-000083630000}"/>
    <cellStyle name="Separador de milhares 7 4 7 2 2 2" xfId="31666" xr:uid="{3C9BC45B-5C0F-4211-A552-26AFC5BE5DCC}"/>
    <cellStyle name="Separador de milhares 7 4 7 2 3" xfId="31665" xr:uid="{510148AB-6B3C-4405-BAAA-89FFF212B58A}"/>
    <cellStyle name="Separador de milhares 7 4 7 3" xfId="22836" xr:uid="{00000000-0005-0000-0000-000084630000}"/>
    <cellStyle name="Separador de milhares 7 4 7 3 2" xfId="22837" xr:uid="{00000000-0005-0000-0000-000085630000}"/>
    <cellStyle name="Separador de milhares 7 4 7 3 2 2" xfId="31668" xr:uid="{C05AB87E-FA79-4162-8345-A0AE09172919}"/>
    <cellStyle name="Separador de milhares 7 4 7 3 3" xfId="31667" xr:uid="{F2BDCC92-6114-4F05-B2A7-358FF0270244}"/>
    <cellStyle name="Separador de milhares 7 4 7 4" xfId="22838" xr:uid="{00000000-0005-0000-0000-000086630000}"/>
    <cellStyle name="Separador de milhares 7 4 7 4 2" xfId="22839" xr:uid="{00000000-0005-0000-0000-000087630000}"/>
    <cellStyle name="Separador de milhares 7 4 7 4 2 2" xfId="31670" xr:uid="{6ACADD8A-57F6-4706-8A4B-A7577685A37E}"/>
    <cellStyle name="Separador de milhares 7 4 7 4 3" xfId="31669" xr:uid="{7A8F6C28-2DCF-4699-84A4-7F2762CFE2DD}"/>
    <cellStyle name="Separador de milhares 7 4 7 5" xfId="22840" xr:uid="{00000000-0005-0000-0000-000088630000}"/>
    <cellStyle name="Separador de milhares 7 4 7 5 2" xfId="22841" xr:uid="{00000000-0005-0000-0000-000089630000}"/>
    <cellStyle name="Separador de milhares 7 4 7 5 2 2" xfId="31672" xr:uid="{92499EB9-660F-4A34-870F-2F8A5A1CAA64}"/>
    <cellStyle name="Separador de milhares 7 4 7 5 3" xfId="31671" xr:uid="{85595911-407D-4B35-8383-C1D980579569}"/>
    <cellStyle name="Separador de milhares 7 4 7 6" xfId="22842" xr:uid="{00000000-0005-0000-0000-00008A630000}"/>
    <cellStyle name="Separador de milhares 7 4 7 6 2" xfId="31673" xr:uid="{4C817DEC-CCAC-43E8-AED0-C859FDA1C975}"/>
    <cellStyle name="Separador de milhares 7 4 8" xfId="22843" xr:uid="{00000000-0005-0000-0000-00008B630000}"/>
    <cellStyle name="Separador de milhares 7 4 8 2" xfId="22844" xr:uid="{00000000-0005-0000-0000-00008C630000}"/>
    <cellStyle name="Separador de milhares 7 4 8 2 2" xfId="31674" xr:uid="{449091DA-E069-4C66-B66B-A567D5EDD65A}"/>
    <cellStyle name="Separador de milhares 7 4 9" xfId="22845" xr:uid="{00000000-0005-0000-0000-00008D630000}"/>
    <cellStyle name="Separador de milhares 7 4 9 2" xfId="22846" xr:uid="{00000000-0005-0000-0000-00008E630000}"/>
    <cellStyle name="Separador de milhares 7 4 9 2 2" xfId="31675" xr:uid="{372A098E-04AD-454E-BD0A-CAD9A26DC9C8}"/>
    <cellStyle name="Separador de milhares 7 40" xfId="22847" xr:uid="{00000000-0005-0000-0000-00008F630000}"/>
    <cellStyle name="Separador de milhares 7 40 2" xfId="22848" xr:uid="{00000000-0005-0000-0000-000090630000}"/>
    <cellStyle name="Separador de milhares 7 40 2 2" xfId="31677" xr:uid="{86CD750A-7BCD-421C-B1CE-658B194B09C9}"/>
    <cellStyle name="Separador de milhares 7 40 3" xfId="31676" xr:uid="{D4F9F6DE-D7D5-476F-9B37-AA5D30A6EA0B}"/>
    <cellStyle name="Separador de milhares 7 41" xfId="22849" xr:uid="{00000000-0005-0000-0000-000091630000}"/>
    <cellStyle name="Separador de milhares 7 41 2" xfId="22850" xr:uid="{00000000-0005-0000-0000-000092630000}"/>
    <cellStyle name="Separador de milhares 7 41 2 2" xfId="31679" xr:uid="{504733FE-059E-4733-A629-E9CC8B09251D}"/>
    <cellStyle name="Separador de milhares 7 41 3" xfId="31678" xr:uid="{1ABFB15F-2BC4-4FCF-B9D6-88A7777A7BB7}"/>
    <cellStyle name="Separador de milhares 7 42" xfId="22851" xr:uid="{00000000-0005-0000-0000-000093630000}"/>
    <cellStyle name="Separador de milhares 7 42 2" xfId="22852" xr:uid="{00000000-0005-0000-0000-000094630000}"/>
    <cellStyle name="Separador de milhares 7 42 2 2" xfId="31681" xr:uid="{64216D89-7C47-4207-927F-208C1F50CBEE}"/>
    <cellStyle name="Separador de milhares 7 42 3" xfId="31680" xr:uid="{3F0ED2B2-E892-47A2-89CE-1D9205940A64}"/>
    <cellStyle name="Separador de milhares 7 43" xfId="22853" xr:uid="{00000000-0005-0000-0000-000095630000}"/>
    <cellStyle name="Separador de milhares 7 43 2" xfId="22854" xr:uid="{00000000-0005-0000-0000-000096630000}"/>
    <cellStyle name="Separador de milhares 7 43 2 2" xfId="31683" xr:uid="{7D789C8D-8E94-4DFA-897B-1DAA1BE5D7E4}"/>
    <cellStyle name="Separador de milhares 7 43 3" xfId="31682" xr:uid="{0EF12599-7994-47EF-ABC0-E0D0EE680BAA}"/>
    <cellStyle name="Separador de milhares 7 44" xfId="22855" xr:uid="{00000000-0005-0000-0000-000097630000}"/>
    <cellStyle name="Separador de milhares 7 44 2" xfId="22856" xr:uid="{00000000-0005-0000-0000-000098630000}"/>
    <cellStyle name="Separador de milhares 7 44 2 2" xfId="31685" xr:uid="{00A1EA1B-C3DC-4F4C-BB38-D64E182CDB0D}"/>
    <cellStyle name="Separador de milhares 7 44 3" xfId="31684" xr:uid="{7CB339AB-0427-471B-8BEF-C59301315A47}"/>
    <cellStyle name="Separador de milhares 7 45" xfId="22857" xr:uid="{00000000-0005-0000-0000-000099630000}"/>
    <cellStyle name="Separador de milhares 7 45 2" xfId="22858" xr:uid="{00000000-0005-0000-0000-00009A630000}"/>
    <cellStyle name="Separador de milhares 7 45 2 2" xfId="31687" xr:uid="{15D25BB2-0BB3-4A2A-9C44-8FBD9D89AFF8}"/>
    <cellStyle name="Separador de milhares 7 45 3" xfId="31686" xr:uid="{DBBF19CB-445C-4DCD-B616-62ED82FD286D}"/>
    <cellStyle name="Separador de milhares 7 46" xfId="22859" xr:uid="{00000000-0005-0000-0000-00009B630000}"/>
    <cellStyle name="Separador de milhares 7 46 2" xfId="22860" xr:uid="{00000000-0005-0000-0000-00009C630000}"/>
    <cellStyle name="Separador de milhares 7 46 2 2" xfId="31689" xr:uid="{050FA7CC-1098-420F-8D2E-675AC96DE47B}"/>
    <cellStyle name="Separador de milhares 7 46 3" xfId="31688" xr:uid="{7BBD6CC3-8C9E-48B1-9428-975025A7E621}"/>
    <cellStyle name="Separador de milhares 7 47" xfId="22861" xr:uid="{00000000-0005-0000-0000-00009D630000}"/>
    <cellStyle name="Separador de milhares 7 47 2" xfId="22862" xr:uid="{00000000-0005-0000-0000-00009E630000}"/>
    <cellStyle name="Separador de milhares 7 47 2 2" xfId="31691" xr:uid="{72E9276E-C15D-4E9E-962A-85F02BA2B943}"/>
    <cellStyle name="Separador de milhares 7 47 3" xfId="31690" xr:uid="{AC886A54-A88E-403A-A5EF-7FCF60A962B6}"/>
    <cellStyle name="Separador de milhares 7 48" xfId="22863" xr:uid="{00000000-0005-0000-0000-00009F630000}"/>
    <cellStyle name="Separador de milhares 7 48 2" xfId="22864" xr:uid="{00000000-0005-0000-0000-0000A0630000}"/>
    <cellStyle name="Separador de milhares 7 48 2 2" xfId="31693" xr:uid="{24C94FB6-E0FE-4E0C-9453-F0B79FB72CCE}"/>
    <cellStyle name="Separador de milhares 7 48 3" xfId="31692" xr:uid="{E670F866-90BA-453F-A93F-80E2E3EAACC7}"/>
    <cellStyle name="Separador de milhares 7 49" xfId="22865" xr:uid="{00000000-0005-0000-0000-0000A1630000}"/>
    <cellStyle name="Separador de milhares 7 49 2" xfId="22866" xr:uid="{00000000-0005-0000-0000-0000A2630000}"/>
    <cellStyle name="Separador de milhares 7 49 2 2" xfId="31695" xr:uid="{60FD6291-AAD9-4101-B146-C1DE5629F033}"/>
    <cellStyle name="Separador de milhares 7 49 3" xfId="31694" xr:uid="{6F8D7BE1-8352-4C19-886A-EC8976282DF9}"/>
    <cellStyle name="Separador de milhares 7 5" xfId="853" xr:uid="{00000000-0005-0000-0000-0000A3630000}"/>
    <cellStyle name="Separador de milhares 7 5 10" xfId="22868" xr:uid="{00000000-0005-0000-0000-0000A4630000}"/>
    <cellStyle name="Separador de milhares 7 5 10 2" xfId="22869" xr:uid="{00000000-0005-0000-0000-0000A5630000}"/>
    <cellStyle name="Separador de milhares 7 5 10 2 2" xfId="31697" xr:uid="{65AE5417-49FE-47CE-8CA1-12283C95F46A}"/>
    <cellStyle name="Separador de milhares 7 5 10 3" xfId="31696" xr:uid="{10D38CAB-6C71-44F5-87CB-D9C9A20AE6B3}"/>
    <cellStyle name="Separador de milhares 7 5 11" xfId="22870" xr:uid="{00000000-0005-0000-0000-0000A6630000}"/>
    <cellStyle name="Separador de milhares 7 5 11 2" xfId="22871" xr:uid="{00000000-0005-0000-0000-0000A7630000}"/>
    <cellStyle name="Separador de milhares 7 5 11 2 2" xfId="31699" xr:uid="{C589A391-891C-4AE3-91B1-759E00CB767C}"/>
    <cellStyle name="Separador de milhares 7 5 11 3" xfId="31698" xr:uid="{EE672703-E275-4668-9C00-76B84CD7116E}"/>
    <cellStyle name="Separador de milhares 7 5 12" xfId="22872" xr:uid="{00000000-0005-0000-0000-0000A8630000}"/>
    <cellStyle name="Separador de milhares 7 5 12 2" xfId="22873" xr:uid="{00000000-0005-0000-0000-0000A9630000}"/>
    <cellStyle name="Separador de milhares 7 5 12 2 2" xfId="31701" xr:uid="{36F07B48-841D-47AC-921A-53E19CD41F05}"/>
    <cellStyle name="Separador de milhares 7 5 12 3" xfId="31700" xr:uid="{52CB063A-5B6C-4EC7-B41E-C99EE17B4A3C}"/>
    <cellStyle name="Separador de milhares 7 5 13" xfId="22874" xr:uid="{00000000-0005-0000-0000-0000AA630000}"/>
    <cellStyle name="Separador de milhares 7 5 13 2" xfId="22875" xr:uid="{00000000-0005-0000-0000-0000AB630000}"/>
    <cellStyle name="Separador de milhares 7 5 13 2 2" xfId="31703" xr:uid="{4BA9574C-41F8-42EC-83EE-B153CBF4BDF1}"/>
    <cellStyle name="Separador de milhares 7 5 13 3" xfId="31702" xr:uid="{CBB13A6D-C377-4253-9285-F1BEE4AA904F}"/>
    <cellStyle name="Separador de milhares 7 5 14" xfId="22876" xr:uid="{00000000-0005-0000-0000-0000AC630000}"/>
    <cellStyle name="Separador de milhares 7 5 14 2" xfId="22877" xr:uid="{00000000-0005-0000-0000-0000AD630000}"/>
    <cellStyle name="Separador de milhares 7 5 14 2 2" xfId="31705" xr:uid="{A8911364-9D05-476B-9D87-D9978044D569}"/>
    <cellStyle name="Separador de milhares 7 5 14 3" xfId="31704" xr:uid="{14879410-6A22-4D65-ABE9-D6C94BBE8A54}"/>
    <cellStyle name="Separador de milhares 7 5 15" xfId="22878" xr:uid="{00000000-0005-0000-0000-0000AE630000}"/>
    <cellStyle name="Separador de milhares 7 5 15 2" xfId="22879" xr:uid="{00000000-0005-0000-0000-0000AF630000}"/>
    <cellStyle name="Separador de milhares 7 5 15 2 2" xfId="31707" xr:uid="{0DEA5B0A-5CCD-445A-B582-5620A3A7DF11}"/>
    <cellStyle name="Separador de milhares 7 5 15 3" xfId="31706" xr:uid="{7FC6F91C-26A5-42AE-B6CC-74ED88251A83}"/>
    <cellStyle name="Separador de milhares 7 5 16" xfId="22880" xr:uid="{00000000-0005-0000-0000-0000B0630000}"/>
    <cellStyle name="Separador de milhares 7 5 16 2" xfId="22881" xr:uid="{00000000-0005-0000-0000-0000B1630000}"/>
    <cellStyle name="Separador de milhares 7 5 16 2 2" xfId="31709" xr:uid="{57F3475E-7702-45B2-A27D-53CEB0C16C81}"/>
    <cellStyle name="Separador de milhares 7 5 16 3" xfId="31708" xr:uid="{585F2FF9-6969-44CD-B593-E016E7C3AA30}"/>
    <cellStyle name="Separador de milhares 7 5 17" xfId="22882" xr:uid="{00000000-0005-0000-0000-0000B2630000}"/>
    <cellStyle name="Separador de milhares 7 5 17 2" xfId="22883" xr:uid="{00000000-0005-0000-0000-0000B3630000}"/>
    <cellStyle name="Separador de milhares 7 5 17 2 2" xfId="31711" xr:uid="{C2BD2AAF-8720-41E2-B437-742F5B4645ED}"/>
    <cellStyle name="Separador de milhares 7 5 17 3" xfId="31710" xr:uid="{E5F66085-0F81-48F4-AFCD-FEF2293E86C5}"/>
    <cellStyle name="Separador de milhares 7 5 18" xfId="22884" xr:uid="{00000000-0005-0000-0000-0000B4630000}"/>
    <cellStyle name="Separador de milhares 7 5 18 2" xfId="22885" xr:uid="{00000000-0005-0000-0000-0000B5630000}"/>
    <cellStyle name="Separador de milhares 7 5 18 2 2" xfId="31713" xr:uid="{CC043BC8-0939-4F4E-BEEE-55B090A4B85C}"/>
    <cellStyle name="Separador de milhares 7 5 18 3" xfId="31712" xr:uid="{C96AC7EA-59BE-4204-85D0-6D6BDF400F14}"/>
    <cellStyle name="Separador de milhares 7 5 19" xfId="22886" xr:uid="{00000000-0005-0000-0000-0000B6630000}"/>
    <cellStyle name="Separador de milhares 7 5 19 2" xfId="22887" xr:uid="{00000000-0005-0000-0000-0000B7630000}"/>
    <cellStyle name="Separador de milhares 7 5 19 2 2" xfId="31715" xr:uid="{CB9C2A5A-74D5-4191-A277-638FE72DEC44}"/>
    <cellStyle name="Separador de milhares 7 5 19 3" xfId="31714" xr:uid="{17A7B9A7-E60D-4866-AB37-60579C864A68}"/>
    <cellStyle name="Separador de milhares 7 5 2" xfId="854" xr:uid="{00000000-0005-0000-0000-0000B8630000}"/>
    <cellStyle name="Separador de milhares 7 5 2 10" xfId="22889" xr:uid="{00000000-0005-0000-0000-0000B9630000}"/>
    <cellStyle name="Separador de milhares 7 5 2 10 2" xfId="22890" xr:uid="{00000000-0005-0000-0000-0000BA630000}"/>
    <cellStyle name="Separador de milhares 7 5 2 10 2 2" xfId="31718" xr:uid="{6F0234C2-3EEB-4262-8AA0-744F7D0551C5}"/>
    <cellStyle name="Separador de milhares 7 5 2 10 3" xfId="31717" xr:uid="{DD487A88-C34E-45A8-A662-392B678C7397}"/>
    <cellStyle name="Separador de milhares 7 5 2 11" xfId="22891" xr:uid="{00000000-0005-0000-0000-0000BB630000}"/>
    <cellStyle name="Separador de milhares 7 5 2 11 2" xfId="22892" xr:uid="{00000000-0005-0000-0000-0000BC630000}"/>
    <cellStyle name="Separador de milhares 7 5 2 11 2 2" xfId="31720" xr:uid="{47CE3ADF-9CD5-4433-978F-4C4430DD40DF}"/>
    <cellStyle name="Separador de milhares 7 5 2 11 3" xfId="31719" xr:uid="{73102397-3DDD-4A79-AD0A-3C0D969705C5}"/>
    <cellStyle name="Separador de milhares 7 5 2 12" xfId="22893" xr:uid="{00000000-0005-0000-0000-0000BD630000}"/>
    <cellStyle name="Separador de milhares 7 5 2 12 2" xfId="22894" xr:uid="{00000000-0005-0000-0000-0000BE630000}"/>
    <cellStyle name="Separador de milhares 7 5 2 12 2 2" xfId="31722" xr:uid="{0F34471C-FAD6-4581-9394-5C85DB618119}"/>
    <cellStyle name="Separador de milhares 7 5 2 12 3" xfId="31721" xr:uid="{050895B3-26FD-4662-A173-D3514DF435E1}"/>
    <cellStyle name="Separador de milhares 7 5 2 13" xfId="22895" xr:uid="{00000000-0005-0000-0000-0000BF630000}"/>
    <cellStyle name="Separador de milhares 7 5 2 13 2" xfId="22896" xr:uid="{00000000-0005-0000-0000-0000C0630000}"/>
    <cellStyle name="Separador de milhares 7 5 2 13 2 2" xfId="31724" xr:uid="{19D438EA-14FE-4F91-92AF-FB037068E5A8}"/>
    <cellStyle name="Separador de milhares 7 5 2 13 3" xfId="31723" xr:uid="{87AC1831-FFF3-4B29-A132-E88D25FA9706}"/>
    <cellStyle name="Separador de milhares 7 5 2 14" xfId="22897" xr:uid="{00000000-0005-0000-0000-0000C1630000}"/>
    <cellStyle name="Separador de milhares 7 5 2 14 2" xfId="22898" xr:uid="{00000000-0005-0000-0000-0000C2630000}"/>
    <cellStyle name="Separador de milhares 7 5 2 14 2 2" xfId="31726" xr:uid="{2BDACF10-5AAB-4D25-BC36-D1AB0C2FE9B8}"/>
    <cellStyle name="Separador de milhares 7 5 2 14 3" xfId="31725" xr:uid="{2D44AB5B-3130-40BC-8609-F55056CA096E}"/>
    <cellStyle name="Separador de milhares 7 5 2 15" xfId="22899" xr:uid="{00000000-0005-0000-0000-0000C3630000}"/>
    <cellStyle name="Separador de milhares 7 5 2 15 2" xfId="22900" xr:uid="{00000000-0005-0000-0000-0000C4630000}"/>
    <cellStyle name="Separador de milhares 7 5 2 15 2 2" xfId="31728" xr:uid="{A08B1DC1-D69D-470A-AADA-D1E13C00612A}"/>
    <cellStyle name="Separador de milhares 7 5 2 15 3" xfId="31727" xr:uid="{0EAFAAB8-F49D-413A-A1D1-0791CA236C8A}"/>
    <cellStyle name="Separador de milhares 7 5 2 16" xfId="22901" xr:uid="{00000000-0005-0000-0000-0000C5630000}"/>
    <cellStyle name="Separador de milhares 7 5 2 16 2" xfId="22902" xr:uid="{00000000-0005-0000-0000-0000C6630000}"/>
    <cellStyle name="Separador de milhares 7 5 2 16 2 2" xfId="31730" xr:uid="{BD5AC6F4-659C-4077-9FCD-45AFC6950FEE}"/>
    <cellStyle name="Separador de milhares 7 5 2 16 3" xfId="31729" xr:uid="{50EEE12F-11AE-440D-92F8-6EC892E07670}"/>
    <cellStyle name="Separador de milhares 7 5 2 17" xfId="22903" xr:uid="{00000000-0005-0000-0000-0000C7630000}"/>
    <cellStyle name="Separador de milhares 7 5 2 17 2" xfId="22904" xr:uid="{00000000-0005-0000-0000-0000C8630000}"/>
    <cellStyle name="Separador de milhares 7 5 2 17 2 2" xfId="31732" xr:uid="{D549E4AE-CA21-4569-BA11-C5DF68EB98E2}"/>
    <cellStyle name="Separador de milhares 7 5 2 17 3" xfId="31731" xr:uid="{865E3B54-D07C-4D6A-A47F-6F1E056ED06C}"/>
    <cellStyle name="Separador de milhares 7 5 2 18" xfId="22905" xr:uid="{00000000-0005-0000-0000-0000C9630000}"/>
    <cellStyle name="Separador de milhares 7 5 2 18 2" xfId="22906" xr:uid="{00000000-0005-0000-0000-0000CA630000}"/>
    <cellStyle name="Separador de milhares 7 5 2 18 2 2" xfId="31734" xr:uid="{C8418813-7D2D-47E7-B69F-973E3DF9464D}"/>
    <cellStyle name="Separador de milhares 7 5 2 18 3" xfId="31733" xr:uid="{C43EA101-010F-4E12-B225-7E3DB05FB2B5}"/>
    <cellStyle name="Separador de milhares 7 5 2 19" xfId="22907" xr:uid="{00000000-0005-0000-0000-0000CB630000}"/>
    <cellStyle name="Separador de milhares 7 5 2 19 2" xfId="22908" xr:uid="{00000000-0005-0000-0000-0000CC630000}"/>
    <cellStyle name="Separador de milhares 7 5 2 19 2 2" xfId="31736" xr:uid="{DC00CA44-938E-4D9C-B183-7F7FEA8850EF}"/>
    <cellStyle name="Separador de milhares 7 5 2 19 3" xfId="31735" xr:uid="{4E9F80C3-C07D-4777-8F7F-71903AD0E0BF}"/>
    <cellStyle name="Separador de milhares 7 5 2 2" xfId="22909" xr:uid="{00000000-0005-0000-0000-0000CD630000}"/>
    <cellStyle name="Separador de milhares 7 5 2 2 2" xfId="22910" xr:uid="{00000000-0005-0000-0000-0000CE630000}"/>
    <cellStyle name="Separador de milhares 7 5 2 2 2 2" xfId="31738" xr:uid="{324BAAAB-EE52-49FF-BB47-6288AFB7A00A}"/>
    <cellStyle name="Separador de milhares 7 5 2 2 3" xfId="31737" xr:uid="{FF37AD1D-DE5A-4198-A850-EF09E5EDECB3}"/>
    <cellStyle name="Separador de milhares 7 5 2 20" xfId="22911" xr:uid="{00000000-0005-0000-0000-0000CF630000}"/>
    <cellStyle name="Separador de milhares 7 5 2 20 2" xfId="22912" xr:uid="{00000000-0005-0000-0000-0000D0630000}"/>
    <cellStyle name="Separador de milhares 7 5 2 20 2 2" xfId="31740" xr:uid="{B7A84328-F70B-454D-A532-8706E67A9199}"/>
    <cellStyle name="Separador de milhares 7 5 2 20 3" xfId="31739" xr:uid="{8C693DB0-934D-4423-A4A0-C480C57412F0}"/>
    <cellStyle name="Separador de milhares 7 5 2 21" xfId="22913" xr:uid="{00000000-0005-0000-0000-0000D1630000}"/>
    <cellStyle name="Separador de milhares 7 5 2 21 2" xfId="22914" xr:uid="{00000000-0005-0000-0000-0000D2630000}"/>
    <cellStyle name="Separador de milhares 7 5 2 21 2 2" xfId="31742" xr:uid="{C322D88E-7A34-442E-9908-B47251F53CCA}"/>
    <cellStyle name="Separador de milhares 7 5 2 21 3" xfId="31741" xr:uid="{F05D50C3-FCF6-4D61-9C44-29CBF381523A}"/>
    <cellStyle name="Separador de milhares 7 5 2 22" xfId="22915" xr:uid="{00000000-0005-0000-0000-0000D3630000}"/>
    <cellStyle name="Separador de milhares 7 5 2 22 2" xfId="22916" xr:uid="{00000000-0005-0000-0000-0000D4630000}"/>
    <cellStyle name="Separador de milhares 7 5 2 22 2 2" xfId="31744" xr:uid="{0DD7BA81-E2DA-4FF9-86A2-1981C7571D83}"/>
    <cellStyle name="Separador de milhares 7 5 2 22 3" xfId="31743" xr:uid="{9C9A5300-F883-44FC-99B6-85803C9E7CA3}"/>
    <cellStyle name="Separador de milhares 7 5 2 23" xfId="22917" xr:uid="{00000000-0005-0000-0000-0000D5630000}"/>
    <cellStyle name="Separador de milhares 7 5 2 23 2" xfId="22918" xr:uid="{00000000-0005-0000-0000-0000D6630000}"/>
    <cellStyle name="Separador de milhares 7 5 2 23 2 2" xfId="31746" xr:uid="{3DDA0D17-56CF-44C9-860E-C08197FDAD18}"/>
    <cellStyle name="Separador de milhares 7 5 2 23 3" xfId="31745" xr:uid="{6C0C3BEE-9BBD-42A2-9671-B4A60229FE93}"/>
    <cellStyle name="Separador de milhares 7 5 2 24" xfId="22919" xr:uid="{00000000-0005-0000-0000-0000D7630000}"/>
    <cellStyle name="Separador de milhares 7 5 2 24 2" xfId="22920" xr:uid="{00000000-0005-0000-0000-0000D8630000}"/>
    <cellStyle name="Separador de milhares 7 5 2 24 2 2" xfId="31748" xr:uid="{78017757-160C-49C0-8980-5DFEA0AEB9E9}"/>
    <cellStyle name="Separador de milhares 7 5 2 24 3" xfId="31747" xr:uid="{0CCDE5C1-5D5F-46D8-A6D9-5A1D03B309B9}"/>
    <cellStyle name="Separador de milhares 7 5 2 25" xfId="22921" xr:uid="{00000000-0005-0000-0000-0000D9630000}"/>
    <cellStyle name="Separador de milhares 7 5 2 25 2" xfId="22922" xr:uid="{00000000-0005-0000-0000-0000DA630000}"/>
    <cellStyle name="Separador de milhares 7 5 2 25 2 2" xfId="31750" xr:uid="{AAD3B441-B00E-427C-A27E-25890C753FA2}"/>
    <cellStyle name="Separador de milhares 7 5 2 25 3" xfId="31749" xr:uid="{722C72A8-89DA-459D-9373-CBB98C7DEDC2}"/>
    <cellStyle name="Separador de milhares 7 5 2 26" xfId="22923" xr:uid="{00000000-0005-0000-0000-0000DB630000}"/>
    <cellStyle name="Separador de milhares 7 5 2 26 2" xfId="22924" xr:uid="{00000000-0005-0000-0000-0000DC630000}"/>
    <cellStyle name="Separador de milhares 7 5 2 26 2 2" xfId="31752" xr:uid="{114696ED-4238-4CD9-A154-6D88F4538D4D}"/>
    <cellStyle name="Separador de milhares 7 5 2 26 3" xfId="31751" xr:uid="{CAB1C43E-49EA-4852-8191-46CE9740CF8B}"/>
    <cellStyle name="Separador de milhares 7 5 2 27" xfId="22925" xr:uid="{00000000-0005-0000-0000-0000DD630000}"/>
    <cellStyle name="Separador de milhares 7 5 2 27 2" xfId="22926" xr:uid="{00000000-0005-0000-0000-0000DE630000}"/>
    <cellStyle name="Separador de milhares 7 5 2 27 2 2" xfId="31754" xr:uid="{3A48E54A-F89D-4825-8D31-43883DD04B7A}"/>
    <cellStyle name="Separador de milhares 7 5 2 27 3" xfId="31753" xr:uid="{44B34B85-D63B-40EF-89D7-A78B62374B05}"/>
    <cellStyle name="Separador de milhares 7 5 2 28" xfId="22927" xr:uid="{00000000-0005-0000-0000-0000DF630000}"/>
    <cellStyle name="Separador de milhares 7 5 2 28 2" xfId="22928" xr:uid="{00000000-0005-0000-0000-0000E0630000}"/>
    <cellStyle name="Separador de milhares 7 5 2 28 2 2" xfId="31756" xr:uid="{FDE75AC1-B6C9-49A9-A1EC-04DCC5F9E10C}"/>
    <cellStyle name="Separador de milhares 7 5 2 28 3" xfId="31755" xr:uid="{17397075-D07D-4AA3-B290-53E2A698931D}"/>
    <cellStyle name="Separador de milhares 7 5 2 29" xfId="22929" xr:uid="{00000000-0005-0000-0000-0000E1630000}"/>
    <cellStyle name="Separador de milhares 7 5 2 29 2" xfId="22930" xr:uid="{00000000-0005-0000-0000-0000E2630000}"/>
    <cellStyle name="Separador de milhares 7 5 2 29 2 2" xfId="31758" xr:uid="{AE4ADEFE-9410-46FA-AA1D-58655ECED2E7}"/>
    <cellStyle name="Separador de milhares 7 5 2 29 3" xfId="31757" xr:uid="{C83BFB13-BBE7-4D20-9213-E58F0B0BB798}"/>
    <cellStyle name="Separador de milhares 7 5 2 3" xfId="22931" xr:uid="{00000000-0005-0000-0000-0000E3630000}"/>
    <cellStyle name="Separador de milhares 7 5 2 3 2" xfId="22932" xr:uid="{00000000-0005-0000-0000-0000E4630000}"/>
    <cellStyle name="Separador de milhares 7 5 2 3 2 2" xfId="31760" xr:uid="{B4583751-3D09-45C1-8019-F37A96F12127}"/>
    <cellStyle name="Separador de milhares 7 5 2 3 3" xfId="31759" xr:uid="{E1AA35D3-DB3A-476D-A6B7-36D4F7436291}"/>
    <cellStyle name="Separador de milhares 7 5 2 30" xfId="22933" xr:uid="{00000000-0005-0000-0000-0000E5630000}"/>
    <cellStyle name="Separador de milhares 7 5 2 30 2" xfId="22934" xr:uid="{00000000-0005-0000-0000-0000E6630000}"/>
    <cellStyle name="Separador de milhares 7 5 2 30 2 2" xfId="31762" xr:uid="{B558C32E-6737-456B-848B-84616319FD37}"/>
    <cellStyle name="Separador de milhares 7 5 2 30 3" xfId="31761" xr:uid="{0CA42E0E-DFE2-4B87-BCE9-628F0F0D8E5A}"/>
    <cellStyle name="Separador de milhares 7 5 2 31" xfId="22935" xr:uid="{00000000-0005-0000-0000-0000E7630000}"/>
    <cellStyle name="Separador de milhares 7 5 2 31 2" xfId="22936" xr:uid="{00000000-0005-0000-0000-0000E8630000}"/>
    <cellStyle name="Separador de milhares 7 5 2 31 2 2" xfId="31764" xr:uid="{44276F7C-6B2A-4913-93C9-7E86EA174007}"/>
    <cellStyle name="Separador de milhares 7 5 2 31 3" xfId="31763" xr:uid="{770C5ED6-B2B7-4D02-A9E6-5801C356FBFA}"/>
    <cellStyle name="Separador de milhares 7 5 2 32" xfId="22937" xr:uid="{00000000-0005-0000-0000-0000E9630000}"/>
    <cellStyle name="Separador de milhares 7 5 2 32 2" xfId="22938" xr:uid="{00000000-0005-0000-0000-0000EA630000}"/>
    <cellStyle name="Separador de milhares 7 5 2 32 2 2" xfId="31766" xr:uid="{0D8CDCB9-B77E-490A-B741-D5F75D828679}"/>
    <cellStyle name="Separador de milhares 7 5 2 32 3" xfId="31765" xr:uid="{98CEF94C-3A9E-4D2B-A0A8-76ACB5DFF8BA}"/>
    <cellStyle name="Separador de milhares 7 5 2 33" xfId="22939" xr:uid="{00000000-0005-0000-0000-0000EB630000}"/>
    <cellStyle name="Separador de milhares 7 5 2 33 2" xfId="22940" xr:uid="{00000000-0005-0000-0000-0000EC630000}"/>
    <cellStyle name="Separador de milhares 7 5 2 33 2 2" xfId="31768" xr:uid="{8CEDFA72-8540-4853-A4C5-0CB3F939454B}"/>
    <cellStyle name="Separador de milhares 7 5 2 33 3" xfId="31767" xr:uid="{8130FCE1-2AA1-43B8-8632-887C0C590AAC}"/>
    <cellStyle name="Separador de milhares 7 5 2 34" xfId="22941" xr:uid="{00000000-0005-0000-0000-0000ED630000}"/>
    <cellStyle name="Separador de milhares 7 5 2 34 2" xfId="22942" xr:uid="{00000000-0005-0000-0000-0000EE630000}"/>
    <cellStyle name="Separador de milhares 7 5 2 34 2 2" xfId="31770" xr:uid="{20872661-D85A-4756-8370-6D047809EE7E}"/>
    <cellStyle name="Separador de milhares 7 5 2 34 3" xfId="31769" xr:uid="{0B37A15C-204F-4350-BBF1-F745A3770CC7}"/>
    <cellStyle name="Separador de milhares 7 5 2 35" xfId="22943" xr:uid="{00000000-0005-0000-0000-0000EF630000}"/>
    <cellStyle name="Separador de milhares 7 5 2 35 2" xfId="31771" xr:uid="{D641E623-D0C1-483D-A0FE-EEB998F30976}"/>
    <cellStyle name="Separador de milhares 7 5 2 36" xfId="22888" xr:uid="{00000000-0005-0000-0000-0000F0630000}"/>
    <cellStyle name="Separador de milhares 7 5 2 36 2" xfId="31716" xr:uid="{BCC97786-EDF7-4D5A-8F56-A3FE497A298D}"/>
    <cellStyle name="Separador de milhares 7 5 2 37" xfId="28088" xr:uid="{0C602548-3A13-4D90-B0DF-2E2E07622831}"/>
    <cellStyle name="Separador de milhares 7 5 2 4" xfId="22944" xr:uid="{00000000-0005-0000-0000-0000F1630000}"/>
    <cellStyle name="Separador de milhares 7 5 2 4 2" xfId="22945" xr:uid="{00000000-0005-0000-0000-0000F2630000}"/>
    <cellStyle name="Separador de milhares 7 5 2 4 2 2" xfId="31773" xr:uid="{50D2D973-4D42-47B5-A6B7-8637860F57A9}"/>
    <cellStyle name="Separador de milhares 7 5 2 4 3" xfId="31772" xr:uid="{939D626B-0836-47FA-A133-04A8C5CD4F31}"/>
    <cellStyle name="Separador de milhares 7 5 2 5" xfId="22946" xr:uid="{00000000-0005-0000-0000-0000F3630000}"/>
    <cellStyle name="Separador de milhares 7 5 2 5 2" xfId="22947" xr:uid="{00000000-0005-0000-0000-0000F4630000}"/>
    <cellStyle name="Separador de milhares 7 5 2 5 2 2" xfId="31775" xr:uid="{842E29E3-7E9D-4670-B481-640A4229B40A}"/>
    <cellStyle name="Separador de milhares 7 5 2 5 3" xfId="31774" xr:uid="{69AD963D-83F7-4B10-9A57-D2AA9D38CDCB}"/>
    <cellStyle name="Separador de milhares 7 5 2 6" xfId="22948" xr:uid="{00000000-0005-0000-0000-0000F5630000}"/>
    <cellStyle name="Separador de milhares 7 5 2 6 2" xfId="22949" xr:uid="{00000000-0005-0000-0000-0000F6630000}"/>
    <cellStyle name="Separador de milhares 7 5 2 6 2 2" xfId="31777" xr:uid="{ED352C98-B583-40AD-B003-7B8E4F2AE304}"/>
    <cellStyle name="Separador de milhares 7 5 2 6 3" xfId="31776" xr:uid="{32481246-54BC-4908-B644-AB02CEEC373E}"/>
    <cellStyle name="Separador de milhares 7 5 2 7" xfId="22950" xr:uid="{00000000-0005-0000-0000-0000F7630000}"/>
    <cellStyle name="Separador de milhares 7 5 2 7 2" xfId="22951" xr:uid="{00000000-0005-0000-0000-0000F8630000}"/>
    <cellStyle name="Separador de milhares 7 5 2 7 2 2" xfId="31779" xr:uid="{7427E332-8BC7-4C1B-8ABB-494F21157D22}"/>
    <cellStyle name="Separador de milhares 7 5 2 7 3" xfId="31778" xr:uid="{88FB044F-9A6F-4ED1-92C9-DFAD3CF1ABB7}"/>
    <cellStyle name="Separador de milhares 7 5 2 8" xfId="22952" xr:uid="{00000000-0005-0000-0000-0000F9630000}"/>
    <cellStyle name="Separador de milhares 7 5 2 8 2" xfId="22953" xr:uid="{00000000-0005-0000-0000-0000FA630000}"/>
    <cellStyle name="Separador de milhares 7 5 2 8 2 2" xfId="31781" xr:uid="{E89AAB76-C5BF-44F7-AE6A-816B923CCA69}"/>
    <cellStyle name="Separador de milhares 7 5 2 8 3" xfId="31780" xr:uid="{65294F4B-85EA-4838-82BE-F529112D2C42}"/>
    <cellStyle name="Separador de milhares 7 5 2 9" xfId="22954" xr:uid="{00000000-0005-0000-0000-0000FB630000}"/>
    <cellStyle name="Separador de milhares 7 5 2 9 2" xfId="22955" xr:uid="{00000000-0005-0000-0000-0000FC630000}"/>
    <cellStyle name="Separador de milhares 7 5 2 9 2 2" xfId="31783" xr:uid="{11CF825B-A3C4-4127-8FD0-3F81CA68CDAD}"/>
    <cellStyle name="Separador de milhares 7 5 2 9 3" xfId="31782" xr:uid="{519C975B-B251-429F-B432-BFB3A0B0F8BA}"/>
    <cellStyle name="Separador de milhares 7 5 20" xfId="22956" xr:uid="{00000000-0005-0000-0000-0000FD630000}"/>
    <cellStyle name="Separador de milhares 7 5 20 2" xfId="22957" xr:uid="{00000000-0005-0000-0000-0000FE630000}"/>
    <cellStyle name="Separador de milhares 7 5 20 2 2" xfId="31785" xr:uid="{05251D26-B8D5-47C0-A3AF-BC96BB35EE20}"/>
    <cellStyle name="Separador de milhares 7 5 20 3" xfId="31784" xr:uid="{AE7587D4-DA3C-4A54-992B-69F5C046289B}"/>
    <cellStyle name="Separador de milhares 7 5 21" xfId="22958" xr:uid="{00000000-0005-0000-0000-0000FF630000}"/>
    <cellStyle name="Separador de milhares 7 5 21 2" xfId="22959" xr:uid="{00000000-0005-0000-0000-000000640000}"/>
    <cellStyle name="Separador de milhares 7 5 21 2 2" xfId="31787" xr:uid="{28356D5D-CD11-4697-BAE5-14F836640371}"/>
    <cellStyle name="Separador de milhares 7 5 21 3" xfId="31786" xr:uid="{11BA977E-7DB8-43DA-BF13-258E712C6F2B}"/>
    <cellStyle name="Separador de milhares 7 5 22" xfId="22960" xr:uid="{00000000-0005-0000-0000-000001640000}"/>
    <cellStyle name="Separador de milhares 7 5 22 2" xfId="22961" xr:uid="{00000000-0005-0000-0000-000002640000}"/>
    <cellStyle name="Separador de milhares 7 5 22 2 2" xfId="31789" xr:uid="{37DC23ED-1383-4198-968B-E936312DDBCB}"/>
    <cellStyle name="Separador de milhares 7 5 22 3" xfId="31788" xr:uid="{CD3E080D-07EB-4F27-8A02-990690EB076C}"/>
    <cellStyle name="Separador de milhares 7 5 23" xfId="22962" xr:uid="{00000000-0005-0000-0000-000003640000}"/>
    <cellStyle name="Separador de milhares 7 5 23 2" xfId="22963" xr:uid="{00000000-0005-0000-0000-000004640000}"/>
    <cellStyle name="Separador de milhares 7 5 23 2 2" xfId="31791" xr:uid="{DA2A5B17-3496-4969-B7CE-5190F8625953}"/>
    <cellStyle name="Separador de milhares 7 5 23 3" xfId="31790" xr:uid="{63444E1F-BBD8-4293-B3D1-9FDEA1B8F832}"/>
    <cellStyle name="Separador de milhares 7 5 24" xfId="22964" xr:uid="{00000000-0005-0000-0000-000005640000}"/>
    <cellStyle name="Separador de milhares 7 5 24 2" xfId="22965" xr:uid="{00000000-0005-0000-0000-000006640000}"/>
    <cellStyle name="Separador de milhares 7 5 24 2 2" xfId="31793" xr:uid="{078C51A8-83BC-42D6-B1C4-7DD25709E633}"/>
    <cellStyle name="Separador de milhares 7 5 24 3" xfId="31792" xr:uid="{076F3303-7423-44FA-95B7-816B608CF59E}"/>
    <cellStyle name="Separador de milhares 7 5 25" xfId="22966" xr:uid="{00000000-0005-0000-0000-000007640000}"/>
    <cellStyle name="Separador de milhares 7 5 25 2" xfId="22967" xr:uid="{00000000-0005-0000-0000-000008640000}"/>
    <cellStyle name="Separador de milhares 7 5 25 2 2" xfId="31795" xr:uid="{A4A9E88E-BA69-4388-895E-9994C5562D30}"/>
    <cellStyle name="Separador de milhares 7 5 25 3" xfId="31794" xr:uid="{03378645-CA08-42E3-B620-C27E082A2A31}"/>
    <cellStyle name="Separador de milhares 7 5 26" xfId="22968" xr:uid="{00000000-0005-0000-0000-000009640000}"/>
    <cellStyle name="Separador de milhares 7 5 26 2" xfId="22969" xr:uid="{00000000-0005-0000-0000-00000A640000}"/>
    <cellStyle name="Separador de milhares 7 5 26 2 2" xfId="31797" xr:uid="{46872A49-5861-435D-AB54-41F883E1320F}"/>
    <cellStyle name="Separador de milhares 7 5 26 3" xfId="31796" xr:uid="{36D61A8C-EA18-4AD8-92A9-4765753139EA}"/>
    <cellStyle name="Separador de milhares 7 5 27" xfId="22970" xr:uid="{00000000-0005-0000-0000-00000B640000}"/>
    <cellStyle name="Separador de milhares 7 5 27 2" xfId="22971" xr:uid="{00000000-0005-0000-0000-00000C640000}"/>
    <cellStyle name="Separador de milhares 7 5 27 2 2" xfId="31799" xr:uid="{F749574E-A574-4BA8-8E0A-8575D836D2AC}"/>
    <cellStyle name="Separador de milhares 7 5 27 3" xfId="31798" xr:uid="{ADC50C28-6201-44A0-8C95-E73B83965164}"/>
    <cellStyle name="Separador de milhares 7 5 28" xfId="22972" xr:uid="{00000000-0005-0000-0000-00000D640000}"/>
    <cellStyle name="Separador de milhares 7 5 28 2" xfId="22973" xr:uid="{00000000-0005-0000-0000-00000E640000}"/>
    <cellStyle name="Separador de milhares 7 5 28 2 2" xfId="31801" xr:uid="{6C6ADADC-FB0B-4F6E-9CD7-3ECB6CF4641B}"/>
    <cellStyle name="Separador de milhares 7 5 28 3" xfId="31800" xr:uid="{F799D3BF-6DEF-482B-8561-921CCFD665BA}"/>
    <cellStyle name="Separador de milhares 7 5 29" xfId="22974" xr:uid="{00000000-0005-0000-0000-00000F640000}"/>
    <cellStyle name="Separador de milhares 7 5 29 2" xfId="22975" xr:uid="{00000000-0005-0000-0000-000010640000}"/>
    <cellStyle name="Separador de milhares 7 5 29 2 2" xfId="31803" xr:uid="{192A970D-968B-43D1-88E0-5CE951CF6655}"/>
    <cellStyle name="Separador de milhares 7 5 29 3" xfId="31802" xr:uid="{0A9AFEFF-488B-49BA-9ECB-7400616F15F7}"/>
    <cellStyle name="Separador de milhares 7 5 3" xfId="22976" xr:uid="{00000000-0005-0000-0000-000011640000}"/>
    <cellStyle name="Separador de milhares 7 5 3 10" xfId="22977" xr:uid="{00000000-0005-0000-0000-000012640000}"/>
    <cellStyle name="Separador de milhares 7 5 3 10 2" xfId="22978" xr:uid="{00000000-0005-0000-0000-000013640000}"/>
    <cellStyle name="Separador de milhares 7 5 3 10 2 2" xfId="31806" xr:uid="{FFB240A5-F2A1-4619-B8BC-2BE06AF12F47}"/>
    <cellStyle name="Separador de milhares 7 5 3 10 3" xfId="31805" xr:uid="{CAB01EAE-0E68-4776-B8EB-0F28A8DB201D}"/>
    <cellStyle name="Separador de milhares 7 5 3 11" xfId="22979" xr:uid="{00000000-0005-0000-0000-000014640000}"/>
    <cellStyle name="Separador de milhares 7 5 3 11 2" xfId="22980" xr:uid="{00000000-0005-0000-0000-000015640000}"/>
    <cellStyle name="Separador de milhares 7 5 3 11 2 2" xfId="31808" xr:uid="{A1A77047-B27D-4BC0-BF14-00D32DE0EC03}"/>
    <cellStyle name="Separador de milhares 7 5 3 11 3" xfId="31807" xr:uid="{2F48B21A-9CA3-4D88-BDD3-50E4CC23BCE3}"/>
    <cellStyle name="Separador de milhares 7 5 3 12" xfId="22981" xr:uid="{00000000-0005-0000-0000-000016640000}"/>
    <cellStyle name="Separador de milhares 7 5 3 12 2" xfId="22982" xr:uid="{00000000-0005-0000-0000-000017640000}"/>
    <cellStyle name="Separador de milhares 7 5 3 12 2 2" xfId="31810" xr:uid="{84495FA5-279A-4275-96CC-A792F0082058}"/>
    <cellStyle name="Separador de milhares 7 5 3 12 3" xfId="31809" xr:uid="{83E9DAA2-FB1C-46EE-9E97-7071366C4E67}"/>
    <cellStyle name="Separador de milhares 7 5 3 13" xfId="22983" xr:uid="{00000000-0005-0000-0000-000018640000}"/>
    <cellStyle name="Separador de milhares 7 5 3 13 2" xfId="22984" xr:uid="{00000000-0005-0000-0000-000019640000}"/>
    <cellStyle name="Separador de milhares 7 5 3 13 2 2" xfId="31812" xr:uid="{EA874D69-ED78-4B03-820D-61443E39AE03}"/>
    <cellStyle name="Separador de milhares 7 5 3 13 3" xfId="31811" xr:uid="{E7BD92FE-3DDD-4694-8190-0356C45EFB89}"/>
    <cellStyle name="Separador de milhares 7 5 3 14" xfId="22985" xr:uid="{00000000-0005-0000-0000-00001A640000}"/>
    <cellStyle name="Separador de milhares 7 5 3 14 2" xfId="22986" xr:uid="{00000000-0005-0000-0000-00001B640000}"/>
    <cellStyle name="Separador de milhares 7 5 3 14 2 2" xfId="31814" xr:uid="{8E778A47-2058-4278-A2B8-C25421CAD6C3}"/>
    <cellStyle name="Separador de milhares 7 5 3 14 3" xfId="31813" xr:uid="{CDA427F8-9A85-498E-A161-30CF06F70FD3}"/>
    <cellStyle name="Separador de milhares 7 5 3 15" xfId="22987" xr:uid="{00000000-0005-0000-0000-00001C640000}"/>
    <cellStyle name="Separador de milhares 7 5 3 15 2" xfId="22988" xr:uid="{00000000-0005-0000-0000-00001D640000}"/>
    <cellStyle name="Separador de milhares 7 5 3 15 2 2" xfId="31816" xr:uid="{1B634DDA-8311-41B4-8295-3C469087B4D6}"/>
    <cellStyle name="Separador de milhares 7 5 3 15 3" xfId="31815" xr:uid="{29B2A3C4-FEA3-4691-9B7B-C6434FED2EC2}"/>
    <cellStyle name="Separador de milhares 7 5 3 16" xfId="22989" xr:uid="{00000000-0005-0000-0000-00001E640000}"/>
    <cellStyle name="Separador de milhares 7 5 3 16 2" xfId="22990" xr:uid="{00000000-0005-0000-0000-00001F640000}"/>
    <cellStyle name="Separador de milhares 7 5 3 16 2 2" xfId="31818" xr:uid="{B9F79F77-63BC-4403-9C66-F6E7391D4655}"/>
    <cellStyle name="Separador de milhares 7 5 3 16 3" xfId="31817" xr:uid="{F938A265-10D2-4F56-BF05-C1A32B2653FD}"/>
    <cellStyle name="Separador de milhares 7 5 3 17" xfId="22991" xr:uid="{00000000-0005-0000-0000-000020640000}"/>
    <cellStyle name="Separador de milhares 7 5 3 17 2" xfId="22992" xr:uid="{00000000-0005-0000-0000-000021640000}"/>
    <cellStyle name="Separador de milhares 7 5 3 17 2 2" xfId="31820" xr:uid="{83889948-DF21-4CF5-8F45-E6E332D1A0F5}"/>
    <cellStyle name="Separador de milhares 7 5 3 17 3" xfId="31819" xr:uid="{3A4FCAA4-8A43-4452-8C2E-E385189E6F3D}"/>
    <cellStyle name="Separador de milhares 7 5 3 18" xfId="22993" xr:uid="{00000000-0005-0000-0000-000022640000}"/>
    <cellStyle name="Separador de milhares 7 5 3 18 2" xfId="22994" xr:uid="{00000000-0005-0000-0000-000023640000}"/>
    <cellStyle name="Separador de milhares 7 5 3 18 2 2" xfId="31822" xr:uid="{98E41E76-34EC-4B8A-8CAE-5B042BB9CF1B}"/>
    <cellStyle name="Separador de milhares 7 5 3 18 3" xfId="31821" xr:uid="{B02F90CD-FCDA-41D7-81B5-6F239D16ADE7}"/>
    <cellStyle name="Separador de milhares 7 5 3 19" xfId="22995" xr:uid="{00000000-0005-0000-0000-000024640000}"/>
    <cellStyle name="Separador de milhares 7 5 3 19 2" xfId="22996" xr:uid="{00000000-0005-0000-0000-000025640000}"/>
    <cellStyle name="Separador de milhares 7 5 3 19 2 2" xfId="31824" xr:uid="{56DD84CA-BE93-492F-8418-E0AE4B6BD557}"/>
    <cellStyle name="Separador de milhares 7 5 3 19 3" xfId="31823" xr:uid="{8EC13E2C-FAD8-4B5E-A0B8-8586765BC710}"/>
    <cellStyle name="Separador de milhares 7 5 3 2" xfId="22997" xr:uid="{00000000-0005-0000-0000-000026640000}"/>
    <cellStyle name="Separador de milhares 7 5 3 2 2" xfId="22998" xr:uid="{00000000-0005-0000-0000-000027640000}"/>
    <cellStyle name="Separador de milhares 7 5 3 2 2 2" xfId="31826" xr:uid="{BDC538AB-F88B-4586-A650-E7F2A812FE66}"/>
    <cellStyle name="Separador de milhares 7 5 3 2 3" xfId="31825" xr:uid="{CB4CFE41-6C7C-456C-B786-B29E1B90FFCF}"/>
    <cellStyle name="Separador de milhares 7 5 3 20" xfId="22999" xr:uid="{00000000-0005-0000-0000-000028640000}"/>
    <cellStyle name="Separador de milhares 7 5 3 20 2" xfId="23000" xr:uid="{00000000-0005-0000-0000-000029640000}"/>
    <cellStyle name="Separador de milhares 7 5 3 20 2 2" xfId="31828" xr:uid="{2396C7E5-CF02-459E-9FB4-DBFA72BA2D7F}"/>
    <cellStyle name="Separador de milhares 7 5 3 20 3" xfId="31827" xr:uid="{BB917DE9-6EC0-4EF6-8A91-3F0F4B3C2DA3}"/>
    <cellStyle name="Separador de milhares 7 5 3 21" xfId="23001" xr:uid="{00000000-0005-0000-0000-00002A640000}"/>
    <cellStyle name="Separador de milhares 7 5 3 21 2" xfId="23002" xr:uid="{00000000-0005-0000-0000-00002B640000}"/>
    <cellStyle name="Separador de milhares 7 5 3 21 2 2" xfId="31830" xr:uid="{D6EFF011-B74A-4076-B285-ABF38F64EEF2}"/>
    <cellStyle name="Separador de milhares 7 5 3 21 3" xfId="31829" xr:uid="{2B2F3737-6C4C-4EAC-9CFC-2346BFADF072}"/>
    <cellStyle name="Separador de milhares 7 5 3 22" xfId="23003" xr:uid="{00000000-0005-0000-0000-00002C640000}"/>
    <cellStyle name="Separador de milhares 7 5 3 22 2" xfId="23004" xr:uid="{00000000-0005-0000-0000-00002D640000}"/>
    <cellStyle name="Separador de milhares 7 5 3 22 2 2" xfId="31832" xr:uid="{A4560C8F-E22D-4961-BF81-6CB10612594C}"/>
    <cellStyle name="Separador de milhares 7 5 3 22 3" xfId="31831" xr:uid="{88F43FED-2266-4A1A-A4A6-4EE10EB9653C}"/>
    <cellStyle name="Separador de milhares 7 5 3 23" xfId="23005" xr:uid="{00000000-0005-0000-0000-00002E640000}"/>
    <cellStyle name="Separador de milhares 7 5 3 23 2" xfId="23006" xr:uid="{00000000-0005-0000-0000-00002F640000}"/>
    <cellStyle name="Separador de milhares 7 5 3 23 2 2" xfId="31834" xr:uid="{2BE11ABE-41B8-4E14-84D6-ADA5B97F6AD6}"/>
    <cellStyle name="Separador de milhares 7 5 3 23 3" xfId="31833" xr:uid="{21A40F68-8BA9-4D5F-89CD-A4F972F9A880}"/>
    <cellStyle name="Separador de milhares 7 5 3 24" xfId="23007" xr:uid="{00000000-0005-0000-0000-000030640000}"/>
    <cellStyle name="Separador de milhares 7 5 3 24 2" xfId="23008" xr:uid="{00000000-0005-0000-0000-000031640000}"/>
    <cellStyle name="Separador de milhares 7 5 3 24 2 2" xfId="31836" xr:uid="{33065EB1-AD9B-4F33-A44D-481BFD2828DE}"/>
    <cellStyle name="Separador de milhares 7 5 3 24 3" xfId="31835" xr:uid="{B3EBEE17-31D7-4006-B922-75C0513ABC26}"/>
    <cellStyle name="Separador de milhares 7 5 3 25" xfId="23009" xr:uid="{00000000-0005-0000-0000-000032640000}"/>
    <cellStyle name="Separador de milhares 7 5 3 25 2" xfId="23010" xr:uid="{00000000-0005-0000-0000-000033640000}"/>
    <cellStyle name="Separador de milhares 7 5 3 25 2 2" xfId="31838" xr:uid="{2A89AFA4-68C3-401F-937A-B30F137C3F17}"/>
    <cellStyle name="Separador de milhares 7 5 3 25 3" xfId="31837" xr:uid="{8A2AB6AB-DF38-44A5-98FD-ABC79CB5D388}"/>
    <cellStyle name="Separador de milhares 7 5 3 26" xfId="23011" xr:uid="{00000000-0005-0000-0000-000034640000}"/>
    <cellStyle name="Separador de milhares 7 5 3 26 2" xfId="23012" xr:uid="{00000000-0005-0000-0000-000035640000}"/>
    <cellStyle name="Separador de milhares 7 5 3 26 2 2" xfId="31840" xr:uid="{23052E0F-2652-4E22-80C3-53A410F0F8CF}"/>
    <cellStyle name="Separador de milhares 7 5 3 26 3" xfId="31839" xr:uid="{40F58E7F-CF34-41CD-96F0-795787EB9372}"/>
    <cellStyle name="Separador de milhares 7 5 3 27" xfId="23013" xr:uid="{00000000-0005-0000-0000-000036640000}"/>
    <cellStyle name="Separador de milhares 7 5 3 27 2" xfId="23014" xr:uid="{00000000-0005-0000-0000-000037640000}"/>
    <cellStyle name="Separador de milhares 7 5 3 27 2 2" xfId="31842" xr:uid="{2144A22F-0CF5-4D66-AEF3-E37C923EFF7F}"/>
    <cellStyle name="Separador de milhares 7 5 3 27 3" xfId="31841" xr:uid="{AD1E2727-CC5E-4123-85CF-D15FA808576F}"/>
    <cellStyle name="Separador de milhares 7 5 3 28" xfId="23015" xr:uid="{00000000-0005-0000-0000-000038640000}"/>
    <cellStyle name="Separador de milhares 7 5 3 28 2" xfId="23016" xr:uid="{00000000-0005-0000-0000-000039640000}"/>
    <cellStyle name="Separador de milhares 7 5 3 28 2 2" xfId="31844" xr:uid="{9822993B-C02B-4E4B-B04D-6302D767B867}"/>
    <cellStyle name="Separador de milhares 7 5 3 28 3" xfId="31843" xr:uid="{12BE4403-E13F-4923-9735-7003FCCEB9B1}"/>
    <cellStyle name="Separador de milhares 7 5 3 29" xfId="23017" xr:uid="{00000000-0005-0000-0000-00003A640000}"/>
    <cellStyle name="Separador de milhares 7 5 3 29 2" xfId="23018" xr:uid="{00000000-0005-0000-0000-00003B640000}"/>
    <cellStyle name="Separador de milhares 7 5 3 29 2 2" xfId="31846" xr:uid="{EC2EAB41-4E85-4F71-8149-4473904B9CAD}"/>
    <cellStyle name="Separador de milhares 7 5 3 29 3" xfId="31845" xr:uid="{8EE751D9-5E01-43EE-824A-B387DD7E0F3A}"/>
    <cellStyle name="Separador de milhares 7 5 3 3" xfId="23019" xr:uid="{00000000-0005-0000-0000-00003C640000}"/>
    <cellStyle name="Separador de milhares 7 5 3 3 2" xfId="23020" xr:uid="{00000000-0005-0000-0000-00003D640000}"/>
    <cellStyle name="Separador de milhares 7 5 3 3 2 2" xfId="31848" xr:uid="{AA9CC0F0-691D-46F7-BCCC-579084DA197A}"/>
    <cellStyle name="Separador de milhares 7 5 3 3 3" xfId="31847" xr:uid="{238B5A25-E784-4769-9366-A761EE71D689}"/>
    <cellStyle name="Separador de milhares 7 5 3 30" xfId="23021" xr:uid="{00000000-0005-0000-0000-00003E640000}"/>
    <cellStyle name="Separador de milhares 7 5 3 30 2" xfId="23022" xr:uid="{00000000-0005-0000-0000-00003F640000}"/>
    <cellStyle name="Separador de milhares 7 5 3 30 2 2" xfId="31850" xr:uid="{9E14A1BA-B1C5-46CD-BCA6-1A45649162C3}"/>
    <cellStyle name="Separador de milhares 7 5 3 30 3" xfId="31849" xr:uid="{592A82E6-3A58-4A3E-BA17-4515F39754C1}"/>
    <cellStyle name="Separador de milhares 7 5 3 31" xfId="23023" xr:uid="{00000000-0005-0000-0000-000040640000}"/>
    <cellStyle name="Separador de milhares 7 5 3 31 2" xfId="23024" xr:uid="{00000000-0005-0000-0000-000041640000}"/>
    <cellStyle name="Separador de milhares 7 5 3 31 2 2" xfId="31852" xr:uid="{944818A2-F345-4C54-A7EC-399C8212CA16}"/>
    <cellStyle name="Separador de milhares 7 5 3 31 3" xfId="31851" xr:uid="{657A2081-90C1-4A57-A4AD-2C7BB99B046D}"/>
    <cellStyle name="Separador de milhares 7 5 3 32" xfId="23025" xr:uid="{00000000-0005-0000-0000-000042640000}"/>
    <cellStyle name="Separador de milhares 7 5 3 32 2" xfId="23026" xr:uid="{00000000-0005-0000-0000-000043640000}"/>
    <cellStyle name="Separador de milhares 7 5 3 32 2 2" xfId="31854" xr:uid="{38AFDC5B-8D41-49EA-AEBD-AF50A7C6A3A7}"/>
    <cellStyle name="Separador de milhares 7 5 3 32 3" xfId="31853" xr:uid="{C7565E1E-A947-451E-81A8-EE4AB11571ED}"/>
    <cellStyle name="Separador de milhares 7 5 3 33" xfId="23027" xr:uid="{00000000-0005-0000-0000-000044640000}"/>
    <cellStyle name="Separador de milhares 7 5 3 33 2" xfId="23028" xr:uid="{00000000-0005-0000-0000-000045640000}"/>
    <cellStyle name="Separador de milhares 7 5 3 33 2 2" xfId="31856" xr:uid="{25772F28-46D2-448E-8151-746E48650D01}"/>
    <cellStyle name="Separador de milhares 7 5 3 33 3" xfId="31855" xr:uid="{E8E9ED6A-693F-4C12-91B7-C34B719C595C}"/>
    <cellStyle name="Separador de milhares 7 5 3 34" xfId="23029" xr:uid="{00000000-0005-0000-0000-000046640000}"/>
    <cellStyle name="Separador de milhares 7 5 3 34 2" xfId="23030" xr:uid="{00000000-0005-0000-0000-000047640000}"/>
    <cellStyle name="Separador de milhares 7 5 3 34 2 2" xfId="31858" xr:uid="{23AC351C-EE3B-4C77-AE5E-3F19EC61EF99}"/>
    <cellStyle name="Separador de milhares 7 5 3 34 3" xfId="31857" xr:uid="{3B90FA70-3294-4459-863F-B228A9352BD2}"/>
    <cellStyle name="Separador de milhares 7 5 3 35" xfId="23031" xr:uid="{00000000-0005-0000-0000-000048640000}"/>
    <cellStyle name="Separador de milhares 7 5 3 35 2" xfId="31859" xr:uid="{8E02A58E-29A7-48D5-8FE3-D42E50D4183C}"/>
    <cellStyle name="Separador de milhares 7 5 3 36" xfId="31804" xr:uid="{E9E15518-E8E7-44CB-8135-1A545B5AE49C}"/>
    <cellStyle name="Separador de milhares 7 5 3 4" xfId="23032" xr:uid="{00000000-0005-0000-0000-000049640000}"/>
    <cellStyle name="Separador de milhares 7 5 3 4 2" xfId="23033" xr:uid="{00000000-0005-0000-0000-00004A640000}"/>
    <cellStyle name="Separador de milhares 7 5 3 4 2 2" xfId="31861" xr:uid="{2661AAE9-EB09-4F39-AB48-D5DDC4DE1750}"/>
    <cellStyle name="Separador de milhares 7 5 3 4 3" xfId="31860" xr:uid="{2C544770-1B75-4499-A866-361932AD6102}"/>
    <cellStyle name="Separador de milhares 7 5 3 5" xfId="23034" xr:uid="{00000000-0005-0000-0000-00004B640000}"/>
    <cellStyle name="Separador de milhares 7 5 3 5 2" xfId="23035" xr:uid="{00000000-0005-0000-0000-00004C640000}"/>
    <cellStyle name="Separador de milhares 7 5 3 5 2 2" xfId="31863" xr:uid="{5F426D16-429F-485F-A0C3-67AA5FE53004}"/>
    <cellStyle name="Separador de milhares 7 5 3 5 3" xfId="31862" xr:uid="{5BE28B48-8E4F-45A6-8117-BE1044E4089F}"/>
    <cellStyle name="Separador de milhares 7 5 3 6" xfId="23036" xr:uid="{00000000-0005-0000-0000-00004D640000}"/>
    <cellStyle name="Separador de milhares 7 5 3 6 2" xfId="23037" xr:uid="{00000000-0005-0000-0000-00004E640000}"/>
    <cellStyle name="Separador de milhares 7 5 3 6 2 2" xfId="31865" xr:uid="{C6484E6A-D1F5-4DB7-A1F4-C0F7FF2F2F6C}"/>
    <cellStyle name="Separador de milhares 7 5 3 6 3" xfId="31864" xr:uid="{67B7C0DB-C6DD-4502-AE1A-1891D5D3C9E5}"/>
    <cellStyle name="Separador de milhares 7 5 3 7" xfId="23038" xr:uid="{00000000-0005-0000-0000-00004F640000}"/>
    <cellStyle name="Separador de milhares 7 5 3 7 2" xfId="23039" xr:uid="{00000000-0005-0000-0000-000050640000}"/>
    <cellStyle name="Separador de milhares 7 5 3 7 2 2" xfId="31867" xr:uid="{B534F01A-122D-4BD6-B5EC-300020F60936}"/>
    <cellStyle name="Separador de milhares 7 5 3 7 3" xfId="31866" xr:uid="{B78B2C0B-F060-467A-9C69-659F8B88039B}"/>
    <cellStyle name="Separador de milhares 7 5 3 8" xfId="23040" xr:uid="{00000000-0005-0000-0000-000051640000}"/>
    <cellStyle name="Separador de milhares 7 5 3 8 2" xfId="23041" xr:uid="{00000000-0005-0000-0000-000052640000}"/>
    <cellStyle name="Separador de milhares 7 5 3 8 2 2" xfId="31869" xr:uid="{15DAF5D6-A4B3-4B8D-976B-138E0F8B4E1A}"/>
    <cellStyle name="Separador de milhares 7 5 3 8 3" xfId="31868" xr:uid="{93CCA4EA-83FD-492E-BBC9-316A18DDA6C6}"/>
    <cellStyle name="Separador de milhares 7 5 3 9" xfId="23042" xr:uid="{00000000-0005-0000-0000-000053640000}"/>
    <cellStyle name="Separador de milhares 7 5 3 9 2" xfId="23043" xr:uid="{00000000-0005-0000-0000-000054640000}"/>
    <cellStyle name="Separador de milhares 7 5 3 9 2 2" xfId="31871" xr:uid="{C647599B-8623-464C-BBC1-920C90F68F09}"/>
    <cellStyle name="Separador de milhares 7 5 3 9 3" xfId="31870" xr:uid="{4CDA4F9A-AC2E-4270-B705-F499E84A83B1}"/>
    <cellStyle name="Separador de milhares 7 5 30" xfId="23044" xr:uid="{00000000-0005-0000-0000-000055640000}"/>
    <cellStyle name="Separador de milhares 7 5 30 2" xfId="23045" xr:uid="{00000000-0005-0000-0000-000056640000}"/>
    <cellStyle name="Separador de milhares 7 5 30 2 2" xfId="31873" xr:uid="{52FEC8D5-FBF1-4462-88F2-EFB671D8A620}"/>
    <cellStyle name="Separador de milhares 7 5 30 3" xfId="31872" xr:uid="{885B1237-3318-4AD5-BC75-A8FA4DD37DCB}"/>
    <cellStyle name="Separador de milhares 7 5 31" xfId="23046" xr:uid="{00000000-0005-0000-0000-000057640000}"/>
    <cellStyle name="Separador de milhares 7 5 31 2" xfId="23047" xr:uid="{00000000-0005-0000-0000-000058640000}"/>
    <cellStyle name="Separador de milhares 7 5 31 2 2" xfId="31875" xr:uid="{A225D0ED-0165-423F-802C-1453FB812234}"/>
    <cellStyle name="Separador de milhares 7 5 31 3" xfId="31874" xr:uid="{B33918C2-9738-49F3-8B13-B717D0749758}"/>
    <cellStyle name="Separador de milhares 7 5 32" xfId="23048" xr:uid="{00000000-0005-0000-0000-000059640000}"/>
    <cellStyle name="Separador de milhares 7 5 32 2" xfId="23049" xr:uid="{00000000-0005-0000-0000-00005A640000}"/>
    <cellStyle name="Separador de milhares 7 5 32 2 2" xfId="31877" xr:uid="{8E7B216D-8AB4-461F-889F-150C5DFA65AB}"/>
    <cellStyle name="Separador de milhares 7 5 32 3" xfId="31876" xr:uid="{EFEE297B-3ED2-4A1E-82BC-957392E06E9B}"/>
    <cellStyle name="Separador de milhares 7 5 33" xfId="23050" xr:uid="{00000000-0005-0000-0000-00005B640000}"/>
    <cellStyle name="Separador de milhares 7 5 33 2" xfId="23051" xr:uid="{00000000-0005-0000-0000-00005C640000}"/>
    <cellStyle name="Separador de milhares 7 5 33 2 2" xfId="31879" xr:uid="{16D64FCF-E0D6-4F55-A8AE-DB1B9E96736C}"/>
    <cellStyle name="Separador de milhares 7 5 33 3" xfId="31878" xr:uid="{9CC053AE-8F92-467E-8B06-EC4C66A452BC}"/>
    <cellStyle name="Separador de milhares 7 5 34" xfId="23052" xr:uid="{00000000-0005-0000-0000-00005D640000}"/>
    <cellStyle name="Separador de milhares 7 5 34 2" xfId="23053" xr:uid="{00000000-0005-0000-0000-00005E640000}"/>
    <cellStyle name="Separador de milhares 7 5 34 2 2" xfId="31881" xr:uid="{B568F6FF-77C4-4A48-B36E-32B61506C42C}"/>
    <cellStyle name="Separador de milhares 7 5 34 3" xfId="31880" xr:uid="{1C48D713-2488-45FC-AF49-088D31D61F1D}"/>
    <cellStyle name="Separador de milhares 7 5 35" xfId="23054" xr:uid="{00000000-0005-0000-0000-00005F640000}"/>
    <cellStyle name="Separador de milhares 7 5 35 2" xfId="23055" xr:uid="{00000000-0005-0000-0000-000060640000}"/>
    <cellStyle name="Separador de milhares 7 5 35 2 2" xfId="31883" xr:uid="{62D00725-CEAA-4EB5-A780-656E8D5E7E69}"/>
    <cellStyle name="Separador de milhares 7 5 35 3" xfId="31882" xr:uid="{F65F7225-82C9-4696-A30E-0D003BB479A4}"/>
    <cellStyle name="Separador de milhares 7 5 36" xfId="23056" xr:uid="{00000000-0005-0000-0000-000061640000}"/>
    <cellStyle name="Separador de milhares 7 5 36 2" xfId="23057" xr:uid="{00000000-0005-0000-0000-000062640000}"/>
    <cellStyle name="Separador de milhares 7 5 36 2 2" xfId="31885" xr:uid="{588A9E51-CB55-4295-925A-ABD24F728B6D}"/>
    <cellStyle name="Separador de milhares 7 5 36 3" xfId="31884" xr:uid="{38B36521-F163-437D-9076-66AE0E2C7998}"/>
    <cellStyle name="Separador de milhares 7 5 37" xfId="23058" xr:uid="{00000000-0005-0000-0000-000063640000}"/>
    <cellStyle name="Separador de milhares 7 5 37 2" xfId="23059" xr:uid="{00000000-0005-0000-0000-000064640000}"/>
    <cellStyle name="Separador de milhares 7 5 37 2 2" xfId="31887" xr:uid="{2373625D-34F0-475F-90DE-09A36175A797}"/>
    <cellStyle name="Separador de milhares 7 5 37 3" xfId="31886" xr:uid="{4CFE3C1F-0E8C-4177-8026-91F97CEED6B5}"/>
    <cellStyle name="Separador de milhares 7 5 38" xfId="23060" xr:uid="{00000000-0005-0000-0000-000065640000}"/>
    <cellStyle name="Separador de milhares 7 5 38 2" xfId="23061" xr:uid="{00000000-0005-0000-0000-000066640000}"/>
    <cellStyle name="Separador de milhares 7 5 38 2 2" xfId="31889" xr:uid="{BA89ED05-550C-4BA9-ABCC-2CF2190C9A3C}"/>
    <cellStyle name="Separador de milhares 7 5 38 3" xfId="31888" xr:uid="{40A82193-1BDA-4AE2-8449-33F760563615}"/>
    <cellStyle name="Separador de milhares 7 5 39" xfId="23062" xr:uid="{00000000-0005-0000-0000-000067640000}"/>
    <cellStyle name="Separador de milhares 7 5 39 2" xfId="23063" xr:uid="{00000000-0005-0000-0000-000068640000}"/>
    <cellStyle name="Separador de milhares 7 5 39 2 2" xfId="31891" xr:uid="{D40143A3-FE12-49FA-82F4-5FC9E78FAB8E}"/>
    <cellStyle name="Separador de milhares 7 5 39 3" xfId="31890" xr:uid="{7379807A-2442-4175-93E9-A0EF19EBDF15}"/>
    <cellStyle name="Separador de milhares 7 5 4" xfId="23064" xr:uid="{00000000-0005-0000-0000-000069640000}"/>
    <cellStyle name="Separador de milhares 7 5 4 2" xfId="23065" xr:uid="{00000000-0005-0000-0000-00006A640000}"/>
    <cellStyle name="Separador de milhares 7 5 4 2 2" xfId="23066" xr:uid="{00000000-0005-0000-0000-00006B640000}"/>
    <cellStyle name="Separador de milhares 7 5 4 2 2 2" xfId="31894" xr:uid="{E859DBBC-FBAA-4E93-AE8D-CECF53F639BF}"/>
    <cellStyle name="Separador de milhares 7 5 4 2 3" xfId="31893" xr:uid="{50A5CDBC-B5C4-4CE8-962E-C440BCE22848}"/>
    <cellStyle name="Separador de milhares 7 5 4 3" xfId="23067" xr:uid="{00000000-0005-0000-0000-00006C640000}"/>
    <cellStyle name="Separador de milhares 7 5 4 3 2" xfId="23068" xr:uid="{00000000-0005-0000-0000-00006D640000}"/>
    <cellStyle name="Separador de milhares 7 5 4 3 2 2" xfId="31896" xr:uid="{9ABE0DEA-D4E1-4C5D-B068-C7FC939DD835}"/>
    <cellStyle name="Separador de milhares 7 5 4 3 3" xfId="31895" xr:uid="{AAF98D4B-DEB3-4C96-8781-E8A2AE3EAB82}"/>
    <cellStyle name="Separador de milhares 7 5 4 4" xfId="23069" xr:uid="{00000000-0005-0000-0000-00006E640000}"/>
    <cellStyle name="Separador de milhares 7 5 4 4 2" xfId="23070" xr:uid="{00000000-0005-0000-0000-00006F640000}"/>
    <cellStyle name="Separador de milhares 7 5 4 4 2 2" xfId="31898" xr:uid="{94EC0E04-802F-4D57-A12A-580E873B929F}"/>
    <cellStyle name="Separador de milhares 7 5 4 4 3" xfId="31897" xr:uid="{B366DC75-243C-4289-B5C5-A856D14DD139}"/>
    <cellStyle name="Separador de milhares 7 5 4 5" xfId="23071" xr:uid="{00000000-0005-0000-0000-000070640000}"/>
    <cellStyle name="Separador de milhares 7 5 4 5 2" xfId="23072" xr:uid="{00000000-0005-0000-0000-000071640000}"/>
    <cellStyle name="Separador de milhares 7 5 4 5 2 2" xfId="31900" xr:uid="{A78E301A-B836-4924-AB1A-6A6F84827C9C}"/>
    <cellStyle name="Separador de milhares 7 5 4 5 3" xfId="31899" xr:uid="{ACB2D55A-9EFB-4FF3-BC31-A5843BC57299}"/>
    <cellStyle name="Separador de milhares 7 5 4 6" xfId="23073" xr:uid="{00000000-0005-0000-0000-000072640000}"/>
    <cellStyle name="Separador de milhares 7 5 4 6 2" xfId="31901" xr:uid="{25FCFA75-4597-48CD-A49B-74C97C8B1DFF}"/>
    <cellStyle name="Separador de milhares 7 5 4 7" xfId="31892" xr:uid="{C2BC8AE6-9CFC-4F64-85B6-0C1F370385C8}"/>
    <cellStyle name="Separador de milhares 7 5 40" xfId="23074" xr:uid="{00000000-0005-0000-0000-000073640000}"/>
    <cellStyle name="Separador de milhares 7 5 40 2" xfId="23075" xr:uid="{00000000-0005-0000-0000-000074640000}"/>
    <cellStyle name="Separador de milhares 7 5 40 2 2" xfId="31903" xr:uid="{060C76A8-67CD-4301-98F8-5027B0B0CCCB}"/>
    <cellStyle name="Separador de milhares 7 5 40 3" xfId="31902" xr:uid="{F0962D92-E4F3-4E7E-9B10-27DD5B2156DB}"/>
    <cellStyle name="Separador de milhares 7 5 41" xfId="23076" xr:uid="{00000000-0005-0000-0000-000075640000}"/>
    <cellStyle name="Separador de milhares 7 5 41 2" xfId="23077" xr:uid="{00000000-0005-0000-0000-000076640000}"/>
    <cellStyle name="Separador de milhares 7 5 41 2 2" xfId="31905" xr:uid="{449BAE3B-C049-4B18-BC28-4FA4788D25F9}"/>
    <cellStyle name="Separador de milhares 7 5 41 3" xfId="31904" xr:uid="{D37DD629-881F-4D84-91C0-A5378FA0A6F0}"/>
    <cellStyle name="Separador de milhares 7 5 42" xfId="23078" xr:uid="{00000000-0005-0000-0000-000077640000}"/>
    <cellStyle name="Separador de milhares 7 5 42 2" xfId="23079" xr:uid="{00000000-0005-0000-0000-000078640000}"/>
    <cellStyle name="Separador de milhares 7 5 42 2 2" xfId="31907" xr:uid="{CEC5266C-131C-4B87-A051-69F68AB818F6}"/>
    <cellStyle name="Separador de milhares 7 5 42 3" xfId="31906" xr:uid="{7BB2CCA5-6927-4279-B712-AD774BD970C7}"/>
    <cellStyle name="Separador de milhares 7 5 43" xfId="23080" xr:uid="{00000000-0005-0000-0000-000079640000}"/>
    <cellStyle name="Separador de milhares 7 5 43 2" xfId="23081" xr:uid="{00000000-0005-0000-0000-00007A640000}"/>
    <cellStyle name="Separador de milhares 7 5 43 2 2" xfId="31909" xr:uid="{57C53AD7-AB23-4596-9AE8-9581B3788394}"/>
    <cellStyle name="Separador de milhares 7 5 43 3" xfId="31908" xr:uid="{4BD297C2-5F3F-4277-A4C0-EE5458C7F1EF}"/>
    <cellStyle name="Separador de milhares 7 5 44" xfId="23082" xr:uid="{00000000-0005-0000-0000-00007B640000}"/>
    <cellStyle name="Separador de milhares 7 5 44 2" xfId="23083" xr:uid="{00000000-0005-0000-0000-00007C640000}"/>
    <cellStyle name="Separador de milhares 7 5 44 2 2" xfId="31911" xr:uid="{00C10119-C9E6-479D-9E28-999A378D437C}"/>
    <cellStyle name="Separador de milhares 7 5 44 3" xfId="31910" xr:uid="{5445B62C-7EEF-4507-B3DF-A3D73BC87FD7}"/>
    <cellStyle name="Separador de milhares 7 5 45" xfId="23084" xr:uid="{00000000-0005-0000-0000-00007D640000}"/>
    <cellStyle name="Separador de milhares 7 5 45 2" xfId="23085" xr:uid="{00000000-0005-0000-0000-00007E640000}"/>
    <cellStyle name="Separador de milhares 7 5 45 2 2" xfId="31913" xr:uid="{178DD6CE-B38B-42A7-8497-CD99740C41C8}"/>
    <cellStyle name="Separador de milhares 7 5 45 3" xfId="31912" xr:uid="{58884793-0A8F-4983-9E0E-1E2E6AFD2EAC}"/>
    <cellStyle name="Separador de milhares 7 5 46" xfId="23086" xr:uid="{00000000-0005-0000-0000-00007F640000}"/>
    <cellStyle name="Separador de milhares 7 5 46 2" xfId="23087" xr:uid="{00000000-0005-0000-0000-000080640000}"/>
    <cellStyle name="Separador de milhares 7 5 46 2 2" xfId="31915" xr:uid="{40755BEC-BEA9-40DD-A46F-6BCC0DDC56DC}"/>
    <cellStyle name="Separador de milhares 7 5 46 3" xfId="31914" xr:uid="{C585BCCB-3598-407E-A2AE-79E2F27D2A3A}"/>
    <cellStyle name="Separador de milhares 7 5 47" xfId="23088" xr:uid="{00000000-0005-0000-0000-000081640000}"/>
    <cellStyle name="Separador de milhares 7 5 47 2" xfId="31916" xr:uid="{B11E32F1-00BE-4787-ACB9-2850C79654CF}"/>
    <cellStyle name="Separador de milhares 7 5 48" xfId="22867" xr:uid="{00000000-0005-0000-0000-000082640000}"/>
    <cellStyle name="Separador de milhares 7 5 49" xfId="28087" xr:uid="{A1BE390C-CB6C-457E-AE88-C6AE5F8917F7}"/>
    <cellStyle name="Separador de milhares 7 5 5" xfId="23089" xr:uid="{00000000-0005-0000-0000-000083640000}"/>
    <cellStyle name="Separador de milhares 7 5 5 2" xfId="23090" xr:uid="{00000000-0005-0000-0000-000084640000}"/>
    <cellStyle name="Separador de milhares 7 5 5 2 2" xfId="31918" xr:uid="{9351ACCD-9D09-4FCB-833C-0B4F6F0E7CDA}"/>
    <cellStyle name="Separador de milhares 7 5 5 3" xfId="31917" xr:uid="{F229BEB6-F846-45CD-B99C-B5018B395669}"/>
    <cellStyle name="Separador de milhares 7 5 6" xfId="23091" xr:uid="{00000000-0005-0000-0000-000085640000}"/>
    <cellStyle name="Separador de milhares 7 5 6 2" xfId="23092" xr:uid="{00000000-0005-0000-0000-000086640000}"/>
    <cellStyle name="Separador de milhares 7 5 6 2 2" xfId="31920" xr:uid="{1170BE9A-68EA-4BF6-AB56-E879349AF8C8}"/>
    <cellStyle name="Separador de milhares 7 5 6 3" xfId="31919" xr:uid="{8E142DB4-858F-4A83-97AA-5C179C532D0F}"/>
    <cellStyle name="Separador de milhares 7 5 7" xfId="23093" xr:uid="{00000000-0005-0000-0000-000087640000}"/>
    <cellStyle name="Separador de milhares 7 5 7 2" xfId="23094" xr:uid="{00000000-0005-0000-0000-000088640000}"/>
    <cellStyle name="Separador de milhares 7 5 7 2 2" xfId="31922" xr:uid="{CBB70A8D-4AA0-42C5-846A-BF07176F951F}"/>
    <cellStyle name="Separador de milhares 7 5 7 3" xfId="31921" xr:uid="{0710B34C-8AC1-476E-8804-8015C595F898}"/>
    <cellStyle name="Separador de milhares 7 5 8" xfId="23095" xr:uid="{00000000-0005-0000-0000-000089640000}"/>
    <cellStyle name="Separador de milhares 7 5 8 2" xfId="23096" xr:uid="{00000000-0005-0000-0000-00008A640000}"/>
    <cellStyle name="Separador de milhares 7 5 8 2 2" xfId="31924" xr:uid="{4D8D5EE2-1778-4636-BD4F-D97B6092E612}"/>
    <cellStyle name="Separador de milhares 7 5 8 3" xfId="31923" xr:uid="{9C3FA276-1225-49AC-9A6A-441ED7454CAD}"/>
    <cellStyle name="Separador de milhares 7 5 9" xfId="23097" xr:uid="{00000000-0005-0000-0000-00008B640000}"/>
    <cellStyle name="Separador de milhares 7 5 9 2" xfId="23098" xr:uid="{00000000-0005-0000-0000-00008C640000}"/>
    <cellStyle name="Separador de milhares 7 5 9 2 2" xfId="31926" xr:uid="{5FFB769E-1D09-4E40-B14E-8D7E191C734A}"/>
    <cellStyle name="Separador de milhares 7 5 9 3" xfId="31925" xr:uid="{E74C2BFA-76CC-412F-BB45-C45B90A39D1D}"/>
    <cellStyle name="Separador de milhares 7 50" xfId="23099" xr:uid="{00000000-0005-0000-0000-00008D640000}"/>
    <cellStyle name="Separador de milhares 7 50 2" xfId="23100" xr:uid="{00000000-0005-0000-0000-00008E640000}"/>
    <cellStyle name="Separador de milhares 7 50 2 2" xfId="31928" xr:uid="{63F59D76-733C-469A-9870-51E6EABAF3F4}"/>
    <cellStyle name="Separador de milhares 7 50 3" xfId="31927" xr:uid="{204CDB78-F527-4928-9BA0-3775991F45F9}"/>
    <cellStyle name="Separador de milhares 7 51" xfId="23101" xr:uid="{00000000-0005-0000-0000-00008F640000}"/>
    <cellStyle name="Separador de milhares 7 51 2" xfId="23102" xr:uid="{00000000-0005-0000-0000-000090640000}"/>
    <cellStyle name="Separador de milhares 7 51 2 2" xfId="31930" xr:uid="{A469D705-7E9E-449C-949A-621433A85328}"/>
    <cellStyle name="Separador de milhares 7 51 3" xfId="31929" xr:uid="{3F63F34A-EEA4-4B87-BDF5-E100667A60A5}"/>
    <cellStyle name="Separador de milhares 7 52" xfId="23103" xr:uid="{00000000-0005-0000-0000-000091640000}"/>
    <cellStyle name="Separador de milhares 7 52 2" xfId="23104" xr:uid="{00000000-0005-0000-0000-000092640000}"/>
    <cellStyle name="Separador de milhares 7 52 2 2" xfId="31932" xr:uid="{7D02AB6E-8BAE-484D-A887-89D5D655AA18}"/>
    <cellStyle name="Separador de milhares 7 52 3" xfId="31931" xr:uid="{501B8DF5-D616-4FDD-B8BB-35D2A0AD1162}"/>
    <cellStyle name="Separador de milhares 7 53" xfId="23105" xr:uid="{00000000-0005-0000-0000-000093640000}"/>
    <cellStyle name="Separador de milhares 7 53 2" xfId="23106" xr:uid="{00000000-0005-0000-0000-000094640000}"/>
    <cellStyle name="Separador de milhares 7 53 2 2" xfId="31934" xr:uid="{2058E879-CAF1-4E22-8805-7F291A4BA1B1}"/>
    <cellStyle name="Separador de milhares 7 53 3" xfId="31933" xr:uid="{317F8CC4-8067-4CFC-B9D7-0B31E5C5AFC7}"/>
    <cellStyle name="Separador de milhares 7 54" xfId="23107" xr:uid="{00000000-0005-0000-0000-000095640000}"/>
    <cellStyle name="Separador de milhares 7 54 2" xfId="31935" xr:uid="{5EF6A5C7-31AD-4464-A9D5-E1776B40A69A}"/>
    <cellStyle name="Separador de milhares 7 55" xfId="27217" xr:uid="{00000000-0005-0000-0000-000096640000}"/>
    <cellStyle name="Separador de milhares 7 55 2" xfId="33059" xr:uid="{DD16F604-1B74-4C3A-B87E-785D031BC5BF}"/>
    <cellStyle name="Separador de milhares 7 56" xfId="27397" xr:uid="{00000000-0005-0000-0000-000097640000}"/>
    <cellStyle name="Separador de milhares 7 56 2" xfId="33234" xr:uid="{FBCC89EC-A178-4D95-BC0D-2B28140D6ED5}"/>
    <cellStyle name="Separador de milhares 7 57" xfId="27575" xr:uid="{00000000-0005-0000-0000-000098640000}"/>
    <cellStyle name="Separador de milhares 7 57 2" xfId="33387" xr:uid="{9ABBCBC1-254D-4896-9F81-D795EA333558}"/>
    <cellStyle name="Separador de milhares 7 58" xfId="27726" xr:uid="{00000000-0005-0000-0000-000099640000}"/>
    <cellStyle name="Separador de milhares 7 58 2" xfId="33537" xr:uid="{6C19DEAB-D37B-4F85-9457-F688EAB5D206}"/>
    <cellStyle name="Separador de milhares 7 59" xfId="28066" xr:uid="{3FE96624-54E8-4364-B08E-B2C1540E20E5}"/>
    <cellStyle name="Separador de milhares 7 6" xfId="855" xr:uid="{00000000-0005-0000-0000-00009A640000}"/>
    <cellStyle name="Separador de milhares 7 6 10" xfId="23109" xr:uid="{00000000-0005-0000-0000-00009B640000}"/>
    <cellStyle name="Separador de milhares 7 6 10 2" xfId="23110" xr:uid="{00000000-0005-0000-0000-00009C640000}"/>
    <cellStyle name="Separador de milhares 7 6 10 2 2" xfId="31937" xr:uid="{9A2FF350-8F7C-40AC-A04F-D485216726A1}"/>
    <cellStyle name="Separador de milhares 7 6 10 3" xfId="31936" xr:uid="{6B09C79A-472D-4F04-AADB-D88197C7E036}"/>
    <cellStyle name="Separador de milhares 7 6 11" xfId="23111" xr:uid="{00000000-0005-0000-0000-00009D640000}"/>
    <cellStyle name="Separador de milhares 7 6 11 2" xfId="23112" xr:uid="{00000000-0005-0000-0000-00009E640000}"/>
    <cellStyle name="Separador de milhares 7 6 11 2 2" xfId="31939" xr:uid="{58B71F15-DEC0-43A3-A979-EA05D96402F6}"/>
    <cellStyle name="Separador de milhares 7 6 11 3" xfId="31938" xr:uid="{44AEB5CB-1B60-4E64-8F41-2380FBFE4E36}"/>
    <cellStyle name="Separador de milhares 7 6 12" xfId="23113" xr:uid="{00000000-0005-0000-0000-00009F640000}"/>
    <cellStyle name="Separador de milhares 7 6 12 2" xfId="23114" xr:uid="{00000000-0005-0000-0000-0000A0640000}"/>
    <cellStyle name="Separador de milhares 7 6 12 2 2" xfId="31941" xr:uid="{A311168D-9461-4166-AFE2-0D8CE5BA6978}"/>
    <cellStyle name="Separador de milhares 7 6 12 3" xfId="31940" xr:uid="{96C737C4-1BC6-4F28-816D-8F9846EE4400}"/>
    <cellStyle name="Separador de milhares 7 6 13" xfId="23115" xr:uid="{00000000-0005-0000-0000-0000A1640000}"/>
    <cellStyle name="Separador de milhares 7 6 13 2" xfId="23116" xr:uid="{00000000-0005-0000-0000-0000A2640000}"/>
    <cellStyle name="Separador de milhares 7 6 13 2 2" xfId="31943" xr:uid="{02928370-669D-4C37-A426-875B67F915F6}"/>
    <cellStyle name="Separador de milhares 7 6 13 3" xfId="31942" xr:uid="{BEC32C1A-0F86-4508-9D79-EBC2DC36F37A}"/>
    <cellStyle name="Separador de milhares 7 6 14" xfId="23117" xr:uid="{00000000-0005-0000-0000-0000A3640000}"/>
    <cellStyle name="Separador de milhares 7 6 14 2" xfId="23118" xr:uid="{00000000-0005-0000-0000-0000A4640000}"/>
    <cellStyle name="Separador de milhares 7 6 14 2 2" xfId="31945" xr:uid="{9F916D9F-BC33-46A5-A94B-D5E799F496FC}"/>
    <cellStyle name="Separador de milhares 7 6 14 3" xfId="31944" xr:uid="{0DCD5099-8416-400D-B847-01FBBC741FB9}"/>
    <cellStyle name="Separador de milhares 7 6 15" xfId="23119" xr:uid="{00000000-0005-0000-0000-0000A5640000}"/>
    <cellStyle name="Separador de milhares 7 6 15 2" xfId="23120" xr:uid="{00000000-0005-0000-0000-0000A6640000}"/>
    <cellStyle name="Separador de milhares 7 6 15 2 2" xfId="31947" xr:uid="{8CAF7998-7114-4CAC-8084-8C0C3F57BE3F}"/>
    <cellStyle name="Separador de milhares 7 6 15 3" xfId="31946" xr:uid="{1D589AF9-FC24-4556-8E43-2499B372664B}"/>
    <cellStyle name="Separador de milhares 7 6 16" xfId="23121" xr:uid="{00000000-0005-0000-0000-0000A7640000}"/>
    <cellStyle name="Separador de milhares 7 6 16 2" xfId="23122" xr:uid="{00000000-0005-0000-0000-0000A8640000}"/>
    <cellStyle name="Separador de milhares 7 6 16 2 2" xfId="31949" xr:uid="{B8FABCC0-0F70-4C1F-8EF6-36498A458A45}"/>
    <cellStyle name="Separador de milhares 7 6 16 3" xfId="31948" xr:uid="{ED234B7D-ECB2-44AB-B8AA-8554393DF512}"/>
    <cellStyle name="Separador de milhares 7 6 17" xfId="23123" xr:uid="{00000000-0005-0000-0000-0000A9640000}"/>
    <cellStyle name="Separador de milhares 7 6 17 2" xfId="23124" xr:uid="{00000000-0005-0000-0000-0000AA640000}"/>
    <cellStyle name="Separador de milhares 7 6 17 2 2" xfId="31951" xr:uid="{79DAA9BD-961E-4ADA-9ABC-ED8FD531D81C}"/>
    <cellStyle name="Separador de milhares 7 6 17 3" xfId="31950" xr:uid="{4FE829A5-431A-40E8-A0BD-4C669557B6B4}"/>
    <cellStyle name="Separador de milhares 7 6 18" xfId="23125" xr:uid="{00000000-0005-0000-0000-0000AB640000}"/>
    <cellStyle name="Separador de milhares 7 6 18 2" xfId="23126" xr:uid="{00000000-0005-0000-0000-0000AC640000}"/>
    <cellStyle name="Separador de milhares 7 6 18 2 2" xfId="31953" xr:uid="{2780C425-FE18-4492-803F-4446CC07F7EA}"/>
    <cellStyle name="Separador de milhares 7 6 18 3" xfId="31952" xr:uid="{4895A2DD-B7CD-4B04-8455-0DB307CC703B}"/>
    <cellStyle name="Separador de milhares 7 6 19" xfId="23127" xr:uid="{00000000-0005-0000-0000-0000AD640000}"/>
    <cellStyle name="Separador de milhares 7 6 19 2" xfId="23128" xr:uid="{00000000-0005-0000-0000-0000AE640000}"/>
    <cellStyle name="Separador de milhares 7 6 19 2 2" xfId="31955" xr:uid="{0323755E-DA6D-4817-803C-E52E8C5A28DC}"/>
    <cellStyle name="Separador de milhares 7 6 19 3" xfId="31954" xr:uid="{C3218EBD-F800-4104-90B3-7CF825EB285E}"/>
    <cellStyle name="Separador de milhares 7 6 2" xfId="23129" xr:uid="{00000000-0005-0000-0000-0000AF640000}"/>
    <cellStyle name="Separador de milhares 7 6 2 10" xfId="23130" xr:uid="{00000000-0005-0000-0000-0000B0640000}"/>
    <cellStyle name="Separador de milhares 7 6 2 10 2" xfId="23131" xr:uid="{00000000-0005-0000-0000-0000B1640000}"/>
    <cellStyle name="Separador de milhares 7 6 2 10 2 2" xfId="31958" xr:uid="{1839BCA6-01AD-4BCE-91A7-993E0BCAC849}"/>
    <cellStyle name="Separador de milhares 7 6 2 10 3" xfId="31957" xr:uid="{DA152889-400E-4441-925F-3ED69E7EF357}"/>
    <cellStyle name="Separador de milhares 7 6 2 11" xfId="23132" xr:uid="{00000000-0005-0000-0000-0000B2640000}"/>
    <cellStyle name="Separador de milhares 7 6 2 11 2" xfId="23133" xr:uid="{00000000-0005-0000-0000-0000B3640000}"/>
    <cellStyle name="Separador de milhares 7 6 2 11 2 2" xfId="31960" xr:uid="{986835F8-C6BB-496A-8957-7BFA7F9E2CF1}"/>
    <cellStyle name="Separador de milhares 7 6 2 11 3" xfId="31959" xr:uid="{AB8345BA-AF68-4E30-9908-6BFF810B9AED}"/>
    <cellStyle name="Separador de milhares 7 6 2 12" xfId="23134" xr:uid="{00000000-0005-0000-0000-0000B4640000}"/>
    <cellStyle name="Separador de milhares 7 6 2 12 2" xfId="23135" xr:uid="{00000000-0005-0000-0000-0000B5640000}"/>
    <cellStyle name="Separador de milhares 7 6 2 12 2 2" xfId="31962" xr:uid="{21495F50-C971-4E2A-8D80-712F2AD01026}"/>
    <cellStyle name="Separador de milhares 7 6 2 12 3" xfId="31961" xr:uid="{1CE13152-8748-4954-AD68-0FCB12AFBD0D}"/>
    <cellStyle name="Separador de milhares 7 6 2 13" xfId="23136" xr:uid="{00000000-0005-0000-0000-0000B6640000}"/>
    <cellStyle name="Separador de milhares 7 6 2 13 2" xfId="23137" xr:uid="{00000000-0005-0000-0000-0000B7640000}"/>
    <cellStyle name="Separador de milhares 7 6 2 13 2 2" xfId="31964" xr:uid="{BBEC06D0-AA2B-4F72-8819-9AFAA401F3C4}"/>
    <cellStyle name="Separador de milhares 7 6 2 13 3" xfId="31963" xr:uid="{E325FF4F-92D9-46CD-8EBF-3CA061919850}"/>
    <cellStyle name="Separador de milhares 7 6 2 14" xfId="23138" xr:uid="{00000000-0005-0000-0000-0000B8640000}"/>
    <cellStyle name="Separador de milhares 7 6 2 14 2" xfId="23139" xr:uid="{00000000-0005-0000-0000-0000B9640000}"/>
    <cellStyle name="Separador de milhares 7 6 2 14 2 2" xfId="31966" xr:uid="{E1E8DDC8-277C-452A-ADDD-9C58F1059884}"/>
    <cellStyle name="Separador de milhares 7 6 2 14 3" xfId="31965" xr:uid="{C7D67C86-3445-4790-B434-84E408FD72A4}"/>
    <cellStyle name="Separador de milhares 7 6 2 15" xfId="23140" xr:uid="{00000000-0005-0000-0000-0000BA640000}"/>
    <cellStyle name="Separador de milhares 7 6 2 15 2" xfId="23141" xr:uid="{00000000-0005-0000-0000-0000BB640000}"/>
    <cellStyle name="Separador de milhares 7 6 2 15 2 2" xfId="31968" xr:uid="{CFB62EC7-FB76-4595-B049-13354C57C62E}"/>
    <cellStyle name="Separador de milhares 7 6 2 15 3" xfId="31967" xr:uid="{FF876331-A939-47AC-B774-197F54422B28}"/>
    <cellStyle name="Separador de milhares 7 6 2 16" xfId="23142" xr:uid="{00000000-0005-0000-0000-0000BC640000}"/>
    <cellStyle name="Separador de milhares 7 6 2 16 2" xfId="23143" xr:uid="{00000000-0005-0000-0000-0000BD640000}"/>
    <cellStyle name="Separador de milhares 7 6 2 16 2 2" xfId="31970" xr:uid="{9233CB71-EE97-48B1-A479-F3A3594D227F}"/>
    <cellStyle name="Separador de milhares 7 6 2 16 3" xfId="31969" xr:uid="{3C947800-7BDB-4154-982D-5086A7D69CB8}"/>
    <cellStyle name="Separador de milhares 7 6 2 17" xfId="23144" xr:uid="{00000000-0005-0000-0000-0000BE640000}"/>
    <cellStyle name="Separador de milhares 7 6 2 17 2" xfId="23145" xr:uid="{00000000-0005-0000-0000-0000BF640000}"/>
    <cellStyle name="Separador de milhares 7 6 2 17 2 2" xfId="31972" xr:uid="{21AAD625-2E7D-44BB-9A45-7317679F4F72}"/>
    <cellStyle name="Separador de milhares 7 6 2 17 3" xfId="31971" xr:uid="{686156CE-94C1-47C2-83DE-533B2D833246}"/>
    <cellStyle name="Separador de milhares 7 6 2 18" xfId="23146" xr:uid="{00000000-0005-0000-0000-0000C0640000}"/>
    <cellStyle name="Separador de milhares 7 6 2 18 2" xfId="23147" xr:uid="{00000000-0005-0000-0000-0000C1640000}"/>
    <cellStyle name="Separador de milhares 7 6 2 18 2 2" xfId="31974" xr:uid="{5E410039-8D7F-405D-9ACC-1EBC2A45F4D4}"/>
    <cellStyle name="Separador de milhares 7 6 2 18 3" xfId="31973" xr:uid="{D8F3C320-EB37-4154-97F3-C99B98C8E6D0}"/>
    <cellStyle name="Separador de milhares 7 6 2 19" xfId="23148" xr:uid="{00000000-0005-0000-0000-0000C2640000}"/>
    <cellStyle name="Separador de milhares 7 6 2 19 2" xfId="23149" xr:uid="{00000000-0005-0000-0000-0000C3640000}"/>
    <cellStyle name="Separador de milhares 7 6 2 19 2 2" xfId="31976" xr:uid="{27F36559-3CE4-4685-98B9-17279A16D397}"/>
    <cellStyle name="Separador de milhares 7 6 2 19 3" xfId="31975" xr:uid="{35A2AFE3-2789-4A4E-BCA2-A6D7C02ED4D6}"/>
    <cellStyle name="Separador de milhares 7 6 2 2" xfId="23150" xr:uid="{00000000-0005-0000-0000-0000C4640000}"/>
    <cellStyle name="Separador de milhares 7 6 2 2 2" xfId="23151" xr:uid="{00000000-0005-0000-0000-0000C5640000}"/>
    <cellStyle name="Separador de milhares 7 6 2 2 2 2" xfId="31978" xr:uid="{16CA3993-2DFC-4361-AC65-F9B699783116}"/>
    <cellStyle name="Separador de milhares 7 6 2 2 3" xfId="31977" xr:uid="{F3F5AEBF-5A32-42F9-9D79-D572D2CA1BA6}"/>
    <cellStyle name="Separador de milhares 7 6 2 20" xfId="23152" xr:uid="{00000000-0005-0000-0000-0000C6640000}"/>
    <cellStyle name="Separador de milhares 7 6 2 20 2" xfId="23153" xr:uid="{00000000-0005-0000-0000-0000C7640000}"/>
    <cellStyle name="Separador de milhares 7 6 2 20 2 2" xfId="31980" xr:uid="{41038F4D-C000-4CD6-A207-C243E2A6A466}"/>
    <cellStyle name="Separador de milhares 7 6 2 20 3" xfId="31979" xr:uid="{BA0C0C1E-D034-45C0-8339-C433566AE48A}"/>
    <cellStyle name="Separador de milhares 7 6 2 21" xfId="23154" xr:uid="{00000000-0005-0000-0000-0000C8640000}"/>
    <cellStyle name="Separador de milhares 7 6 2 21 2" xfId="23155" xr:uid="{00000000-0005-0000-0000-0000C9640000}"/>
    <cellStyle name="Separador de milhares 7 6 2 21 2 2" xfId="31982" xr:uid="{6B564476-0B6C-41DA-A8D4-C14CB11B9C90}"/>
    <cellStyle name="Separador de milhares 7 6 2 21 3" xfId="31981" xr:uid="{A4A3C165-A630-40BC-B335-00767561D7BA}"/>
    <cellStyle name="Separador de milhares 7 6 2 22" xfId="23156" xr:uid="{00000000-0005-0000-0000-0000CA640000}"/>
    <cellStyle name="Separador de milhares 7 6 2 22 2" xfId="23157" xr:uid="{00000000-0005-0000-0000-0000CB640000}"/>
    <cellStyle name="Separador de milhares 7 6 2 22 2 2" xfId="31984" xr:uid="{239D97BA-1EF9-4E0C-8C8D-00F7EF70F1CE}"/>
    <cellStyle name="Separador de milhares 7 6 2 22 3" xfId="31983" xr:uid="{4C86E6C2-5A81-47AA-8229-AA9F7E378717}"/>
    <cellStyle name="Separador de milhares 7 6 2 23" xfId="23158" xr:uid="{00000000-0005-0000-0000-0000CC640000}"/>
    <cellStyle name="Separador de milhares 7 6 2 23 2" xfId="23159" xr:uid="{00000000-0005-0000-0000-0000CD640000}"/>
    <cellStyle name="Separador de milhares 7 6 2 23 2 2" xfId="31986" xr:uid="{60131A84-FFCB-4320-8561-090FE6649C3D}"/>
    <cellStyle name="Separador de milhares 7 6 2 23 3" xfId="31985" xr:uid="{8E42AD6E-C41B-46F1-87A2-8064D29B7342}"/>
    <cellStyle name="Separador de milhares 7 6 2 24" xfId="23160" xr:uid="{00000000-0005-0000-0000-0000CE640000}"/>
    <cellStyle name="Separador de milhares 7 6 2 24 2" xfId="23161" xr:uid="{00000000-0005-0000-0000-0000CF640000}"/>
    <cellStyle name="Separador de milhares 7 6 2 24 2 2" xfId="31988" xr:uid="{567E7589-7BFA-4009-A9C9-8C9F243EF599}"/>
    <cellStyle name="Separador de milhares 7 6 2 24 3" xfId="31987" xr:uid="{D22EE084-FDE8-49E6-AB6B-F1EAF90C48A3}"/>
    <cellStyle name="Separador de milhares 7 6 2 25" xfId="23162" xr:uid="{00000000-0005-0000-0000-0000D0640000}"/>
    <cellStyle name="Separador de milhares 7 6 2 25 2" xfId="23163" xr:uid="{00000000-0005-0000-0000-0000D1640000}"/>
    <cellStyle name="Separador de milhares 7 6 2 25 2 2" xfId="31990" xr:uid="{CC46DBCC-B882-4869-8B33-955A03A60DF0}"/>
    <cellStyle name="Separador de milhares 7 6 2 25 3" xfId="31989" xr:uid="{46C72909-7DC8-433D-8CC5-826D4A3475B1}"/>
    <cellStyle name="Separador de milhares 7 6 2 26" xfId="23164" xr:uid="{00000000-0005-0000-0000-0000D2640000}"/>
    <cellStyle name="Separador de milhares 7 6 2 26 2" xfId="23165" xr:uid="{00000000-0005-0000-0000-0000D3640000}"/>
    <cellStyle name="Separador de milhares 7 6 2 26 2 2" xfId="31992" xr:uid="{B5F8B547-871B-466B-9257-16EDC7260826}"/>
    <cellStyle name="Separador de milhares 7 6 2 26 3" xfId="31991" xr:uid="{70533DE4-CCB8-4C1E-ACAA-8A0351413E97}"/>
    <cellStyle name="Separador de milhares 7 6 2 27" xfId="23166" xr:uid="{00000000-0005-0000-0000-0000D4640000}"/>
    <cellStyle name="Separador de milhares 7 6 2 27 2" xfId="23167" xr:uid="{00000000-0005-0000-0000-0000D5640000}"/>
    <cellStyle name="Separador de milhares 7 6 2 27 2 2" xfId="31994" xr:uid="{5EE4EA69-FBC6-4660-BF0C-D8C19736A8C6}"/>
    <cellStyle name="Separador de milhares 7 6 2 27 3" xfId="31993" xr:uid="{5C7C343F-1C3A-4702-A437-4D94EBCD2BA1}"/>
    <cellStyle name="Separador de milhares 7 6 2 28" xfId="23168" xr:uid="{00000000-0005-0000-0000-0000D6640000}"/>
    <cellStyle name="Separador de milhares 7 6 2 28 2" xfId="23169" xr:uid="{00000000-0005-0000-0000-0000D7640000}"/>
    <cellStyle name="Separador de milhares 7 6 2 28 2 2" xfId="31996" xr:uid="{FE471CFF-F1B3-44B0-A698-97BAB9F77DFA}"/>
    <cellStyle name="Separador de milhares 7 6 2 28 3" xfId="31995" xr:uid="{812169DA-38E7-4F40-8185-26067331318F}"/>
    <cellStyle name="Separador de milhares 7 6 2 29" xfId="23170" xr:uid="{00000000-0005-0000-0000-0000D8640000}"/>
    <cellStyle name="Separador de milhares 7 6 2 29 2" xfId="23171" xr:uid="{00000000-0005-0000-0000-0000D9640000}"/>
    <cellStyle name="Separador de milhares 7 6 2 29 2 2" xfId="31998" xr:uid="{51ADA73D-E480-42CA-9F0D-F1081F394BCC}"/>
    <cellStyle name="Separador de milhares 7 6 2 29 3" xfId="31997" xr:uid="{7EC78756-C0DE-44C1-ADD0-8E0949BE849E}"/>
    <cellStyle name="Separador de milhares 7 6 2 3" xfId="23172" xr:uid="{00000000-0005-0000-0000-0000DA640000}"/>
    <cellStyle name="Separador de milhares 7 6 2 3 2" xfId="23173" xr:uid="{00000000-0005-0000-0000-0000DB640000}"/>
    <cellStyle name="Separador de milhares 7 6 2 3 2 2" xfId="32000" xr:uid="{FC531D0D-64AE-43B7-A585-617BD5934CB2}"/>
    <cellStyle name="Separador de milhares 7 6 2 3 3" xfId="31999" xr:uid="{EDCCD210-F709-4008-96D4-DB686F73CCC3}"/>
    <cellStyle name="Separador de milhares 7 6 2 30" xfId="23174" xr:uid="{00000000-0005-0000-0000-0000DC640000}"/>
    <cellStyle name="Separador de milhares 7 6 2 30 2" xfId="23175" xr:uid="{00000000-0005-0000-0000-0000DD640000}"/>
    <cellStyle name="Separador de milhares 7 6 2 30 2 2" xfId="32002" xr:uid="{7237CD01-C9D7-42AE-9468-BEF64CF083F1}"/>
    <cellStyle name="Separador de milhares 7 6 2 30 3" xfId="32001" xr:uid="{EF03D5F6-4E0A-4FCF-BC5B-45FCE162812B}"/>
    <cellStyle name="Separador de milhares 7 6 2 31" xfId="23176" xr:uid="{00000000-0005-0000-0000-0000DE640000}"/>
    <cellStyle name="Separador de milhares 7 6 2 31 2" xfId="23177" xr:uid="{00000000-0005-0000-0000-0000DF640000}"/>
    <cellStyle name="Separador de milhares 7 6 2 31 2 2" xfId="32004" xr:uid="{871DFF7D-D944-4707-9697-25BD6C8626AC}"/>
    <cellStyle name="Separador de milhares 7 6 2 31 3" xfId="32003" xr:uid="{81CF7749-9118-45EF-92C0-70B652F4DCEE}"/>
    <cellStyle name="Separador de milhares 7 6 2 32" xfId="23178" xr:uid="{00000000-0005-0000-0000-0000E0640000}"/>
    <cellStyle name="Separador de milhares 7 6 2 32 2" xfId="23179" xr:uid="{00000000-0005-0000-0000-0000E1640000}"/>
    <cellStyle name="Separador de milhares 7 6 2 32 2 2" xfId="32006" xr:uid="{B818D7FA-E0C3-4B4B-881A-6B7F9F25C85F}"/>
    <cellStyle name="Separador de milhares 7 6 2 32 3" xfId="32005" xr:uid="{CBEE3BD9-FAB7-435C-9FE5-AACD0CF45107}"/>
    <cellStyle name="Separador de milhares 7 6 2 33" xfId="23180" xr:uid="{00000000-0005-0000-0000-0000E2640000}"/>
    <cellStyle name="Separador de milhares 7 6 2 33 2" xfId="23181" xr:uid="{00000000-0005-0000-0000-0000E3640000}"/>
    <cellStyle name="Separador de milhares 7 6 2 33 2 2" xfId="32008" xr:uid="{E50D0044-3556-43CD-9C6F-F27411D71A85}"/>
    <cellStyle name="Separador de milhares 7 6 2 33 3" xfId="32007" xr:uid="{3CA2596D-0638-4505-A2AF-C42060EBDD78}"/>
    <cellStyle name="Separador de milhares 7 6 2 34" xfId="23182" xr:uid="{00000000-0005-0000-0000-0000E4640000}"/>
    <cellStyle name="Separador de milhares 7 6 2 34 2" xfId="23183" xr:uid="{00000000-0005-0000-0000-0000E5640000}"/>
    <cellStyle name="Separador de milhares 7 6 2 34 2 2" xfId="32010" xr:uid="{0DFEB97A-AEF7-4196-A522-EF579B60EA58}"/>
    <cellStyle name="Separador de milhares 7 6 2 34 3" xfId="32009" xr:uid="{FFFA5AAA-C4E1-497E-9C4D-CE701CE5B4FB}"/>
    <cellStyle name="Separador de milhares 7 6 2 35" xfId="23184" xr:uid="{00000000-0005-0000-0000-0000E6640000}"/>
    <cellStyle name="Separador de milhares 7 6 2 35 2" xfId="32011" xr:uid="{8DED5FEC-CD9F-4261-87B9-1C1D001783B5}"/>
    <cellStyle name="Separador de milhares 7 6 2 36" xfId="31956" xr:uid="{249CCE62-D2FC-41A0-8DD1-9FF4B28DD115}"/>
    <cellStyle name="Separador de milhares 7 6 2 4" xfId="23185" xr:uid="{00000000-0005-0000-0000-0000E7640000}"/>
    <cellStyle name="Separador de milhares 7 6 2 4 2" xfId="23186" xr:uid="{00000000-0005-0000-0000-0000E8640000}"/>
    <cellStyle name="Separador de milhares 7 6 2 4 2 2" xfId="32013" xr:uid="{F1B22FA5-70FA-4EBD-8F86-538AFFD2345E}"/>
    <cellStyle name="Separador de milhares 7 6 2 4 3" xfId="32012" xr:uid="{D0B98386-AB62-4CF5-A66F-5A96DCEE4308}"/>
    <cellStyle name="Separador de milhares 7 6 2 5" xfId="23187" xr:uid="{00000000-0005-0000-0000-0000E9640000}"/>
    <cellStyle name="Separador de milhares 7 6 2 5 2" xfId="23188" xr:uid="{00000000-0005-0000-0000-0000EA640000}"/>
    <cellStyle name="Separador de milhares 7 6 2 5 2 2" xfId="32015" xr:uid="{268152AC-8896-47D6-8398-79C7FB46655E}"/>
    <cellStyle name="Separador de milhares 7 6 2 5 3" xfId="32014" xr:uid="{B3797C8F-3F3E-4F0F-BA88-61471A233069}"/>
    <cellStyle name="Separador de milhares 7 6 2 6" xfId="23189" xr:uid="{00000000-0005-0000-0000-0000EB640000}"/>
    <cellStyle name="Separador de milhares 7 6 2 6 2" xfId="23190" xr:uid="{00000000-0005-0000-0000-0000EC640000}"/>
    <cellStyle name="Separador de milhares 7 6 2 6 2 2" xfId="32017" xr:uid="{FAF281DC-6FE8-4CBE-984B-C2B4E5B558F0}"/>
    <cellStyle name="Separador de milhares 7 6 2 6 3" xfId="32016" xr:uid="{CD5C36B9-80E5-4736-A5DF-D86BE6D641AE}"/>
    <cellStyle name="Separador de milhares 7 6 2 7" xfId="23191" xr:uid="{00000000-0005-0000-0000-0000ED640000}"/>
    <cellStyle name="Separador de milhares 7 6 2 7 2" xfId="23192" xr:uid="{00000000-0005-0000-0000-0000EE640000}"/>
    <cellStyle name="Separador de milhares 7 6 2 7 2 2" xfId="32019" xr:uid="{F99F7C88-691D-48B5-9D06-9DA1E9A6C027}"/>
    <cellStyle name="Separador de milhares 7 6 2 7 3" xfId="32018" xr:uid="{F1BC0822-EF35-4FFD-9786-247BE0E93AA5}"/>
    <cellStyle name="Separador de milhares 7 6 2 8" xfId="23193" xr:uid="{00000000-0005-0000-0000-0000EF640000}"/>
    <cellStyle name="Separador de milhares 7 6 2 8 2" xfId="23194" xr:uid="{00000000-0005-0000-0000-0000F0640000}"/>
    <cellStyle name="Separador de milhares 7 6 2 8 2 2" xfId="32021" xr:uid="{B65FDB02-E3CC-40D1-A9DB-D6539F534C31}"/>
    <cellStyle name="Separador de milhares 7 6 2 8 3" xfId="32020" xr:uid="{2EEFEA57-6247-4B96-9692-1EC000885D52}"/>
    <cellStyle name="Separador de milhares 7 6 2 9" xfId="23195" xr:uid="{00000000-0005-0000-0000-0000F1640000}"/>
    <cellStyle name="Separador de milhares 7 6 2 9 2" xfId="23196" xr:uid="{00000000-0005-0000-0000-0000F2640000}"/>
    <cellStyle name="Separador de milhares 7 6 2 9 2 2" xfId="32023" xr:uid="{93B0CB5F-EDB8-41BD-BF72-8404743EA5E9}"/>
    <cellStyle name="Separador de milhares 7 6 2 9 3" xfId="32022" xr:uid="{BF7F821B-E962-45FC-91DA-107E5291605A}"/>
    <cellStyle name="Separador de milhares 7 6 20" xfId="23197" xr:uid="{00000000-0005-0000-0000-0000F3640000}"/>
    <cellStyle name="Separador de milhares 7 6 20 2" xfId="23198" xr:uid="{00000000-0005-0000-0000-0000F4640000}"/>
    <cellStyle name="Separador de milhares 7 6 20 2 2" xfId="32025" xr:uid="{F28266CA-DE66-491A-834B-CBEBD46DB4BB}"/>
    <cellStyle name="Separador de milhares 7 6 20 3" xfId="32024" xr:uid="{ABD74FA7-AC1C-4A0A-BEC2-31FA2D85DC81}"/>
    <cellStyle name="Separador de milhares 7 6 21" xfId="23199" xr:uid="{00000000-0005-0000-0000-0000F5640000}"/>
    <cellStyle name="Separador de milhares 7 6 21 2" xfId="23200" xr:uid="{00000000-0005-0000-0000-0000F6640000}"/>
    <cellStyle name="Separador de milhares 7 6 21 2 2" xfId="32027" xr:uid="{DDEC2C21-B0FF-4429-ACAF-51D90C4188BA}"/>
    <cellStyle name="Separador de milhares 7 6 21 3" xfId="32026" xr:uid="{978E161E-DFD3-4863-950F-D44597B5B560}"/>
    <cellStyle name="Separador de milhares 7 6 22" xfId="23201" xr:uid="{00000000-0005-0000-0000-0000F7640000}"/>
    <cellStyle name="Separador de milhares 7 6 22 2" xfId="23202" xr:uid="{00000000-0005-0000-0000-0000F8640000}"/>
    <cellStyle name="Separador de milhares 7 6 22 2 2" xfId="32029" xr:uid="{345C8449-18B1-4008-9066-1379F28E14BD}"/>
    <cellStyle name="Separador de milhares 7 6 22 3" xfId="32028" xr:uid="{20E75566-B1E3-4E12-922C-806059394F53}"/>
    <cellStyle name="Separador de milhares 7 6 23" xfId="23203" xr:uid="{00000000-0005-0000-0000-0000F9640000}"/>
    <cellStyle name="Separador de milhares 7 6 23 2" xfId="23204" xr:uid="{00000000-0005-0000-0000-0000FA640000}"/>
    <cellStyle name="Separador de milhares 7 6 23 2 2" xfId="32031" xr:uid="{009AA74A-9012-4269-A60D-A5538D2A8FB8}"/>
    <cellStyle name="Separador de milhares 7 6 23 3" xfId="32030" xr:uid="{8764B49C-3D9C-4C8E-A3CC-1224D6DC5B31}"/>
    <cellStyle name="Separador de milhares 7 6 24" xfId="23205" xr:uid="{00000000-0005-0000-0000-0000FB640000}"/>
    <cellStyle name="Separador de milhares 7 6 24 2" xfId="23206" xr:uid="{00000000-0005-0000-0000-0000FC640000}"/>
    <cellStyle name="Separador de milhares 7 6 24 2 2" xfId="32033" xr:uid="{A140C999-4265-49F0-A490-67C05D1F93DF}"/>
    <cellStyle name="Separador de milhares 7 6 24 3" xfId="32032" xr:uid="{CE2C5FE9-8F09-47DE-A1AD-5D3E2BB71633}"/>
    <cellStyle name="Separador de milhares 7 6 25" xfId="23207" xr:uid="{00000000-0005-0000-0000-0000FD640000}"/>
    <cellStyle name="Separador de milhares 7 6 25 2" xfId="23208" xr:uid="{00000000-0005-0000-0000-0000FE640000}"/>
    <cellStyle name="Separador de milhares 7 6 25 2 2" xfId="32035" xr:uid="{7BF79113-D828-4377-BFDC-3B5A713FA96E}"/>
    <cellStyle name="Separador de milhares 7 6 25 3" xfId="32034" xr:uid="{4F5366D1-8E28-4A9C-8514-B0683B05C9CE}"/>
    <cellStyle name="Separador de milhares 7 6 26" xfId="23209" xr:uid="{00000000-0005-0000-0000-0000FF640000}"/>
    <cellStyle name="Separador de milhares 7 6 26 2" xfId="23210" xr:uid="{00000000-0005-0000-0000-000000650000}"/>
    <cellStyle name="Separador de milhares 7 6 26 2 2" xfId="32037" xr:uid="{82F800BB-97E0-4DB2-B2CD-ED7211402BF7}"/>
    <cellStyle name="Separador de milhares 7 6 26 3" xfId="32036" xr:uid="{D9CBD0FB-FB9D-4772-AF4E-F8390A7F547D}"/>
    <cellStyle name="Separador de milhares 7 6 27" xfId="23211" xr:uid="{00000000-0005-0000-0000-000001650000}"/>
    <cellStyle name="Separador de milhares 7 6 27 2" xfId="23212" xr:uid="{00000000-0005-0000-0000-000002650000}"/>
    <cellStyle name="Separador de milhares 7 6 27 2 2" xfId="32039" xr:uid="{94A646C0-034A-4993-9329-BB78BD926DD5}"/>
    <cellStyle name="Separador de milhares 7 6 27 3" xfId="32038" xr:uid="{AC7B4D6E-BC55-4CDF-AE51-F76B54CBC44F}"/>
    <cellStyle name="Separador de milhares 7 6 28" xfId="23213" xr:uid="{00000000-0005-0000-0000-000003650000}"/>
    <cellStyle name="Separador de milhares 7 6 28 2" xfId="23214" xr:uid="{00000000-0005-0000-0000-000004650000}"/>
    <cellStyle name="Separador de milhares 7 6 28 2 2" xfId="32041" xr:uid="{E91A8B1E-89D9-4551-A797-A8D6CFA75515}"/>
    <cellStyle name="Separador de milhares 7 6 28 3" xfId="32040" xr:uid="{0BD49AB9-C3C5-4E17-A1E6-21C095BEA2CF}"/>
    <cellStyle name="Separador de milhares 7 6 29" xfId="23215" xr:uid="{00000000-0005-0000-0000-000005650000}"/>
    <cellStyle name="Separador de milhares 7 6 29 2" xfId="23216" xr:uid="{00000000-0005-0000-0000-000006650000}"/>
    <cellStyle name="Separador de milhares 7 6 29 2 2" xfId="32043" xr:uid="{75076BE9-97F8-4A35-9699-C9D717FE9D19}"/>
    <cellStyle name="Separador de milhares 7 6 29 3" xfId="32042" xr:uid="{2F362BEA-B43F-4D63-858C-D4D60FFDB2B3}"/>
    <cellStyle name="Separador de milhares 7 6 3" xfId="23217" xr:uid="{00000000-0005-0000-0000-000007650000}"/>
    <cellStyle name="Separador de milhares 7 6 3 10" xfId="23218" xr:uid="{00000000-0005-0000-0000-000008650000}"/>
    <cellStyle name="Separador de milhares 7 6 3 10 2" xfId="23219" xr:uid="{00000000-0005-0000-0000-000009650000}"/>
    <cellStyle name="Separador de milhares 7 6 3 10 2 2" xfId="32046" xr:uid="{705D1D55-4038-4109-ACA3-4E4B2B6F3EFE}"/>
    <cellStyle name="Separador de milhares 7 6 3 10 3" xfId="32045" xr:uid="{111ACC8E-D428-4043-B7F0-D890E4C1F6A0}"/>
    <cellStyle name="Separador de milhares 7 6 3 11" xfId="23220" xr:uid="{00000000-0005-0000-0000-00000A650000}"/>
    <cellStyle name="Separador de milhares 7 6 3 11 2" xfId="23221" xr:uid="{00000000-0005-0000-0000-00000B650000}"/>
    <cellStyle name="Separador de milhares 7 6 3 11 2 2" xfId="32048" xr:uid="{DE7A10D8-80FC-49B6-B84C-6B12929A2C41}"/>
    <cellStyle name="Separador de milhares 7 6 3 11 3" xfId="32047" xr:uid="{92C25E8A-2F1D-42CF-9021-BD256CFF2F62}"/>
    <cellStyle name="Separador de milhares 7 6 3 12" xfId="23222" xr:uid="{00000000-0005-0000-0000-00000C650000}"/>
    <cellStyle name="Separador de milhares 7 6 3 12 2" xfId="23223" xr:uid="{00000000-0005-0000-0000-00000D650000}"/>
    <cellStyle name="Separador de milhares 7 6 3 12 2 2" xfId="32050" xr:uid="{5FD77F53-03B6-4C52-9C4F-A7E3C7A13F7B}"/>
    <cellStyle name="Separador de milhares 7 6 3 12 3" xfId="32049" xr:uid="{42A8B1D7-D2BB-4598-94B1-92CB98958D99}"/>
    <cellStyle name="Separador de milhares 7 6 3 13" xfId="23224" xr:uid="{00000000-0005-0000-0000-00000E650000}"/>
    <cellStyle name="Separador de milhares 7 6 3 13 2" xfId="23225" xr:uid="{00000000-0005-0000-0000-00000F650000}"/>
    <cellStyle name="Separador de milhares 7 6 3 13 2 2" xfId="32052" xr:uid="{6B1BA5AF-F33B-4BAA-98B4-7D8927788CE5}"/>
    <cellStyle name="Separador de milhares 7 6 3 13 3" xfId="32051" xr:uid="{2844FFA6-82B9-4D08-8F44-3C312F292EF1}"/>
    <cellStyle name="Separador de milhares 7 6 3 14" xfId="23226" xr:uid="{00000000-0005-0000-0000-000010650000}"/>
    <cellStyle name="Separador de milhares 7 6 3 14 2" xfId="23227" xr:uid="{00000000-0005-0000-0000-000011650000}"/>
    <cellStyle name="Separador de milhares 7 6 3 14 2 2" xfId="32054" xr:uid="{6FEAEC5B-3DF6-48BC-8286-629654A58300}"/>
    <cellStyle name="Separador de milhares 7 6 3 14 3" xfId="32053" xr:uid="{B01BD651-37C1-421E-9565-9A6CADC3E725}"/>
    <cellStyle name="Separador de milhares 7 6 3 15" xfId="23228" xr:uid="{00000000-0005-0000-0000-000012650000}"/>
    <cellStyle name="Separador de milhares 7 6 3 15 2" xfId="23229" xr:uid="{00000000-0005-0000-0000-000013650000}"/>
    <cellStyle name="Separador de milhares 7 6 3 15 2 2" xfId="32056" xr:uid="{1313ABB7-35CC-4E88-B18B-D3D5E52D239E}"/>
    <cellStyle name="Separador de milhares 7 6 3 15 3" xfId="32055" xr:uid="{8914FCF4-2ED3-491B-9E1D-D6E222C00589}"/>
    <cellStyle name="Separador de milhares 7 6 3 16" xfId="23230" xr:uid="{00000000-0005-0000-0000-000014650000}"/>
    <cellStyle name="Separador de milhares 7 6 3 16 2" xfId="23231" xr:uid="{00000000-0005-0000-0000-000015650000}"/>
    <cellStyle name="Separador de milhares 7 6 3 16 2 2" xfId="32058" xr:uid="{F13EBD27-250D-47AE-8ED7-A33814A0A2A4}"/>
    <cellStyle name="Separador de milhares 7 6 3 16 3" xfId="32057" xr:uid="{099C808A-4619-409A-94DF-AABDC94D6E60}"/>
    <cellStyle name="Separador de milhares 7 6 3 17" xfId="23232" xr:uid="{00000000-0005-0000-0000-000016650000}"/>
    <cellStyle name="Separador de milhares 7 6 3 17 2" xfId="23233" xr:uid="{00000000-0005-0000-0000-000017650000}"/>
    <cellStyle name="Separador de milhares 7 6 3 17 2 2" xfId="32060" xr:uid="{B226CF53-C7BA-4872-9E63-04E38227B819}"/>
    <cellStyle name="Separador de milhares 7 6 3 17 3" xfId="32059" xr:uid="{0B045E50-53A6-42A2-9F39-D9F10CDA0FE9}"/>
    <cellStyle name="Separador de milhares 7 6 3 18" xfId="23234" xr:uid="{00000000-0005-0000-0000-000018650000}"/>
    <cellStyle name="Separador de milhares 7 6 3 18 2" xfId="23235" xr:uid="{00000000-0005-0000-0000-000019650000}"/>
    <cellStyle name="Separador de milhares 7 6 3 18 2 2" xfId="32062" xr:uid="{A96AF87A-E21C-4A15-B9E0-AA1AF7DACCA7}"/>
    <cellStyle name="Separador de milhares 7 6 3 18 3" xfId="32061" xr:uid="{808F4E07-F05F-471F-9577-E9DAC8835A02}"/>
    <cellStyle name="Separador de milhares 7 6 3 19" xfId="23236" xr:uid="{00000000-0005-0000-0000-00001A650000}"/>
    <cellStyle name="Separador de milhares 7 6 3 19 2" xfId="23237" xr:uid="{00000000-0005-0000-0000-00001B650000}"/>
    <cellStyle name="Separador de milhares 7 6 3 19 2 2" xfId="32064" xr:uid="{B5392C8E-8821-4D28-92FE-D3F9BD872CD7}"/>
    <cellStyle name="Separador de milhares 7 6 3 19 3" xfId="32063" xr:uid="{A48D38EB-5BCD-4970-8961-10B0B3C293C3}"/>
    <cellStyle name="Separador de milhares 7 6 3 2" xfId="23238" xr:uid="{00000000-0005-0000-0000-00001C650000}"/>
    <cellStyle name="Separador de milhares 7 6 3 2 2" xfId="23239" xr:uid="{00000000-0005-0000-0000-00001D650000}"/>
    <cellStyle name="Separador de milhares 7 6 3 2 2 2" xfId="32066" xr:uid="{89C90F6F-C3CF-4E61-AD0E-7D8F45529046}"/>
    <cellStyle name="Separador de milhares 7 6 3 2 3" xfId="32065" xr:uid="{EB5CF2A5-2396-4C1E-AAF7-A594E577AE52}"/>
    <cellStyle name="Separador de milhares 7 6 3 20" xfId="23240" xr:uid="{00000000-0005-0000-0000-00001E650000}"/>
    <cellStyle name="Separador de milhares 7 6 3 20 2" xfId="23241" xr:uid="{00000000-0005-0000-0000-00001F650000}"/>
    <cellStyle name="Separador de milhares 7 6 3 20 2 2" xfId="32068" xr:uid="{8C16CA4A-982A-411E-A4F0-565FD368EB5D}"/>
    <cellStyle name="Separador de milhares 7 6 3 20 3" xfId="32067" xr:uid="{FE316F63-8055-4E0F-870E-DD0FBE0B26DF}"/>
    <cellStyle name="Separador de milhares 7 6 3 21" xfId="23242" xr:uid="{00000000-0005-0000-0000-000020650000}"/>
    <cellStyle name="Separador de milhares 7 6 3 21 2" xfId="23243" xr:uid="{00000000-0005-0000-0000-000021650000}"/>
    <cellStyle name="Separador de milhares 7 6 3 21 2 2" xfId="32070" xr:uid="{90705686-6840-4749-BD5D-33F09D6E309F}"/>
    <cellStyle name="Separador de milhares 7 6 3 21 3" xfId="32069" xr:uid="{BBE17070-F34C-45AB-A42B-303F3996196A}"/>
    <cellStyle name="Separador de milhares 7 6 3 22" xfId="23244" xr:uid="{00000000-0005-0000-0000-000022650000}"/>
    <cellStyle name="Separador de milhares 7 6 3 22 2" xfId="23245" xr:uid="{00000000-0005-0000-0000-000023650000}"/>
    <cellStyle name="Separador de milhares 7 6 3 22 2 2" xfId="32072" xr:uid="{A418C736-4E9E-4C13-BF0E-6FB3EB22C8C8}"/>
    <cellStyle name="Separador de milhares 7 6 3 22 3" xfId="32071" xr:uid="{76C07C81-3A04-4DC4-B77B-9BA5C4FF47B4}"/>
    <cellStyle name="Separador de milhares 7 6 3 23" xfId="23246" xr:uid="{00000000-0005-0000-0000-000024650000}"/>
    <cellStyle name="Separador de milhares 7 6 3 23 2" xfId="23247" xr:uid="{00000000-0005-0000-0000-000025650000}"/>
    <cellStyle name="Separador de milhares 7 6 3 23 2 2" xfId="32074" xr:uid="{AF31FFDF-8912-47B0-B00D-D14FCE9FB475}"/>
    <cellStyle name="Separador de milhares 7 6 3 23 3" xfId="32073" xr:uid="{37AC97E4-90E1-4D03-B074-EE343A903A5C}"/>
    <cellStyle name="Separador de milhares 7 6 3 24" xfId="23248" xr:uid="{00000000-0005-0000-0000-000026650000}"/>
    <cellStyle name="Separador de milhares 7 6 3 24 2" xfId="23249" xr:uid="{00000000-0005-0000-0000-000027650000}"/>
    <cellStyle name="Separador de milhares 7 6 3 24 2 2" xfId="32076" xr:uid="{84CE12DC-2BA7-46D2-9B4B-3ACC383987AB}"/>
    <cellStyle name="Separador de milhares 7 6 3 24 3" xfId="32075" xr:uid="{ABC7E1F4-4851-4BE6-87AF-EF27943B2EC3}"/>
    <cellStyle name="Separador de milhares 7 6 3 25" xfId="23250" xr:uid="{00000000-0005-0000-0000-000028650000}"/>
    <cellStyle name="Separador de milhares 7 6 3 25 2" xfId="23251" xr:uid="{00000000-0005-0000-0000-000029650000}"/>
    <cellStyle name="Separador de milhares 7 6 3 25 2 2" xfId="32078" xr:uid="{41CBCA2B-FB47-4EB0-8921-6B1AEDFFFEAD}"/>
    <cellStyle name="Separador de milhares 7 6 3 25 3" xfId="32077" xr:uid="{E67D904A-0231-4C21-909E-CF00F91A6047}"/>
    <cellStyle name="Separador de milhares 7 6 3 26" xfId="23252" xr:uid="{00000000-0005-0000-0000-00002A650000}"/>
    <cellStyle name="Separador de milhares 7 6 3 26 2" xfId="23253" xr:uid="{00000000-0005-0000-0000-00002B650000}"/>
    <cellStyle name="Separador de milhares 7 6 3 26 2 2" xfId="32080" xr:uid="{4740AFC5-E1B2-424A-B8CA-3E4987645D1C}"/>
    <cellStyle name="Separador de milhares 7 6 3 26 3" xfId="32079" xr:uid="{03889509-DB96-4371-9C0A-E1CC453C6477}"/>
    <cellStyle name="Separador de milhares 7 6 3 27" xfId="23254" xr:uid="{00000000-0005-0000-0000-00002C650000}"/>
    <cellStyle name="Separador de milhares 7 6 3 27 2" xfId="23255" xr:uid="{00000000-0005-0000-0000-00002D650000}"/>
    <cellStyle name="Separador de milhares 7 6 3 27 2 2" xfId="32082" xr:uid="{1576C71C-4C0A-4782-8DC5-ECE516C328B6}"/>
    <cellStyle name="Separador de milhares 7 6 3 27 3" xfId="32081" xr:uid="{7D2EEA24-77AC-48E6-8492-DAC6D9813F04}"/>
    <cellStyle name="Separador de milhares 7 6 3 28" xfId="23256" xr:uid="{00000000-0005-0000-0000-00002E650000}"/>
    <cellStyle name="Separador de milhares 7 6 3 28 2" xfId="23257" xr:uid="{00000000-0005-0000-0000-00002F650000}"/>
    <cellStyle name="Separador de milhares 7 6 3 28 2 2" xfId="32084" xr:uid="{98E661FD-D947-4293-B4C9-C8816359C931}"/>
    <cellStyle name="Separador de milhares 7 6 3 28 3" xfId="32083" xr:uid="{041FE4CF-261C-47E9-8BD5-3A046091637F}"/>
    <cellStyle name="Separador de milhares 7 6 3 29" xfId="23258" xr:uid="{00000000-0005-0000-0000-000030650000}"/>
    <cellStyle name="Separador de milhares 7 6 3 29 2" xfId="23259" xr:uid="{00000000-0005-0000-0000-000031650000}"/>
    <cellStyle name="Separador de milhares 7 6 3 29 2 2" xfId="32086" xr:uid="{1FADC232-A1C7-47AC-A475-304A912DB2EA}"/>
    <cellStyle name="Separador de milhares 7 6 3 29 3" xfId="32085" xr:uid="{A91D7F07-5B99-4343-8E7E-EAA933B659F0}"/>
    <cellStyle name="Separador de milhares 7 6 3 3" xfId="23260" xr:uid="{00000000-0005-0000-0000-000032650000}"/>
    <cellStyle name="Separador de milhares 7 6 3 3 2" xfId="23261" xr:uid="{00000000-0005-0000-0000-000033650000}"/>
    <cellStyle name="Separador de milhares 7 6 3 3 2 2" xfId="32088" xr:uid="{F2579089-C2A0-4E69-9A00-8E4A1C0D4CF3}"/>
    <cellStyle name="Separador de milhares 7 6 3 3 3" xfId="32087" xr:uid="{1E533154-D6A8-4D36-97E8-A74884408D0B}"/>
    <cellStyle name="Separador de milhares 7 6 3 30" xfId="23262" xr:uid="{00000000-0005-0000-0000-000034650000}"/>
    <cellStyle name="Separador de milhares 7 6 3 30 2" xfId="23263" xr:uid="{00000000-0005-0000-0000-000035650000}"/>
    <cellStyle name="Separador de milhares 7 6 3 30 2 2" xfId="32090" xr:uid="{7C5EB5C4-2D53-4B59-A0EF-3A7CA3020BD2}"/>
    <cellStyle name="Separador de milhares 7 6 3 30 3" xfId="32089" xr:uid="{4D065698-6F95-4335-8FEA-F8BC4AA9BC51}"/>
    <cellStyle name="Separador de milhares 7 6 3 31" xfId="23264" xr:uid="{00000000-0005-0000-0000-000036650000}"/>
    <cellStyle name="Separador de milhares 7 6 3 31 2" xfId="23265" xr:uid="{00000000-0005-0000-0000-000037650000}"/>
    <cellStyle name="Separador de milhares 7 6 3 31 2 2" xfId="32092" xr:uid="{3F1BF67B-81DC-49FC-BD9F-75FBF4112788}"/>
    <cellStyle name="Separador de milhares 7 6 3 31 3" xfId="32091" xr:uid="{77BBF2CA-8A97-4EC4-80D1-6399776CF654}"/>
    <cellStyle name="Separador de milhares 7 6 3 32" xfId="23266" xr:uid="{00000000-0005-0000-0000-000038650000}"/>
    <cellStyle name="Separador de milhares 7 6 3 32 2" xfId="23267" xr:uid="{00000000-0005-0000-0000-000039650000}"/>
    <cellStyle name="Separador de milhares 7 6 3 32 2 2" xfId="32094" xr:uid="{7FF375A3-0A85-42DA-B55E-7DFB024960D0}"/>
    <cellStyle name="Separador de milhares 7 6 3 32 3" xfId="32093" xr:uid="{1F4A362F-3605-4571-9FC0-F4A8D881FEDD}"/>
    <cellStyle name="Separador de milhares 7 6 3 33" xfId="23268" xr:uid="{00000000-0005-0000-0000-00003A650000}"/>
    <cellStyle name="Separador de milhares 7 6 3 33 2" xfId="23269" xr:uid="{00000000-0005-0000-0000-00003B650000}"/>
    <cellStyle name="Separador de milhares 7 6 3 33 2 2" xfId="32096" xr:uid="{C93ADB4F-EF13-49EF-928B-CED1F6B28321}"/>
    <cellStyle name="Separador de milhares 7 6 3 33 3" xfId="32095" xr:uid="{19925FDA-233C-4A93-B1BB-C50FEDD5B2B8}"/>
    <cellStyle name="Separador de milhares 7 6 3 34" xfId="23270" xr:uid="{00000000-0005-0000-0000-00003C650000}"/>
    <cellStyle name="Separador de milhares 7 6 3 34 2" xfId="23271" xr:uid="{00000000-0005-0000-0000-00003D650000}"/>
    <cellStyle name="Separador de milhares 7 6 3 34 2 2" xfId="32098" xr:uid="{5C84C201-4234-4F07-88B9-4B9FA3F04911}"/>
    <cellStyle name="Separador de milhares 7 6 3 34 3" xfId="32097" xr:uid="{F84D2444-08AB-447B-9D4B-CA8F825D32DB}"/>
    <cellStyle name="Separador de milhares 7 6 3 35" xfId="23272" xr:uid="{00000000-0005-0000-0000-00003E650000}"/>
    <cellStyle name="Separador de milhares 7 6 3 35 2" xfId="32099" xr:uid="{9A738D42-F27B-4753-88B0-0E77E2CABBFE}"/>
    <cellStyle name="Separador de milhares 7 6 3 36" xfId="32044" xr:uid="{CC215435-A618-49BB-B5D4-D6DCC66B6635}"/>
    <cellStyle name="Separador de milhares 7 6 3 4" xfId="23273" xr:uid="{00000000-0005-0000-0000-00003F650000}"/>
    <cellStyle name="Separador de milhares 7 6 3 4 2" xfId="23274" xr:uid="{00000000-0005-0000-0000-000040650000}"/>
    <cellStyle name="Separador de milhares 7 6 3 4 2 2" xfId="32101" xr:uid="{07F2A2E3-234D-4ABE-8AE9-093B4717A28F}"/>
    <cellStyle name="Separador de milhares 7 6 3 4 3" xfId="32100" xr:uid="{055276D7-4236-4D20-8255-A7C8656A8DBA}"/>
    <cellStyle name="Separador de milhares 7 6 3 5" xfId="23275" xr:uid="{00000000-0005-0000-0000-000041650000}"/>
    <cellStyle name="Separador de milhares 7 6 3 5 2" xfId="23276" xr:uid="{00000000-0005-0000-0000-000042650000}"/>
    <cellStyle name="Separador de milhares 7 6 3 5 2 2" xfId="32103" xr:uid="{AF4A3A68-3460-4093-A344-CCC285B1B1CD}"/>
    <cellStyle name="Separador de milhares 7 6 3 5 3" xfId="32102" xr:uid="{78813ADE-F0D1-4925-B75B-20932FDC0B6A}"/>
    <cellStyle name="Separador de milhares 7 6 3 6" xfId="23277" xr:uid="{00000000-0005-0000-0000-000043650000}"/>
    <cellStyle name="Separador de milhares 7 6 3 6 2" xfId="23278" xr:uid="{00000000-0005-0000-0000-000044650000}"/>
    <cellStyle name="Separador de milhares 7 6 3 6 2 2" xfId="32105" xr:uid="{3A392BE1-ACAA-4EFB-9DC2-C655EF173563}"/>
    <cellStyle name="Separador de milhares 7 6 3 6 3" xfId="32104" xr:uid="{4F18A1D6-79B4-4D47-B1B1-E066C9BFF224}"/>
    <cellStyle name="Separador de milhares 7 6 3 7" xfId="23279" xr:uid="{00000000-0005-0000-0000-000045650000}"/>
    <cellStyle name="Separador de milhares 7 6 3 7 2" xfId="23280" xr:uid="{00000000-0005-0000-0000-000046650000}"/>
    <cellStyle name="Separador de milhares 7 6 3 7 2 2" xfId="32107" xr:uid="{15D6FCE6-75FA-47A4-9280-16A0F8512251}"/>
    <cellStyle name="Separador de milhares 7 6 3 7 3" xfId="32106" xr:uid="{AD14B8FF-0744-4736-9D84-056628C41946}"/>
    <cellStyle name="Separador de milhares 7 6 3 8" xfId="23281" xr:uid="{00000000-0005-0000-0000-000047650000}"/>
    <cellStyle name="Separador de milhares 7 6 3 8 2" xfId="23282" xr:uid="{00000000-0005-0000-0000-000048650000}"/>
    <cellStyle name="Separador de milhares 7 6 3 8 2 2" xfId="32109" xr:uid="{1E2054A8-2D1E-4FA1-963A-B7ECC996BCFB}"/>
    <cellStyle name="Separador de milhares 7 6 3 8 3" xfId="32108" xr:uid="{10643FD7-CE05-426E-B9C3-717A966B89BF}"/>
    <cellStyle name="Separador de milhares 7 6 3 9" xfId="23283" xr:uid="{00000000-0005-0000-0000-000049650000}"/>
    <cellStyle name="Separador de milhares 7 6 3 9 2" xfId="23284" xr:uid="{00000000-0005-0000-0000-00004A650000}"/>
    <cellStyle name="Separador de milhares 7 6 3 9 2 2" xfId="32111" xr:uid="{59B04AD3-7928-4B27-A99D-E010611B92E4}"/>
    <cellStyle name="Separador de milhares 7 6 3 9 3" xfId="32110" xr:uid="{9EE02D83-27DA-4963-807B-868F31F9E4DD}"/>
    <cellStyle name="Separador de milhares 7 6 30" xfId="23285" xr:uid="{00000000-0005-0000-0000-00004B650000}"/>
    <cellStyle name="Separador de milhares 7 6 30 2" xfId="23286" xr:uid="{00000000-0005-0000-0000-00004C650000}"/>
    <cellStyle name="Separador de milhares 7 6 30 2 2" xfId="32113" xr:uid="{D04D554F-45CD-4725-B030-1D129D0089C5}"/>
    <cellStyle name="Separador de milhares 7 6 30 3" xfId="32112" xr:uid="{776A01FF-EA20-44B3-9EE3-06BE40A23D31}"/>
    <cellStyle name="Separador de milhares 7 6 31" xfId="23287" xr:uid="{00000000-0005-0000-0000-00004D650000}"/>
    <cellStyle name="Separador de milhares 7 6 31 2" xfId="23288" xr:uid="{00000000-0005-0000-0000-00004E650000}"/>
    <cellStyle name="Separador de milhares 7 6 31 2 2" xfId="32115" xr:uid="{2A9D0B0F-8EBA-4C1A-B245-3B0B717A698D}"/>
    <cellStyle name="Separador de milhares 7 6 31 3" xfId="32114" xr:uid="{7E4AA84B-48C1-4859-820C-E4ACD1306C08}"/>
    <cellStyle name="Separador de milhares 7 6 32" xfId="23289" xr:uid="{00000000-0005-0000-0000-00004F650000}"/>
    <cellStyle name="Separador de milhares 7 6 32 2" xfId="23290" xr:uid="{00000000-0005-0000-0000-000050650000}"/>
    <cellStyle name="Separador de milhares 7 6 32 2 2" xfId="32117" xr:uid="{28F77896-38BC-4A4E-BF74-D429BDE5397D}"/>
    <cellStyle name="Separador de milhares 7 6 32 3" xfId="32116" xr:uid="{E5554D58-8223-4DA3-9BBF-8D2BADEF1A25}"/>
    <cellStyle name="Separador de milhares 7 6 33" xfId="23291" xr:uid="{00000000-0005-0000-0000-000051650000}"/>
    <cellStyle name="Separador de milhares 7 6 33 2" xfId="23292" xr:uid="{00000000-0005-0000-0000-000052650000}"/>
    <cellStyle name="Separador de milhares 7 6 33 2 2" xfId="32119" xr:uid="{8933129F-E104-4934-8810-52BB67768995}"/>
    <cellStyle name="Separador de milhares 7 6 33 3" xfId="32118" xr:uid="{07A1E29B-9364-4809-97F3-648CE0CB5B3E}"/>
    <cellStyle name="Separador de milhares 7 6 34" xfId="23293" xr:uid="{00000000-0005-0000-0000-000053650000}"/>
    <cellStyle name="Separador de milhares 7 6 34 2" xfId="23294" xr:uid="{00000000-0005-0000-0000-000054650000}"/>
    <cellStyle name="Separador de milhares 7 6 34 2 2" xfId="32121" xr:uid="{CC553074-B327-4DFC-A8B0-41CB4689445C}"/>
    <cellStyle name="Separador de milhares 7 6 34 3" xfId="32120" xr:uid="{8F31F328-9DFF-4557-96AF-F73BE05DBCA8}"/>
    <cellStyle name="Separador de milhares 7 6 35" xfId="23295" xr:uid="{00000000-0005-0000-0000-000055650000}"/>
    <cellStyle name="Separador de milhares 7 6 35 2" xfId="23296" xr:uid="{00000000-0005-0000-0000-000056650000}"/>
    <cellStyle name="Separador de milhares 7 6 35 2 2" xfId="32123" xr:uid="{B88F8FF5-BB7A-4D79-BD95-A28DF0DE30E5}"/>
    <cellStyle name="Separador de milhares 7 6 35 3" xfId="32122" xr:uid="{DD665B9E-2655-429F-8B28-40E50AF6CDA3}"/>
    <cellStyle name="Separador de milhares 7 6 36" xfId="23297" xr:uid="{00000000-0005-0000-0000-000057650000}"/>
    <cellStyle name="Separador de milhares 7 6 36 2" xfId="23298" xr:uid="{00000000-0005-0000-0000-000058650000}"/>
    <cellStyle name="Separador de milhares 7 6 36 2 2" xfId="32125" xr:uid="{4574ED1F-1525-4698-B381-F1E7F7FFB345}"/>
    <cellStyle name="Separador de milhares 7 6 36 3" xfId="32124" xr:uid="{99BC1BAD-51BA-4D96-9AA6-48BC02159BA4}"/>
    <cellStyle name="Separador de milhares 7 6 37" xfId="23299" xr:uid="{00000000-0005-0000-0000-000059650000}"/>
    <cellStyle name="Separador de milhares 7 6 37 2" xfId="23300" xr:uid="{00000000-0005-0000-0000-00005A650000}"/>
    <cellStyle name="Separador de milhares 7 6 37 2 2" xfId="32127" xr:uid="{ED6730E7-8B61-4B94-9D54-7641AA83603C}"/>
    <cellStyle name="Separador de milhares 7 6 37 3" xfId="32126" xr:uid="{95FF1DA1-07CB-47F3-93F6-0853EBF6C7F2}"/>
    <cellStyle name="Separador de milhares 7 6 38" xfId="23301" xr:uid="{00000000-0005-0000-0000-00005B650000}"/>
    <cellStyle name="Separador de milhares 7 6 38 2" xfId="23302" xr:uid="{00000000-0005-0000-0000-00005C650000}"/>
    <cellStyle name="Separador de milhares 7 6 38 2 2" xfId="32129" xr:uid="{CD98E8FA-4012-49C5-B56C-1467A089E8F1}"/>
    <cellStyle name="Separador de milhares 7 6 38 3" xfId="32128" xr:uid="{5F201E71-97AF-4F81-983D-D52394867348}"/>
    <cellStyle name="Separador de milhares 7 6 39" xfId="23303" xr:uid="{00000000-0005-0000-0000-00005D650000}"/>
    <cellStyle name="Separador de milhares 7 6 39 2" xfId="23304" xr:uid="{00000000-0005-0000-0000-00005E650000}"/>
    <cellStyle name="Separador de milhares 7 6 39 2 2" xfId="32131" xr:uid="{ACE58706-55BB-457F-9330-22E776A624D1}"/>
    <cellStyle name="Separador de milhares 7 6 39 3" xfId="32130" xr:uid="{7A23009B-D662-4887-8B9F-2D3BAEF9389E}"/>
    <cellStyle name="Separador de milhares 7 6 4" xfId="23305" xr:uid="{00000000-0005-0000-0000-00005F650000}"/>
    <cellStyle name="Separador de milhares 7 6 4 2" xfId="23306" xr:uid="{00000000-0005-0000-0000-000060650000}"/>
    <cellStyle name="Separador de milhares 7 6 4 2 2" xfId="23307" xr:uid="{00000000-0005-0000-0000-000061650000}"/>
    <cellStyle name="Separador de milhares 7 6 4 2 2 2" xfId="32134" xr:uid="{09984B8F-5733-4D96-922E-1BD0E380DD5A}"/>
    <cellStyle name="Separador de milhares 7 6 4 2 3" xfId="32133" xr:uid="{D8C50509-CC87-4288-B49A-248D8E0CEA4A}"/>
    <cellStyle name="Separador de milhares 7 6 4 3" xfId="23308" xr:uid="{00000000-0005-0000-0000-000062650000}"/>
    <cellStyle name="Separador de milhares 7 6 4 3 2" xfId="23309" xr:uid="{00000000-0005-0000-0000-000063650000}"/>
    <cellStyle name="Separador de milhares 7 6 4 3 2 2" xfId="32136" xr:uid="{0EA54C76-DB68-48A1-8188-21EE58469AE2}"/>
    <cellStyle name="Separador de milhares 7 6 4 3 3" xfId="32135" xr:uid="{0A9596DE-8FB1-4001-9517-29E67F58BF90}"/>
    <cellStyle name="Separador de milhares 7 6 4 4" xfId="23310" xr:uid="{00000000-0005-0000-0000-000064650000}"/>
    <cellStyle name="Separador de milhares 7 6 4 4 2" xfId="23311" xr:uid="{00000000-0005-0000-0000-000065650000}"/>
    <cellStyle name="Separador de milhares 7 6 4 4 2 2" xfId="32138" xr:uid="{1886AE73-5AD7-4CA5-9156-F2D428D9A116}"/>
    <cellStyle name="Separador de milhares 7 6 4 4 3" xfId="32137" xr:uid="{2A8612AE-D794-4268-9ECB-159F06298897}"/>
    <cellStyle name="Separador de milhares 7 6 4 5" xfId="23312" xr:uid="{00000000-0005-0000-0000-000066650000}"/>
    <cellStyle name="Separador de milhares 7 6 4 5 2" xfId="23313" xr:uid="{00000000-0005-0000-0000-000067650000}"/>
    <cellStyle name="Separador de milhares 7 6 4 5 2 2" xfId="32140" xr:uid="{60CA0991-FD39-45AF-B6F6-54B6D9C9B074}"/>
    <cellStyle name="Separador de milhares 7 6 4 5 3" xfId="32139" xr:uid="{2C2931CD-A649-4930-BC3F-02D0C4F3A992}"/>
    <cellStyle name="Separador de milhares 7 6 4 6" xfId="23314" xr:uid="{00000000-0005-0000-0000-000068650000}"/>
    <cellStyle name="Separador de milhares 7 6 4 6 2" xfId="32141" xr:uid="{B0E25D88-9A05-420C-BEAC-35B570B8E0A7}"/>
    <cellStyle name="Separador de milhares 7 6 4 7" xfId="32132" xr:uid="{4C572327-9BD5-48CA-BF26-A14F3AD71C4B}"/>
    <cellStyle name="Separador de milhares 7 6 40" xfId="23315" xr:uid="{00000000-0005-0000-0000-000069650000}"/>
    <cellStyle name="Separador de milhares 7 6 40 2" xfId="23316" xr:uid="{00000000-0005-0000-0000-00006A650000}"/>
    <cellStyle name="Separador de milhares 7 6 40 2 2" xfId="32143" xr:uid="{5C90FA4C-00A3-4720-B817-24A341B9A9CE}"/>
    <cellStyle name="Separador de milhares 7 6 40 3" xfId="32142" xr:uid="{57AC60CF-ACE3-43B1-978E-007BA11AFB88}"/>
    <cellStyle name="Separador de milhares 7 6 41" xfId="23317" xr:uid="{00000000-0005-0000-0000-00006B650000}"/>
    <cellStyle name="Separador de milhares 7 6 41 2" xfId="23318" xr:uid="{00000000-0005-0000-0000-00006C650000}"/>
    <cellStyle name="Separador de milhares 7 6 41 2 2" xfId="32145" xr:uid="{05DEC723-8983-4ED4-9F7F-6CAF2864CF6B}"/>
    <cellStyle name="Separador de milhares 7 6 41 3" xfId="32144" xr:uid="{49205989-A0DD-4C1E-89D8-516061EC277D}"/>
    <cellStyle name="Separador de milhares 7 6 42" xfId="23319" xr:uid="{00000000-0005-0000-0000-00006D650000}"/>
    <cellStyle name="Separador de milhares 7 6 42 2" xfId="23320" xr:uid="{00000000-0005-0000-0000-00006E650000}"/>
    <cellStyle name="Separador de milhares 7 6 42 2 2" xfId="32147" xr:uid="{F7DF30A6-E897-467A-B72F-94442A4B73C8}"/>
    <cellStyle name="Separador de milhares 7 6 42 3" xfId="32146" xr:uid="{A0A5B303-F73D-48C6-A38C-78B188073792}"/>
    <cellStyle name="Separador de milhares 7 6 43" xfId="23321" xr:uid="{00000000-0005-0000-0000-00006F650000}"/>
    <cellStyle name="Separador de milhares 7 6 43 2" xfId="23322" xr:uid="{00000000-0005-0000-0000-000070650000}"/>
    <cellStyle name="Separador de milhares 7 6 43 2 2" xfId="32149" xr:uid="{675030CC-F97B-4AC9-B74B-8FAA35B2AA58}"/>
    <cellStyle name="Separador de milhares 7 6 43 3" xfId="32148" xr:uid="{0E2D28ED-2558-4297-9B9F-81B35E25F6DB}"/>
    <cellStyle name="Separador de milhares 7 6 44" xfId="23323" xr:uid="{00000000-0005-0000-0000-000071650000}"/>
    <cellStyle name="Separador de milhares 7 6 44 2" xfId="23324" xr:uid="{00000000-0005-0000-0000-000072650000}"/>
    <cellStyle name="Separador de milhares 7 6 44 2 2" xfId="32151" xr:uid="{19CF4AAF-3DF3-4F3E-A9F9-6D90AF6D4A16}"/>
    <cellStyle name="Separador de milhares 7 6 44 3" xfId="32150" xr:uid="{7548DC86-9B8A-4DE7-B8C7-A09B692DF0D2}"/>
    <cellStyle name="Separador de milhares 7 6 45" xfId="23325" xr:uid="{00000000-0005-0000-0000-000073650000}"/>
    <cellStyle name="Separador de milhares 7 6 45 2" xfId="23326" xr:uid="{00000000-0005-0000-0000-000074650000}"/>
    <cellStyle name="Separador de milhares 7 6 45 2 2" xfId="32153" xr:uid="{2CAA2F89-2D8B-4737-AF42-85315E87ACB9}"/>
    <cellStyle name="Separador de milhares 7 6 45 3" xfId="32152" xr:uid="{BCCABB22-4F2E-40DB-90E1-AB5907048DC6}"/>
    <cellStyle name="Separador de milhares 7 6 46" xfId="23327" xr:uid="{00000000-0005-0000-0000-000075650000}"/>
    <cellStyle name="Separador de milhares 7 6 46 2" xfId="23328" xr:uid="{00000000-0005-0000-0000-000076650000}"/>
    <cellStyle name="Separador de milhares 7 6 46 2 2" xfId="32155" xr:uid="{0E4012BC-AE3C-4638-889B-B8AF4BC348CC}"/>
    <cellStyle name="Separador de milhares 7 6 46 3" xfId="32154" xr:uid="{BFE47B18-9B5C-4445-A56E-7579C0C3F813}"/>
    <cellStyle name="Separador de milhares 7 6 47" xfId="23329" xr:uid="{00000000-0005-0000-0000-000077650000}"/>
    <cellStyle name="Separador de milhares 7 6 47 2" xfId="32156" xr:uid="{07160FA0-6E0F-470E-8F0A-3C952437A141}"/>
    <cellStyle name="Separador de milhares 7 6 48" xfId="23108" xr:uid="{00000000-0005-0000-0000-000078650000}"/>
    <cellStyle name="Separador de milhares 7 6 49" xfId="28089" xr:uid="{07211303-4702-4D2B-BE4B-17ECEA87B1C8}"/>
    <cellStyle name="Separador de milhares 7 6 5" xfId="23330" xr:uid="{00000000-0005-0000-0000-000079650000}"/>
    <cellStyle name="Separador de milhares 7 6 5 2" xfId="23331" xr:uid="{00000000-0005-0000-0000-00007A650000}"/>
    <cellStyle name="Separador de milhares 7 6 5 2 2" xfId="32158" xr:uid="{61D1B2BA-FEE7-4E3B-B829-A8C62DF1E3E4}"/>
    <cellStyle name="Separador de milhares 7 6 5 3" xfId="32157" xr:uid="{8E5D2E7F-FC49-431E-98C8-4EDE3B664BE2}"/>
    <cellStyle name="Separador de milhares 7 6 6" xfId="23332" xr:uid="{00000000-0005-0000-0000-00007B650000}"/>
    <cellStyle name="Separador de milhares 7 6 6 2" xfId="23333" xr:uid="{00000000-0005-0000-0000-00007C650000}"/>
    <cellStyle name="Separador de milhares 7 6 6 2 2" xfId="32160" xr:uid="{D884F11D-3AEE-4FF6-9AF2-D6316CD351CA}"/>
    <cellStyle name="Separador de milhares 7 6 6 3" xfId="32159" xr:uid="{05740866-4A3F-407B-AD4D-B31749EF7E33}"/>
    <cellStyle name="Separador de milhares 7 6 7" xfId="23334" xr:uid="{00000000-0005-0000-0000-00007D650000}"/>
    <cellStyle name="Separador de milhares 7 6 7 2" xfId="23335" xr:uid="{00000000-0005-0000-0000-00007E650000}"/>
    <cellStyle name="Separador de milhares 7 6 7 2 2" xfId="32162" xr:uid="{26F78F49-E9DA-41D0-AEFD-D4E8D430EFD4}"/>
    <cellStyle name="Separador de milhares 7 6 7 3" xfId="32161" xr:uid="{8DFC02BB-FD31-4217-B88F-7D4307C4A52B}"/>
    <cellStyle name="Separador de milhares 7 6 8" xfId="23336" xr:uid="{00000000-0005-0000-0000-00007F650000}"/>
    <cellStyle name="Separador de milhares 7 6 8 2" xfId="23337" xr:uid="{00000000-0005-0000-0000-000080650000}"/>
    <cellStyle name="Separador de milhares 7 6 8 2 2" xfId="32164" xr:uid="{730DF2F0-FD40-49DD-8EBB-E0113572852E}"/>
    <cellStyle name="Separador de milhares 7 6 8 3" xfId="32163" xr:uid="{08168D81-56FD-4933-83B2-26B1AEA994E6}"/>
    <cellStyle name="Separador de milhares 7 6 9" xfId="23338" xr:uid="{00000000-0005-0000-0000-000081650000}"/>
    <cellStyle name="Separador de milhares 7 6 9 2" xfId="23339" xr:uid="{00000000-0005-0000-0000-000082650000}"/>
    <cellStyle name="Separador de milhares 7 6 9 2 2" xfId="32166" xr:uid="{CBB25376-1BBC-4036-BFB4-5123D96907E3}"/>
    <cellStyle name="Separador de milhares 7 6 9 3" xfId="32165" xr:uid="{28AA0E8D-6546-4F41-8E65-B47C0EAF39C8}"/>
    <cellStyle name="Separador de milhares 7 7" xfId="856" xr:uid="{00000000-0005-0000-0000-000083650000}"/>
    <cellStyle name="Separador de milhares 7 7 10" xfId="23341" xr:uid="{00000000-0005-0000-0000-000084650000}"/>
    <cellStyle name="Separador de milhares 7 7 10 2" xfId="23342" xr:uid="{00000000-0005-0000-0000-000085650000}"/>
    <cellStyle name="Separador de milhares 7 7 10 2 2" xfId="32168" xr:uid="{4BFE9AEF-0BC4-4D1E-B150-39C7693F8765}"/>
    <cellStyle name="Separador de milhares 7 7 10 3" xfId="32167" xr:uid="{7A0922B4-3913-43BA-A486-73CBB1468274}"/>
    <cellStyle name="Separador de milhares 7 7 11" xfId="23343" xr:uid="{00000000-0005-0000-0000-000086650000}"/>
    <cellStyle name="Separador de milhares 7 7 11 2" xfId="23344" xr:uid="{00000000-0005-0000-0000-000087650000}"/>
    <cellStyle name="Separador de milhares 7 7 11 2 2" xfId="32170" xr:uid="{318FB751-E32B-4A7A-8B7E-9B56F9546246}"/>
    <cellStyle name="Separador de milhares 7 7 11 3" xfId="32169" xr:uid="{4319CB31-C96D-433C-ADFB-4A97643240BE}"/>
    <cellStyle name="Separador de milhares 7 7 12" xfId="23345" xr:uid="{00000000-0005-0000-0000-000088650000}"/>
    <cellStyle name="Separador de milhares 7 7 12 2" xfId="23346" xr:uid="{00000000-0005-0000-0000-000089650000}"/>
    <cellStyle name="Separador de milhares 7 7 12 2 2" xfId="32172" xr:uid="{4CFC6598-C1FF-43A5-ACC6-1C502ECB58C1}"/>
    <cellStyle name="Separador de milhares 7 7 12 3" xfId="32171" xr:uid="{91CB2ADF-76FE-412C-8777-E0383775F5C8}"/>
    <cellStyle name="Separador de milhares 7 7 13" xfId="23347" xr:uid="{00000000-0005-0000-0000-00008A650000}"/>
    <cellStyle name="Separador de milhares 7 7 13 2" xfId="23348" xr:uid="{00000000-0005-0000-0000-00008B650000}"/>
    <cellStyle name="Separador de milhares 7 7 13 2 2" xfId="32174" xr:uid="{B949BA67-261F-4B90-AFB1-5AA82D338326}"/>
    <cellStyle name="Separador de milhares 7 7 13 3" xfId="32173" xr:uid="{1A1F3321-23F9-433E-A589-756E9D63D244}"/>
    <cellStyle name="Separador de milhares 7 7 14" xfId="23349" xr:uid="{00000000-0005-0000-0000-00008C650000}"/>
    <cellStyle name="Separador de milhares 7 7 14 2" xfId="23350" xr:uid="{00000000-0005-0000-0000-00008D650000}"/>
    <cellStyle name="Separador de milhares 7 7 14 2 2" xfId="32176" xr:uid="{50DC5D32-3EE8-46F1-9DB9-D4D240C55F43}"/>
    <cellStyle name="Separador de milhares 7 7 14 3" xfId="32175" xr:uid="{1D3234B0-BA5F-4262-8EA1-548610CA3BE9}"/>
    <cellStyle name="Separador de milhares 7 7 15" xfId="23351" xr:uid="{00000000-0005-0000-0000-00008E650000}"/>
    <cellStyle name="Separador de milhares 7 7 15 2" xfId="23352" xr:uid="{00000000-0005-0000-0000-00008F650000}"/>
    <cellStyle name="Separador de milhares 7 7 15 2 2" xfId="32178" xr:uid="{B1866F8E-FB50-40DC-8240-6437F5E52801}"/>
    <cellStyle name="Separador de milhares 7 7 15 3" xfId="32177" xr:uid="{4ED57E2E-1443-481F-B13D-1605781988AB}"/>
    <cellStyle name="Separador de milhares 7 7 16" xfId="23353" xr:uid="{00000000-0005-0000-0000-000090650000}"/>
    <cellStyle name="Separador de milhares 7 7 16 2" xfId="23354" xr:uid="{00000000-0005-0000-0000-000091650000}"/>
    <cellStyle name="Separador de milhares 7 7 16 2 2" xfId="32180" xr:uid="{1C4CE5EA-4BCB-4376-AA0A-FDAA68816018}"/>
    <cellStyle name="Separador de milhares 7 7 16 3" xfId="32179" xr:uid="{34959DC7-9AED-4BBE-80D0-5ABBBBC73C4A}"/>
    <cellStyle name="Separador de milhares 7 7 17" xfId="23355" xr:uid="{00000000-0005-0000-0000-000092650000}"/>
    <cellStyle name="Separador de milhares 7 7 17 2" xfId="23356" xr:uid="{00000000-0005-0000-0000-000093650000}"/>
    <cellStyle name="Separador de milhares 7 7 17 2 2" xfId="32182" xr:uid="{F8FC7727-99FA-4F6D-8EE9-32FC93B0431C}"/>
    <cellStyle name="Separador de milhares 7 7 17 3" xfId="32181" xr:uid="{71799626-77A9-4F5C-A4E1-E81671D6DA5F}"/>
    <cellStyle name="Separador de milhares 7 7 18" xfId="23357" xr:uid="{00000000-0005-0000-0000-000094650000}"/>
    <cellStyle name="Separador de milhares 7 7 18 2" xfId="23358" xr:uid="{00000000-0005-0000-0000-000095650000}"/>
    <cellStyle name="Separador de milhares 7 7 18 2 2" xfId="32184" xr:uid="{6500BF18-5525-4619-AAC7-C928B05B7760}"/>
    <cellStyle name="Separador de milhares 7 7 18 3" xfId="32183" xr:uid="{F94F242B-B150-42AA-B9B8-CEB942EFB35B}"/>
    <cellStyle name="Separador de milhares 7 7 19" xfId="23359" xr:uid="{00000000-0005-0000-0000-000096650000}"/>
    <cellStyle name="Separador de milhares 7 7 19 2" xfId="23360" xr:uid="{00000000-0005-0000-0000-000097650000}"/>
    <cellStyle name="Separador de milhares 7 7 19 2 2" xfId="32186" xr:uid="{EBD66730-64EB-4197-97B2-2A3D61D6CF5E}"/>
    <cellStyle name="Separador de milhares 7 7 19 3" xfId="32185" xr:uid="{7F5508EA-CFD9-4442-9F93-6F288377CDD8}"/>
    <cellStyle name="Separador de milhares 7 7 2" xfId="23361" xr:uid="{00000000-0005-0000-0000-000098650000}"/>
    <cellStyle name="Separador de milhares 7 7 2 2" xfId="23362" xr:uid="{00000000-0005-0000-0000-000099650000}"/>
    <cellStyle name="Separador de milhares 7 7 2 2 2" xfId="23363" xr:uid="{00000000-0005-0000-0000-00009A650000}"/>
    <cellStyle name="Separador de milhares 7 7 2 2 2 2" xfId="32189" xr:uid="{92063D79-9558-4427-99FD-73417374E38C}"/>
    <cellStyle name="Separador de milhares 7 7 2 2 3" xfId="32188" xr:uid="{14F73428-60DB-4667-80D3-C60B3F76C698}"/>
    <cellStyle name="Separador de milhares 7 7 2 3" xfId="23364" xr:uid="{00000000-0005-0000-0000-00009B650000}"/>
    <cellStyle name="Separador de milhares 7 7 2 3 2" xfId="23365" xr:uid="{00000000-0005-0000-0000-00009C650000}"/>
    <cellStyle name="Separador de milhares 7 7 2 3 2 2" xfId="32191" xr:uid="{E79C2B45-4184-4131-99F0-45A9734595AB}"/>
    <cellStyle name="Separador de milhares 7 7 2 3 3" xfId="32190" xr:uid="{CF37BEBE-586B-4FCE-B4E6-492742D18F3D}"/>
    <cellStyle name="Separador de milhares 7 7 2 4" xfId="23366" xr:uid="{00000000-0005-0000-0000-00009D650000}"/>
    <cellStyle name="Separador de milhares 7 7 2 4 2" xfId="23367" xr:uid="{00000000-0005-0000-0000-00009E650000}"/>
    <cellStyle name="Separador de milhares 7 7 2 4 2 2" xfId="32193" xr:uid="{5E70A408-9D4C-49B4-AB6F-073B49E665FA}"/>
    <cellStyle name="Separador de milhares 7 7 2 4 3" xfId="32192" xr:uid="{B14344F8-6321-4F2B-A990-3929F432955D}"/>
    <cellStyle name="Separador de milhares 7 7 2 5" xfId="23368" xr:uid="{00000000-0005-0000-0000-00009F650000}"/>
    <cellStyle name="Separador de milhares 7 7 2 5 2" xfId="23369" xr:uid="{00000000-0005-0000-0000-0000A0650000}"/>
    <cellStyle name="Separador de milhares 7 7 2 5 2 2" xfId="32195" xr:uid="{1801CE76-B6DC-4155-B1FF-F92B13AE3F0E}"/>
    <cellStyle name="Separador de milhares 7 7 2 5 3" xfId="32194" xr:uid="{5CA6FC08-0051-487F-9775-198A14466EF2}"/>
    <cellStyle name="Separador de milhares 7 7 2 6" xfId="23370" xr:uid="{00000000-0005-0000-0000-0000A1650000}"/>
    <cellStyle name="Separador de milhares 7 7 2 6 2" xfId="32196" xr:uid="{4790061C-A885-4E1D-B194-7F13802D1A86}"/>
    <cellStyle name="Separador de milhares 7 7 2 7" xfId="32187" xr:uid="{C9756204-1FAA-457B-9412-D66AD374A941}"/>
    <cellStyle name="Separador de milhares 7 7 20" xfId="23371" xr:uid="{00000000-0005-0000-0000-0000A2650000}"/>
    <cellStyle name="Separador de milhares 7 7 20 2" xfId="23372" xr:uid="{00000000-0005-0000-0000-0000A3650000}"/>
    <cellStyle name="Separador de milhares 7 7 20 2 2" xfId="32198" xr:uid="{D3FAE98B-9878-4BB8-B6B4-8EE0522B16F3}"/>
    <cellStyle name="Separador de milhares 7 7 20 3" xfId="32197" xr:uid="{400F4044-E986-410B-83CD-0173B9AD3F81}"/>
    <cellStyle name="Separador de milhares 7 7 21" xfId="23373" xr:uid="{00000000-0005-0000-0000-0000A4650000}"/>
    <cellStyle name="Separador de milhares 7 7 21 2" xfId="23374" xr:uid="{00000000-0005-0000-0000-0000A5650000}"/>
    <cellStyle name="Separador de milhares 7 7 21 2 2" xfId="32200" xr:uid="{15A7E2FC-3005-43F7-8152-8889E670B23C}"/>
    <cellStyle name="Separador de milhares 7 7 21 3" xfId="32199" xr:uid="{937EF656-2EAF-4284-8D03-197A927329EE}"/>
    <cellStyle name="Separador de milhares 7 7 22" xfId="23375" xr:uid="{00000000-0005-0000-0000-0000A6650000}"/>
    <cellStyle name="Separador de milhares 7 7 22 2" xfId="23376" xr:uid="{00000000-0005-0000-0000-0000A7650000}"/>
    <cellStyle name="Separador de milhares 7 7 22 2 2" xfId="32202" xr:uid="{0754397F-47F4-4C68-903D-23035AF2B04B}"/>
    <cellStyle name="Separador de milhares 7 7 22 3" xfId="32201" xr:uid="{21F66199-3D6C-4817-AC6C-400FA915FE92}"/>
    <cellStyle name="Separador de milhares 7 7 23" xfId="23377" xr:uid="{00000000-0005-0000-0000-0000A8650000}"/>
    <cellStyle name="Separador de milhares 7 7 23 2" xfId="23378" xr:uid="{00000000-0005-0000-0000-0000A9650000}"/>
    <cellStyle name="Separador de milhares 7 7 23 2 2" xfId="32204" xr:uid="{BC30C394-33FC-4BE4-B261-1FD66605448D}"/>
    <cellStyle name="Separador de milhares 7 7 23 3" xfId="32203" xr:uid="{FA4E3786-B6A3-4D61-A4B3-500B78B73D01}"/>
    <cellStyle name="Separador de milhares 7 7 24" xfId="23379" xr:uid="{00000000-0005-0000-0000-0000AA650000}"/>
    <cellStyle name="Separador de milhares 7 7 24 2" xfId="23380" xr:uid="{00000000-0005-0000-0000-0000AB650000}"/>
    <cellStyle name="Separador de milhares 7 7 24 2 2" xfId="32206" xr:uid="{BDD3885F-C6A8-45BD-852D-8044E4726037}"/>
    <cellStyle name="Separador de milhares 7 7 24 3" xfId="32205" xr:uid="{1AE85D41-41E5-44F8-8494-5F2C025CC309}"/>
    <cellStyle name="Separador de milhares 7 7 25" xfId="23381" xr:uid="{00000000-0005-0000-0000-0000AC650000}"/>
    <cellStyle name="Separador de milhares 7 7 25 2" xfId="23382" xr:uid="{00000000-0005-0000-0000-0000AD650000}"/>
    <cellStyle name="Separador de milhares 7 7 25 2 2" xfId="32208" xr:uid="{C36BCC0C-7B02-414B-A191-2C68C073AF8C}"/>
    <cellStyle name="Separador de milhares 7 7 25 3" xfId="32207" xr:uid="{BD5BA7F5-FA69-4E10-828A-0F02F91ABE6F}"/>
    <cellStyle name="Separador de milhares 7 7 26" xfId="23383" xr:uid="{00000000-0005-0000-0000-0000AE650000}"/>
    <cellStyle name="Separador de milhares 7 7 26 2" xfId="23384" xr:uid="{00000000-0005-0000-0000-0000AF650000}"/>
    <cellStyle name="Separador de milhares 7 7 26 2 2" xfId="32210" xr:uid="{CC0C8F87-5DB9-4E0A-A90B-B40FD368FA80}"/>
    <cellStyle name="Separador de milhares 7 7 26 3" xfId="32209" xr:uid="{16118FB1-0DFF-4F56-91E1-AC707648B462}"/>
    <cellStyle name="Separador de milhares 7 7 27" xfId="23385" xr:uid="{00000000-0005-0000-0000-0000B0650000}"/>
    <cellStyle name="Separador de milhares 7 7 27 2" xfId="23386" xr:uid="{00000000-0005-0000-0000-0000B1650000}"/>
    <cellStyle name="Separador de milhares 7 7 27 2 2" xfId="32212" xr:uid="{BEC2D117-5BB9-4535-B2EC-0A1FEFE5AEA1}"/>
    <cellStyle name="Separador de milhares 7 7 27 3" xfId="32211" xr:uid="{2E9077AD-B0E8-496D-BBE5-57723DE3C137}"/>
    <cellStyle name="Separador de milhares 7 7 28" xfId="23387" xr:uid="{00000000-0005-0000-0000-0000B2650000}"/>
    <cellStyle name="Separador de milhares 7 7 28 2" xfId="23388" xr:uid="{00000000-0005-0000-0000-0000B3650000}"/>
    <cellStyle name="Separador de milhares 7 7 28 2 2" xfId="32214" xr:uid="{2D9B7CF7-100F-4065-B01E-EDE4294F545B}"/>
    <cellStyle name="Separador de milhares 7 7 28 3" xfId="32213" xr:uid="{DCF8693F-4F1F-439E-9938-ADCC95BA12D6}"/>
    <cellStyle name="Separador de milhares 7 7 29" xfId="23389" xr:uid="{00000000-0005-0000-0000-0000B4650000}"/>
    <cellStyle name="Separador de milhares 7 7 29 2" xfId="23390" xr:uid="{00000000-0005-0000-0000-0000B5650000}"/>
    <cellStyle name="Separador de milhares 7 7 29 2 2" xfId="32216" xr:uid="{9D86A09A-121F-4853-A8A1-11EF2BE6A00D}"/>
    <cellStyle name="Separador de milhares 7 7 29 3" xfId="32215" xr:uid="{7F084922-1248-4A48-8CC4-C0720BF1C4ED}"/>
    <cellStyle name="Separador de milhares 7 7 3" xfId="23391" xr:uid="{00000000-0005-0000-0000-0000B6650000}"/>
    <cellStyle name="Separador de milhares 7 7 3 2" xfId="23392" xr:uid="{00000000-0005-0000-0000-0000B7650000}"/>
    <cellStyle name="Separador de milhares 7 7 3 2 2" xfId="23393" xr:uid="{00000000-0005-0000-0000-0000B8650000}"/>
    <cellStyle name="Separador de milhares 7 7 3 2 2 2" xfId="32219" xr:uid="{0971E574-72B2-4C03-9A31-463D13441E9F}"/>
    <cellStyle name="Separador de milhares 7 7 3 2 3" xfId="32218" xr:uid="{2CD48614-58CD-4FFD-AD02-751ED08BEA31}"/>
    <cellStyle name="Separador de milhares 7 7 3 3" xfId="23394" xr:uid="{00000000-0005-0000-0000-0000B9650000}"/>
    <cellStyle name="Separador de milhares 7 7 3 3 2" xfId="23395" xr:uid="{00000000-0005-0000-0000-0000BA650000}"/>
    <cellStyle name="Separador de milhares 7 7 3 3 2 2" xfId="32221" xr:uid="{3865AC7C-AE89-4FC5-ABDD-1783A60F4E96}"/>
    <cellStyle name="Separador de milhares 7 7 3 3 3" xfId="32220" xr:uid="{876BEC98-DE0D-4324-89EF-60587A22FD7B}"/>
    <cellStyle name="Separador de milhares 7 7 3 4" xfId="23396" xr:uid="{00000000-0005-0000-0000-0000BB650000}"/>
    <cellStyle name="Separador de milhares 7 7 3 4 2" xfId="23397" xr:uid="{00000000-0005-0000-0000-0000BC650000}"/>
    <cellStyle name="Separador de milhares 7 7 3 4 2 2" xfId="32223" xr:uid="{11CC3A63-164B-4A98-8444-491DB963C2E2}"/>
    <cellStyle name="Separador de milhares 7 7 3 4 3" xfId="32222" xr:uid="{D6F1D29A-8341-48ED-A16B-44247338D3A4}"/>
    <cellStyle name="Separador de milhares 7 7 3 5" xfId="23398" xr:uid="{00000000-0005-0000-0000-0000BD650000}"/>
    <cellStyle name="Separador de milhares 7 7 3 5 2" xfId="23399" xr:uid="{00000000-0005-0000-0000-0000BE650000}"/>
    <cellStyle name="Separador de milhares 7 7 3 5 2 2" xfId="32225" xr:uid="{45232532-7325-456C-93D6-9C5FE7346BA6}"/>
    <cellStyle name="Separador de milhares 7 7 3 5 3" xfId="32224" xr:uid="{E162F0F3-CEA4-478E-AED6-923DDAF6CE01}"/>
    <cellStyle name="Separador de milhares 7 7 3 6" xfId="23400" xr:uid="{00000000-0005-0000-0000-0000BF650000}"/>
    <cellStyle name="Separador de milhares 7 7 3 6 2" xfId="32226" xr:uid="{BA5FC5ED-DF1D-4E86-9171-1502DD6988C8}"/>
    <cellStyle name="Separador de milhares 7 7 3 7" xfId="32217" xr:uid="{6C22F3B3-2167-4587-A30A-4B04885203D2}"/>
    <cellStyle name="Separador de milhares 7 7 30" xfId="23401" xr:uid="{00000000-0005-0000-0000-0000C0650000}"/>
    <cellStyle name="Separador de milhares 7 7 30 2" xfId="23402" xr:uid="{00000000-0005-0000-0000-0000C1650000}"/>
    <cellStyle name="Separador de milhares 7 7 30 2 2" xfId="32228" xr:uid="{917E515E-0494-43EB-A6D3-083222C7FE57}"/>
    <cellStyle name="Separador de milhares 7 7 30 3" xfId="32227" xr:uid="{F8446C8D-F3E3-4039-9B45-9ECE6702F04E}"/>
    <cellStyle name="Separador de milhares 7 7 31" xfId="23403" xr:uid="{00000000-0005-0000-0000-0000C2650000}"/>
    <cellStyle name="Separador de milhares 7 7 31 2" xfId="23404" xr:uid="{00000000-0005-0000-0000-0000C3650000}"/>
    <cellStyle name="Separador de milhares 7 7 31 2 2" xfId="32230" xr:uid="{DFF07A25-A8E5-4967-A48B-32878BD3BCA3}"/>
    <cellStyle name="Separador de milhares 7 7 31 3" xfId="32229" xr:uid="{44AAA1BF-5AD6-4A88-96D8-1AB4FE087CF9}"/>
    <cellStyle name="Separador de milhares 7 7 32" xfId="23405" xr:uid="{00000000-0005-0000-0000-0000C4650000}"/>
    <cellStyle name="Separador de milhares 7 7 32 2" xfId="23406" xr:uid="{00000000-0005-0000-0000-0000C5650000}"/>
    <cellStyle name="Separador de milhares 7 7 32 2 2" xfId="32232" xr:uid="{09FC953A-DB66-472B-8DBB-4CEA249624D8}"/>
    <cellStyle name="Separador de milhares 7 7 32 3" xfId="32231" xr:uid="{BC6A9328-000A-48F5-B2F6-107ACD43F24D}"/>
    <cellStyle name="Separador de milhares 7 7 33" xfId="23407" xr:uid="{00000000-0005-0000-0000-0000C6650000}"/>
    <cellStyle name="Separador de milhares 7 7 33 2" xfId="23408" xr:uid="{00000000-0005-0000-0000-0000C7650000}"/>
    <cellStyle name="Separador de milhares 7 7 33 2 2" xfId="32234" xr:uid="{76ECEB26-529E-46DB-BD5D-962F8A8CC305}"/>
    <cellStyle name="Separador de milhares 7 7 33 3" xfId="32233" xr:uid="{0E03CE7F-AAB8-4676-9194-44A738A773AF}"/>
    <cellStyle name="Separador de milhares 7 7 34" xfId="23409" xr:uid="{00000000-0005-0000-0000-0000C8650000}"/>
    <cellStyle name="Separador de milhares 7 7 34 2" xfId="23410" xr:uid="{00000000-0005-0000-0000-0000C9650000}"/>
    <cellStyle name="Separador de milhares 7 7 34 2 2" xfId="32236" xr:uid="{C66F5863-5DAA-4387-B34D-9929E18DC3EA}"/>
    <cellStyle name="Separador de milhares 7 7 34 3" xfId="32235" xr:uid="{D10D6534-E034-40ED-84D7-68D666761917}"/>
    <cellStyle name="Separador de milhares 7 7 35" xfId="23411" xr:uid="{00000000-0005-0000-0000-0000CA650000}"/>
    <cellStyle name="Separador de milhares 7 7 35 2" xfId="23412" xr:uid="{00000000-0005-0000-0000-0000CB650000}"/>
    <cellStyle name="Separador de milhares 7 7 35 2 2" xfId="32238" xr:uid="{9EAC15E1-F43C-41F1-82C9-8D80CF359666}"/>
    <cellStyle name="Separador de milhares 7 7 35 3" xfId="32237" xr:uid="{8352527A-C113-49AD-B9A6-53713D2B10E2}"/>
    <cellStyle name="Separador de milhares 7 7 36" xfId="23413" xr:uid="{00000000-0005-0000-0000-0000CC650000}"/>
    <cellStyle name="Separador de milhares 7 7 36 2" xfId="23414" xr:uid="{00000000-0005-0000-0000-0000CD650000}"/>
    <cellStyle name="Separador de milhares 7 7 36 2 2" xfId="32240" xr:uid="{1B6A0ED8-FD96-4BC2-99D1-511027FCDB21}"/>
    <cellStyle name="Separador de milhares 7 7 36 3" xfId="32239" xr:uid="{2219AC16-998F-4D98-93FD-5B7553068BC4}"/>
    <cellStyle name="Separador de milhares 7 7 37" xfId="23415" xr:uid="{00000000-0005-0000-0000-0000CE650000}"/>
    <cellStyle name="Separador de milhares 7 7 37 2" xfId="23416" xr:uid="{00000000-0005-0000-0000-0000CF650000}"/>
    <cellStyle name="Separador de milhares 7 7 37 2 2" xfId="32242" xr:uid="{7E82B1E7-389A-4288-8B58-9E82B1CF617A}"/>
    <cellStyle name="Separador de milhares 7 7 37 3" xfId="32241" xr:uid="{AADD27BE-F0A0-47BD-BA12-03036455B3C8}"/>
    <cellStyle name="Separador de milhares 7 7 38" xfId="23417" xr:uid="{00000000-0005-0000-0000-0000D0650000}"/>
    <cellStyle name="Separador de milhares 7 7 38 2" xfId="23418" xr:uid="{00000000-0005-0000-0000-0000D1650000}"/>
    <cellStyle name="Separador de milhares 7 7 38 2 2" xfId="32244" xr:uid="{4FD5342A-856A-4D38-B52F-4C2210AA1966}"/>
    <cellStyle name="Separador de milhares 7 7 38 3" xfId="32243" xr:uid="{A490174A-3DE7-4638-A131-456412271A09}"/>
    <cellStyle name="Separador de milhares 7 7 39" xfId="23419" xr:uid="{00000000-0005-0000-0000-0000D2650000}"/>
    <cellStyle name="Separador de milhares 7 7 39 2" xfId="23420" xr:uid="{00000000-0005-0000-0000-0000D3650000}"/>
    <cellStyle name="Separador de milhares 7 7 39 2 2" xfId="32246" xr:uid="{29D30131-99F5-486E-8558-F5A0A0600603}"/>
    <cellStyle name="Separador de milhares 7 7 39 3" xfId="32245" xr:uid="{DE1A65EA-53D6-42A5-9812-2B5F0B46049D}"/>
    <cellStyle name="Separador de milhares 7 7 4" xfId="23421" xr:uid="{00000000-0005-0000-0000-0000D4650000}"/>
    <cellStyle name="Separador de milhares 7 7 4 2" xfId="23422" xr:uid="{00000000-0005-0000-0000-0000D5650000}"/>
    <cellStyle name="Separador de milhares 7 7 4 2 2" xfId="23423" xr:uid="{00000000-0005-0000-0000-0000D6650000}"/>
    <cellStyle name="Separador de milhares 7 7 4 2 2 2" xfId="32249" xr:uid="{DE77E099-B6CA-43B0-B534-683EC8A7152C}"/>
    <cellStyle name="Separador de milhares 7 7 4 2 3" xfId="32248" xr:uid="{AEBFCBD7-F843-4C58-854F-77CF527ACEC7}"/>
    <cellStyle name="Separador de milhares 7 7 4 3" xfId="23424" xr:uid="{00000000-0005-0000-0000-0000D7650000}"/>
    <cellStyle name="Separador de milhares 7 7 4 3 2" xfId="23425" xr:uid="{00000000-0005-0000-0000-0000D8650000}"/>
    <cellStyle name="Separador de milhares 7 7 4 3 2 2" xfId="32251" xr:uid="{A7C65A6F-87A4-4DBE-A3AE-714A9432A195}"/>
    <cellStyle name="Separador de milhares 7 7 4 3 3" xfId="32250" xr:uid="{4D94170F-9826-42E1-9551-474BA223FE89}"/>
    <cellStyle name="Separador de milhares 7 7 4 4" xfId="23426" xr:uid="{00000000-0005-0000-0000-0000D9650000}"/>
    <cellStyle name="Separador de milhares 7 7 4 4 2" xfId="23427" xr:uid="{00000000-0005-0000-0000-0000DA650000}"/>
    <cellStyle name="Separador de milhares 7 7 4 4 2 2" xfId="32253" xr:uid="{80295BA9-B9A3-41A7-85A8-0DE8261C9B46}"/>
    <cellStyle name="Separador de milhares 7 7 4 4 3" xfId="32252" xr:uid="{BAC15747-B7A2-4B17-B7B6-B44A91A9C780}"/>
    <cellStyle name="Separador de milhares 7 7 4 5" xfId="23428" xr:uid="{00000000-0005-0000-0000-0000DB650000}"/>
    <cellStyle name="Separador de milhares 7 7 4 5 2" xfId="23429" xr:uid="{00000000-0005-0000-0000-0000DC650000}"/>
    <cellStyle name="Separador de milhares 7 7 4 5 2 2" xfId="32255" xr:uid="{2224E916-A589-4CA5-A94F-CBBA93EFABF4}"/>
    <cellStyle name="Separador de milhares 7 7 4 5 3" xfId="32254" xr:uid="{0AE9ACAC-CFDC-4575-8A89-CBDF5F7FE164}"/>
    <cellStyle name="Separador de milhares 7 7 4 6" xfId="23430" xr:uid="{00000000-0005-0000-0000-0000DD650000}"/>
    <cellStyle name="Separador de milhares 7 7 4 6 2" xfId="32256" xr:uid="{8461D371-6BBA-402F-B433-9DC686B05EB4}"/>
    <cellStyle name="Separador de milhares 7 7 4 7" xfId="32247" xr:uid="{F6DDFFCD-3371-4D90-8153-09D61C8A177E}"/>
    <cellStyle name="Separador de milhares 7 7 40" xfId="23431" xr:uid="{00000000-0005-0000-0000-0000DE650000}"/>
    <cellStyle name="Separador de milhares 7 7 40 2" xfId="23432" xr:uid="{00000000-0005-0000-0000-0000DF650000}"/>
    <cellStyle name="Separador de milhares 7 7 40 2 2" xfId="32258" xr:uid="{BB319024-CBF7-4D40-B0D3-79D027977268}"/>
    <cellStyle name="Separador de milhares 7 7 40 3" xfId="32257" xr:uid="{A4F0EEC3-EA9C-449C-B8DD-BD453B748CFA}"/>
    <cellStyle name="Separador de milhares 7 7 41" xfId="23433" xr:uid="{00000000-0005-0000-0000-0000E0650000}"/>
    <cellStyle name="Separador de milhares 7 7 41 2" xfId="23434" xr:uid="{00000000-0005-0000-0000-0000E1650000}"/>
    <cellStyle name="Separador de milhares 7 7 41 2 2" xfId="32260" xr:uid="{742B1423-2234-4A2F-B358-5CC615101599}"/>
    <cellStyle name="Separador de milhares 7 7 41 3" xfId="32259" xr:uid="{24396439-5A48-44EB-AF8F-34A1556E637A}"/>
    <cellStyle name="Separador de milhares 7 7 42" xfId="23435" xr:uid="{00000000-0005-0000-0000-0000E2650000}"/>
    <cellStyle name="Separador de milhares 7 7 42 2" xfId="23436" xr:uid="{00000000-0005-0000-0000-0000E3650000}"/>
    <cellStyle name="Separador de milhares 7 7 42 2 2" xfId="32262" xr:uid="{C519D9B3-9DFE-44CB-8E19-360003C96C9C}"/>
    <cellStyle name="Separador de milhares 7 7 42 3" xfId="32261" xr:uid="{D49E6655-C600-4070-961D-CAF7B98E835B}"/>
    <cellStyle name="Separador de milhares 7 7 43" xfId="23437" xr:uid="{00000000-0005-0000-0000-0000E4650000}"/>
    <cellStyle name="Separador de milhares 7 7 43 2" xfId="23438" xr:uid="{00000000-0005-0000-0000-0000E5650000}"/>
    <cellStyle name="Separador de milhares 7 7 43 2 2" xfId="32264" xr:uid="{DC1BFE2E-EAD7-42BB-B2FA-12FAA4BD7CFA}"/>
    <cellStyle name="Separador de milhares 7 7 43 3" xfId="32263" xr:uid="{0EC34CAB-2735-4782-9BC8-4A7F3BD3D304}"/>
    <cellStyle name="Separador de milhares 7 7 44" xfId="23439" xr:uid="{00000000-0005-0000-0000-0000E6650000}"/>
    <cellStyle name="Separador de milhares 7 7 44 2" xfId="23440" xr:uid="{00000000-0005-0000-0000-0000E7650000}"/>
    <cellStyle name="Separador de milhares 7 7 44 2 2" xfId="32266" xr:uid="{AF6C9BA6-EAED-4616-92AA-476BDAF680C6}"/>
    <cellStyle name="Separador de milhares 7 7 44 3" xfId="32265" xr:uid="{8889704F-33E7-4DB7-8004-719766FBA296}"/>
    <cellStyle name="Separador de milhares 7 7 45" xfId="23441" xr:uid="{00000000-0005-0000-0000-0000E8650000}"/>
    <cellStyle name="Separador de milhares 7 7 45 2" xfId="23442" xr:uid="{00000000-0005-0000-0000-0000E9650000}"/>
    <cellStyle name="Separador de milhares 7 7 45 2 2" xfId="32268" xr:uid="{CF057447-F7D8-4CCA-945A-4819EEC3D0D8}"/>
    <cellStyle name="Separador de milhares 7 7 45 3" xfId="32267" xr:uid="{1F7ECEBA-6BD0-4453-B33B-879AD1D9118C}"/>
    <cellStyle name="Separador de milhares 7 7 46" xfId="23443" xr:uid="{00000000-0005-0000-0000-0000EA650000}"/>
    <cellStyle name="Separador de milhares 7 7 46 2" xfId="32269" xr:uid="{3D583226-892E-45D4-9256-11714EACF113}"/>
    <cellStyle name="Separador de milhares 7 7 47" xfId="23340" xr:uid="{00000000-0005-0000-0000-0000EB650000}"/>
    <cellStyle name="Separador de milhares 7 7 48" xfId="28090" xr:uid="{E88582E6-5C2A-4938-838D-C727E8023E55}"/>
    <cellStyle name="Separador de milhares 7 7 5" xfId="23444" xr:uid="{00000000-0005-0000-0000-0000EC650000}"/>
    <cellStyle name="Separador de milhares 7 7 5 2" xfId="23445" xr:uid="{00000000-0005-0000-0000-0000ED650000}"/>
    <cellStyle name="Separador de milhares 7 7 5 2 2" xfId="32271" xr:uid="{CB0E52E1-3CC9-4743-BC1C-FA5E3DED2105}"/>
    <cellStyle name="Separador de milhares 7 7 5 3" xfId="32270" xr:uid="{2F27AF5E-9AA1-4D7B-9B69-834F1BCC92D6}"/>
    <cellStyle name="Separador de milhares 7 7 6" xfId="23446" xr:uid="{00000000-0005-0000-0000-0000EE650000}"/>
    <cellStyle name="Separador de milhares 7 7 6 2" xfId="23447" xr:uid="{00000000-0005-0000-0000-0000EF650000}"/>
    <cellStyle name="Separador de milhares 7 7 6 2 2" xfId="32273" xr:uid="{D755D563-D334-4606-AB3F-9FF7174C4E4E}"/>
    <cellStyle name="Separador de milhares 7 7 6 3" xfId="32272" xr:uid="{E93E112F-223E-4E5F-8227-5EB2AEFA0DD6}"/>
    <cellStyle name="Separador de milhares 7 7 7" xfId="23448" xr:uid="{00000000-0005-0000-0000-0000F0650000}"/>
    <cellStyle name="Separador de milhares 7 7 7 2" xfId="23449" xr:uid="{00000000-0005-0000-0000-0000F1650000}"/>
    <cellStyle name="Separador de milhares 7 7 7 2 2" xfId="32275" xr:uid="{B747FFCF-9CF1-4E13-81BD-CB9CEA8CEB1A}"/>
    <cellStyle name="Separador de milhares 7 7 7 3" xfId="32274" xr:uid="{726C4446-1604-414B-9661-75BAAD009BC4}"/>
    <cellStyle name="Separador de milhares 7 7 8" xfId="23450" xr:uid="{00000000-0005-0000-0000-0000F2650000}"/>
    <cellStyle name="Separador de milhares 7 7 8 2" xfId="23451" xr:uid="{00000000-0005-0000-0000-0000F3650000}"/>
    <cellStyle name="Separador de milhares 7 7 8 2 2" xfId="32277" xr:uid="{CEE92088-A9ED-4153-A110-ABD280148CAF}"/>
    <cellStyle name="Separador de milhares 7 7 8 3" xfId="32276" xr:uid="{35CA4E99-A275-4D5D-B313-49EBE6DC9CD5}"/>
    <cellStyle name="Separador de milhares 7 7 9" xfId="23452" xr:uid="{00000000-0005-0000-0000-0000F4650000}"/>
    <cellStyle name="Separador de milhares 7 7 9 2" xfId="23453" xr:uid="{00000000-0005-0000-0000-0000F5650000}"/>
    <cellStyle name="Separador de milhares 7 7 9 2 2" xfId="32279" xr:uid="{38977EFE-BCB4-44AE-A318-1732CB92AE6F}"/>
    <cellStyle name="Separador de milhares 7 7 9 3" xfId="32278" xr:uid="{01450EAA-25CD-4C24-AE1F-1A1D6540E06D}"/>
    <cellStyle name="Separador de milhares 7 8" xfId="857" xr:uid="{00000000-0005-0000-0000-0000F6650000}"/>
    <cellStyle name="Separador de milhares 7 8 10" xfId="23455" xr:uid="{00000000-0005-0000-0000-0000F7650000}"/>
    <cellStyle name="Separador de milhares 7 8 10 2" xfId="23456" xr:uid="{00000000-0005-0000-0000-0000F8650000}"/>
    <cellStyle name="Separador de milhares 7 8 10 2 2" xfId="32281" xr:uid="{18C1A3B7-A58B-4F13-A0E8-1973B6604EF1}"/>
    <cellStyle name="Separador de milhares 7 8 10 3" xfId="32280" xr:uid="{3A3C5CDD-02DD-486D-968B-D0C00C93F22A}"/>
    <cellStyle name="Separador de milhares 7 8 11" xfId="23457" xr:uid="{00000000-0005-0000-0000-0000F9650000}"/>
    <cellStyle name="Separador de milhares 7 8 11 2" xfId="23458" xr:uid="{00000000-0005-0000-0000-0000FA650000}"/>
    <cellStyle name="Separador de milhares 7 8 11 2 2" xfId="32283" xr:uid="{F80E6F33-3522-4B51-9CA2-C079981D9A51}"/>
    <cellStyle name="Separador de milhares 7 8 11 3" xfId="32282" xr:uid="{79E808EE-1D8F-411F-A32E-B6FEF7A39FCE}"/>
    <cellStyle name="Separador de milhares 7 8 12" xfId="23459" xr:uid="{00000000-0005-0000-0000-0000FB650000}"/>
    <cellStyle name="Separador de milhares 7 8 12 2" xfId="23460" xr:uid="{00000000-0005-0000-0000-0000FC650000}"/>
    <cellStyle name="Separador de milhares 7 8 12 2 2" xfId="32285" xr:uid="{BDE8E564-5A00-4B91-91FC-385209A66ADC}"/>
    <cellStyle name="Separador de milhares 7 8 12 3" xfId="32284" xr:uid="{9B5A72D2-A636-4C28-971C-134CC4A56DEC}"/>
    <cellStyle name="Separador de milhares 7 8 13" xfId="23461" xr:uid="{00000000-0005-0000-0000-0000FD650000}"/>
    <cellStyle name="Separador de milhares 7 8 13 2" xfId="23462" xr:uid="{00000000-0005-0000-0000-0000FE650000}"/>
    <cellStyle name="Separador de milhares 7 8 13 2 2" xfId="32287" xr:uid="{67FB2439-C04D-451C-9934-A597AAFED884}"/>
    <cellStyle name="Separador de milhares 7 8 13 3" xfId="32286" xr:uid="{86B85D62-A4F5-4802-B69F-61E40948BE08}"/>
    <cellStyle name="Separador de milhares 7 8 14" xfId="23463" xr:uid="{00000000-0005-0000-0000-0000FF650000}"/>
    <cellStyle name="Separador de milhares 7 8 14 2" xfId="23464" xr:uid="{00000000-0005-0000-0000-000000660000}"/>
    <cellStyle name="Separador de milhares 7 8 14 2 2" xfId="32289" xr:uid="{E2EDB02B-C33C-4C41-BD9B-6DB1607733AC}"/>
    <cellStyle name="Separador de milhares 7 8 14 3" xfId="32288" xr:uid="{1BD3BE85-9E25-4D81-904A-7033EE7F2D33}"/>
    <cellStyle name="Separador de milhares 7 8 15" xfId="23465" xr:uid="{00000000-0005-0000-0000-000001660000}"/>
    <cellStyle name="Separador de milhares 7 8 15 2" xfId="23466" xr:uid="{00000000-0005-0000-0000-000002660000}"/>
    <cellStyle name="Separador de milhares 7 8 15 2 2" xfId="32291" xr:uid="{715B8D59-B915-4DCD-B77B-378CC737E187}"/>
    <cellStyle name="Separador de milhares 7 8 15 3" xfId="32290" xr:uid="{5F3A3065-DFD0-407A-AE9E-18232A247495}"/>
    <cellStyle name="Separador de milhares 7 8 16" xfId="23467" xr:uid="{00000000-0005-0000-0000-000003660000}"/>
    <cellStyle name="Separador de milhares 7 8 16 2" xfId="23468" xr:uid="{00000000-0005-0000-0000-000004660000}"/>
    <cellStyle name="Separador de milhares 7 8 16 2 2" xfId="32293" xr:uid="{8E7C1F3F-C882-4839-B1A4-5B19AC00FE1E}"/>
    <cellStyle name="Separador de milhares 7 8 16 3" xfId="32292" xr:uid="{30070E59-C31E-4C90-AF9C-396E5543A2A6}"/>
    <cellStyle name="Separador de milhares 7 8 17" xfId="23469" xr:uid="{00000000-0005-0000-0000-000005660000}"/>
    <cellStyle name="Separador de milhares 7 8 17 2" xfId="23470" xr:uid="{00000000-0005-0000-0000-000006660000}"/>
    <cellStyle name="Separador de milhares 7 8 17 2 2" xfId="32295" xr:uid="{15910999-DD98-4646-B425-D091D14CD8CB}"/>
    <cellStyle name="Separador de milhares 7 8 17 3" xfId="32294" xr:uid="{4A67E525-9A2D-41B8-9052-B401B65A6747}"/>
    <cellStyle name="Separador de milhares 7 8 18" xfId="23471" xr:uid="{00000000-0005-0000-0000-000007660000}"/>
    <cellStyle name="Separador de milhares 7 8 18 2" xfId="23472" xr:uid="{00000000-0005-0000-0000-000008660000}"/>
    <cellStyle name="Separador de milhares 7 8 18 2 2" xfId="32297" xr:uid="{7B83BC83-2EE7-4EF1-803E-F711DE0AF1C2}"/>
    <cellStyle name="Separador de milhares 7 8 18 3" xfId="32296" xr:uid="{1857F8E7-A4DC-409D-AC4E-13FC831BE775}"/>
    <cellStyle name="Separador de milhares 7 8 19" xfId="23473" xr:uid="{00000000-0005-0000-0000-000009660000}"/>
    <cellStyle name="Separador de milhares 7 8 19 2" xfId="23474" xr:uid="{00000000-0005-0000-0000-00000A660000}"/>
    <cellStyle name="Separador de milhares 7 8 19 2 2" xfId="32299" xr:uid="{4F06E45A-D976-43FF-88A7-A91D05F3B5EA}"/>
    <cellStyle name="Separador de milhares 7 8 19 3" xfId="32298" xr:uid="{EE465A69-1281-473A-8651-F2CB00E4ED7C}"/>
    <cellStyle name="Separador de milhares 7 8 2" xfId="23475" xr:uid="{00000000-0005-0000-0000-00000B660000}"/>
    <cellStyle name="Separador de milhares 7 8 2 2" xfId="23476" xr:uid="{00000000-0005-0000-0000-00000C660000}"/>
    <cellStyle name="Separador de milhares 7 8 2 2 2" xfId="32301" xr:uid="{6C8DC08A-C411-4C5E-9607-4C22749C75C4}"/>
    <cellStyle name="Separador de milhares 7 8 2 3" xfId="32300" xr:uid="{6E062B85-8603-4A62-9443-0D4CBA27CEE9}"/>
    <cellStyle name="Separador de milhares 7 8 20" xfId="23477" xr:uid="{00000000-0005-0000-0000-00000D660000}"/>
    <cellStyle name="Separador de milhares 7 8 20 2" xfId="23478" xr:uid="{00000000-0005-0000-0000-00000E660000}"/>
    <cellStyle name="Separador de milhares 7 8 20 2 2" xfId="32303" xr:uid="{665D0394-A2A6-457A-8FFB-AC2A21BC6519}"/>
    <cellStyle name="Separador de milhares 7 8 20 3" xfId="32302" xr:uid="{E459523D-E35B-4353-BA5F-016F73A2E617}"/>
    <cellStyle name="Separador de milhares 7 8 21" xfId="23479" xr:uid="{00000000-0005-0000-0000-00000F660000}"/>
    <cellStyle name="Separador de milhares 7 8 21 2" xfId="23480" xr:uid="{00000000-0005-0000-0000-000010660000}"/>
    <cellStyle name="Separador de milhares 7 8 21 2 2" xfId="32305" xr:uid="{68B35A61-390A-46B0-839A-2CB5F739AAE1}"/>
    <cellStyle name="Separador de milhares 7 8 21 3" xfId="32304" xr:uid="{4EF79B99-1907-43C6-BEB0-3C4679F514EA}"/>
    <cellStyle name="Separador de milhares 7 8 22" xfId="23481" xr:uid="{00000000-0005-0000-0000-000011660000}"/>
    <cellStyle name="Separador de milhares 7 8 22 2" xfId="23482" xr:uid="{00000000-0005-0000-0000-000012660000}"/>
    <cellStyle name="Separador de milhares 7 8 22 2 2" xfId="32307" xr:uid="{C9C23743-C483-4372-8E36-FAAE0469FA7B}"/>
    <cellStyle name="Separador de milhares 7 8 22 3" xfId="32306" xr:uid="{33A97D24-B3DF-4E93-B9EB-4E8D81F077E7}"/>
    <cellStyle name="Separador de milhares 7 8 23" xfId="23483" xr:uid="{00000000-0005-0000-0000-000013660000}"/>
    <cellStyle name="Separador de milhares 7 8 23 2" xfId="23484" xr:uid="{00000000-0005-0000-0000-000014660000}"/>
    <cellStyle name="Separador de milhares 7 8 23 2 2" xfId="32309" xr:uid="{F7489A8B-067A-4228-A5F1-E3AC9598F859}"/>
    <cellStyle name="Separador de milhares 7 8 23 3" xfId="32308" xr:uid="{3E7EF659-E0D7-4499-A275-6D3312D1A694}"/>
    <cellStyle name="Separador de milhares 7 8 24" xfId="23485" xr:uid="{00000000-0005-0000-0000-000015660000}"/>
    <cellStyle name="Separador de milhares 7 8 24 2" xfId="23486" xr:uid="{00000000-0005-0000-0000-000016660000}"/>
    <cellStyle name="Separador de milhares 7 8 24 2 2" xfId="32311" xr:uid="{88F5162E-AA48-4014-8E51-D5F2E127F2DC}"/>
    <cellStyle name="Separador de milhares 7 8 24 3" xfId="32310" xr:uid="{3D9EFB06-FF87-4DF9-9C13-D1C1CD27FAEE}"/>
    <cellStyle name="Separador de milhares 7 8 25" xfId="23487" xr:uid="{00000000-0005-0000-0000-000017660000}"/>
    <cellStyle name="Separador de milhares 7 8 25 2" xfId="23488" xr:uid="{00000000-0005-0000-0000-000018660000}"/>
    <cellStyle name="Separador de milhares 7 8 25 2 2" xfId="32313" xr:uid="{F68E0968-73C1-4A36-8578-5DCD1CFE3D9F}"/>
    <cellStyle name="Separador de milhares 7 8 25 3" xfId="32312" xr:uid="{B2048BD8-BE9C-4872-A3AF-F0D8C07FA449}"/>
    <cellStyle name="Separador de milhares 7 8 26" xfId="23489" xr:uid="{00000000-0005-0000-0000-000019660000}"/>
    <cellStyle name="Separador de milhares 7 8 26 2" xfId="23490" xr:uid="{00000000-0005-0000-0000-00001A660000}"/>
    <cellStyle name="Separador de milhares 7 8 26 2 2" xfId="32315" xr:uid="{EF1F191C-5C70-47D2-8C07-938405B0D478}"/>
    <cellStyle name="Separador de milhares 7 8 26 3" xfId="32314" xr:uid="{5DB9446A-70DC-4DC2-B47E-C55FE8B4380C}"/>
    <cellStyle name="Separador de milhares 7 8 27" xfId="23491" xr:uid="{00000000-0005-0000-0000-00001B660000}"/>
    <cellStyle name="Separador de milhares 7 8 27 2" xfId="23492" xr:uid="{00000000-0005-0000-0000-00001C660000}"/>
    <cellStyle name="Separador de milhares 7 8 27 2 2" xfId="32317" xr:uid="{314635E9-8304-4D00-B03A-4BD66EF61332}"/>
    <cellStyle name="Separador de milhares 7 8 27 3" xfId="32316" xr:uid="{C70E0D41-8620-46BA-9046-150ABBC97212}"/>
    <cellStyle name="Separador de milhares 7 8 28" xfId="23493" xr:uid="{00000000-0005-0000-0000-00001D660000}"/>
    <cellStyle name="Separador de milhares 7 8 28 2" xfId="23494" xr:uid="{00000000-0005-0000-0000-00001E660000}"/>
    <cellStyle name="Separador de milhares 7 8 28 2 2" xfId="32319" xr:uid="{45BED52A-9E14-4AF8-BA7E-7BC06749FB02}"/>
    <cellStyle name="Separador de milhares 7 8 28 3" xfId="32318" xr:uid="{EEFB012A-9D61-4535-A4A3-DD561A6376CF}"/>
    <cellStyle name="Separador de milhares 7 8 29" xfId="23495" xr:uid="{00000000-0005-0000-0000-00001F660000}"/>
    <cellStyle name="Separador de milhares 7 8 29 2" xfId="23496" xr:uid="{00000000-0005-0000-0000-000020660000}"/>
    <cellStyle name="Separador de milhares 7 8 29 2 2" xfId="32321" xr:uid="{4591A744-4744-4A3F-B241-80E80448784A}"/>
    <cellStyle name="Separador de milhares 7 8 29 3" xfId="32320" xr:uid="{9B601C94-39AC-4573-8121-B07B3B096DB3}"/>
    <cellStyle name="Separador de milhares 7 8 3" xfId="23497" xr:uid="{00000000-0005-0000-0000-000021660000}"/>
    <cellStyle name="Separador de milhares 7 8 3 2" xfId="23498" xr:uid="{00000000-0005-0000-0000-000022660000}"/>
    <cellStyle name="Separador de milhares 7 8 3 2 2" xfId="32323" xr:uid="{1A60D9DF-EC7A-4F57-AE18-77622BA6DA86}"/>
    <cellStyle name="Separador de milhares 7 8 3 3" xfId="32322" xr:uid="{26686087-6567-4960-AE92-681A063ED8DF}"/>
    <cellStyle name="Separador de milhares 7 8 30" xfId="23499" xr:uid="{00000000-0005-0000-0000-000023660000}"/>
    <cellStyle name="Separador de milhares 7 8 30 2" xfId="23500" xr:uid="{00000000-0005-0000-0000-000024660000}"/>
    <cellStyle name="Separador de milhares 7 8 30 2 2" xfId="32325" xr:uid="{50B30018-A6FE-4C8A-90D9-C381269ABB14}"/>
    <cellStyle name="Separador de milhares 7 8 30 3" xfId="32324" xr:uid="{170FE4DB-D17D-409C-BDCC-8F0F7141092D}"/>
    <cellStyle name="Separador de milhares 7 8 31" xfId="23501" xr:uid="{00000000-0005-0000-0000-000025660000}"/>
    <cellStyle name="Separador de milhares 7 8 31 2" xfId="23502" xr:uid="{00000000-0005-0000-0000-000026660000}"/>
    <cellStyle name="Separador de milhares 7 8 31 2 2" xfId="32327" xr:uid="{7EAEA256-79A2-43E5-921A-AEEAB2F95D5F}"/>
    <cellStyle name="Separador de milhares 7 8 31 3" xfId="32326" xr:uid="{1040DFEA-9B09-4C46-BA38-B97AF8F82684}"/>
    <cellStyle name="Separador de milhares 7 8 32" xfId="23503" xr:uid="{00000000-0005-0000-0000-000027660000}"/>
    <cellStyle name="Separador de milhares 7 8 32 2" xfId="23504" xr:uid="{00000000-0005-0000-0000-000028660000}"/>
    <cellStyle name="Separador de milhares 7 8 32 2 2" xfId="32329" xr:uid="{DA788966-39FD-43A3-A27F-60B60BECAD0A}"/>
    <cellStyle name="Separador de milhares 7 8 32 3" xfId="32328" xr:uid="{E8A4FE58-4737-4B85-9C8A-939BEBFB027F}"/>
    <cellStyle name="Separador de milhares 7 8 33" xfId="23505" xr:uid="{00000000-0005-0000-0000-000029660000}"/>
    <cellStyle name="Separador de milhares 7 8 33 2" xfId="23506" xr:uid="{00000000-0005-0000-0000-00002A660000}"/>
    <cellStyle name="Separador de milhares 7 8 33 2 2" xfId="32331" xr:uid="{0B0741D9-C45E-4F6E-B337-822AC418FDD0}"/>
    <cellStyle name="Separador de milhares 7 8 33 3" xfId="32330" xr:uid="{D74A8A74-B9D2-4F3E-815C-D6FF112D605A}"/>
    <cellStyle name="Separador de milhares 7 8 34" xfId="23507" xr:uid="{00000000-0005-0000-0000-00002B660000}"/>
    <cellStyle name="Separador de milhares 7 8 34 2" xfId="23508" xr:uid="{00000000-0005-0000-0000-00002C660000}"/>
    <cellStyle name="Separador de milhares 7 8 34 2 2" xfId="32333" xr:uid="{01CDF4BB-D0AA-4961-81E9-B0E506F174A3}"/>
    <cellStyle name="Separador de milhares 7 8 34 3" xfId="32332" xr:uid="{B52F97E4-689E-45EC-8DA2-457148C5D6D4}"/>
    <cellStyle name="Separador de milhares 7 8 35" xfId="23509" xr:uid="{00000000-0005-0000-0000-00002D660000}"/>
    <cellStyle name="Separador de milhares 7 8 35 2" xfId="32334" xr:uid="{77D8FE8F-1E7D-4768-AD1E-92A4D5BF1700}"/>
    <cellStyle name="Separador de milhares 7 8 36" xfId="23454" xr:uid="{00000000-0005-0000-0000-00002E660000}"/>
    <cellStyle name="Separador de milhares 7 8 37" xfId="28091" xr:uid="{A2D88BDC-7F95-46E6-92D5-F174DDC1AD33}"/>
    <cellStyle name="Separador de milhares 7 8 4" xfId="23510" xr:uid="{00000000-0005-0000-0000-00002F660000}"/>
    <cellStyle name="Separador de milhares 7 8 4 2" xfId="23511" xr:uid="{00000000-0005-0000-0000-000030660000}"/>
    <cellStyle name="Separador de milhares 7 8 4 2 2" xfId="32336" xr:uid="{380A6E0D-80EF-488F-BED5-D063D9EE57A3}"/>
    <cellStyle name="Separador de milhares 7 8 4 3" xfId="32335" xr:uid="{4D36DF11-0E7D-4C9D-9971-2AA64419A98C}"/>
    <cellStyle name="Separador de milhares 7 8 5" xfId="23512" xr:uid="{00000000-0005-0000-0000-000031660000}"/>
    <cellStyle name="Separador de milhares 7 8 5 2" xfId="23513" xr:uid="{00000000-0005-0000-0000-000032660000}"/>
    <cellStyle name="Separador de milhares 7 8 5 2 2" xfId="32338" xr:uid="{7ADC8913-0B1A-432F-BA06-2F40B8AB9393}"/>
    <cellStyle name="Separador de milhares 7 8 5 3" xfId="32337" xr:uid="{9DCC278A-C082-449C-B435-588FD81A772C}"/>
    <cellStyle name="Separador de milhares 7 8 6" xfId="23514" xr:uid="{00000000-0005-0000-0000-000033660000}"/>
    <cellStyle name="Separador de milhares 7 8 6 2" xfId="23515" xr:uid="{00000000-0005-0000-0000-000034660000}"/>
    <cellStyle name="Separador de milhares 7 8 6 2 2" xfId="32340" xr:uid="{9929BA96-4C64-4A64-810E-F3CF14CE8E4F}"/>
    <cellStyle name="Separador de milhares 7 8 6 3" xfId="32339" xr:uid="{1FE727FE-AC78-42E3-A400-F267FF79670A}"/>
    <cellStyle name="Separador de milhares 7 8 7" xfId="23516" xr:uid="{00000000-0005-0000-0000-000035660000}"/>
    <cellStyle name="Separador de milhares 7 8 7 2" xfId="23517" xr:uid="{00000000-0005-0000-0000-000036660000}"/>
    <cellStyle name="Separador de milhares 7 8 7 2 2" xfId="32342" xr:uid="{716C5310-1A0B-42A8-90C8-FD592E270873}"/>
    <cellStyle name="Separador de milhares 7 8 7 3" xfId="32341" xr:uid="{8345AB22-C12D-4ACA-87FE-67F605F7AC03}"/>
    <cellStyle name="Separador de milhares 7 8 8" xfId="23518" xr:uid="{00000000-0005-0000-0000-000037660000}"/>
    <cellStyle name="Separador de milhares 7 8 8 2" xfId="23519" xr:uid="{00000000-0005-0000-0000-000038660000}"/>
    <cellStyle name="Separador de milhares 7 8 8 2 2" xfId="32344" xr:uid="{46C7B42E-7775-4CEA-BC73-0C14F6918CCD}"/>
    <cellStyle name="Separador de milhares 7 8 8 3" xfId="32343" xr:uid="{CCCDF35B-0DC7-4F66-A7E1-F0D169DDC1C0}"/>
    <cellStyle name="Separador de milhares 7 8 9" xfId="23520" xr:uid="{00000000-0005-0000-0000-000039660000}"/>
    <cellStyle name="Separador de milhares 7 8 9 2" xfId="23521" xr:uid="{00000000-0005-0000-0000-00003A660000}"/>
    <cellStyle name="Separador de milhares 7 8 9 2 2" xfId="32346" xr:uid="{AA222AAC-D8EC-4910-BFAF-4ACA342FB1AD}"/>
    <cellStyle name="Separador de milhares 7 8 9 3" xfId="32345" xr:uid="{2D32228C-4BC7-4ECF-BB22-B87BE545546A}"/>
    <cellStyle name="Separador de milhares 7 9" xfId="23522" xr:uid="{00000000-0005-0000-0000-00003B660000}"/>
    <cellStyle name="Separador de milhares 7 9 2" xfId="23523" xr:uid="{00000000-0005-0000-0000-00003C660000}"/>
    <cellStyle name="Separador de milhares 7 9 2 2" xfId="23524" xr:uid="{00000000-0005-0000-0000-00003D660000}"/>
    <cellStyle name="Separador de milhares 7 9 2 2 2" xfId="32347" xr:uid="{23F6179D-6212-4852-B4BF-6B3EEDD28C4D}"/>
    <cellStyle name="Separador de milhares 7 9 3" xfId="23525" xr:uid="{00000000-0005-0000-0000-00003E660000}"/>
    <cellStyle name="Separador de milhares 7 9 3 2" xfId="23526" xr:uid="{00000000-0005-0000-0000-00003F660000}"/>
    <cellStyle name="Separador de milhares 7 9 3 2 2" xfId="32348" xr:uid="{BB6A6A75-4E3A-4AE8-8BEF-03D506EF43A7}"/>
    <cellStyle name="Separador de milhares 7 9 4" xfId="23527" xr:uid="{00000000-0005-0000-0000-000040660000}"/>
    <cellStyle name="Separador de milhares 7 9 4 2" xfId="23528" xr:uid="{00000000-0005-0000-0000-000041660000}"/>
    <cellStyle name="Separador de milhares 7 9 4 2 2" xfId="32349" xr:uid="{3273B8CD-F46E-414C-819E-FE317069B06A}"/>
    <cellStyle name="Separador de milhares 7 9 5" xfId="23529" xr:uid="{00000000-0005-0000-0000-000042660000}"/>
    <cellStyle name="Separador de milhares 7 9 5 2" xfId="23530" xr:uid="{00000000-0005-0000-0000-000043660000}"/>
    <cellStyle name="Separador de milhares 7 9 5 2 2" xfId="32351" xr:uid="{D58A2DEA-D859-4EFD-82C5-738FA468E5E2}"/>
    <cellStyle name="Separador de milhares 7 9 5 3" xfId="32350" xr:uid="{7EBFCA80-72DC-4991-9A17-4E7763F91DEE}"/>
    <cellStyle name="Separador de milhares 7 9 6" xfId="23531" xr:uid="{00000000-0005-0000-0000-000044660000}"/>
    <cellStyle name="Separador de milhares 7 9 6 2" xfId="32352" xr:uid="{D69E51CE-96BD-48D2-A814-01117297DD2A}"/>
    <cellStyle name="Separador de milhares 70" xfId="23532" xr:uid="{00000000-0005-0000-0000-000045660000}"/>
    <cellStyle name="Separador de milhares 70 2" xfId="32353" xr:uid="{984BCE28-7693-49A4-B563-0F8D1BB81B4D}"/>
    <cellStyle name="Separador de milhares 71" xfId="23533" xr:uid="{00000000-0005-0000-0000-000046660000}"/>
    <cellStyle name="Separador de milhares 71 2" xfId="32354" xr:uid="{57366CC4-2E70-432C-A47B-271F2FA5196F}"/>
    <cellStyle name="Separador de milhares 8" xfId="858" xr:uid="{00000000-0005-0000-0000-000047660000}"/>
    <cellStyle name="Separador de milhares 8 10" xfId="23534" xr:uid="{00000000-0005-0000-0000-000048660000}"/>
    <cellStyle name="Separador de milhares 8 10 10" xfId="23535" xr:uid="{00000000-0005-0000-0000-000049660000}"/>
    <cellStyle name="Separador de milhares 8 10 11" xfId="23536" xr:uid="{00000000-0005-0000-0000-00004A660000}"/>
    <cellStyle name="Separador de milhares 8 10 12" xfId="23537" xr:uid="{00000000-0005-0000-0000-00004B660000}"/>
    <cellStyle name="Separador de milhares 8 10 13" xfId="23538" xr:uid="{00000000-0005-0000-0000-00004C660000}"/>
    <cellStyle name="Separador de milhares 8 10 14" xfId="23539" xr:uid="{00000000-0005-0000-0000-00004D660000}"/>
    <cellStyle name="Separador de milhares 8 10 15" xfId="23540" xr:uid="{00000000-0005-0000-0000-00004E660000}"/>
    <cellStyle name="Separador de milhares 8 10 16" xfId="23541" xr:uid="{00000000-0005-0000-0000-00004F660000}"/>
    <cellStyle name="Separador de milhares 8 10 17" xfId="23542" xr:uid="{00000000-0005-0000-0000-000050660000}"/>
    <cellStyle name="Separador de milhares 8 10 18" xfId="23543" xr:uid="{00000000-0005-0000-0000-000051660000}"/>
    <cellStyle name="Separador de milhares 8 10 19" xfId="23544" xr:uid="{00000000-0005-0000-0000-000052660000}"/>
    <cellStyle name="Separador de milhares 8 10 2" xfId="23545" xr:uid="{00000000-0005-0000-0000-000053660000}"/>
    <cellStyle name="Separador de milhares 8 10 2 10" xfId="23546" xr:uid="{00000000-0005-0000-0000-000054660000}"/>
    <cellStyle name="Separador de milhares 8 10 2 10 2" xfId="23547" xr:uid="{00000000-0005-0000-0000-000055660000}"/>
    <cellStyle name="Separador de milhares 8 10 2 10 3" xfId="23548" xr:uid="{00000000-0005-0000-0000-000056660000}"/>
    <cellStyle name="Separador de milhares 8 10 2 10 4" xfId="23549" xr:uid="{00000000-0005-0000-0000-000057660000}"/>
    <cellStyle name="Separador de milhares 8 10 2 11" xfId="23550" xr:uid="{00000000-0005-0000-0000-000058660000}"/>
    <cellStyle name="Separador de milhares 8 10 2 11 2" xfId="23551" xr:uid="{00000000-0005-0000-0000-000059660000}"/>
    <cellStyle name="Separador de milhares 8 10 2 11 3" xfId="23552" xr:uid="{00000000-0005-0000-0000-00005A660000}"/>
    <cellStyle name="Separador de milhares 8 10 2 11 4" xfId="23553" xr:uid="{00000000-0005-0000-0000-00005B660000}"/>
    <cellStyle name="Separador de milhares 8 10 2 12" xfId="23554" xr:uid="{00000000-0005-0000-0000-00005C660000}"/>
    <cellStyle name="Separador de milhares 8 10 2 12 2" xfId="23555" xr:uid="{00000000-0005-0000-0000-00005D660000}"/>
    <cellStyle name="Separador de milhares 8 10 2 12 3" xfId="23556" xr:uid="{00000000-0005-0000-0000-00005E660000}"/>
    <cellStyle name="Separador de milhares 8 10 2 12 4" xfId="23557" xr:uid="{00000000-0005-0000-0000-00005F660000}"/>
    <cellStyle name="Separador de milhares 8 10 2 13" xfId="23558" xr:uid="{00000000-0005-0000-0000-000060660000}"/>
    <cellStyle name="Separador de milhares 8 10 2 13 2" xfId="23559" xr:uid="{00000000-0005-0000-0000-000061660000}"/>
    <cellStyle name="Separador de milhares 8 10 2 13 3" xfId="23560" xr:uid="{00000000-0005-0000-0000-000062660000}"/>
    <cellStyle name="Separador de milhares 8 10 2 13 4" xfId="23561" xr:uid="{00000000-0005-0000-0000-000063660000}"/>
    <cellStyle name="Separador de milhares 8 10 2 14" xfId="23562" xr:uid="{00000000-0005-0000-0000-000064660000}"/>
    <cellStyle name="Separador de milhares 8 10 2 14 2" xfId="23563" xr:uid="{00000000-0005-0000-0000-000065660000}"/>
    <cellStyle name="Separador de milhares 8 10 2 14 3" xfId="23564" xr:uid="{00000000-0005-0000-0000-000066660000}"/>
    <cellStyle name="Separador de milhares 8 10 2 14 4" xfId="23565" xr:uid="{00000000-0005-0000-0000-000067660000}"/>
    <cellStyle name="Separador de milhares 8 10 2 15" xfId="23566" xr:uid="{00000000-0005-0000-0000-000068660000}"/>
    <cellStyle name="Separador de milhares 8 10 2 15 2" xfId="23567" xr:uid="{00000000-0005-0000-0000-000069660000}"/>
    <cellStyle name="Separador de milhares 8 10 2 15 3" xfId="23568" xr:uid="{00000000-0005-0000-0000-00006A660000}"/>
    <cellStyle name="Separador de milhares 8 10 2 15 4" xfId="23569" xr:uid="{00000000-0005-0000-0000-00006B660000}"/>
    <cellStyle name="Separador de milhares 8 10 2 16" xfId="23570" xr:uid="{00000000-0005-0000-0000-00006C660000}"/>
    <cellStyle name="Separador de milhares 8 10 2 17" xfId="23571" xr:uid="{00000000-0005-0000-0000-00006D660000}"/>
    <cellStyle name="Separador de milhares 8 10 2 18" xfId="23572" xr:uid="{00000000-0005-0000-0000-00006E660000}"/>
    <cellStyle name="Separador de milhares 8 10 2 19" xfId="23573" xr:uid="{00000000-0005-0000-0000-00006F660000}"/>
    <cellStyle name="Separador de milhares 8 10 2 2" xfId="23574" xr:uid="{00000000-0005-0000-0000-000070660000}"/>
    <cellStyle name="Separador de milhares 8 10 2 2 2" xfId="23575" xr:uid="{00000000-0005-0000-0000-000071660000}"/>
    <cellStyle name="Separador de milhares 8 10 2 2 3" xfId="23576" xr:uid="{00000000-0005-0000-0000-000072660000}"/>
    <cellStyle name="Separador de milhares 8 10 2 2 4" xfId="23577" xr:uid="{00000000-0005-0000-0000-000073660000}"/>
    <cellStyle name="Separador de milhares 8 10 2 20" xfId="23578" xr:uid="{00000000-0005-0000-0000-000074660000}"/>
    <cellStyle name="Separador de milhares 8 10 2 21" xfId="23579" xr:uid="{00000000-0005-0000-0000-000075660000}"/>
    <cellStyle name="Separador de milhares 8 10 2 3" xfId="23580" xr:uid="{00000000-0005-0000-0000-000076660000}"/>
    <cellStyle name="Separador de milhares 8 10 2 3 2" xfId="23581" xr:uid="{00000000-0005-0000-0000-000077660000}"/>
    <cellStyle name="Separador de milhares 8 10 2 3 3" xfId="23582" xr:uid="{00000000-0005-0000-0000-000078660000}"/>
    <cellStyle name="Separador de milhares 8 10 2 3 4" xfId="23583" xr:uid="{00000000-0005-0000-0000-000079660000}"/>
    <cellStyle name="Separador de milhares 8 10 2 4" xfId="23584" xr:uid="{00000000-0005-0000-0000-00007A660000}"/>
    <cellStyle name="Separador de milhares 8 10 2 4 2" xfId="23585" xr:uid="{00000000-0005-0000-0000-00007B660000}"/>
    <cellStyle name="Separador de milhares 8 10 2 4 3" xfId="23586" xr:uid="{00000000-0005-0000-0000-00007C660000}"/>
    <cellStyle name="Separador de milhares 8 10 2 4 4" xfId="23587" xr:uid="{00000000-0005-0000-0000-00007D660000}"/>
    <cellStyle name="Separador de milhares 8 10 2 5" xfId="23588" xr:uid="{00000000-0005-0000-0000-00007E660000}"/>
    <cellStyle name="Separador de milhares 8 10 2 5 2" xfId="23589" xr:uid="{00000000-0005-0000-0000-00007F660000}"/>
    <cellStyle name="Separador de milhares 8 10 2 5 3" xfId="23590" xr:uid="{00000000-0005-0000-0000-000080660000}"/>
    <cellStyle name="Separador de milhares 8 10 2 5 4" xfId="23591" xr:uid="{00000000-0005-0000-0000-000081660000}"/>
    <cellStyle name="Separador de milhares 8 10 2 6" xfId="23592" xr:uid="{00000000-0005-0000-0000-000082660000}"/>
    <cellStyle name="Separador de milhares 8 10 2 6 2" xfId="23593" xr:uid="{00000000-0005-0000-0000-000083660000}"/>
    <cellStyle name="Separador de milhares 8 10 2 6 3" xfId="23594" xr:uid="{00000000-0005-0000-0000-000084660000}"/>
    <cellStyle name="Separador de milhares 8 10 2 6 4" xfId="23595" xr:uid="{00000000-0005-0000-0000-000085660000}"/>
    <cellStyle name="Separador de milhares 8 10 2 7" xfId="23596" xr:uid="{00000000-0005-0000-0000-000086660000}"/>
    <cellStyle name="Separador de milhares 8 10 2 7 2" xfId="23597" xr:uid="{00000000-0005-0000-0000-000087660000}"/>
    <cellStyle name="Separador de milhares 8 10 2 7 3" xfId="23598" xr:uid="{00000000-0005-0000-0000-000088660000}"/>
    <cellStyle name="Separador de milhares 8 10 2 7 4" xfId="23599" xr:uid="{00000000-0005-0000-0000-000089660000}"/>
    <cellStyle name="Separador de milhares 8 10 2 8" xfId="23600" xr:uid="{00000000-0005-0000-0000-00008A660000}"/>
    <cellStyle name="Separador de milhares 8 10 2 8 2" xfId="23601" xr:uid="{00000000-0005-0000-0000-00008B660000}"/>
    <cellStyle name="Separador de milhares 8 10 2 8 3" xfId="23602" xr:uid="{00000000-0005-0000-0000-00008C660000}"/>
    <cellStyle name="Separador de milhares 8 10 2 8 4" xfId="23603" xr:uid="{00000000-0005-0000-0000-00008D660000}"/>
    <cellStyle name="Separador de milhares 8 10 2 9" xfId="23604" xr:uid="{00000000-0005-0000-0000-00008E660000}"/>
    <cellStyle name="Separador de milhares 8 10 2 9 2" xfId="23605" xr:uid="{00000000-0005-0000-0000-00008F660000}"/>
    <cellStyle name="Separador de milhares 8 10 2 9 3" xfId="23606" xr:uid="{00000000-0005-0000-0000-000090660000}"/>
    <cellStyle name="Separador de milhares 8 10 2 9 4" xfId="23607" xr:uid="{00000000-0005-0000-0000-000091660000}"/>
    <cellStyle name="Separador de milhares 8 10 20" xfId="23608" xr:uid="{00000000-0005-0000-0000-000092660000}"/>
    <cellStyle name="Separador de milhares 8 10 21" xfId="23609" xr:uid="{00000000-0005-0000-0000-000093660000}"/>
    <cellStyle name="Separador de milhares 8 10 22" xfId="23610" xr:uid="{00000000-0005-0000-0000-000094660000}"/>
    <cellStyle name="Separador de milhares 8 10 23" xfId="23611" xr:uid="{00000000-0005-0000-0000-000095660000}"/>
    <cellStyle name="Separador de milhares 8 10 24" xfId="23612" xr:uid="{00000000-0005-0000-0000-000096660000}"/>
    <cellStyle name="Separador de milhares 8 10 25" xfId="23613" xr:uid="{00000000-0005-0000-0000-000097660000}"/>
    <cellStyle name="Separador de milhares 8 10 26" xfId="23614" xr:uid="{00000000-0005-0000-0000-000098660000}"/>
    <cellStyle name="Separador de milhares 8 10 26 2" xfId="23615" xr:uid="{00000000-0005-0000-0000-000099660000}"/>
    <cellStyle name="Separador de milhares 8 10 26 3" xfId="23616" xr:uid="{00000000-0005-0000-0000-00009A660000}"/>
    <cellStyle name="Separador de milhares 8 10 26 4" xfId="23617" xr:uid="{00000000-0005-0000-0000-00009B660000}"/>
    <cellStyle name="Separador de milhares 8 10 27" xfId="23618" xr:uid="{00000000-0005-0000-0000-00009C660000}"/>
    <cellStyle name="Separador de milhares 8 10 28" xfId="23619" xr:uid="{00000000-0005-0000-0000-00009D660000}"/>
    <cellStyle name="Separador de milhares 8 10 29" xfId="23620" xr:uid="{00000000-0005-0000-0000-00009E660000}"/>
    <cellStyle name="Separador de milhares 8 10 3" xfId="23621" xr:uid="{00000000-0005-0000-0000-00009F660000}"/>
    <cellStyle name="Separador de milhares 8 10 3 2" xfId="23622" xr:uid="{00000000-0005-0000-0000-0000A0660000}"/>
    <cellStyle name="Separador de milhares 8 10 3 3" xfId="23623" xr:uid="{00000000-0005-0000-0000-0000A1660000}"/>
    <cellStyle name="Separador de milhares 8 10 3 4" xfId="23624" xr:uid="{00000000-0005-0000-0000-0000A2660000}"/>
    <cellStyle name="Separador de milhares 8 10 30" xfId="23625" xr:uid="{00000000-0005-0000-0000-0000A3660000}"/>
    <cellStyle name="Separador de milhares 8 10 31" xfId="23626" xr:uid="{00000000-0005-0000-0000-0000A4660000}"/>
    <cellStyle name="Separador de milhares 8 10 32" xfId="23627" xr:uid="{00000000-0005-0000-0000-0000A5660000}"/>
    <cellStyle name="Separador de milhares 8 10 33" xfId="23628" xr:uid="{00000000-0005-0000-0000-0000A6660000}"/>
    <cellStyle name="Separador de milhares 8 10 34" xfId="23629" xr:uid="{00000000-0005-0000-0000-0000A7660000}"/>
    <cellStyle name="Separador de milhares 8 10 35" xfId="23630" xr:uid="{00000000-0005-0000-0000-0000A8660000}"/>
    <cellStyle name="Separador de milhares 8 10 36" xfId="23631" xr:uid="{00000000-0005-0000-0000-0000A9660000}"/>
    <cellStyle name="Separador de milhares 8 10 4" xfId="23632" xr:uid="{00000000-0005-0000-0000-0000AA660000}"/>
    <cellStyle name="Separador de milhares 8 10 4 2" xfId="23633" xr:uid="{00000000-0005-0000-0000-0000AB660000}"/>
    <cellStyle name="Separador de milhares 8 10 4 3" xfId="23634" xr:uid="{00000000-0005-0000-0000-0000AC660000}"/>
    <cellStyle name="Separador de milhares 8 10 4 4" xfId="23635" xr:uid="{00000000-0005-0000-0000-0000AD660000}"/>
    <cellStyle name="Separador de milhares 8 10 5" xfId="23636" xr:uid="{00000000-0005-0000-0000-0000AE660000}"/>
    <cellStyle name="Separador de milhares 8 10 6" xfId="23637" xr:uid="{00000000-0005-0000-0000-0000AF660000}"/>
    <cellStyle name="Separador de milhares 8 10 7" xfId="23638" xr:uid="{00000000-0005-0000-0000-0000B0660000}"/>
    <cellStyle name="Separador de milhares 8 10 8" xfId="23639" xr:uid="{00000000-0005-0000-0000-0000B1660000}"/>
    <cellStyle name="Separador de milhares 8 10 9" xfId="23640" xr:uid="{00000000-0005-0000-0000-0000B2660000}"/>
    <cellStyle name="Separador de milhares 8 11" xfId="23641" xr:uid="{00000000-0005-0000-0000-0000B3660000}"/>
    <cellStyle name="Separador de milhares 8 12" xfId="23642" xr:uid="{00000000-0005-0000-0000-0000B4660000}"/>
    <cellStyle name="Separador de milhares 8 13" xfId="23643" xr:uid="{00000000-0005-0000-0000-0000B5660000}"/>
    <cellStyle name="Separador de milhares 8 14" xfId="23644" xr:uid="{00000000-0005-0000-0000-0000B6660000}"/>
    <cellStyle name="Separador de milhares 8 15" xfId="23645" xr:uid="{00000000-0005-0000-0000-0000B7660000}"/>
    <cellStyle name="Separador de milhares 8 16" xfId="23646" xr:uid="{00000000-0005-0000-0000-0000B8660000}"/>
    <cellStyle name="Separador de milhares 8 17" xfId="23647" xr:uid="{00000000-0005-0000-0000-0000B9660000}"/>
    <cellStyle name="Separador de milhares 8 18" xfId="23648" xr:uid="{00000000-0005-0000-0000-0000BA660000}"/>
    <cellStyle name="Separador de milhares 8 19" xfId="23649" xr:uid="{00000000-0005-0000-0000-0000BB660000}"/>
    <cellStyle name="Separador de milhares 8 2" xfId="859" xr:uid="{00000000-0005-0000-0000-0000BC660000}"/>
    <cellStyle name="Separador de milhares 8 2 10" xfId="23651" xr:uid="{00000000-0005-0000-0000-0000BD660000}"/>
    <cellStyle name="Separador de milhares 8 2 11" xfId="23652" xr:uid="{00000000-0005-0000-0000-0000BE660000}"/>
    <cellStyle name="Separador de milhares 8 2 12" xfId="23653" xr:uid="{00000000-0005-0000-0000-0000BF660000}"/>
    <cellStyle name="Separador de milhares 8 2 13" xfId="23654" xr:uid="{00000000-0005-0000-0000-0000C0660000}"/>
    <cellStyle name="Separador de milhares 8 2 14" xfId="23655" xr:uid="{00000000-0005-0000-0000-0000C1660000}"/>
    <cellStyle name="Separador de milhares 8 2 15" xfId="23650" xr:uid="{00000000-0005-0000-0000-0000C2660000}"/>
    <cellStyle name="Separador de milhares 8 2 15 2" xfId="32355" xr:uid="{E5A2C736-B47B-4FB8-ABA3-2C76497B774C}"/>
    <cellStyle name="Separador de milhares 8 2 16" xfId="27323" xr:uid="{00000000-0005-0000-0000-0000C3660000}"/>
    <cellStyle name="Separador de milhares 8 2 16 2" xfId="33160" xr:uid="{F02F8B29-F97B-443F-B57F-D7AA0AFC2AB8}"/>
    <cellStyle name="Separador de milhares 8 2 17" xfId="27494" xr:uid="{00000000-0005-0000-0000-0000C4660000}"/>
    <cellStyle name="Separador de milhares 8 2 17 2" xfId="33331" xr:uid="{51CBC889-B2F5-4938-9004-49630B6B1C43}"/>
    <cellStyle name="Separador de milhares 8 2 18" xfId="27663" xr:uid="{00000000-0005-0000-0000-0000C5660000}"/>
    <cellStyle name="Separador de milhares 8 2 18 2" xfId="33474" xr:uid="{F08832D3-DC01-4723-8CF6-E93D3A907E7B}"/>
    <cellStyle name="Separador de milhares 8 2 19" xfId="27820" xr:uid="{00000000-0005-0000-0000-0000C6660000}"/>
    <cellStyle name="Separador de milhares 8 2 19 2" xfId="33631" xr:uid="{2AFA21BE-1C6C-4D6A-B5C1-5F117DDEAE1F}"/>
    <cellStyle name="Separador de milhares 8 2 2" xfId="23656" xr:uid="{00000000-0005-0000-0000-0000C7660000}"/>
    <cellStyle name="Separador de milhares 8 2 2 10" xfId="23657" xr:uid="{00000000-0005-0000-0000-0000C8660000}"/>
    <cellStyle name="Separador de milhares 8 2 2 11" xfId="32356" xr:uid="{6B8855C7-113A-4DC2-952F-D5C9C79F80F7}"/>
    <cellStyle name="Separador de milhares 8 2 2 2" xfId="23658" xr:uid="{00000000-0005-0000-0000-0000C9660000}"/>
    <cellStyle name="Separador de milhares 8 2 2 2 2" xfId="32357" xr:uid="{32EDBE0C-D1C7-43C4-82E5-20FB6C25B28A}"/>
    <cellStyle name="Separador de milhares 8 2 2 3" xfId="23659" xr:uid="{00000000-0005-0000-0000-0000CA660000}"/>
    <cellStyle name="Separador de milhares 8 2 2 4" xfId="23660" xr:uid="{00000000-0005-0000-0000-0000CB660000}"/>
    <cellStyle name="Separador de milhares 8 2 2 5" xfId="23661" xr:uid="{00000000-0005-0000-0000-0000CC660000}"/>
    <cellStyle name="Separador de milhares 8 2 2 6" xfId="23662" xr:uid="{00000000-0005-0000-0000-0000CD660000}"/>
    <cellStyle name="Separador de milhares 8 2 2 7" xfId="23663" xr:uid="{00000000-0005-0000-0000-0000CE660000}"/>
    <cellStyle name="Separador de milhares 8 2 2 8" xfId="23664" xr:uid="{00000000-0005-0000-0000-0000CF660000}"/>
    <cellStyle name="Separador de milhares 8 2 2 9" xfId="23665" xr:uid="{00000000-0005-0000-0000-0000D0660000}"/>
    <cellStyle name="Separador de milhares 8 2 20" xfId="28093" xr:uid="{219BA85D-0113-4299-BD76-23A52D4B6F82}"/>
    <cellStyle name="Separador de milhares 8 2 3" xfId="23666" xr:uid="{00000000-0005-0000-0000-0000D1660000}"/>
    <cellStyle name="Separador de milhares 8 2 3 10" xfId="23667" xr:uid="{00000000-0005-0000-0000-0000D2660000}"/>
    <cellStyle name="Separador de milhares 8 2 3 2" xfId="23668" xr:uid="{00000000-0005-0000-0000-0000D3660000}"/>
    <cellStyle name="Separador de milhares 8 2 3 3" xfId="23669" xr:uid="{00000000-0005-0000-0000-0000D4660000}"/>
    <cellStyle name="Separador de milhares 8 2 3 4" xfId="23670" xr:uid="{00000000-0005-0000-0000-0000D5660000}"/>
    <cellStyle name="Separador de milhares 8 2 3 5" xfId="23671" xr:uid="{00000000-0005-0000-0000-0000D6660000}"/>
    <cellStyle name="Separador de milhares 8 2 3 6" xfId="23672" xr:uid="{00000000-0005-0000-0000-0000D7660000}"/>
    <cellStyle name="Separador de milhares 8 2 3 7" xfId="23673" xr:uid="{00000000-0005-0000-0000-0000D8660000}"/>
    <cellStyle name="Separador de milhares 8 2 3 8" xfId="23674" xr:uid="{00000000-0005-0000-0000-0000D9660000}"/>
    <cellStyle name="Separador de milhares 8 2 3 9" xfId="23675" xr:uid="{00000000-0005-0000-0000-0000DA660000}"/>
    <cellStyle name="Separador de milhares 8 2 4" xfId="23676" xr:uid="{00000000-0005-0000-0000-0000DB660000}"/>
    <cellStyle name="Separador de milhares 8 2 5" xfId="23677" xr:uid="{00000000-0005-0000-0000-0000DC660000}"/>
    <cellStyle name="Separador de milhares 8 2 6" xfId="23678" xr:uid="{00000000-0005-0000-0000-0000DD660000}"/>
    <cellStyle name="Separador de milhares 8 2 7" xfId="23679" xr:uid="{00000000-0005-0000-0000-0000DE660000}"/>
    <cellStyle name="Separador de milhares 8 2 8" xfId="23680" xr:uid="{00000000-0005-0000-0000-0000DF660000}"/>
    <cellStyle name="Separador de milhares 8 2 9" xfId="23681" xr:uid="{00000000-0005-0000-0000-0000E0660000}"/>
    <cellStyle name="Separador de milhares 8 20" xfId="23682" xr:uid="{00000000-0005-0000-0000-0000E1660000}"/>
    <cellStyle name="Separador de milhares 8 21" xfId="23683" xr:uid="{00000000-0005-0000-0000-0000E2660000}"/>
    <cellStyle name="Separador de milhares 8 22" xfId="23684" xr:uid="{00000000-0005-0000-0000-0000E3660000}"/>
    <cellStyle name="Separador de milhares 8 23" xfId="23685" xr:uid="{00000000-0005-0000-0000-0000E4660000}"/>
    <cellStyle name="Separador de milhares 8 24" xfId="23686" xr:uid="{00000000-0005-0000-0000-0000E5660000}"/>
    <cellStyle name="Separador de milhares 8 25" xfId="23687" xr:uid="{00000000-0005-0000-0000-0000E6660000}"/>
    <cellStyle name="Separador de milhares 8 26" xfId="27218" xr:uid="{00000000-0005-0000-0000-0000E7660000}"/>
    <cellStyle name="Separador de milhares 8 26 2" xfId="33060" xr:uid="{A86122C0-9F1A-4768-9515-C8F98778229A}"/>
    <cellStyle name="Separador de milhares 8 27" xfId="27398" xr:uid="{00000000-0005-0000-0000-0000E8660000}"/>
    <cellStyle name="Separador de milhares 8 27 2" xfId="33235" xr:uid="{980473EE-B0F5-40C9-BD5E-505345E5A5A7}"/>
    <cellStyle name="Separador de milhares 8 28" xfId="27576" xr:uid="{00000000-0005-0000-0000-0000E9660000}"/>
    <cellStyle name="Separador de milhares 8 28 2" xfId="33388" xr:uid="{45C35F0D-ADD7-454B-BEBC-1BCE1F23E9FA}"/>
    <cellStyle name="Separador de milhares 8 29" xfId="27727" xr:uid="{00000000-0005-0000-0000-0000EA660000}"/>
    <cellStyle name="Separador de milhares 8 29 2" xfId="33538" xr:uid="{D1C026B2-4AC6-4CD4-9A4B-F3B34B226744}"/>
    <cellStyle name="Separador de milhares 8 3" xfId="860" xr:uid="{00000000-0005-0000-0000-0000EB660000}"/>
    <cellStyle name="Separador de milhares 8 3 10" xfId="23688" xr:uid="{00000000-0005-0000-0000-0000EC660000}"/>
    <cellStyle name="Separador de milhares 8 3 11" xfId="28094" xr:uid="{20D31800-1983-48CE-9A39-CE7E82416D35}"/>
    <cellStyle name="Separador de milhares 8 3 2" xfId="23689" xr:uid="{00000000-0005-0000-0000-0000ED660000}"/>
    <cellStyle name="Separador de milhares 8 3 2 2" xfId="32358" xr:uid="{75D8ADBA-0516-42BF-B102-D56FC5682D63}"/>
    <cellStyle name="Separador de milhares 8 3 3" xfId="23690" xr:uid="{00000000-0005-0000-0000-0000EE660000}"/>
    <cellStyle name="Separador de milhares 8 3 4" xfId="23691" xr:uid="{00000000-0005-0000-0000-0000EF660000}"/>
    <cellStyle name="Separador de milhares 8 3 5" xfId="23692" xr:uid="{00000000-0005-0000-0000-0000F0660000}"/>
    <cellStyle name="Separador de milhares 8 3 6" xfId="23693" xr:uid="{00000000-0005-0000-0000-0000F1660000}"/>
    <cellStyle name="Separador de milhares 8 3 7" xfId="23694" xr:uid="{00000000-0005-0000-0000-0000F2660000}"/>
    <cellStyle name="Separador de milhares 8 3 8" xfId="23695" xr:uid="{00000000-0005-0000-0000-0000F3660000}"/>
    <cellStyle name="Separador de milhares 8 3 9" xfId="23696" xr:uid="{00000000-0005-0000-0000-0000F4660000}"/>
    <cellStyle name="Separador de milhares 8 30" xfId="28092" xr:uid="{2140F389-7A23-4FE8-A2ED-0B344FAABF64}"/>
    <cellStyle name="Separador de milhares 8 4" xfId="23697" xr:uid="{00000000-0005-0000-0000-0000F5660000}"/>
    <cellStyle name="Separador de milhares 8 4 10" xfId="23698" xr:uid="{00000000-0005-0000-0000-0000F6660000}"/>
    <cellStyle name="Separador de milhares 8 4 11" xfId="32359" xr:uid="{5C938F3C-A46F-43B1-A6D8-054B23B73642}"/>
    <cellStyle name="Separador de milhares 8 4 2" xfId="23699" xr:uid="{00000000-0005-0000-0000-0000F7660000}"/>
    <cellStyle name="Separador de milhares 8 4 2 2" xfId="32360" xr:uid="{CB0D9407-6D2F-4433-A87B-AA5FBF3C75E0}"/>
    <cellStyle name="Separador de milhares 8 4 3" xfId="23700" xr:uid="{00000000-0005-0000-0000-0000F8660000}"/>
    <cellStyle name="Separador de milhares 8 4 4" xfId="23701" xr:uid="{00000000-0005-0000-0000-0000F9660000}"/>
    <cellStyle name="Separador de milhares 8 4 5" xfId="23702" xr:uid="{00000000-0005-0000-0000-0000FA660000}"/>
    <cellStyle name="Separador de milhares 8 4 6" xfId="23703" xr:uid="{00000000-0005-0000-0000-0000FB660000}"/>
    <cellStyle name="Separador de milhares 8 4 7" xfId="23704" xr:uid="{00000000-0005-0000-0000-0000FC660000}"/>
    <cellStyle name="Separador de milhares 8 4 8" xfId="23705" xr:uid="{00000000-0005-0000-0000-0000FD660000}"/>
    <cellStyle name="Separador de milhares 8 4 9" xfId="23706" xr:uid="{00000000-0005-0000-0000-0000FE660000}"/>
    <cellStyle name="Separador de milhares 8 5" xfId="23707" xr:uid="{00000000-0005-0000-0000-0000FF660000}"/>
    <cellStyle name="Separador de milhares 8 5 2" xfId="23708" xr:uid="{00000000-0005-0000-0000-000000670000}"/>
    <cellStyle name="Separador de milhares 8 5 3" xfId="23709" xr:uid="{00000000-0005-0000-0000-000001670000}"/>
    <cellStyle name="Separador de milhares 8 5 4" xfId="23710" xr:uid="{00000000-0005-0000-0000-000002670000}"/>
    <cellStyle name="Separador de milhares 8 6" xfId="23711" xr:uid="{00000000-0005-0000-0000-000003670000}"/>
    <cellStyle name="Separador de milhares 8 6 2" xfId="23712" xr:uid="{00000000-0005-0000-0000-000004670000}"/>
    <cellStyle name="Separador de milhares 8 6 3" xfId="23713" xr:uid="{00000000-0005-0000-0000-000005670000}"/>
    <cellStyle name="Separador de milhares 8 6 4" xfId="23714" xr:uid="{00000000-0005-0000-0000-000006670000}"/>
    <cellStyle name="Separador de milhares 8 7" xfId="23715" xr:uid="{00000000-0005-0000-0000-000007670000}"/>
    <cellStyle name="Separador de milhares 8 7 2" xfId="23716" xr:uid="{00000000-0005-0000-0000-000008670000}"/>
    <cellStyle name="Separador de milhares 8 7 3" xfId="23717" xr:uid="{00000000-0005-0000-0000-000009670000}"/>
    <cellStyle name="Separador de milhares 8 7 4" xfId="23718" xr:uid="{00000000-0005-0000-0000-00000A670000}"/>
    <cellStyle name="Separador de milhares 8 8" xfId="23719" xr:uid="{00000000-0005-0000-0000-00000B670000}"/>
    <cellStyle name="Separador de milhares 8 8 2" xfId="23720" xr:uid="{00000000-0005-0000-0000-00000C670000}"/>
    <cellStyle name="Separador de milhares 8 8 3" xfId="23721" xr:uid="{00000000-0005-0000-0000-00000D670000}"/>
    <cellStyle name="Separador de milhares 8 8 4" xfId="23722" xr:uid="{00000000-0005-0000-0000-00000E670000}"/>
    <cellStyle name="Separador de milhares 8 9" xfId="23723" xr:uid="{00000000-0005-0000-0000-00000F670000}"/>
    <cellStyle name="Separador de milhares 8 9 2" xfId="23724" xr:uid="{00000000-0005-0000-0000-000010670000}"/>
    <cellStyle name="Separador de milhares 8 9 2 2" xfId="23725" xr:uid="{00000000-0005-0000-0000-000011670000}"/>
    <cellStyle name="Separador de milhares 8 9 2 3" xfId="23726" xr:uid="{00000000-0005-0000-0000-000012670000}"/>
    <cellStyle name="Separador de milhares 8 9 2 4" xfId="23727" xr:uid="{00000000-0005-0000-0000-000013670000}"/>
    <cellStyle name="Separador de milhares 8 9 3" xfId="23728" xr:uid="{00000000-0005-0000-0000-000014670000}"/>
    <cellStyle name="Separador de milhares 8 9 3 2" xfId="23729" xr:uid="{00000000-0005-0000-0000-000015670000}"/>
    <cellStyle name="Separador de milhares 8 9 3 3" xfId="23730" xr:uid="{00000000-0005-0000-0000-000016670000}"/>
    <cellStyle name="Separador de milhares 8 9 3 4" xfId="23731" xr:uid="{00000000-0005-0000-0000-000017670000}"/>
    <cellStyle name="Separador de milhares 8 9 4" xfId="23732" xr:uid="{00000000-0005-0000-0000-000018670000}"/>
    <cellStyle name="Separador de milhares 9" xfId="861" xr:uid="{00000000-0005-0000-0000-000019670000}"/>
    <cellStyle name="Separador de milhares 9 10" xfId="23734" xr:uid="{00000000-0005-0000-0000-00001A670000}"/>
    <cellStyle name="Separador de milhares 9 10 10" xfId="23735" xr:uid="{00000000-0005-0000-0000-00001B670000}"/>
    <cellStyle name="Separador de milhares 9 10 11" xfId="23736" xr:uid="{00000000-0005-0000-0000-00001C670000}"/>
    <cellStyle name="Separador de milhares 9 10 12" xfId="23737" xr:uid="{00000000-0005-0000-0000-00001D670000}"/>
    <cellStyle name="Separador de milhares 9 10 13" xfId="23738" xr:uid="{00000000-0005-0000-0000-00001E670000}"/>
    <cellStyle name="Separador de milhares 9 10 14" xfId="23739" xr:uid="{00000000-0005-0000-0000-00001F670000}"/>
    <cellStyle name="Separador de milhares 9 10 15" xfId="23740" xr:uid="{00000000-0005-0000-0000-000020670000}"/>
    <cellStyle name="Separador de milhares 9 10 16" xfId="23741" xr:uid="{00000000-0005-0000-0000-000021670000}"/>
    <cellStyle name="Separador de milhares 9 10 17" xfId="23742" xr:uid="{00000000-0005-0000-0000-000022670000}"/>
    <cellStyle name="Separador de milhares 9 10 18" xfId="23743" xr:uid="{00000000-0005-0000-0000-000023670000}"/>
    <cellStyle name="Separador de milhares 9 10 19" xfId="23744" xr:uid="{00000000-0005-0000-0000-000024670000}"/>
    <cellStyle name="Separador de milhares 9 10 2" xfId="23745" xr:uid="{00000000-0005-0000-0000-000025670000}"/>
    <cellStyle name="Separador de milhares 9 10 2 10" xfId="23746" xr:uid="{00000000-0005-0000-0000-000026670000}"/>
    <cellStyle name="Separador de milhares 9 10 2 10 2" xfId="23747" xr:uid="{00000000-0005-0000-0000-000027670000}"/>
    <cellStyle name="Separador de milhares 9 10 2 10 3" xfId="23748" xr:uid="{00000000-0005-0000-0000-000028670000}"/>
    <cellStyle name="Separador de milhares 9 10 2 10 4" xfId="23749" xr:uid="{00000000-0005-0000-0000-000029670000}"/>
    <cellStyle name="Separador de milhares 9 10 2 11" xfId="23750" xr:uid="{00000000-0005-0000-0000-00002A670000}"/>
    <cellStyle name="Separador de milhares 9 10 2 11 2" xfId="23751" xr:uid="{00000000-0005-0000-0000-00002B670000}"/>
    <cellStyle name="Separador de milhares 9 10 2 11 3" xfId="23752" xr:uid="{00000000-0005-0000-0000-00002C670000}"/>
    <cellStyle name="Separador de milhares 9 10 2 11 4" xfId="23753" xr:uid="{00000000-0005-0000-0000-00002D670000}"/>
    <cellStyle name="Separador de milhares 9 10 2 12" xfId="23754" xr:uid="{00000000-0005-0000-0000-00002E670000}"/>
    <cellStyle name="Separador de milhares 9 10 2 12 2" xfId="23755" xr:uid="{00000000-0005-0000-0000-00002F670000}"/>
    <cellStyle name="Separador de milhares 9 10 2 12 3" xfId="23756" xr:uid="{00000000-0005-0000-0000-000030670000}"/>
    <cellStyle name="Separador de milhares 9 10 2 12 4" xfId="23757" xr:uid="{00000000-0005-0000-0000-000031670000}"/>
    <cellStyle name="Separador de milhares 9 10 2 13" xfId="23758" xr:uid="{00000000-0005-0000-0000-000032670000}"/>
    <cellStyle name="Separador de milhares 9 10 2 13 2" xfId="23759" xr:uid="{00000000-0005-0000-0000-000033670000}"/>
    <cellStyle name="Separador de milhares 9 10 2 13 3" xfId="23760" xr:uid="{00000000-0005-0000-0000-000034670000}"/>
    <cellStyle name="Separador de milhares 9 10 2 13 4" xfId="23761" xr:uid="{00000000-0005-0000-0000-000035670000}"/>
    <cellStyle name="Separador de milhares 9 10 2 14" xfId="23762" xr:uid="{00000000-0005-0000-0000-000036670000}"/>
    <cellStyle name="Separador de milhares 9 10 2 14 2" xfId="23763" xr:uid="{00000000-0005-0000-0000-000037670000}"/>
    <cellStyle name="Separador de milhares 9 10 2 14 3" xfId="23764" xr:uid="{00000000-0005-0000-0000-000038670000}"/>
    <cellStyle name="Separador de milhares 9 10 2 14 4" xfId="23765" xr:uid="{00000000-0005-0000-0000-000039670000}"/>
    <cellStyle name="Separador de milhares 9 10 2 15" xfId="23766" xr:uid="{00000000-0005-0000-0000-00003A670000}"/>
    <cellStyle name="Separador de milhares 9 10 2 15 2" xfId="23767" xr:uid="{00000000-0005-0000-0000-00003B670000}"/>
    <cellStyle name="Separador de milhares 9 10 2 15 3" xfId="23768" xr:uid="{00000000-0005-0000-0000-00003C670000}"/>
    <cellStyle name="Separador de milhares 9 10 2 15 4" xfId="23769" xr:uid="{00000000-0005-0000-0000-00003D670000}"/>
    <cellStyle name="Separador de milhares 9 10 2 16" xfId="23770" xr:uid="{00000000-0005-0000-0000-00003E670000}"/>
    <cellStyle name="Separador de milhares 9 10 2 17" xfId="23771" xr:uid="{00000000-0005-0000-0000-00003F670000}"/>
    <cellStyle name="Separador de milhares 9 10 2 18" xfId="23772" xr:uid="{00000000-0005-0000-0000-000040670000}"/>
    <cellStyle name="Separador de milhares 9 10 2 19" xfId="23773" xr:uid="{00000000-0005-0000-0000-000041670000}"/>
    <cellStyle name="Separador de milhares 9 10 2 2" xfId="23774" xr:uid="{00000000-0005-0000-0000-000042670000}"/>
    <cellStyle name="Separador de milhares 9 10 2 2 2" xfId="23775" xr:uid="{00000000-0005-0000-0000-000043670000}"/>
    <cellStyle name="Separador de milhares 9 10 2 2 3" xfId="23776" xr:uid="{00000000-0005-0000-0000-000044670000}"/>
    <cellStyle name="Separador de milhares 9 10 2 2 4" xfId="23777" xr:uid="{00000000-0005-0000-0000-000045670000}"/>
    <cellStyle name="Separador de milhares 9 10 2 20" xfId="23778" xr:uid="{00000000-0005-0000-0000-000046670000}"/>
    <cellStyle name="Separador de milhares 9 10 2 21" xfId="23779" xr:uid="{00000000-0005-0000-0000-000047670000}"/>
    <cellStyle name="Separador de milhares 9 10 2 3" xfId="23780" xr:uid="{00000000-0005-0000-0000-000048670000}"/>
    <cellStyle name="Separador de milhares 9 10 2 3 2" xfId="23781" xr:uid="{00000000-0005-0000-0000-000049670000}"/>
    <cellStyle name="Separador de milhares 9 10 2 3 3" xfId="23782" xr:uid="{00000000-0005-0000-0000-00004A670000}"/>
    <cellStyle name="Separador de milhares 9 10 2 3 4" xfId="23783" xr:uid="{00000000-0005-0000-0000-00004B670000}"/>
    <cellStyle name="Separador de milhares 9 10 2 4" xfId="23784" xr:uid="{00000000-0005-0000-0000-00004C670000}"/>
    <cellStyle name="Separador de milhares 9 10 2 4 2" xfId="23785" xr:uid="{00000000-0005-0000-0000-00004D670000}"/>
    <cellStyle name="Separador de milhares 9 10 2 4 3" xfId="23786" xr:uid="{00000000-0005-0000-0000-00004E670000}"/>
    <cellStyle name="Separador de milhares 9 10 2 4 4" xfId="23787" xr:uid="{00000000-0005-0000-0000-00004F670000}"/>
    <cellStyle name="Separador de milhares 9 10 2 5" xfId="23788" xr:uid="{00000000-0005-0000-0000-000050670000}"/>
    <cellStyle name="Separador de milhares 9 10 2 5 2" xfId="23789" xr:uid="{00000000-0005-0000-0000-000051670000}"/>
    <cellStyle name="Separador de milhares 9 10 2 5 3" xfId="23790" xr:uid="{00000000-0005-0000-0000-000052670000}"/>
    <cellStyle name="Separador de milhares 9 10 2 5 4" xfId="23791" xr:uid="{00000000-0005-0000-0000-000053670000}"/>
    <cellStyle name="Separador de milhares 9 10 2 6" xfId="23792" xr:uid="{00000000-0005-0000-0000-000054670000}"/>
    <cellStyle name="Separador de milhares 9 10 2 6 2" xfId="23793" xr:uid="{00000000-0005-0000-0000-000055670000}"/>
    <cellStyle name="Separador de milhares 9 10 2 6 3" xfId="23794" xr:uid="{00000000-0005-0000-0000-000056670000}"/>
    <cellStyle name="Separador de milhares 9 10 2 6 4" xfId="23795" xr:uid="{00000000-0005-0000-0000-000057670000}"/>
    <cellStyle name="Separador de milhares 9 10 2 7" xfId="23796" xr:uid="{00000000-0005-0000-0000-000058670000}"/>
    <cellStyle name="Separador de milhares 9 10 2 7 2" xfId="23797" xr:uid="{00000000-0005-0000-0000-000059670000}"/>
    <cellStyle name="Separador de milhares 9 10 2 7 3" xfId="23798" xr:uid="{00000000-0005-0000-0000-00005A670000}"/>
    <cellStyle name="Separador de milhares 9 10 2 7 4" xfId="23799" xr:uid="{00000000-0005-0000-0000-00005B670000}"/>
    <cellStyle name="Separador de milhares 9 10 2 8" xfId="23800" xr:uid="{00000000-0005-0000-0000-00005C670000}"/>
    <cellStyle name="Separador de milhares 9 10 2 8 2" xfId="23801" xr:uid="{00000000-0005-0000-0000-00005D670000}"/>
    <cellStyle name="Separador de milhares 9 10 2 8 3" xfId="23802" xr:uid="{00000000-0005-0000-0000-00005E670000}"/>
    <cellStyle name="Separador de milhares 9 10 2 8 4" xfId="23803" xr:uid="{00000000-0005-0000-0000-00005F670000}"/>
    <cellStyle name="Separador de milhares 9 10 2 9" xfId="23804" xr:uid="{00000000-0005-0000-0000-000060670000}"/>
    <cellStyle name="Separador de milhares 9 10 2 9 2" xfId="23805" xr:uid="{00000000-0005-0000-0000-000061670000}"/>
    <cellStyle name="Separador de milhares 9 10 2 9 3" xfId="23806" xr:uid="{00000000-0005-0000-0000-000062670000}"/>
    <cellStyle name="Separador de milhares 9 10 2 9 4" xfId="23807" xr:uid="{00000000-0005-0000-0000-000063670000}"/>
    <cellStyle name="Separador de milhares 9 10 20" xfId="23808" xr:uid="{00000000-0005-0000-0000-000064670000}"/>
    <cellStyle name="Separador de milhares 9 10 21" xfId="23809" xr:uid="{00000000-0005-0000-0000-000065670000}"/>
    <cellStyle name="Separador de milhares 9 10 22" xfId="23810" xr:uid="{00000000-0005-0000-0000-000066670000}"/>
    <cellStyle name="Separador de milhares 9 10 23" xfId="23811" xr:uid="{00000000-0005-0000-0000-000067670000}"/>
    <cellStyle name="Separador de milhares 9 10 24" xfId="23812" xr:uid="{00000000-0005-0000-0000-000068670000}"/>
    <cellStyle name="Separador de milhares 9 10 25" xfId="23813" xr:uid="{00000000-0005-0000-0000-000069670000}"/>
    <cellStyle name="Separador de milhares 9 10 26" xfId="23814" xr:uid="{00000000-0005-0000-0000-00006A670000}"/>
    <cellStyle name="Separador de milhares 9 10 26 2" xfId="23815" xr:uid="{00000000-0005-0000-0000-00006B670000}"/>
    <cellStyle name="Separador de milhares 9 10 26 3" xfId="23816" xr:uid="{00000000-0005-0000-0000-00006C670000}"/>
    <cellStyle name="Separador de milhares 9 10 26 4" xfId="23817" xr:uid="{00000000-0005-0000-0000-00006D670000}"/>
    <cellStyle name="Separador de milhares 9 10 27" xfId="23818" xr:uid="{00000000-0005-0000-0000-00006E670000}"/>
    <cellStyle name="Separador de milhares 9 10 28" xfId="23819" xr:uid="{00000000-0005-0000-0000-00006F670000}"/>
    <cellStyle name="Separador de milhares 9 10 29" xfId="23820" xr:uid="{00000000-0005-0000-0000-000070670000}"/>
    <cellStyle name="Separador de milhares 9 10 3" xfId="23821" xr:uid="{00000000-0005-0000-0000-000071670000}"/>
    <cellStyle name="Separador de milhares 9 10 3 2" xfId="23822" xr:uid="{00000000-0005-0000-0000-000072670000}"/>
    <cellStyle name="Separador de milhares 9 10 3 3" xfId="23823" xr:uid="{00000000-0005-0000-0000-000073670000}"/>
    <cellStyle name="Separador de milhares 9 10 3 4" xfId="23824" xr:uid="{00000000-0005-0000-0000-000074670000}"/>
    <cellStyle name="Separador de milhares 9 10 30" xfId="23825" xr:uid="{00000000-0005-0000-0000-000075670000}"/>
    <cellStyle name="Separador de milhares 9 10 31" xfId="23826" xr:uid="{00000000-0005-0000-0000-000076670000}"/>
    <cellStyle name="Separador de milhares 9 10 32" xfId="23827" xr:uid="{00000000-0005-0000-0000-000077670000}"/>
    <cellStyle name="Separador de milhares 9 10 33" xfId="23828" xr:uid="{00000000-0005-0000-0000-000078670000}"/>
    <cellStyle name="Separador de milhares 9 10 34" xfId="23829" xr:uid="{00000000-0005-0000-0000-000079670000}"/>
    <cellStyle name="Separador de milhares 9 10 35" xfId="23830" xr:uid="{00000000-0005-0000-0000-00007A670000}"/>
    <cellStyle name="Separador de milhares 9 10 36" xfId="23831" xr:uid="{00000000-0005-0000-0000-00007B670000}"/>
    <cellStyle name="Separador de milhares 9 10 4" xfId="23832" xr:uid="{00000000-0005-0000-0000-00007C670000}"/>
    <cellStyle name="Separador de milhares 9 10 4 2" xfId="23833" xr:uid="{00000000-0005-0000-0000-00007D670000}"/>
    <cellStyle name="Separador de milhares 9 10 4 3" xfId="23834" xr:uid="{00000000-0005-0000-0000-00007E670000}"/>
    <cellStyle name="Separador de milhares 9 10 4 4" xfId="23835" xr:uid="{00000000-0005-0000-0000-00007F670000}"/>
    <cellStyle name="Separador de milhares 9 10 5" xfId="23836" xr:uid="{00000000-0005-0000-0000-000080670000}"/>
    <cellStyle name="Separador de milhares 9 10 6" xfId="23837" xr:uid="{00000000-0005-0000-0000-000081670000}"/>
    <cellStyle name="Separador de milhares 9 10 7" xfId="23838" xr:uid="{00000000-0005-0000-0000-000082670000}"/>
    <cellStyle name="Separador de milhares 9 10 8" xfId="23839" xr:uid="{00000000-0005-0000-0000-000083670000}"/>
    <cellStyle name="Separador de milhares 9 10 9" xfId="23840" xr:uid="{00000000-0005-0000-0000-000084670000}"/>
    <cellStyle name="Separador de milhares 9 100" xfId="27648" xr:uid="{00000000-0005-0000-0000-000085670000}"/>
    <cellStyle name="Separador de milhares 9 100 2" xfId="33459" xr:uid="{FF22856E-0C36-48A9-ADC0-5772866732E4}"/>
    <cellStyle name="Separador de milhares 9 101" xfId="27728" xr:uid="{00000000-0005-0000-0000-000086670000}"/>
    <cellStyle name="Separador de milhares 9 101 2" xfId="33539" xr:uid="{998EAEFC-01F6-4A40-8E7F-CDB1ADB84C62}"/>
    <cellStyle name="Separador de milhares 9 102" xfId="28095" xr:uid="{142541DF-B562-4241-9E24-AFD4392BD668}"/>
    <cellStyle name="Separador de milhares 9 11" xfId="23841" xr:uid="{00000000-0005-0000-0000-000087670000}"/>
    <cellStyle name="Separador de milhares 9 11 2" xfId="23842" xr:uid="{00000000-0005-0000-0000-000088670000}"/>
    <cellStyle name="Separador de milhares 9 11 2 2" xfId="32362" xr:uid="{D5007A27-476F-43B4-946D-18875F7D0D63}"/>
    <cellStyle name="Separador de milhares 9 12" xfId="23843" xr:uid="{00000000-0005-0000-0000-000089670000}"/>
    <cellStyle name="Separador de milhares 9 12 2" xfId="23844" xr:uid="{00000000-0005-0000-0000-00008A670000}"/>
    <cellStyle name="Separador de milhares 9 12 2 2" xfId="32363" xr:uid="{B566FEF9-4C6F-44AE-8F04-422154A7358B}"/>
    <cellStyle name="Separador de milhares 9 13" xfId="23845" xr:uid="{00000000-0005-0000-0000-00008B670000}"/>
    <cellStyle name="Separador de milhares 9 13 2" xfId="23846" xr:uid="{00000000-0005-0000-0000-00008C670000}"/>
    <cellStyle name="Separador de milhares 9 13 2 2" xfId="32364" xr:uid="{77DDEA16-96CD-4FCE-BB59-05878D750F3E}"/>
    <cellStyle name="Separador de milhares 9 14" xfId="23847" xr:uid="{00000000-0005-0000-0000-00008D670000}"/>
    <cellStyle name="Separador de milhares 9 14 2" xfId="23848" xr:uid="{00000000-0005-0000-0000-00008E670000}"/>
    <cellStyle name="Separador de milhares 9 14 2 2" xfId="32365" xr:uid="{02C21891-D6E5-4F2C-87A1-A37BF4185FDA}"/>
    <cellStyle name="Separador de milhares 9 15" xfId="23849" xr:uid="{00000000-0005-0000-0000-00008F670000}"/>
    <cellStyle name="Separador de milhares 9 15 2" xfId="23850" xr:uid="{00000000-0005-0000-0000-000090670000}"/>
    <cellStyle name="Separador de milhares 9 15 2 2" xfId="32366" xr:uid="{30F5FA8B-BF59-4F5A-B828-DBEA2373EF61}"/>
    <cellStyle name="Separador de milhares 9 16" xfId="23851" xr:uid="{00000000-0005-0000-0000-000091670000}"/>
    <cellStyle name="Separador de milhares 9 16 2" xfId="23852" xr:uid="{00000000-0005-0000-0000-000092670000}"/>
    <cellStyle name="Separador de milhares 9 16 2 2" xfId="32367" xr:uid="{5B02BA09-69BB-4C9A-AA2B-0D401A81A45F}"/>
    <cellStyle name="Separador de milhares 9 17" xfId="23853" xr:uid="{00000000-0005-0000-0000-000093670000}"/>
    <cellStyle name="Separador de milhares 9 17 2" xfId="23854" xr:uid="{00000000-0005-0000-0000-000094670000}"/>
    <cellStyle name="Separador de milhares 9 17 2 2" xfId="32368" xr:uid="{280A310B-C90F-451B-A4EE-BABCED3B41C4}"/>
    <cellStyle name="Separador de milhares 9 18" xfId="23855" xr:uid="{00000000-0005-0000-0000-000095670000}"/>
    <cellStyle name="Separador de milhares 9 18 2" xfId="23856" xr:uid="{00000000-0005-0000-0000-000096670000}"/>
    <cellStyle name="Separador de milhares 9 18 2 2" xfId="32369" xr:uid="{B8C800CF-CC4F-4A21-AF5F-34DEBA417B33}"/>
    <cellStyle name="Separador de milhares 9 19" xfId="23857" xr:uid="{00000000-0005-0000-0000-000097670000}"/>
    <cellStyle name="Separador de milhares 9 19 2" xfId="23858" xr:uid="{00000000-0005-0000-0000-000098670000}"/>
    <cellStyle name="Separador de milhares 9 19 2 2" xfId="32370" xr:uid="{34EA54C7-8DAC-40DE-A5F6-7853F1AFB0F0}"/>
    <cellStyle name="Separador de milhares 9 2" xfId="862" xr:uid="{00000000-0005-0000-0000-000099670000}"/>
    <cellStyle name="Separador de milhares 9 2 10" xfId="23860" xr:uid="{00000000-0005-0000-0000-00009A670000}"/>
    <cellStyle name="Separador de milhares 9 2 10 2" xfId="23861" xr:uid="{00000000-0005-0000-0000-00009B670000}"/>
    <cellStyle name="Separador de milhares 9 2 10 2 2" xfId="32372" xr:uid="{EFBA0CF2-6168-4E78-8735-B71053BFC89D}"/>
    <cellStyle name="Separador de milhares 9 2 11" xfId="23862" xr:uid="{00000000-0005-0000-0000-00009C670000}"/>
    <cellStyle name="Separador de milhares 9 2 11 2" xfId="23863" xr:uid="{00000000-0005-0000-0000-00009D670000}"/>
    <cellStyle name="Separador de milhares 9 2 11 2 2" xfId="32373" xr:uid="{97CAF4E9-6344-4C14-B7B6-9581D8A14608}"/>
    <cellStyle name="Separador de milhares 9 2 12" xfId="23864" xr:uid="{00000000-0005-0000-0000-00009E670000}"/>
    <cellStyle name="Separador de milhares 9 2 12 2" xfId="23865" xr:uid="{00000000-0005-0000-0000-00009F670000}"/>
    <cellStyle name="Separador de milhares 9 2 12 2 2" xfId="32374" xr:uid="{BFA6712F-5F49-4184-BB26-0FF1A5F667DB}"/>
    <cellStyle name="Separador de milhares 9 2 13" xfId="23866" xr:uid="{00000000-0005-0000-0000-0000A0670000}"/>
    <cellStyle name="Separador de milhares 9 2 13 2" xfId="23867" xr:uid="{00000000-0005-0000-0000-0000A1670000}"/>
    <cellStyle name="Separador de milhares 9 2 13 2 2" xfId="32375" xr:uid="{42D7173F-CA3F-43EB-AF1D-CBEC27197BCB}"/>
    <cellStyle name="Separador de milhares 9 2 14" xfId="23868" xr:uid="{00000000-0005-0000-0000-0000A2670000}"/>
    <cellStyle name="Separador de milhares 9 2 14 2" xfId="23869" xr:uid="{00000000-0005-0000-0000-0000A3670000}"/>
    <cellStyle name="Separador de milhares 9 2 14 2 2" xfId="32376" xr:uid="{18130A46-BBE8-4D4A-9359-FC259E04FA91}"/>
    <cellStyle name="Separador de milhares 9 2 15" xfId="23870" xr:uid="{00000000-0005-0000-0000-0000A4670000}"/>
    <cellStyle name="Separador de milhares 9 2 15 2" xfId="23871" xr:uid="{00000000-0005-0000-0000-0000A5670000}"/>
    <cellStyle name="Separador de milhares 9 2 15 2 2" xfId="32377" xr:uid="{AB308928-796C-4BE8-A3D7-41334B5C0601}"/>
    <cellStyle name="Separador de milhares 9 2 16" xfId="23872" xr:uid="{00000000-0005-0000-0000-0000A6670000}"/>
    <cellStyle name="Separador de milhares 9 2 16 2" xfId="23873" xr:uid="{00000000-0005-0000-0000-0000A7670000}"/>
    <cellStyle name="Separador de milhares 9 2 16 2 2" xfId="32378" xr:uid="{874F43DA-8AB9-4F5E-B352-33E680247D78}"/>
    <cellStyle name="Separador de milhares 9 2 17" xfId="23874" xr:uid="{00000000-0005-0000-0000-0000A8670000}"/>
    <cellStyle name="Separador de milhares 9 2 17 2" xfId="23875" xr:uid="{00000000-0005-0000-0000-0000A9670000}"/>
    <cellStyle name="Separador de milhares 9 2 17 2 2" xfId="32380" xr:uid="{9376292B-0F55-4C81-8B18-E7FF74BD9505}"/>
    <cellStyle name="Separador de milhares 9 2 17 3" xfId="32379" xr:uid="{66F1C96E-3AAF-41AB-9263-86E15B828EE8}"/>
    <cellStyle name="Separador de milhares 9 2 18" xfId="23876" xr:uid="{00000000-0005-0000-0000-0000AA670000}"/>
    <cellStyle name="Separador de milhares 9 2 18 2" xfId="23877" xr:uid="{00000000-0005-0000-0000-0000AB670000}"/>
    <cellStyle name="Separador de milhares 9 2 18 2 2" xfId="32382" xr:uid="{B965C214-1513-4DE5-9620-0A252F8E8807}"/>
    <cellStyle name="Separador de milhares 9 2 18 3" xfId="32381" xr:uid="{F50C9057-166E-4BDC-A3B4-6876E6ECDAD3}"/>
    <cellStyle name="Separador de milhares 9 2 19" xfId="23878" xr:uid="{00000000-0005-0000-0000-0000AC670000}"/>
    <cellStyle name="Separador de milhares 9 2 19 2" xfId="23879" xr:uid="{00000000-0005-0000-0000-0000AD670000}"/>
    <cellStyle name="Separador de milhares 9 2 19 2 2" xfId="32384" xr:uid="{CFE41D16-0C87-4970-ADE7-1BB409E68532}"/>
    <cellStyle name="Separador de milhares 9 2 19 3" xfId="32383" xr:uid="{736745A4-417C-4C14-838F-E699CAC50960}"/>
    <cellStyle name="Separador de milhares 9 2 2" xfId="863" xr:uid="{00000000-0005-0000-0000-0000AE670000}"/>
    <cellStyle name="Separador de milhares 9 2 2 10" xfId="23881" xr:uid="{00000000-0005-0000-0000-0000AF670000}"/>
    <cellStyle name="Separador de milhares 9 2 2 11" xfId="23882" xr:uid="{00000000-0005-0000-0000-0000B0670000}"/>
    <cellStyle name="Separador de milhares 9 2 2 12" xfId="23883" xr:uid="{00000000-0005-0000-0000-0000B1670000}"/>
    <cellStyle name="Separador de milhares 9 2 2 13" xfId="23884" xr:uid="{00000000-0005-0000-0000-0000B2670000}"/>
    <cellStyle name="Separador de milhares 9 2 2 14" xfId="23885" xr:uid="{00000000-0005-0000-0000-0000B3670000}"/>
    <cellStyle name="Separador de milhares 9 2 2 15" xfId="23886" xr:uid="{00000000-0005-0000-0000-0000B4670000}"/>
    <cellStyle name="Separador de milhares 9 2 2 16" xfId="23887" xr:uid="{00000000-0005-0000-0000-0000B5670000}"/>
    <cellStyle name="Separador de milhares 9 2 2 17" xfId="23888" xr:uid="{00000000-0005-0000-0000-0000B6670000}"/>
    <cellStyle name="Separador de milhares 9 2 2 18" xfId="23880" xr:uid="{00000000-0005-0000-0000-0000B7670000}"/>
    <cellStyle name="Separador de milhares 9 2 2 18 2" xfId="32385" xr:uid="{B302E4D8-7CCB-4D8A-99BA-41D3F5071133}"/>
    <cellStyle name="Separador de milhares 9 2 2 19" xfId="28097" xr:uid="{0FFA5B54-A705-4797-8594-EF4CA896B3E6}"/>
    <cellStyle name="Separador de milhares 9 2 2 2" xfId="864" xr:uid="{00000000-0005-0000-0000-0000B8670000}"/>
    <cellStyle name="Separador de milhares 9 2 2 2 2" xfId="865" xr:uid="{00000000-0005-0000-0000-0000B9670000}"/>
    <cellStyle name="Separador de milhares 9 2 2 2 2 10" xfId="23891" xr:uid="{00000000-0005-0000-0000-0000BA670000}"/>
    <cellStyle name="Separador de milhares 9 2 2 2 2 11" xfId="23892" xr:uid="{00000000-0005-0000-0000-0000BB670000}"/>
    <cellStyle name="Separador de milhares 9 2 2 2 2 12" xfId="23893" xr:uid="{00000000-0005-0000-0000-0000BC670000}"/>
    <cellStyle name="Separador de milhares 9 2 2 2 2 13" xfId="23894" xr:uid="{00000000-0005-0000-0000-0000BD670000}"/>
    <cellStyle name="Separador de milhares 9 2 2 2 2 14" xfId="23895" xr:uid="{00000000-0005-0000-0000-0000BE670000}"/>
    <cellStyle name="Separador de milhares 9 2 2 2 2 15" xfId="23890" xr:uid="{00000000-0005-0000-0000-0000BF670000}"/>
    <cellStyle name="Separador de milhares 9 2 2 2 2 16" xfId="28099" xr:uid="{0F3C86F0-D42C-47F3-98B9-D16570F8EEAF}"/>
    <cellStyle name="Separador de milhares 9 2 2 2 2 2" xfId="23896" xr:uid="{00000000-0005-0000-0000-0000C0670000}"/>
    <cellStyle name="Separador de milhares 9 2 2 2 2 2 10" xfId="23897" xr:uid="{00000000-0005-0000-0000-0000C1670000}"/>
    <cellStyle name="Separador de milhares 9 2 2 2 2 2 2" xfId="23898" xr:uid="{00000000-0005-0000-0000-0000C2670000}"/>
    <cellStyle name="Separador de milhares 9 2 2 2 2 2 3" xfId="23899" xr:uid="{00000000-0005-0000-0000-0000C3670000}"/>
    <cellStyle name="Separador de milhares 9 2 2 2 2 2 4" xfId="23900" xr:uid="{00000000-0005-0000-0000-0000C4670000}"/>
    <cellStyle name="Separador de milhares 9 2 2 2 2 2 5" xfId="23901" xr:uid="{00000000-0005-0000-0000-0000C5670000}"/>
    <cellStyle name="Separador de milhares 9 2 2 2 2 2 6" xfId="23902" xr:uid="{00000000-0005-0000-0000-0000C6670000}"/>
    <cellStyle name="Separador de milhares 9 2 2 2 2 2 7" xfId="23903" xr:uid="{00000000-0005-0000-0000-0000C7670000}"/>
    <cellStyle name="Separador de milhares 9 2 2 2 2 2 8" xfId="23904" xr:uid="{00000000-0005-0000-0000-0000C8670000}"/>
    <cellStyle name="Separador de milhares 9 2 2 2 2 2 9" xfId="23905" xr:uid="{00000000-0005-0000-0000-0000C9670000}"/>
    <cellStyle name="Separador de milhares 9 2 2 2 2 3" xfId="23906" xr:uid="{00000000-0005-0000-0000-0000CA670000}"/>
    <cellStyle name="Separador de milhares 9 2 2 2 2 3 10" xfId="23907" xr:uid="{00000000-0005-0000-0000-0000CB670000}"/>
    <cellStyle name="Separador de milhares 9 2 2 2 2 3 2" xfId="23908" xr:uid="{00000000-0005-0000-0000-0000CC670000}"/>
    <cellStyle name="Separador de milhares 9 2 2 2 2 3 3" xfId="23909" xr:uid="{00000000-0005-0000-0000-0000CD670000}"/>
    <cellStyle name="Separador de milhares 9 2 2 2 2 3 4" xfId="23910" xr:uid="{00000000-0005-0000-0000-0000CE670000}"/>
    <cellStyle name="Separador de milhares 9 2 2 2 2 3 5" xfId="23911" xr:uid="{00000000-0005-0000-0000-0000CF670000}"/>
    <cellStyle name="Separador de milhares 9 2 2 2 2 3 6" xfId="23912" xr:uid="{00000000-0005-0000-0000-0000D0670000}"/>
    <cellStyle name="Separador de milhares 9 2 2 2 2 3 7" xfId="23913" xr:uid="{00000000-0005-0000-0000-0000D1670000}"/>
    <cellStyle name="Separador de milhares 9 2 2 2 2 3 8" xfId="23914" xr:uid="{00000000-0005-0000-0000-0000D2670000}"/>
    <cellStyle name="Separador de milhares 9 2 2 2 2 3 9" xfId="23915" xr:uid="{00000000-0005-0000-0000-0000D3670000}"/>
    <cellStyle name="Separador de milhares 9 2 2 2 2 4" xfId="23916" xr:uid="{00000000-0005-0000-0000-0000D4670000}"/>
    <cellStyle name="Separador de milhares 9 2 2 2 2 5" xfId="23917" xr:uid="{00000000-0005-0000-0000-0000D5670000}"/>
    <cellStyle name="Separador de milhares 9 2 2 2 2 6" xfId="23918" xr:uid="{00000000-0005-0000-0000-0000D6670000}"/>
    <cellStyle name="Separador de milhares 9 2 2 2 2 7" xfId="23919" xr:uid="{00000000-0005-0000-0000-0000D7670000}"/>
    <cellStyle name="Separador de milhares 9 2 2 2 2 8" xfId="23920" xr:uid="{00000000-0005-0000-0000-0000D8670000}"/>
    <cellStyle name="Separador de milhares 9 2 2 2 2 9" xfId="23921" xr:uid="{00000000-0005-0000-0000-0000D9670000}"/>
    <cellStyle name="Separador de milhares 9 2 2 2 3" xfId="23922" xr:uid="{00000000-0005-0000-0000-0000DA670000}"/>
    <cellStyle name="Separador de milhares 9 2 2 2 4" xfId="23923" xr:uid="{00000000-0005-0000-0000-0000DB670000}"/>
    <cellStyle name="Separador de milhares 9 2 2 2 5" xfId="23889" xr:uid="{00000000-0005-0000-0000-0000DC670000}"/>
    <cellStyle name="Separador de milhares 9 2 2 2 6" xfId="28098" xr:uid="{BB2BC981-4DA0-4092-A50C-499EA942D936}"/>
    <cellStyle name="Separador de milhares 9 2 2 3" xfId="866" xr:uid="{00000000-0005-0000-0000-0000DD670000}"/>
    <cellStyle name="Separador de milhares 9 2 2 3 2" xfId="23925" xr:uid="{00000000-0005-0000-0000-0000DE670000}"/>
    <cellStyle name="Separador de milhares 9 2 2 3 3" xfId="23926" xr:uid="{00000000-0005-0000-0000-0000DF670000}"/>
    <cellStyle name="Separador de milhares 9 2 2 3 4" xfId="23924" xr:uid="{00000000-0005-0000-0000-0000E0670000}"/>
    <cellStyle name="Separador de milhares 9 2 2 3 5" xfId="28100" xr:uid="{93BE7618-4377-4D37-8056-7808200049A5}"/>
    <cellStyle name="Separador de milhares 9 2 2 4" xfId="23927" xr:uid="{00000000-0005-0000-0000-0000E1670000}"/>
    <cellStyle name="Separador de milhares 9 2 2 4 10" xfId="23928" xr:uid="{00000000-0005-0000-0000-0000E2670000}"/>
    <cellStyle name="Separador de milhares 9 2 2 4 11" xfId="23929" xr:uid="{00000000-0005-0000-0000-0000E3670000}"/>
    <cellStyle name="Separador de milhares 9 2 2 4 12" xfId="23930" xr:uid="{00000000-0005-0000-0000-0000E4670000}"/>
    <cellStyle name="Separador de milhares 9 2 2 4 13" xfId="23931" xr:uid="{00000000-0005-0000-0000-0000E5670000}"/>
    <cellStyle name="Separador de milhares 9 2 2 4 14" xfId="23932" xr:uid="{00000000-0005-0000-0000-0000E6670000}"/>
    <cellStyle name="Separador de milhares 9 2 2 4 2" xfId="23933" xr:uid="{00000000-0005-0000-0000-0000E7670000}"/>
    <cellStyle name="Separador de milhares 9 2 2 4 2 10" xfId="23934" xr:uid="{00000000-0005-0000-0000-0000E8670000}"/>
    <cellStyle name="Separador de milhares 9 2 2 4 2 2" xfId="23935" xr:uid="{00000000-0005-0000-0000-0000E9670000}"/>
    <cellStyle name="Separador de milhares 9 2 2 4 2 3" xfId="23936" xr:uid="{00000000-0005-0000-0000-0000EA670000}"/>
    <cellStyle name="Separador de milhares 9 2 2 4 2 4" xfId="23937" xr:uid="{00000000-0005-0000-0000-0000EB670000}"/>
    <cellStyle name="Separador de milhares 9 2 2 4 2 5" xfId="23938" xr:uid="{00000000-0005-0000-0000-0000EC670000}"/>
    <cellStyle name="Separador de milhares 9 2 2 4 2 6" xfId="23939" xr:uid="{00000000-0005-0000-0000-0000ED670000}"/>
    <cellStyle name="Separador de milhares 9 2 2 4 2 7" xfId="23940" xr:uid="{00000000-0005-0000-0000-0000EE670000}"/>
    <cellStyle name="Separador de milhares 9 2 2 4 2 8" xfId="23941" xr:uid="{00000000-0005-0000-0000-0000EF670000}"/>
    <cellStyle name="Separador de milhares 9 2 2 4 2 9" xfId="23942" xr:uid="{00000000-0005-0000-0000-0000F0670000}"/>
    <cellStyle name="Separador de milhares 9 2 2 4 3" xfId="23943" xr:uid="{00000000-0005-0000-0000-0000F1670000}"/>
    <cellStyle name="Separador de milhares 9 2 2 4 3 10" xfId="23944" xr:uid="{00000000-0005-0000-0000-0000F2670000}"/>
    <cellStyle name="Separador de milhares 9 2 2 4 3 2" xfId="23945" xr:uid="{00000000-0005-0000-0000-0000F3670000}"/>
    <cellStyle name="Separador de milhares 9 2 2 4 3 3" xfId="23946" xr:uid="{00000000-0005-0000-0000-0000F4670000}"/>
    <cellStyle name="Separador de milhares 9 2 2 4 3 4" xfId="23947" xr:uid="{00000000-0005-0000-0000-0000F5670000}"/>
    <cellStyle name="Separador de milhares 9 2 2 4 3 5" xfId="23948" xr:uid="{00000000-0005-0000-0000-0000F6670000}"/>
    <cellStyle name="Separador de milhares 9 2 2 4 3 6" xfId="23949" xr:uid="{00000000-0005-0000-0000-0000F7670000}"/>
    <cellStyle name="Separador de milhares 9 2 2 4 3 7" xfId="23950" xr:uid="{00000000-0005-0000-0000-0000F8670000}"/>
    <cellStyle name="Separador de milhares 9 2 2 4 3 8" xfId="23951" xr:uid="{00000000-0005-0000-0000-0000F9670000}"/>
    <cellStyle name="Separador de milhares 9 2 2 4 3 9" xfId="23952" xr:uid="{00000000-0005-0000-0000-0000FA670000}"/>
    <cellStyle name="Separador de milhares 9 2 2 4 4" xfId="23953" xr:uid="{00000000-0005-0000-0000-0000FB670000}"/>
    <cellStyle name="Separador de milhares 9 2 2 4 5" xfId="23954" xr:uid="{00000000-0005-0000-0000-0000FC670000}"/>
    <cellStyle name="Separador de milhares 9 2 2 4 6" xfId="23955" xr:uid="{00000000-0005-0000-0000-0000FD670000}"/>
    <cellStyle name="Separador de milhares 9 2 2 4 7" xfId="23956" xr:uid="{00000000-0005-0000-0000-0000FE670000}"/>
    <cellStyle name="Separador de milhares 9 2 2 4 8" xfId="23957" xr:uid="{00000000-0005-0000-0000-0000FF670000}"/>
    <cellStyle name="Separador de milhares 9 2 2 4 9" xfId="23958" xr:uid="{00000000-0005-0000-0000-000000680000}"/>
    <cellStyle name="Separador de milhares 9 2 2 5" xfId="23959" xr:uid="{00000000-0005-0000-0000-000001680000}"/>
    <cellStyle name="Separador de milhares 9 2 2 5 10" xfId="23960" xr:uid="{00000000-0005-0000-0000-000002680000}"/>
    <cellStyle name="Separador de milhares 9 2 2 5 2" xfId="23961" xr:uid="{00000000-0005-0000-0000-000003680000}"/>
    <cellStyle name="Separador de milhares 9 2 2 5 3" xfId="23962" xr:uid="{00000000-0005-0000-0000-000004680000}"/>
    <cellStyle name="Separador de milhares 9 2 2 5 4" xfId="23963" xr:uid="{00000000-0005-0000-0000-000005680000}"/>
    <cellStyle name="Separador de milhares 9 2 2 5 5" xfId="23964" xr:uid="{00000000-0005-0000-0000-000006680000}"/>
    <cellStyle name="Separador de milhares 9 2 2 5 6" xfId="23965" xr:uid="{00000000-0005-0000-0000-000007680000}"/>
    <cellStyle name="Separador de milhares 9 2 2 5 7" xfId="23966" xr:uid="{00000000-0005-0000-0000-000008680000}"/>
    <cellStyle name="Separador de milhares 9 2 2 5 8" xfId="23967" xr:uid="{00000000-0005-0000-0000-000009680000}"/>
    <cellStyle name="Separador de milhares 9 2 2 5 9" xfId="23968" xr:uid="{00000000-0005-0000-0000-00000A680000}"/>
    <cellStyle name="Separador de milhares 9 2 2 6" xfId="23969" xr:uid="{00000000-0005-0000-0000-00000B680000}"/>
    <cellStyle name="Separador de milhares 9 2 2 6 10" xfId="23970" xr:uid="{00000000-0005-0000-0000-00000C680000}"/>
    <cellStyle name="Separador de milhares 9 2 2 6 2" xfId="23971" xr:uid="{00000000-0005-0000-0000-00000D680000}"/>
    <cellStyle name="Separador de milhares 9 2 2 6 3" xfId="23972" xr:uid="{00000000-0005-0000-0000-00000E680000}"/>
    <cellStyle name="Separador de milhares 9 2 2 6 4" xfId="23973" xr:uid="{00000000-0005-0000-0000-00000F680000}"/>
    <cellStyle name="Separador de milhares 9 2 2 6 5" xfId="23974" xr:uid="{00000000-0005-0000-0000-000010680000}"/>
    <cellStyle name="Separador de milhares 9 2 2 6 6" xfId="23975" xr:uid="{00000000-0005-0000-0000-000011680000}"/>
    <cellStyle name="Separador de milhares 9 2 2 6 7" xfId="23976" xr:uid="{00000000-0005-0000-0000-000012680000}"/>
    <cellStyle name="Separador de milhares 9 2 2 6 8" xfId="23977" xr:uid="{00000000-0005-0000-0000-000013680000}"/>
    <cellStyle name="Separador de milhares 9 2 2 6 9" xfId="23978" xr:uid="{00000000-0005-0000-0000-000014680000}"/>
    <cellStyle name="Separador de milhares 9 2 2 7" xfId="23979" xr:uid="{00000000-0005-0000-0000-000015680000}"/>
    <cellStyle name="Separador de milhares 9 2 2 8" xfId="23980" xr:uid="{00000000-0005-0000-0000-000016680000}"/>
    <cellStyle name="Separador de milhares 9 2 2 9" xfId="23981" xr:uid="{00000000-0005-0000-0000-000017680000}"/>
    <cellStyle name="Separador de milhares 9 2 2_Recurso Jan a Mar 09 DEF" xfId="23982" xr:uid="{00000000-0005-0000-0000-000018680000}"/>
    <cellStyle name="Separador de milhares 9 2 20" xfId="23983" xr:uid="{00000000-0005-0000-0000-000019680000}"/>
    <cellStyle name="Separador de milhares 9 2 20 2" xfId="23984" xr:uid="{00000000-0005-0000-0000-00001A680000}"/>
    <cellStyle name="Separador de milhares 9 2 20 2 2" xfId="32387" xr:uid="{E3A57293-F961-44C7-A17E-3E7F62FFF16A}"/>
    <cellStyle name="Separador de milhares 9 2 20 3" xfId="32386" xr:uid="{2F5D06E7-AC17-421E-A8A4-050CB2AEBA9F}"/>
    <cellStyle name="Separador de milhares 9 2 21" xfId="23985" xr:uid="{00000000-0005-0000-0000-00001B680000}"/>
    <cellStyle name="Separador de milhares 9 2 21 2" xfId="23986" xr:uid="{00000000-0005-0000-0000-00001C680000}"/>
    <cellStyle name="Separador de milhares 9 2 21 2 2" xfId="32389" xr:uid="{7F53ABE9-F77B-41D8-BBC2-62DEAA649666}"/>
    <cellStyle name="Separador de milhares 9 2 21 3" xfId="32388" xr:uid="{092485A7-3D2D-4121-B8F2-3C9048D5AFA9}"/>
    <cellStyle name="Separador de milhares 9 2 22" xfId="23987" xr:uid="{00000000-0005-0000-0000-00001D680000}"/>
    <cellStyle name="Separador de milhares 9 2 22 2" xfId="23988" xr:uid="{00000000-0005-0000-0000-00001E680000}"/>
    <cellStyle name="Separador de milhares 9 2 22 2 2" xfId="32391" xr:uid="{BAFE83E3-F7BF-4B4A-B7F6-1EA6C5DC523E}"/>
    <cellStyle name="Separador de milhares 9 2 22 3" xfId="32390" xr:uid="{4B99714C-48B9-4BE9-9361-0250781D65A1}"/>
    <cellStyle name="Separador de milhares 9 2 23" xfId="23989" xr:uid="{00000000-0005-0000-0000-00001F680000}"/>
    <cellStyle name="Separador de milhares 9 2 23 2" xfId="23990" xr:uid="{00000000-0005-0000-0000-000020680000}"/>
    <cellStyle name="Separador de milhares 9 2 23 2 2" xfId="32393" xr:uid="{D79FEC04-4309-4443-A73E-63F9100CD124}"/>
    <cellStyle name="Separador de milhares 9 2 23 3" xfId="32392" xr:uid="{1D91EB5D-562E-4944-9267-9FD707DFC91C}"/>
    <cellStyle name="Separador de milhares 9 2 24" xfId="23991" xr:uid="{00000000-0005-0000-0000-000021680000}"/>
    <cellStyle name="Separador de milhares 9 2 24 2" xfId="23992" xr:uid="{00000000-0005-0000-0000-000022680000}"/>
    <cellStyle name="Separador de milhares 9 2 24 2 2" xfId="32395" xr:uid="{D2C9ECBE-E5B5-41F6-AB3D-D54BC66FBAFB}"/>
    <cellStyle name="Separador de milhares 9 2 24 3" xfId="32394" xr:uid="{9FBC7757-9D6A-4F91-B7BD-B41D3F59819B}"/>
    <cellStyle name="Separador de milhares 9 2 25" xfId="23993" xr:uid="{00000000-0005-0000-0000-000023680000}"/>
    <cellStyle name="Separador de milhares 9 2 25 2" xfId="23994" xr:uid="{00000000-0005-0000-0000-000024680000}"/>
    <cellStyle name="Separador de milhares 9 2 25 2 2" xfId="32397" xr:uid="{42FEAA80-0FF2-4D22-A472-9B45665D8EF7}"/>
    <cellStyle name="Separador de milhares 9 2 25 3" xfId="32396" xr:uid="{25D8FEA2-0C21-4A3D-B1C2-8B5BCE62E12C}"/>
    <cellStyle name="Separador de milhares 9 2 26" xfId="23995" xr:uid="{00000000-0005-0000-0000-000025680000}"/>
    <cellStyle name="Separador de milhares 9 2 26 2" xfId="23996" xr:uid="{00000000-0005-0000-0000-000026680000}"/>
    <cellStyle name="Separador de milhares 9 2 26 2 2" xfId="32399" xr:uid="{9A0889EF-29AB-4649-8FC4-F9F4D0F40EA9}"/>
    <cellStyle name="Separador de milhares 9 2 26 3" xfId="32398" xr:uid="{648D85DB-EC09-4C48-AE2C-3C38CA96299E}"/>
    <cellStyle name="Separador de milhares 9 2 27" xfId="23997" xr:uid="{00000000-0005-0000-0000-000027680000}"/>
    <cellStyle name="Separador de milhares 9 2 27 2" xfId="23998" xr:uid="{00000000-0005-0000-0000-000028680000}"/>
    <cellStyle name="Separador de milhares 9 2 27 2 2" xfId="32401" xr:uid="{78A19138-7F86-48EF-A7B4-E7E88F25CEE4}"/>
    <cellStyle name="Separador de milhares 9 2 27 3" xfId="32400" xr:uid="{3569DC31-F706-4AFF-B5AF-5DD9840994EF}"/>
    <cellStyle name="Separador de milhares 9 2 28" xfId="23999" xr:uid="{00000000-0005-0000-0000-000029680000}"/>
    <cellStyle name="Separador de milhares 9 2 28 2" xfId="24000" xr:uid="{00000000-0005-0000-0000-00002A680000}"/>
    <cellStyle name="Separador de milhares 9 2 28 2 2" xfId="32403" xr:uid="{20478BF5-5CD8-4F7F-B0B2-A99198B06550}"/>
    <cellStyle name="Separador de milhares 9 2 28 3" xfId="32402" xr:uid="{F270B73F-5EB0-4A79-83B2-B4F7F9DBDF46}"/>
    <cellStyle name="Separador de milhares 9 2 29" xfId="24001" xr:uid="{00000000-0005-0000-0000-00002B680000}"/>
    <cellStyle name="Separador de milhares 9 2 29 2" xfId="24002" xr:uid="{00000000-0005-0000-0000-00002C680000}"/>
    <cellStyle name="Separador de milhares 9 2 29 2 2" xfId="32405" xr:uid="{C2C0F850-A791-4715-A7C6-3792B8667494}"/>
    <cellStyle name="Separador de milhares 9 2 29 3" xfId="32404" xr:uid="{74D1EB15-90BA-4898-A79F-B99C3503B4EB}"/>
    <cellStyle name="Separador de milhares 9 2 3" xfId="867" xr:uid="{00000000-0005-0000-0000-00002D680000}"/>
    <cellStyle name="Separador de milhares 9 2 3 10" xfId="24004" xr:uid="{00000000-0005-0000-0000-00002E680000}"/>
    <cellStyle name="Separador de milhares 9 2 3 11" xfId="24005" xr:uid="{00000000-0005-0000-0000-00002F680000}"/>
    <cellStyle name="Separador de milhares 9 2 3 12" xfId="24006" xr:uid="{00000000-0005-0000-0000-000030680000}"/>
    <cellStyle name="Separador de milhares 9 2 3 13" xfId="24007" xr:uid="{00000000-0005-0000-0000-000031680000}"/>
    <cellStyle name="Separador de milhares 9 2 3 14" xfId="24008" xr:uid="{00000000-0005-0000-0000-000032680000}"/>
    <cellStyle name="Separador de milhares 9 2 3 15" xfId="24003" xr:uid="{00000000-0005-0000-0000-000033680000}"/>
    <cellStyle name="Separador de milhares 9 2 3 16" xfId="28101" xr:uid="{3EF08365-2865-4075-B215-4E8DEDF69D93}"/>
    <cellStyle name="Separador de milhares 9 2 3 2" xfId="868" xr:uid="{00000000-0005-0000-0000-000034680000}"/>
    <cellStyle name="Separador de milhares 9 2 3 2 10" xfId="24010" xr:uid="{00000000-0005-0000-0000-000035680000}"/>
    <cellStyle name="Separador de milhares 9 2 3 2 11" xfId="24009" xr:uid="{00000000-0005-0000-0000-000036680000}"/>
    <cellStyle name="Separador de milhares 9 2 3 2 12" xfId="28102" xr:uid="{4F36FDD3-1F46-4012-B3F7-9C3D825950ED}"/>
    <cellStyle name="Separador de milhares 9 2 3 2 2" xfId="24011" xr:uid="{00000000-0005-0000-0000-000037680000}"/>
    <cellStyle name="Separador de milhares 9 2 3 2 3" xfId="24012" xr:uid="{00000000-0005-0000-0000-000038680000}"/>
    <cellStyle name="Separador de milhares 9 2 3 2 4" xfId="24013" xr:uid="{00000000-0005-0000-0000-000039680000}"/>
    <cellStyle name="Separador de milhares 9 2 3 2 5" xfId="24014" xr:uid="{00000000-0005-0000-0000-00003A680000}"/>
    <cellStyle name="Separador de milhares 9 2 3 2 6" xfId="24015" xr:uid="{00000000-0005-0000-0000-00003B680000}"/>
    <cellStyle name="Separador de milhares 9 2 3 2 7" xfId="24016" xr:uid="{00000000-0005-0000-0000-00003C680000}"/>
    <cellStyle name="Separador de milhares 9 2 3 2 8" xfId="24017" xr:uid="{00000000-0005-0000-0000-00003D680000}"/>
    <cellStyle name="Separador de milhares 9 2 3 2 9" xfId="24018" xr:uid="{00000000-0005-0000-0000-00003E680000}"/>
    <cellStyle name="Separador de milhares 9 2 3 3" xfId="24019" xr:uid="{00000000-0005-0000-0000-00003F680000}"/>
    <cellStyle name="Separador de milhares 9 2 3 3 10" xfId="24020" xr:uid="{00000000-0005-0000-0000-000040680000}"/>
    <cellStyle name="Separador de milhares 9 2 3 3 2" xfId="24021" xr:uid="{00000000-0005-0000-0000-000041680000}"/>
    <cellStyle name="Separador de milhares 9 2 3 3 3" xfId="24022" xr:uid="{00000000-0005-0000-0000-000042680000}"/>
    <cellStyle name="Separador de milhares 9 2 3 3 4" xfId="24023" xr:uid="{00000000-0005-0000-0000-000043680000}"/>
    <cellStyle name="Separador de milhares 9 2 3 3 5" xfId="24024" xr:uid="{00000000-0005-0000-0000-000044680000}"/>
    <cellStyle name="Separador de milhares 9 2 3 3 6" xfId="24025" xr:uid="{00000000-0005-0000-0000-000045680000}"/>
    <cellStyle name="Separador de milhares 9 2 3 3 7" xfId="24026" xr:uid="{00000000-0005-0000-0000-000046680000}"/>
    <cellStyle name="Separador de milhares 9 2 3 3 8" xfId="24027" xr:uid="{00000000-0005-0000-0000-000047680000}"/>
    <cellStyle name="Separador de milhares 9 2 3 3 9" xfId="24028" xr:uid="{00000000-0005-0000-0000-000048680000}"/>
    <cellStyle name="Separador de milhares 9 2 3 4" xfId="24029" xr:uid="{00000000-0005-0000-0000-000049680000}"/>
    <cellStyle name="Separador de milhares 9 2 3 5" xfId="24030" xr:uid="{00000000-0005-0000-0000-00004A680000}"/>
    <cellStyle name="Separador de milhares 9 2 3 6" xfId="24031" xr:uid="{00000000-0005-0000-0000-00004B680000}"/>
    <cellStyle name="Separador de milhares 9 2 3 7" xfId="24032" xr:uid="{00000000-0005-0000-0000-00004C680000}"/>
    <cellStyle name="Separador de milhares 9 2 3 8" xfId="24033" xr:uid="{00000000-0005-0000-0000-00004D680000}"/>
    <cellStyle name="Separador de milhares 9 2 3 9" xfId="24034" xr:uid="{00000000-0005-0000-0000-00004E680000}"/>
    <cellStyle name="Separador de milhares 9 2 30" xfId="24035" xr:uid="{00000000-0005-0000-0000-00004F680000}"/>
    <cellStyle name="Separador de milhares 9 2 30 2" xfId="24036" xr:uid="{00000000-0005-0000-0000-000050680000}"/>
    <cellStyle name="Separador de milhares 9 2 30 2 2" xfId="32407" xr:uid="{2A32A11C-07B6-42B8-877C-54C8670A00FC}"/>
    <cellStyle name="Separador de milhares 9 2 30 3" xfId="32406" xr:uid="{736778C7-8BFC-4EC3-9802-CAF26310E90F}"/>
    <cellStyle name="Separador de milhares 9 2 31" xfId="24037" xr:uid="{00000000-0005-0000-0000-000051680000}"/>
    <cellStyle name="Separador de milhares 9 2 31 2" xfId="24038" xr:uid="{00000000-0005-0000-0000-000052680000}"/>
    <cellStyle name="Separador de milhares 9 2 31 2 2" xfId="32409" xr:uid="{27C24EB8-515E-42B5-A596-9897FF2CAB8C}"/>
    <cellStyle name="Separador de milhares 9 2 31 3" xfId="32408" xr:uid="{47062E91-959E-4510-83F2-06248A9A398E}"/>
    <cellStyle name="Separador de milhares 9 2 32" xfId="24039" xr:uid="{00000000-0005-0000-0000-000053680000}"/>
    <cellStyle name="Separador de milhares 9 2 32 2" xfId="24040" xr:uid="{00000000-0005-0000-0000-000054680000}"/>
    <cellStyle name="Separador de milhares 9 2 32 2 2" xfId="32411" xr:uid="{A6CC27C2-3B72-4083-BEFF-27728D611815}"/>
    <cellStyle name="Separador de milhares 9 2 32 3" xfId="32410" xr:uid="{E97056CB-4723-4D99-A565-C3C1ECBA2067}"/>
    <cellStyle name="Separador de milhares 9 2 33" xfId="24041" xr:uid="{00000000-0005-0000-0000-000055680000}"/>
    <cellStyle name="Separador de milhares 9 2 33 2" xfId="24042" xr:uid="{00000000-0005-0000-0000-000056680000}"/>
    <cellStyle name="Separador de milhares 9 2 33 2 2" xfId="32413" xr:uid="{D8941D3E-4175-401D-AB43-D8DEC842616F}"/>
    <cellStyle name="Separador de milhares 9 2 33 3" xfId="32412" xr:uid="{683317A2-F446-4410-A52C-1D2A9EF87F92}"/>
    <cellStyle name="Separador de milhares 9 2 34" xfId="24043" xr:uid="{00000000-0005-0000-0000-000057680000}"/>
    <cellStyle name="Separador de milhares 9 2 34 2" xfId="24044" xr:uid="{00000000-0005-0000-0000-000058680000}"/>
    <cellStyle name="Separador de milhares 9 2 34 2 2" xfId="32415" xr:uid="{650C039B-09B5-4BDB-8FF1-9B6FC15A9494}"/>
    <cellStyle name="Separador de milhares 9 2 34 3" xfId="32414" xr:uid="{74B86AC3-5470-43AC-8B20-52ECABC381A6}"/>
    <cellStyle name="Separador de milhares 9 2 35" xfId="24045" xr:uid="{00000000-0005-0000-0000-000059680000}"/>
    <cellStyle name="Separador de milhares 9 2 35 2" xfId="32416" xr:uid="{28674E10-21DB-427B-880F-C2EE2827FED4}"/>
    <cellStyle name="Separador de milhares 9 2 36" xfId="23859" xr:uid="{00000000-0005-0000-0000-00005A680000}"/>
    <cellStyle name="Separador de milhares 9 2 36 2" xfId="32371" xr:uid="{96C8E69D-FE5D-43B9-B7FD-05D1BFEE3722}"/>
    <cellStyle name="Separador de milhares 9 2 37" xfId="27135" xr:uid="{00000000-0005-0000-0000-00005B680000}"/>
    <cellStyle name="Separador de milhares 9 2 37 2" xfId="32994" xr:uid="{D7B72519-E7F3-469D-A3F5-2A347DA99808}"/>
    <cellStyle name="Separador de milhares 9 2 38" xfId="27324" xr:uid="{00000000-0005-0000-0000-00005C680000}"/>
    <cellStyle name="Separador de milhares 9 2 38 2" xfId="33161" xr:uid="{F2EB3F3A-4DEE-4DE3-9566-746C08FE64B8}"/>
    <cellStyle name="Separador de milhares 9 2 39" xfId="27340" xr:uid="{00000000-0005-0000-0000-00005D680000}"/>
    <cellStyle name="Separador de milhares 9 2 39 2" xfId="33177" xr:uid="{90D48A57-8D8B-432F-A534-8BC97365BD2A}"/>
    <cellStyle name="Separador de milhares 9 2 4" xfId="869" xr:uid="{00000000-0005-0000-0000-00005E680000}"/>
    <cellStyle name="Separador de milhares 9 2 4 10" xfId="24047" xr:uid="{00000000-0005-0000-0000-00005F680000}"/>
    <cellStyle name="Separador de milhares 9 2 4 11" xfId="24046" xr:uid="{00000000-0005-0000-0000-000060680000}"/>
    <cellStyle name="Separador de milhares 9 2 4 12" xfId="28103" xr:uid="{BB71DB70-E94A-4716-8861-A35E5A5C564C}"/>
    <cellStyle name="Separador de milhares 9 2 4 2" xfId="24048" xr:uid="{00000000-0005-0000-0000-000061680000}"/>
    <cellStyle name="Separador de milhares 9 2 4 3" xfId="24049" xr:uid="{00000000-0005-0000-0000-000062680000}"/>
    <cellStyle name="Separador de milhares 9 2 4 4" xfId="24050" xr:uid="{00000000-0005-0000-0000-000063680000}"/>
    <cellStyle name="Separador de milhares 9 2 4 5" xfId="24051" xr:uid="{00000000-0005-0000-0000-000064680000}"/>
    <cellStyle name="Separador de milhares 9 2 4 6" xfId="24052" xr:uid="{00000000-0005-0000-0000-000065680000}"/>
    <cellStyle name="Separador de milhares 9 2 4 7" xfId="24053" xr:uid="{00000000-0005-0000-0000-000066680000}"/>
    <cellStyle name="Separador de milhares 9 2 4 8" xfId="24054" xr:uid="{00000000-0005-0000-0000-000067680000}"/>
    <cellStyle name="Separador de milhares 9 2 4 9" xfId="24055" xr:uid="{00000000-0005-0000-0000-000068680000}"/>
    <cellStyle name="Separador de milhares 9 2 40" xfId="27341" xr:uid="{00000000-0005-0000-0000-000069680000}"/>
    <cellStyle name="Separador de milhares 9 2 40 2" xfId="33178" xr:uid="{EAE627B8-FFFF-4EDB-87C7-3B9DE457E7E7}"/>
    <cellStyle name="Separador de milhares 9 2 41" xfId="27155" xr:uid="{00000000-0005-0000-0000-00006A680000}"/>
    <cellStyle name="Separador de milhares 9 2 41 2" xfId="33005" xr:uid="{EB91373F-2B3F-469F-921B-09B96FF32BDE}"/>
    <cellStyle name="Separador de milhares 9 2 42" xfId="27495" xr:uid="{00000000-0005-0000-0000-00006B680000}"/>
    <cellStyle name="Separador de milhares 9 2 42 2" xfId="33332" xr:uid="{C03BF8C6-B4ED-4A6C-85DB-E4A443A0303F}"/>
    <cellStyle name="Separador de milhares 9 2 43" xfId="27530" xr:uid="{00000000-0005-0000-0000-00006C680000}"/>
    <cellStyle name="Separador de milhares 9 2 43 2" xfId="33345" xr:uid="{1E8A52D2-323D-4386-83BC-1E53BF79AEB7}"/>
    <cellStyle name="Separador de milhares 9 2 44" xfId="27350" xr:uid="{00000000-0005-0000-0000-00006D680000}"/>
    <cellStyle name="Separador de milhares 9 2 44 2" xfId="33187" xr:uid="{B3FCA61D-46F2-4A6A-938C-49F5D3263FB8}"/>
    <cellStyle name="Separador de milhares 9 2 45" xfId="27346" xr:uid="{00000000-0005-0000-0000-00006E680000}"/>
    <cellStyle name="Separador de milhares 9 2 45 2" xfId="33183" xr:uid="{87039D3E-E284-4750-AE0A-298FE5227ACA}"/>
    <cellStyle name="Separador de milhares 9 2 46" xfId="27480" xr:uid="{00000000-0005-0000-0000-00006F680000}"/>
    <cellStyle name="Separador de milhares 9 2 46 2" xfId="33317" xr:uid="{A6D1DD94-FBE4-4EA8-A9C5-4CCF1106DEEE}"/>
    <cellStyle name="Separador de milhares 9 2 47" xfId="27476" xr:uid="{00000000-0005-0000-0000-000070680000}"/>
    <cellStyle name="Separador de milhares 9 2 47 2" xfId="33313" xr:uid="{56AEB599-980B-4D50-9F5F-A18D1F2DEAD0}"/>
    <cellStyle name="Separador de milhares 9 2 48" xfId="27478" xr:uid="{00000000-0005-0000-0000-000071680000}"/>
    <cellStyle name="Separador de milhares 9 2 48 2" xfId="33315" xr:uid="{202CC850-AE99-42DA-B904-9FB4595345FE}"/>
    <cellStyle name="Separador de milhares 9 2 49" xfId="27477" xr:uid="{00000000-0005-0000-0000-000072680000}"/>
    <cellStyle name="Separador de milhares 9 2 49 2" xfId="33314" xr:uid="{2DFBF311-A691-474E-8DFB-1F1EC25D3991}"/>
    <cellStyle name="Separador de milhares 9 2 5" xfId="24056" xr:uid="{00000000-0005-0000-0000-000073680000}"/>
    <cellStyle name="Separador de milhares 9 2 5 10" xfId="24057" xr:uid="{00000000-0005-0000-0000-000074680000}"/>
    <cellStyle name="Separador de milhares 9 2 5 2" xfId="24058" xr:uid="{00000000-0005-0000-0000-000075680000}"/>
    <cellStyle name="Separador de milhares 9 2 5 3" xfId="24059" xr:uid="{00000000-0005-0000-0000-000076680000}"/>
    <cellStyle name="Separador de milhares 9 2 5 4" xfId="24060" xr:uid="{00000000-0005-0000-0000-000077680000}"/>
    <cellStyle name="Separador de milhares 9 2 5 5" xfId="24061" xr:uid="{00000000-0005-0000-0000-000078680000}"/>
    <cellStyle name="Separador de milhares 9 2 5 6" xfId="24062" xr:uid="{00000000-0005-0000-0000-000079680000}"/>
    <cellStyle name="Separador de milhares 9 2 5 7" xfId="24063" xr:uid="{00000000-0005-0000-0000-00007A680000}"/>
    <cellStyle name="Separador de milhares 9 2 5 8" xfId="24064" xr:uid="{00000000-0005-0000-0000-00007B680000}"/>
    <cellStyle name="Separador de milhares 9 2 5 9" xfId="24065" xr:uid="{00000000-0005-0000-0000-00007C680000}"/>
    <cellStyle name="Separador de milhares 9 2 50" xfId="27343" xr:uid="{00000000-0005-0000-0000-00007D680000}"/>
    <cellStyle name="Separador de milhares 9 2 50 2" xfId="33180" xr:uid="{7FCF1FFD-281F-49B8-8B35-CFF0921AE54B}"/>
    <cellStyle name="Separador de milhares 9 2 51" xfId="27349" xr:uid="{00000000-0005-0000-0000-00007E680000}"/>
    <cellStyle name="Separador de milhares 9 2 51 2" xfId="33186" xr:uid="{3BE9D608-85E3-4AFF-9C71-24B16BD3F51A}"/>
    <cellStyle name="Separador de milhares 9 2 52" xfId="27664" xr:uid="{00000000-0005-0000-0000-00007F680000}"/>
    <cellStyle name="Separador de milhares 9 2 52 2" xfId="33475" xr:uid="{FCBB268A-3551-4E00-BBE1-207F8D17200D}"/>
    <cellStyle name="Separador de milhares 9 2 53" xfId="27674" xr:uid="{00000000-0005-0000-0000-000080680000}"/>
    <cellStyle name="Separador de milhares 9 2 53 2" xfId="33485" xr:uid="{51442537-71C5-4AC6-9E9E-180D4062C396}"/>
    <cellStyle name="Separador de milhares 9 2 54" xfId="27578" xr:uid="{00000000-0005-0000-0000-000081680000}"/>
    <cellStyle name="Separador de milhares 9 2 54 2" xfId="33390" xr:uid="{AB12C566-025D-4720-A8DA-E1B1FD04BD94}"/>
    <cellStyle name="Separador de milhares 9 2 55" xfId="27533" xr:uid="{00000000-0005-0000-0000-000082680000}"/>
    <cellStyle name="Separador de milhares 9 2 55 2" xfId="33346" xr:uid="{5515FEEF-28C8-4F21-85F8-555B626240BE}"/>
    <cellStyle name="Separador de milhares 9 2 56" xfId="27821" xr:uid="{00000000-0005-0000-0000-000083680000}"/>
    <cellStyle name="Separador de milhares 9 2 56 2" xfId="33632" xr:uid="{142C78A6-E070-4311-83DE-A97FE024CF8C}"/>
    <cellStyle name="Separador de milhares 9 2 57" xfId="27834" xr:uid="{00000000-0005-0000-0000-000084680000}"/>
    <cellStyle name="Separador de milhares 9 2 57 2" xfId="33645" xr:uid="{50A97180-C9A5-4E25-87EC-6F7B9BCBD49F}"/>
    <cellStyle name="Separador de milhares 9 2 58" xfId="27729" xr:uid="{00000000-0005-0000-0000-000085680000}"/>
    <cellStyle name="Separador de milhares 9 2 58 2" xfId="33540" xr:uid="{0CEC842B-E468-4BEC-BE56-656C64619EBA}"/>
    <cellStyle name="Separador de milhares 9 2 59" xfId="27679" xr:uid="{00000000-0005-0000-0000-000086680000}"/>
    <cellStyle name="Separador de milhares 9 2 59 2" xfId="33490" xr:uid="{9D877882-6A0C-4A5A-881D-0217040A6F5E}"/>
    <cellStyle name="Separador de milhares 9 2 6" xfId="24066" xr:uid="{00000000-0005-0000-0000-000087680000}"/>
    <cellStyle name="Separador de milhares 9 2 6 2" xfId="24067" xr:uid="{00000000-0005-0000-0000-000088680000}"/>
    <cellStyle name="Separador de milhares 9 2 6 2 2" xfId="32417" xr:uid="{E4DC37EC-21FB-44D7-8718-779EB754B057}"/>
    <cellStyle name="Separador de milhares 9 2 60" xfId="27683" xr:uid="{00000000-0005-0000-0000-000089680000}"/>
    <cellStyle name="Separador de milhares 9 2 60 2" xfId="33494" xr:uid="{CB4F2683-B1A0-47AC-B678-1E270FF06201}"/>
    <cellStyle name="Separador de milhares 9 2 61" xfId="27680" xr:uid="{00000000-0005-0000-0000-00008A680000}"/>
    <cellStyle name="Separador de milhares 9 2 61 2" xfId="33491" xr:uid="{F7F0AAA4-3FD7-48E4-88B7-7BD11B62717B}"/>
    <cellStyle name="Separador de milhares 9 2 62" xfId="27676" xr:uid="{00000000-0005-0000-0000-00008B680000}"/>
    <cellStyle name="Separador de milhares 9 2 62 2" xfId="33487" xr:uid="{40C98523-E709-47A9-8DCD-385B4A92FE8D}"/>
    <cellStyle name="Separador de milhares 9 2 63" xfId="27686" xr:uid="{00000000-0005-0000-0000-00008C680000}"/>
    <cellStyle name="Separador de milhares 9 2 63 2" xfId="33497" xr:uid="{50C3C367-B2BF-4502-AB58-85040C13EF5E}"/>
    <cellStyle name="Separador de milhares 9 2 64" xfId="27802" xr:uid="{00000000-0005-0000-0000-00008D680000}"/>
    <cellStyle name="Separador de milhares 9 2 64 2" xfId="33613" xr:uid="{736E28A1-09D6-408A-8787-BC29420C141E}"/>
    <cellStyle name="Separador de milhares 9 2 65" xfId="27805" xr:uid="{00000000-0005-0000-0000-00008E680000}"/>
    <cellStyle name="Separador de milhares 9 2 65 2" xfId="33616" xr:uid="{BCC9EA6F-D8B6-4AD1-A66D-62D9992A10B6}"/>
    <cellStyle name="Separador de milhares 9 2 66" xfId="27804" xr:uid="{00000000-0005-0000-0000-00008F680000}"/>
    <cellStyle name="Separador de milhares 9 2 66 2" xfId="33615" xr:uid="{615E3276-4FE2-4C02-B878-93E90957B01F}"/>
    <cellStyle name="Separador de milhares 9 2 67" xfId="28096" xr:uid="{ADCF5A1D-6D5C-412A-9E0F-3EF55616C668}"/>
    <cellStyle name="Separador de milhares 9 2 7" xfId="24068" xr:uid="{00000000-0005-0000-0000-000090680000}"/>
    <cellStyle name="Separador de milhares 9 2 7 2" xfId="24069" xr:uid="{00000000-0005-0000-0000-000091680000}"/>
    <cellStyle name="Separador de milhares 9 2 7 2 2" xfId="32418" xr:uid="{9FB741E6-9B08-4575-9F5F-E23945563195}"/>
    <cellStyle name="Separador de milhares 9 2 8" xfId="24070" xr:uid="{00000000-0005-0000-0000-000092680000}"/>
    <cellStyle name="Separador de milhares 9 2 8 2" xfId="24071" xr:uid="{00000000-0005-0000-0000-000093680000}"/>
    <cellStyle name="Separador de milhares 9 2 8 2 2" xfId="32419" xr:uid="{1700A714-A757-428E-AE23-15B6B3A21067}"/>
    <cellStyle name="Separador de milhares 9 2 9" xfId="24072" xr:uid="{00000000-0005-0000-0000-000094680000}"/>
    <cellStyle name="Separador de milhares 9 2 9 2" xfId="24073" xr:uid="{00000000-0005-0000-0000-000095680000}"/>
    <cellStyle name="Separador de milhares 9 2 9 2 2" xfId="32420" xr:uid="{88BB615D-1066-4493-9A34-D84CBDB0DC6F}"/>
    <cellStyle name="Separador de milhares 9 20" xfId="24074" xr:uid="{00000000-0005-0000-0000-000096680000}"/>
    <cellStyle name="Separador de milhares 9 20 2" xfId="24075" xr:uid="{00000000-0005-0000-0000-000097680000}"/>
    <cellStyle name="Separador de milhares 9 20 2 2" xfId="32421" xr:uid="{032C6B73-8B7B-470D-951C-56455D1497BD}"/>
    <cellStyle name="Separador de milhares 9 21" xfId="24076" xr:uid="{00000000-0005-0000-0000-000098680000}"/>
    <cellStyle name="Separador de milhares 9 21 2" xfId="24077" xr:uid="{00000000-0005-0000-0000-000099680000}"/>
    <cellStyle name="Separador de milhares 9 21 2 2" xfId="32422" xr:uid="{DE1175A4-AD0C-4B1D-A5B4-E6CBED423376}"/>
    <cellStyle name="Separador de milhares 9 22" xfId="24078" xr:uid="{00000000-0005-0000-0000-00009A680000}"/>
    <cellStyle name="Separador de milhares 9 22 2" xfId="24079" xr:uid="{00000000-0005-0000-0000-00009B680000}"/>
    <cellStyle name="Separador de milhares 9 22 2 2" xfId="32423" xr:uid="{F87D9358-B9A4-4271-AEB4-92491ABF9AC3}"/>
    <cellStyle name="Separador de milhares 9 23" xfId="24080" xr:uid="{00000000-0005-0000-0000-00009C680000}"/>
    <cellStyle name="Separador de milhares 9 23 2" xfId="24081" xr:uid="{00000000-0005-0000-0000-00009D680000}"/>
    <cellStyle name="Separador de milhares 9 23 2 2" xfId="32424" xr:uid="{EEC8C1E6-434D-4F30-BFC3-745AD5F9DDD3}"/>
    <cellStyle name="Separador de milhares 9 24" xfId="24082" xr:uid="{00000000-0005-0000-0000-00009E680000}"/>
    <cellStyle name="Separador de milhares 9 24 2" xfId="24083" xr:uid="{00000000-0005-0000-0000-00009F680000}"/>
    <cellStyle name="Separador de milhares 9 24 2 2" xfId="32425" xr:uid="{8AD83C02-ADB0-4606-A5F5-4258085E55C9}"/>
    <cellStyle name="Separador de milhares 9 25" xfId="24084" xr:uid="{00000000-0005-0000-0000-0000A0680000}"/>
    <cellStyle name="Separador de milhares 9 25 2" xfId="24085" xr:uid="{00000000-0005-0000-0000-0000A1680000}"/>
    <cellStyle name="Separador de milhares 9 25 2 2" xfId="32426" xr:uid="{A396F276-C069-4EC0-8C61-9622526E6050}"/>
    <cellStyle name="Separador de milhares 9 26" xfId="24086" xr:uid="{00000000-0005-0000-0000-0000A2680000}"/>
    <cellStyle name="Separador de milhares 9 26 2" xfId="24087" xr:uid="{00000000-0005-0000-0000-0000A3680000}"/>
    <cellStyle name="Separador de milhares 9 26 2 2" xfId="32428" xr:uid="{2D995B26-C50D-4EA6-884F-B6758E94DAEB}"/>
    <cellStyle name="Separador de milhares 9 26 3" xfId="32427" xr:uid="{E629D8B1-8DB9-4EA6-B571-6F41BD57BBC1}"/>
    <cellStyle name="Separador de milhares 9 27" xfId="24088" xr:uid="{00000000-0005-0000-0000-0000A4680000}"/>
    <cellStyle name="Separador de milhares 9 27 2" xfId="24089" xr:uid="{00000000-0005-0000-0000-0000A5680000}"/>
    <cellStyle name="Separador de milhares 9 27 2 2" xfId="32430" xr:uid="{4A02E1FF-E2E4-4761-A5DA-F4E82F536763}"/>
    <cellStyle name="Separador de milhares 9 27 3" xfId="32429" xr:uid="{1C6BF477-F4DC-4511-9E96-E4E71C0109CF}"/>
    <cellStyle name="Separador de milhares 9 28" xfId="24090" xr:uid="{00000000-0005-0000-0000-0000A6680000}"/>
    <cellStyle name="Separador de milhares 9 28 2" xfId="24091" xr:uid="{00000000-0005-0000-0000-0000A7680000}"/>
    <cellStyle name="Separador de milhares 9 28 2 2" xfId="32432" xr:uid="{46219224-12B2-49C3-8E6D-CABE4BC5BA4F}"/>
    <cellStyle name="Separador de milhares 9 28 3" xfId="32431" xr:uid="{8F95045B-1715-4028-B605-E6B4F915BEBE}"/>
    <cellStyle name="Separador de milhares 9 29" xfId="24092" xr:uid="{00000000-0005-0000-0000-0000A8680000}"/>
    <cellStyle name="Separador de milhares 9 29 2" xfId="24093" xr:uid="{00000000-0005-0000-0000-0000A9680000}"/>
    <cellStyle name="Separador de milhares 9 29 2 2" xfId="32434" xr:uid="{A64863A9-7D34-4C55-91BB-AFFDF784F962}"/>
    <cellStyle name="Separador de milhares 9 29 3" xfId="32433" xr:uid="{C08C01CB-A73E-4C85-9041-75FEBFC73EA8}"/>
    <cellStyle name="Separador de milhares 9 3" xfId="870" xr:uid="{00000000-0005-0000-0000-0000AA680000}"/>
    <cellStyle name="Separador de milhares 9 3 10" xfId="24095" xr:uid="{00000000-0005-0000-0000-0000AB680000}"/>
    <cellStyle name="Separador de milhares 9 3 10 2" xfId="24096" xr:uid="{00000000-0005-0000-0000-0000AC680000}"/>
    <cellStyle name="Separador de milhares 9 3 10 2 2" xfId="32435" xr:uid="{23AAC43D-8A96-4A3C-8E96-495CC9616922}"/>
    <cellStyle name="Separador de milhares 9 3 11" xfId="24097" xr:uid="{00000000-0005-0000-0000-0000AD680000}"/>
    <cellStyle name="Separador de milhares 9 3 11 2" xfId="24098" xr:uid="{00000000-0005-0000-0000-0000AE680000}"/>
    <cellStyle name="Separador de milhares 9 3 11 2 2" xfId="32437" xr:uid="{6607CAC0-A7E2-40C8-8D88-8CD89046D17A}"/>
    <cellStyle name="Separador de milhares 9 3 11 3" xfId="32436" xr:uid="{F70D3041-4E75-4284-B317-22D1DFBABA2A}"/>
    <cellStyle name="Separador de milhares 9 3 12" xfId="24099" xr:uid="{00000000-0005-0000-0000-0000AF680000}"/>
    <cellStyle name="Separador de milhares 9 3 12 2" xfId="24100" xr:uid="{00000000-0005-0000-0000-0000B0680000}"/>
    <cellStyle name="Separador de milhares 9 3 12 2 2" xfId="32439" xr:uid="{E30F2F2B-30E1-425B-8646-646C7347C4CF}"/>
    <cellStyle name="Separador de milhares 9 3 12 3" xfId="32438" xr:uid="{481EA373-F10C-4CA3-844C-418947A0C566}"/>
    <cellStyle name="Separador de milhares 9 3 13" xfId="24101" xr:uid="{00000000-0005-0000-0000-0000B1680000}"/>
    <cellStyle name="Separador de milhares 9 3 13 2" xfId="24102" xr:uid="{00000000-0005-0000-0000-0000B2680000}"/>
    <cellStyle name="Separador de milhares 9 3 13 2 2" xfId="32441" xr:uid="{E1886C7C-3910-4869-B0E7-246CDDFB10CA}"/>
    <cellStyle name="Separador de milhares 9 3 13 3" xfId="32440" xr:uid="{DD18CAC9-C988-4529-89F1-F229465A4379}"/>
    <cellStyle name="Separador de milhares 9 3 14" xfId="24103" xr:uid="{00000000-0005-0000-0000-0000B3680000}"/>
    <cellStyle name="Separador de milhares 9 3 14 2" xfId="24104" xr:uid="{00000000-0005-0000-0000-0000B4680000}"/>
    <cellStyle name="Separador de milhares 9 3 14 2 2" xfId="32443" xr:uid="{D03916ED-036E-46AA-9E1F-E419A6957C6A}"/>
    <cellStyle name="Separador de milhares 9 3 14 3" xfId="32442" xr:uid="{689B68BD-1A09-46DB-B231-1D979B7BD1B1}"/>
    <cellStyle name="Separador de milhares 9 3 15" xfId="24105" xr:uid="{00000000-0005-0000-0000-0000B5680000}"/>
    <cellStyle name="Separador de milhares 9 3 15 2" xfId="24106" xr:uid="{00000000-0005-0000-0000-0000B6680000}"/>
    <cellStyle name="Separador de milhares 9 3 15 2 2" xfId="32445" xr:uid="{5DCA201E-74DD-427A-8E76-6E8E22214A97}"/>
    <cellStyle name="Separador de milhares 9 3 15 3" xfId="32444" xr:uid="{C660134D-0129-4849-9BF2-40860E7E0F75}"/>
    <cellStyle name="Separador de milhares 9 3 16" xfId="24107" xr:uid="{00000000-0005-0000-0000-0000B7680000}"/>
    <cellStyle name="Separador de milhares 9 3 16 2" xfId="24108" xr:uid="{00000000-0005-0000-0000-0000B8680000}"/>
    <cellStyle name="Separador de milhares 9 3 16 2 2" xfId="32447" xr:uid="{7F066B08-639E-4A32-BCA5-389EDD3E9640}"/>
    <cellStyle name="Separador de milhares 9 3 16 3" xfId="32446" xr:uid="{4060FE0A-7D77-4FAD-9797-553CAB757FF2}"/>
    <cellStyle name="Separador de milhares 9 3 17" xfId="24109" xr:uid="{00000000-0005-0000-0000-0000B9680000}"/>
    <cellStyle name="Separador de milhares 9 3 17 2" xfId="24110" xr:uid="{00000000-0005-0000-0000-0000BA680000}"/>
    <cellStyle name="Separador de milhares 9 3 17 2 2" xfId="32449" xr:uid="{9704C8A0-FA1F-49B4-A010-4705FA6E2118}"/>
    <cellStyle name="Separador de milhares 9 3 17 3" xfId="32448" xr:uid="{23F970A2-AB6B-4D47-877E-BB90F2CB3CFA}"/>
    <cellStyle name="Separador de milhares 9 3 18" xfId="24111" xr:uid="{00000000-0005-0000-0000-0000BB680000}"/>
    <cellStyle name="Separador de milhares 9 3 18 2" xfId="24112" xr:uid="{00000000-0005-0000-0000-0000BC680000}"/>
    <cellStyle name="Separador de milhares 9 3 18 2 2" xfId="32451" xr:uid="{9FBB2B0C-10E3-45F7-83E9-FF415CAD42C2}"/>
    <cellStyle name="Separador de milhares 9 3 18 3" xfId="32450" xr:uid="{0D1666CC-6066-4060-B829-3EAA3B4F25F3}"/>
    <cellStyle name="Separador de milhares 9 3 19" xfId="24113" xr:uid="{00000000-0005-0000-0000-0000BD680000}"/>
    <cellStyle name="Separador de milhares 9 3 19 2" xfId="24114" xr:uid="{00000000-0005-0000-0000-0000BE680000}"/>
    <cellStyle name="Separador de milhares 9 3 19 2 2" xfId="32453" xr:uid="{826BF16B-D833-4748-815A-2A6CFBF93B5D}"/>
    <cellStyle name="Separador de milhares 9 3 19 3" xfId="32452" xr:uid="{F7D83F5B-43B8-4720-8C29-FBECFDF2DB88}"/>
    <cellStyle name="Separador de milhares 9 3 2" xfId="871" xr:uid="{00000000-0005-0000-0000-0000BF680000}"/>
    <cellStyle name="Separador de milhares 9 3 2 2" xfId="872" xr:uid="{00000000-0005-0000-0000-0000C0680000}"/>
    <cellStyle name="Separador de milhares 9 3 2 2 2" xfId="873" xr:uid="{00000000-0005-0000-0000-0000C1680000}"/>
    <cellStyle name="Separador de milhares 9 3 2 2 2 2" xfId="28107" xr:uid="{8FF5F0B9-834A-4871-AB3F-1E86F4C9C9D7}"/>
    <cellStyle name="Separador de milhares 9 3 2 2 3" xfId="24116" xr:uid="{00000000-0005-0000-0000-0000C2680000}"/>
    <cellStyle name="Separador de milhares 9 3 2 2 3 2" xfId="32454" xr:uid="{A43A238E-AAA4-4AD8-BE8C-864FD81365FC}"/>
    <cellStyle name="Separador de milhares 9 3 2 2 4" xfId="28106" xr:uid="{97B0285D-1E3F-4681-972E-698E76734A65}"/>
    <cellStyle name="Separador de milhares 9 3 2 3" xfId="874" xr:uid="{00000000-0005-0000-0000-0000C3680000}"/>
    <cellStyle name="Separador de milhares 9 3 2 3 2" xfId="28108" xr:uid="{3F8863D6-F1AC-416F-8435-56C0C1023C48}"/>
    <cellStyle name="Separador de milhares 9 3 2 4" xfId="24115" xr:uid="{00000000-0005-0000-0000-0000C4680000}"/>
    <cellStyle name="Separador de milhares 9 3 2 5" xfId="28105" xr:uid="{83C0BBCD-7974-4FA3-95FE-F350848C6987}"/>
    <cellStyle name="Separador de milhares 9 3 20" xfId="24117" xr:uid="{00000000-0005-0000-0000-0000C5680000}"/>
    <cellStyle name="Separador de milhares 9 3 20 2" xfId="24118" xr:uid="{00000000-0005-0000-0000-0000C6680000}"/>
    <cellStyle name="Separador de milhares 9 3 20 2 2" xfId="32456" xr:uid="{85611CC0-674B-40DF-B92A-C752008EEBF9}"/>
    <cellStyle name="Separador de milhares 9 3 20 3" xfId="32455" xr:uid="{5DE4B1FC-91BB-441B-A07C-946DE5103D45}"/>
    <cellStyle name="Separador de milhares 9 3 21" xfId="24119" xr:uid="{00000000-0005-0000-0000-0000C7680000}"/>
    <cellStyle name="Separador de milhares 9 3 21 2" xfId="24120" xr:uid="{00000000-0005-0000-0000-0000C8680000}"/>
    <cellStyle name="Separador de milhares 9 3 21 2 2" xfId="32458" xr:uid="{F299559C-C8AB-4675-99AF-3573D3EF3E5B}"/>
    <cellStyle name="Separador de milhares 9 3 21 3" xfId="32457" xr:uid="{1C34A9AD-A009-48E5-838A-A0BCAC6C1F8D}"/>
    <cellStyle name="Separador de milhares 9 3 22" xfId="24121" xr:uid="{00000000-0005-0000-0000-0000C9680000}"/>
    <cellStyle name="Separador de milhares 9 3 22 2" xfId="24122" xr:uid="{00000000-0005-0000-0000-0000CA680000}"/>
    <cellStyle name="Separador de milhares 9 3 22 2 2" xfId="32460" xr:uid="{F34BBCCF-20DE-492E-B275-119ABF270BED}"/>
    <cellStyle name="Separador de milhares 9 3 22 3" xfId="32459" xr:uid="{056E52C7-6A57-41ED-ACE7-506423C1B5DB}"/>
    <cellStyle name="Separador de milhares 9 3 23" xfId="24123" xr:uid="{00000000-0005-0000-0000-0000CB680000}"/>
    <cellStyle name="Separador de milhares 9 3 23 2" xfId="24124" xr:uid="{00000000-0005-0000-0000-0000CC680000}"/>
    <cellStyle name="Separador de milhares 9 3 23 2 2" xfId="32462" xr:uid="{3DE9171C-08D3-4D54-AD21-C5049F7B6D71}"/>
    <cellStyle name="Separador de milhares 9 3 23 3" xfId="32461" xr:uid="{190F9511-A430-4873-8187-39041405B4A4}"/>
    <cellStyle name="Separador de milhares 9 3 24" xfId="24125" xr:uid="{00000000-0005-0000-0000-0000CD680000}"/>
    <cellStyle name="Separador de milhares 9 3 24 2" xfId="24126" xr:uid="{00000000-0005-0000-0000-0000CE680000}"/>
    <cellStyle name="Separador de milhares 9 3 24 2 2" xfId="32464" xr:uid="{10022391-2482-4967-81FB-31A87122359B}"/>
    <cellStyle name="Separador de milhares 9 3 24 3" xfId="32463" xr:uid="{6C38B822-4B3A-418B-8689-6CCC5C5A0E77}"/>
    <cellStyle name="Separador de milhares 9 3 25" xfId="24127" xr:uid="{00000000-0005-0000-0000-0000CF680000}"/>
    <cellStyle name="Separador de milhares 9 3 25 2" xfId="24128" xr:uid="{00000000-0005-0000-0000-0000D0680000}"/>
    <cellStyle name="Separador de milhares 9 3 25 2 2" xfId="32466" xr:uid="{80FF5127-CF8A-4BA0-88FA-A1E96CDC3CEE}"/>
    <cellStyle name="Separador de milhares 9 3 25 3" xfId="32465" xr:uid="{3F9ADA3E-01B5-4FEB-A888-38A33A1133C9}"/>
    <cellStyle name="Separador de milhares 9 3 26" xfId="24129" xr:uid="{00000000-0005-0000-0000-0000D1680000}"/>
    <cellStyle name="Separador de milhares 9 3 26 2" xfId="24130" xr:uid="{00000000-0005-0000-0000-0000D2680000}"/>
    <cellStyle name="Separador de milhares 9 3 26 2 2" xfId="32468" xr:uid="{304A400D-503D-407E-BD6C-8A697CB9D358}"/>
    <cellStyle name="Separador de milhares 9 3 26 3" xfId="32467" xr:uid="{0AB34B77-1B28-45FB-AE52-8B5B9AFF6976}"/>
    <cellStyle name="Separador de milhares 9 3 27" xfId="24131" xr:uid="{00000000-0005-0000-0000-0000D3680000}"/>
    <cellStyle name="Separador de milhares 9 3 27 2" xfId="24132" xr:uid="{00000000-0005-0000-0000-0000D4680000}"/>
    <cellStyle name="Separador de milhares 9 3 27 2 2" xfId="32470" xr:uid="{74C3CEDD-9C2B-448F-8D2C-7BB9C14C9597}"/>
    <cellStyle name="Separador de milhares 9 3 27 3" xfId="32469" xr:uid="{DA5BFA5A-809C-4068-97CC-E88FB1A6F0F7}"/>
    <cellStyle name="Separador de milhares 9 3 28" xfId="24133" xr:uid="{00000000-0005-0000-0000-0000D5680000}"/>
    <cellStyle name="Separador de milhares 9 3 28 2" xfId="24134" xr:uid="{00000000-0005-0000-0000-0000D6680000}"/>
    <cellStyle name="Separador de milhares 9 3 28 2 2" xfId="32472" xr:uid="{D4C183EE-7ABB-40B3-9EB4-B36090B03B52}"/>
    <cellStyle name="Separador de milhares 9 3 28 3" xfId="32471" xr:uid="{5837E8B9-FCC8-4C42-A6F9-43F6B62C27EF}"/>
    <cellStyle name="Separador de milhares 9 3 29" xfId="24135" xr:uid="{00000000-0005-0000-0000-0000D7680000}"/>
    <cellStyle name="Separador de milhares 9 3 29 2" xfId="24136" xr:uid="{00000000-0005-0000-0000-0000D8680000}"/>
    <cellStyle name="Separador de milhares 9 3 29 2 2" xfId="32474" xr:uid="{F22AEFF0-AACE-4FA5-8E73-0326986DAA4C}"/>
    <cellStyle name="Separador de milhares 9 3 29 3" xfId="32473" xr:uid="{1C20C580-E1FA-412F-A18D-162C01A15203}"/>
    <cellStyle name="Separador de milhares 9 3 3" xfId="875" xr:uid="{00000000-0005-0000-0000-0000D9680000}"/>
    <cellStyle name="Separador de milhares 9 3 3 2" xfId="876" xr:uid="{00000000-0005-0000-0000-0000DA680000}"/>
    <cellStyle name="Separador de milhares 9 3 3 2 2" xfId="24138" xr:uid="{00000000-0005-0000-0000-0000DB680000}"/>
    <cellStyle name="Separador de milhares 9 3 3 2 2 2" xfId="32475" xr:uid="{4445D233-6BEA-44A8-895F-68C1C683DBF1}"/>
    <cellStyle name="Separador de milhares 9 3 3 2 3" xfId="28110" xr:uid="{63508D88-98DC-4363-B33F-CCC82E78A66A}"/>
    <cellStyle name="Separador de milhares 9 3 3 3" xfId="24137" xr:uid="{00000000-0005-0000-0000-0000DC680000}"/>
    <cellStyle name="Separador de milhares 9 3 3 4" xfId="28109" xr:uid="{0FC9DCBF-EF7C-440A-B63F-6C3A508CE8C4}"/>
    <cellStyle name="Separador de milhares 9 3 30" xfId="24139" xr:uid="{00000000-0005-0000-0000-0000DD680000}"/>
    <cellStyle name="Separador de milhares 9 3 30 2" xfId="24140" xr:uid="{00000000-0005-0000-0000-0000DE680000}"/>
    <cellStyle name="Separador de milhares 9 3 30 2 2" xfId="32477" xr:uid="{FF0EED1D-46C1-4983-B155-A94A44AA5A2B}"/>
    <cellStyle name="Separador de milhares 9 3 30 3" xfId="32476" xr:uid="{53AC08D6-D976-42C7-90D6-81FF5A21C930}"/>
    <cellStyle name="Separador de milhares 9 3 31" xfId="24141" xr:uid="{00000000-0005-0000-0000-0000DF680000}"/>
    <cellStyle name="Separador de milhares 9 3 31 2" xfId="24142" xr:uid="{00000000-0005-0000-0000-0000E0680000}"/>
    <cellStyle name="Separador de milhares 9 3 31 2 2" xfId="32479" xr:uid="{E861E95F-AA46-418E-8E11-CA58BE7AD792}"/>
    <cellStyle name="Separador de milhares 9 3 31 3" xfId="32478" xr:uid="{36AC491F-1C62-4CF2-97A0-867D03103E98}"/>
    <cellStyle name="Separador de milhares 9 3 32" xfId="24143" xr:uid="{00000000-0005-0000-0000-0000E1680000}"/>
    <cellStyle name="Separador de milhares 9 3 32 2" xfId="24144" xr:uid="{00000000-0005-0000-0000-0000E2680000}"/>
    <cellStyle name="Separador de milhares 9 3 32 2 2" xfId="32481" xr:uid="{729A7F9A-906B-4A4F-9E86-1DC72392093C}"/>
    <cellStyle name="Separador de milhares 9 3 32 3" xfId="32480" xr:uid="{B103FCC0-836A-43B1-9D7A-C92589006556}"/>
    <cellStyle name="Separador de milhares 9 3 33" xfId="24145" xr:uid="{00000000-0005-0000-0000-0000E3680000}"/>
    <cellStyle name="Separador de milhares 9 3 33 2" xfId="24146" xr:uid="{00000000-0005-0000-0000-0000E4680000}"/>
    <cellStyle name="Separador de milhares 9 3 33 2 2" xfId="32483" xr:uid="{E97A8CFE-4949-45FF-91B8-FE9BEAED4B32}"/>
    <cellStyle name="Separador de milhares 9 3 33 3" xfId="32482" xr:uid="{36FA1DFD-549D-4CD3-AAA9-561469F612DD}"/>
    <cellStyle name="Separador de milhares 9 3 34" xfId="24147" xr:uid="{00000000-0005-0000-0000-0000E5680000}"/>
    <cellStyle name="Separador de milhares 9 3 34 2" xfId="24148" xr:uid="{00000000-0005-0000-0000-0000E6680000}"/>
    <cellStyle name="Separador de milhares 9 3 34 2 2" xfId="32485" xr:uid="{35F43C26-6A48-42E3-9185-A6F3DE7B0A33}"/>
    <cellStyle name="Separador de milhares 9 3 34 3" xfId="32484" xr:uid="{D28CAF31-1FBB-4C7D-8328-F7D4B03A0A17}"/>
    <cellStyle name="Separador de milhares 9 3 35" xfId="24149" xr:uid="{00000000-0005-0000-0000-0000E7680000}"/>
    <cellStyle name="Separador de milhares 9 3 35 2" xfId="32486" xr:uid="{7CA76FC5-8611-4FC3-A659-501F17DC6FE3}"/>
    <cellStyle name="Separador de milhares 9 3 36" xfId="24094" xr:uid="{00000000-0005-0000-0000-0000E8680000}"/>
    <cellStyle name="Separador de milhares 9 3 37" xfId="28104" xr:uid="{6C26312B-C40F-48B6-82B6-B21014DF8A41}"/>
    <cellStyle name="Separador de milhares 9 3 4" xfId="877" xr:uid="{00000000-0005-0000-0000-0000E9680000}"/>
    <cellStyle name="Separador de milhares 9 3 4 2" xfId="24151" xr:uid="{00000000-0005-0000-0000-0000EA680000}"/>
    <cellStyle name="Separador de milhares 9 3 4 2 2" xfId="32487" xr:uid="{81D12816-D635-4873-B778-621125D63F22}"/>
    <cellStyle name="Separador de milhares 9 3 4 3" xfId="24150" xr:uid="{00000000-0005-0000-0000-0000EB680000}"/>
    <cellStyle name="Separador de milhares 9 3 4 4" xfId="28111" xr:uid="{09F323A6-E2E7-495D-A426-6A648AB5E99E}"/>
    <cellStyle name="Separador de milhares 9 3 5" xfId="24152" xr:uid="{00000000-0005-0000-0000-0000EC680000}"/>
    <cellStyle name="Separador de milhares 9 3 5 2" xfId="24153" xr:uid="{00000000-0005-0000-0000-0000ED680000}"/>
    <cellStyle name="Separador de milhares 9 3 5 2 2" xfId="32488" xr:uid="{29274BF8-87DE-4F61-AF1E-C6CA22DC192E}"/>
    <cellStyle name="Separador de milhares 9 3 6" xfId="24154" xr:uid="{00000000-0005-0000-0000-0000EE680000}"/>
    <cellStyle name="Separador de milhares 9 3 6 2" xfId="24155" xr:uid="{00000000-0005-0000-0000-0000EF680000}"/>
    <cellStyle name="Separador de milhares 9 3 6 2 2" xfId="32489" xr:uid="{93C37145-74C9-488F-9EFE-F77DB5A6B692}"/>
    <cellStyle name="Separador de milhares 9 3 7" xfId="24156" xr:uid="{00000000-0005-0000-0000-0000F0680000}"/>
    <cellStyle name="Separador de milhares 9 3 7 2" xfId="24157" xr:uid="{00000000-0005-0000-0000-0000F1680000}"/>
    <cellStyle name="Separador de milhares 9 3 7 2 2" xfId="32490" xr:uid="{E9897B20-00AD-4055-99F9-7A673A6C3F16}"/>
    <cellStyle name="Separador de milhares 9 3 8" xfId="24158" xr:uid="{00000000-0005-0000-0000-0000F2680000}"/>
    <cellStyle name="Separador de milhares 9 3 8 2" xfId="24159" xr:uid="{00000000-0005-0000-0000-0000F3680000}"/>
    <cellStyle name="Separador de milhares 9 3 8 2 2" xfId="32491" xr:uid="{99F26A16-DFB1-44BC-B157-BA0C3A7DEB2C}"/>
    <cellStyle name="Separador de milhares 9 3 9" xfId="24160" xr:uid="{00000000-0005-0000-0000-0000F4680000}"/>
    <cellStyle name="Separador de milhares 9 3 9 2" xfId="24161" xr:uid="{00000000-0005-0000-0000-0000F5680000}"/>
    <cellStyle name="Separador de milhares 9 3 9 2 2" xfId="32492" xr:uid="{9E8AD5F9-F540-489B-84F6-E3011A36C2DC}"/>
    <cellStyle name="Separador de milhares 9 30" xfId="24162" xr:uid="{00000000-0005-0000-0000-0000F6680000}"/>
    <cellStyle name="Separador de milhares 9 30 2" xfId="24163" xr:uid="{00000000-0005-0000-0000-0000F7680000}"/>
    <cellStyle name="Separador de milhares 9 30 2 2" xfId="32494" xr:uid="{19BAE54F-6CD8-474D-ACC9-75A0224F5CDB}"/>
    <cellStyle name="Separador de milhares 9 30 3" xfId="32493" xr:uid="{69D636A1-143C-43F1-9DE2-C21A73FB5D9B}"/>
    <cellStyle name="Separador de milhares 9 31" xfId="24164" xr:uid="{00000000-0005-0000-0000-0000F8680000}"/>
    <cellStyle name="Separador de milhares 9 31 2" xfId="24165" xr:uid="{00000000-0005-0000-0000-0000F9680000}"/>
    <cellStyle name="Separador de milhares 9 31 2 2" xfId="32496" xr:uid="{066FE2CE-B82D-4FD4-92DD-2C5E96C5ABFB}"/>
    <cellStyle name="Separador de milhares 9 31 3" xfId="32495" xr:uid="{590F3A86-5895-41F3-B11A-8EFB99BC1B95}"/>
    <cellStyle name="Separador de milhares 9 32" xfId="24166" xr:uid="{00000000-0005-0000-0000-0000FA680000}"/>
    <cellStyle name="Separador de milhares 9 32 2" xfId="24167" xr:uid="{00000000-0005-0000-0000-0000FB680000}"/>
    <cellStyle name="Separador de milhares 9 32 2 2" xfId="32498" xr:uid="{0D0CBE5B-B27F-4EE7-8937-1E042B266E05}"/>
    <cellStyle name="Separador de milhares 9 32 3" xfId="32497" xr:uid="{73C6627F-C841-45E4-8122-E8E637171821}"/>
    <cellStyle name="Separador de milhares 9 33" xfId="24168" xr:uid="{00000000-0005-0000-0000-0000FC680000}"/>
    <cellStyle name="Separador de milhares 9 33 2" xfId="24169" xr:uid="{00000000-0005-0000-0000-0000FD680000}"/>
    <cellStyle name="Separador de milhares 9 33 2 2" xfId="32500" xr:uid="{18D75BC6-30F5-4227-A881-52DFAC5B3768}"/>
    <cellStyle name="Separador de milhares 9 33 3" xfId="32499" xr:uid="{73F50B4B-2482-4B40-871E-0A9E0BCB039D}"/>
    <cellStyle name="Separador de milhares 9 34" xfId="24170" xr:uid="{00000000-0005-0000-0000-0000FE680000}"/>
    <cellStyle name="Separador de milhares 9 34 2" xfId="24171" xr:uid="{00000000-0005-0000-0000-0000FF680000}"/>
    <cellStyle name="Separador de milhares 9 34 2 2" xfId="32502" xr:uid="{680BC650-55D7-4CC4-8CAC-BF92BD80B2FA}"/>
    <cellStyle name="Separador de milhares 9 34 3" xfId="32501" xr:uid="{4429E75B-2B01-486B-B3BE-7A4452410ABC}"/>
    <cellStyle name="Separador de milhares 9 35" xfId="24172" xr:uid="{00000000-0005-0000-0000-000000690000}"/>
    <cellStyle name="Separador de milhares 9 35 2" xfId="24173" xr:uid="{00000000-0005-0000-0000-000001690000}"/>
    <cellStyle name="Separador de milhares 9 35 2 2" xfId="32504" xr:uid="{1A8B8EC8-B9E6-4958-905A-A19AC072A50B}"/>
    <cellStyle name="Separador de milhares 9 35 3" xfId="32503" xr:uid="{9F67B290-6AA3-4D32-8782-41D67C6B2CBC}"/>
    <cellStyle name="Separador de milhares 9 36" xfId="24174" xr:uid="{00000000-0005-0000-0000-000002690000}"/>
    <cellStyle name="Separador de milhares 9 36 2" xfId="24175" xr:uid="{00000000-0005-0000-0000-000003690000}"/>
    <cellStyle name="Separador de milhares 9 36 2 2" xfId="32506" xr:uid="{CA7443AC-AD6E-4AC7-8752-70AB1610014A}"/>
    <cellStyle name="Separador de milhares 9 36 3" xfId="32505" xr:uid="{B54B01AE-90BC-46EE-93E0-8711E672C1D6}"/>
    <cellStyle name="Separador de milhares 9 37" xfId="24176" xr:uid="{00000000-0005-0000-0000-000004690000}"/>
    <cellStyle name="Separador de milhares 9 37 2" xfId="24177" xr:uid="{00000000-0005-0000-0000-000005690000}"/>
    <cellStyle name="Separador de milhares 9 37 2 2" xfId="32508" xr:uid="{2CE92259-8E75-4243-A6D7-AEAC0D14DD9E}"/>
    <cellStyle name="Separador de milhares 9 37 3" xfId="32507" xr:uid="{29BEF014-D15A-4189-AA88-783850877051}"/>
    <cellStyle name="Separador de milhares 9 38" xfId="24178" xr:uid="{00000000-0005-0000-0000-000006690000}"/>
    <cellStyle name="Separador de milhares 9 38 2" xfId="24179" xr:uid="{00000000-0005-0000-0000-000007690000}"/>
    <cellStyle name="Separador de milhares 9 38 2 2" xfId="32510" xr:uid="{52427035-B58C-47CC-8931-0EF7923B5C13}"/>
    <cellStyle name="Separador de milhares 9 38 3" xfId="32509" xr:uid="{DB6121A2-59CC-4D26-98FB-563CECF6E689}"/>
    <cellStyle name="Separador de milhares 9 39" xfId="24180" xr:uid="{00000000-0005-0000-0000-000008690000}"/>
    <cellStyle name="Separador de milhares 9 39 2" xfId="24181" xr:uid="{00000000-0005-0000-0000-000009690000}"/>
    <cellStyle name="Separador de milhares 9 39 2 2" xfId="32512" xr:uid="{FCCD8B42-599F-4E07-8C02-C42CECFB3A82}"/>
    <cellStyle name="Separador de milhares 9 39 3" xfId="32511" xr:uid="{12AFC533-12BA-4515-95CF-86CEF7D22C45}"/>
    <cellStyle name="Separador de milhares 9 4" xfId="878" xr:uid="{00000000-0005-0000-0000-00000A690000}"/>
    <cellStyle name="Separador de milhares 9 4 10" xfId="24183" xr:uid="{00000000-0005-0000-0000-00000B690000}"/>
    <cellStyle name="Separador de milhares 9 4 11" xfId="24182" xr:uid="{00000000-0005-0000-0000-00000C690000}"/>
    <cellStyle name="Separador de milhares 9 4 12" xfId="28112" xr:uid="{BBB64B0C-BE39-4299-B13F-1DBF7955C212}"/>
    <cellStyle name="Separador de milhares 9 4 2" xfId="879" xr:uid="{00000000-0005-0000-0000-00000D690000}"/>
    <cellStyle name="Separador de milhares 9 4 2 2" xfId="880" xr:uid="{00000000-0005-0000-0000-00000E690000}"/>
    <cellStyle name="Separador de milhares 9 4 2 2 2" xfId="24185" xr:uid="{00000000-0005-0000-0000-00000F690000}"/>
    <cellStyle name="Separador de milhares 9 4 2 2 2 2" xfId="32513" xr:uid="{4890A145-5094-408A-BA78-FF9C451F2AFD}"/>
    <cellStyle name="Separador de milhares 9 4 2 2 3" xfId="28114" xr:uid="{B21E0B38-4D31-4CAC-A197-D95940EA999A}"/>
    <cellStyle name="Separador de milhares 9 4 2 3" xfId="24184" xr:uid="{00000000-0005-0000-0000-000010690000}"/>
    <cellStyle name="Separador de milhares 9 4 2 4" xfId="28113" xr:uid="{92B700CA-8C55-4FC0-B2E7-49273F76BC90}"/>
    <cellStyle name="Separador de milhares 9 4 3" xfId="881" xr:uid="{00000000-0005-0000-0000-000011690000}"/>
    <cellStyle name="Separador de milhares 9 4 3 2" xfId="24187" xr:uid="{00000000-0005-0000-0000-000012690000}"/>
    <cellStyle name="Separador de milhares 9 4 3 2 2" xfId="32514" xr:uid="{A374FA91-4926-4541-8D5E-C43255067756}"/>
    <cellStyle name="Separador de milhares 9 4 3 3" xfId="24186" xr:uid="{00000000-0005-0000-0000-000013690000}"/>
    <cellStyle name="Separador de milhares 9 4 3 4" xfId="28115" xr:uid="{7E903039-5E7E-4335-91CB-93E5BCF5DB1A}"/>
    <cellStyle name="Separador de milhares 9 4 4" xfId="24188" xr:uid="{00000000-0005-0000-0000-000014690000}"/>
    <cellStyle name="Separador de milhares 9 4 4 2" xfId="24189" xr:uid="{00000000-0005-0000-0000-000015690000}"/>
    <cellStyle name="Separador de milhares 9 4 4 2 2" xfId="32515" xr:uid="{EF61EAD3-CD73-4CFC-BC22-2F83725BC7D8}"/>
    <cellStyle name="Separador de milhares 9 4 5" xfId="24190" xr:uid="{00000000-0005-0000-0000-000016690000}"/>
    <cellStyle name="Separador de milhares 9 4 5 2" xfId="24191" xr:uid="{00000000-0005-0000-0000-000017690000}"/>
    <cellStyle name="Separador de milhares 9 4 5 2 2" xfId="32516" xr:uid="{2F7987E3-16DE-4AE9-B679-C4394D7D966A}"/>
    <cellStyle name="Separador de milhares 9 4 6" xfId="24192" xr:uid="{00000000-0005-0000-0000-000018690000}"/>
    <cellStyle name="Separador de milhares 9 4 7" xfId="24193" xr:uid="{00000000-0005-0000-0000-000019690000}"/>
    <cellStyle name="Separador de milhares 9 4 8" xfId="24194" xr:uid="{00000000-0005-0000-0000-00001A690000}"/>
    <cellStyle name="Separador de milhares 9 4 9" xfId="24195" xr:uid="{00000000-0005-0000-0000-00001B690000}"/>
    <cellStyle name="Separador de milhares 9 40" xfId="24196" xr:uid="{00000000-0005-0000-0000-00001C690000}"/>
    <cellStyle name="Separador de milhares 9 40 2" xfId="24197" xr:uid="{00000000-0005-0000-0000-00001D690000}"/>
    <cellStyle name="Separador de milhares 9 40 2 2" xfId="32518" xr:uid="{06A4AFFC-C24B-43E5-81A5-4FFCB7240C2A}"/>
    <cellStyle name="Separador de milhares 9 40 3" xfId="32517" xr:uid="{C4A41BF3-EAEC-48C4-A0BB-1BAA3D64C61D}"/>
    <cellStyle name="Separador de milhares 9 41" xfId="24198" xr:uid="{00000000-0005-0000-0000-00001E690000}"/>
    <cellStyle name="Separador de milhares 9 41 2" xfId="24199" xr:uid="{00000000-0005-0000-0000-00001F690000}"/>
    <cellStyle name="Separador de milhares 9 41 2 2" xfId="32520" xr:uid="{B6E5935C-1577-42C4-A891-D368EEE5AC1E}"/>
    <cellStyle name="Separador de milhares 9 41 3" xfId="32519" xr:uid="{B58DCC75-68FA-4582-AE08-C3FB855CCAB5}"/>
    <cellStyle name="Separador de milhares 9 42" xfId="24200" xr:uid="{00000000-0005-0000-0000-000020690000}"/>
    <cellStyle name="Separador de milhares 9 42 2" xfId="24201" xr:uid="{00000000-0005-0000-0000-000021690000}"/>
    <cellStyle name="Separador de milhares 9 42 2 2" xfId="32522" xr:uid="{DF811A8A-60DD-491E-A3E8-1C8C10C54DAB}"/>
    <cellStyle name="Separador de milhares 9 42 3" xfId="32521" xr:uid="{65B70954-DF04-431D-9A8E-B817C4F18190}"/>
    <cellStyle name="Separador de milhares 9 43" xfId="24202" xr:uid="{00000000-0005-0000-0000-000022690000}"/>
    <cellStyle name="Separador de milhares 9 43 2" xfId="24203" xr:uid="{00000000-0005-0000-0000-000023690000}"/>
    <cellStyle name="Separador de milhares 9 43 2 2" xfId="32524" xr:uid="{DD5ED128-667F-4D77-B878-97BE4F5816F6}"/>
    <cellStyle name="Separador de milhares 9 43 3" xfId="32523" xr:uid="{08AC5E7B-7273-4B2A-9268-46771E3EFCF7}"/>
    <cellStyle name="Separador de milhares 9 44" xfId="24204" xr:uid="{00000000-0005-0000-0000-000024690000}"/>
    <cellStyle name="Separador de milhares 9 44 2" xfId="24205" xr:uid="{00000000-0005-0000-0000-000025690000}"/>
    <cellStyle name="Separador de milhares 9 44 2 2" xfId="32526" xr:uid="{E77DD728-AB09-43B1-99DD-BE7BA41F6A17}"/>
    <cellStyle name="Separador de milhares 9 44 3" xfId="32525" xr:uid="{029CC317-2F62-4F92-88F8-2EC83BE0858E}"/>
    <cellStyle name="Separador de milhares 9 45" xfId="24206" xr:uid="{00000000-0005-0000-0000-000026690000}"/>
    <cellStyle name="Separador de milhares 9 45 2" xfId="24207" xr:uid="{00000000-0005-0000-0000-000027690000}"/>
    <cellStyle name="Separador de milhares 9 45 2 2" xfId="32528" xr:uid="{2FA5147D-6448-457D-AD3D-FE4D6F6C4F00}"/>
    <cellStyle name="Separador de milhares 9 45 3" xfId="32527" xr:uid="{9064C6FC-2826-4BF1-B82A-D8FE401B9A7C}"/>
    <cellStyle name="Separador de milhares 9 46" xfId="24208" xr:uid="{00000000-0005-0000-0000-000028690000}"/>
    <cellStyle name="Separador de milhares 9 46 2" xfId="24209" xr:uid="{00000000-0005-0000-0000-000029690000}"/>
    <cellStyle name="Separador de milhares 9 46 2 2" xfId="32530" xr:uid="{6BD9A614-BC03-4504-94DF-AB7D2254361D}"/>
    <cellStyle name="Separador de milhares 9 46 3" xfId="32529" xr:uid="{98DFAA26-1E0E-4C34-97A4-CB266F224DE4}"/>
    <cellStyle name="Separador de milhares 9 47" xfId="24210" xr:uid="{00000000-0005-0000-0000-00002A690000}"/>
    <cellStyle name="Separador de milhares 9 47 2" xfId="32531" xr:uid="{45CF7ED4-5FC2-4DB4-9BC4-66EB68F3BCEB}"/>
    <cellStyle name="Separador de milhares 9 48" xfId="23733" xr:uid="{00000000-0005-0000-0000-00002B690000}"/>
    <cellStyle name="Separador de milhares 9 48 2" xfId="32361" xr:uid="{C02994BF-349A-4B66-B908-37D1AA7490A7}"/>
    <cellStyle name="Separador de milhares 9 49" xfId="24957" xr:uid="{00000000-0005-0000-0000-00002C690000}"/>
    <cellStyle name="Separador de milhares 9 49 2" xfId="32899" xr:uid="{ED33A3A7-499D-44DB-98F1-CA0A4D141DBB}"/>
    <cellStyle name="Separador de milhares 9 5" xfId="882" xr:uid="{00000000-0005-0000-0000-00002D690000}"/>
    <cellStyle name="Separador de milhares 9 5 2" xfId="883" xr:uid="{00000000-0005-0000-0000-00002E690000}"/>
    <cellStyle name="Separador de milhares 9 5 2 2" xfId="24212" xr:uid="{00000000-0005-0000-0000-00002F690000}"/>
    <cellStyle name="Separador de milhares 9 5 2 3" xfId="28117" xr:uid="{10F48B35-D057-4FDE-9849-A1526A533214}"/>
    <cellStyle name="Separador de milhares 9 5 3" xfId="24213" xr:uid="{00000000-0005-0000-0000-000030690000}"/>
    <cellStyle name="Separador de milhares 9 5 4" xfId="24214" xr:uid="{00000000-0005-0000-0000-000031690000}"/>
    <cellStyle name="Separador de milhares 9 5 5" xfId="24211" xr:uid="{00000000-0005-0000-0000-000032690000}"/>
    <cellStyle name="Separador de milhares 9 5 6" xfId="28116" xr:uid="{33222CA6-AFE3-4B7A-9FAC-9E4B3466DBDB}"/>
    <cellStyle name="Separador de milhares 9 50" xfId="25027" xr:uid="{00000000-0005-0000-0000-000033690000}"/>
    <cellStyle name="Separador de milhares 9 50 2" xfId="32924" xr:uid="{19023FEE-2DB6-49F1-9C8D-859E99C7FF1B}"/>
    <cellStyle name="Separador de milhares 9 51" xfId="24977" xr:uid="{00000000-0005-0000-0000-000034690000}"/>
    <cellStyle name="Separador de milhares 9 51 2" xfId="32900" xr:uid="{B6698A0F-D0E2-43B4-A60C-CEC3EBC5BF4B}"/>
    <cellStyle name="Separador de milhares 9 52" xfId="25026" xr:uid="{00000000-0005-0000-0000-000035690000}"/>
    <cellStyle name="Separador de milhares 9 52 2" xfId="32923" xr:uid="{368D8DB5-8B72-4983-9CA1-2B32790B05AB}"/>
    <cellStyle name="Separador de milhares 9 53" xfId="24978" xr:uid="{00000000-0005-0000-0000-000036690000}"/>
    <cellStyle name="Separador de milhares 9 53 2" xfId="32901" xr:uid="{A13AECB9-D189-4C3E-89A5-ABF1222E5883}"/>
    <cellStyle name="Separador de milhares 9 54" xfId="25025" xr:uid="{00000000-0005-0000-0000-000037690000}"/>
    <cellStyle name="Separador de milhares 9 54 2" xfId="32922" xr:uid="{FDCA968E-43C9-41F0-B8F7-43AAF3895B27}"/>
    <cellStyle name="Separador de milhares 9 55" xfId="24979" xr:uid="{00000000-0005-0000-0000-000038690000}"/>
    <cellStyle name="Separador de milhares 9 55 2" xfId="32902" xr:uid="{7030E3F1-BB7F-4EBB-8DF8-4C42B028460D}"/>
    <cellStyle name="Separador de milhares 9 56" xfId="25024" xr:uid="{00000000-0005-0000-0000-000039690000}"/>
    <cellStyle name="Separador de milhares 9 56 2" xfId="32921" xr:uid="{C2454797-FEE6-4739-BB8A-A09F8EAFF477}"/>
    <cellStyle name="Separador de milhares 9 57" xfId="24980" xr:uid="{00000000-0005-0000-0000-00003A690000}"/>
    <cellStyle name="Separador de milhares 9 57 2" xfId="32903" xr:uid="{A6D6B194-1F25-49C1-BA0F-82DF6B8B4F2D}"/>
    <cellStyle name="Separador de milhares 9 58" xfId="25023" xr:uid="{00000000-0005-0000-0000-00003B690000}"/>
    <cellStyle name="Separador de milhares 9 58 2" xfId="32920" xr:uid="{858D7790-399A-407F-8FC2-E24AA195CDDD}"/>
    <cellStyle name="Separador de milhares 9 59" xfId="24981" xr:uid="{00000000-0005-0000-0000-00003C690000}"/>
    <cellStyle name="Separador de milhares 9 59 2" xfId="32904" xr:uid="{01DA15ED-2D78-4D63-8D5F-24A9C753D529}"/>
    <cellStyle name="Separador de milhares 9 6" xfId="884" xr:uid="{00000000-0005-0000-0000-00003D690000}"/>
    <cellStyle name="Separador de milhares 9 6 2" xfId="24216" xr:uid="{00000000-0005-0000-0000-00003E690000}"/>
    <cellStyle name="Separador de milhares 9 6 3" xfId="24217" xr:uid="{00000000-0005-0000-0000-00003F690000}"/>
    <cellStyle name="Separador de milhares 9 6 4" xfId="24218" xr:uid="{00000000-0005-0000-0000-000040690000}"/>
    <cellStyle name="Separador de milhares 9 6 5" xfId="24215" xr:uid="{00000000-0005-0000-0000-000041690000}"/>
    <cellStyle name="Separador de milhares 9 6 6" xfId="28118" xr:uid="{C78F7F20-A6C8-4A60-BC1E-D42CD09C69C8}"/>
    <cellStyle name="Separador de milhares 9 60" xfId="25022" xr:uid="{00000000-0005-0000-0000-000042690000}"/>
    <cellStyle name="Separador de milhares 9 60 2" xfId="32919" xr:uid="{80B71DA9-7246-4BEF-AAD6-06C8D361F4F7}"/>
    <cellStyle name="Separador de milhares 9 61" xfId="24982" xr:uid="{00000000-0005-0000-0000-000043690000}"/>
    <cellStyle name="Separador de milhares 9 61 2" xfId="32905" xr:uid="{09F6EEFD-5389-4193-B2D9-E6DCF9049554}"/>
    <cellStyle name="Separador de milhares 9 62" xfId="25021" xr:uid="{00000000-0005-0000-0000-000044690000}"/>
    <cellStyle name="Separador de milhares 9 62 2" xfId="32918" xr:uid="{0BB6B6C2-AA5D-45C2-AB47-2AB3ED9A4330}"/>
    <cellStyle name="Separador de milhares 9 63" xfId="24983" xr:uid="{00000000-0005-0000-0000-000045690000}"/>
    <cellStyle name="Separador de milhares 9 63 2" xfId="32906" xr:uid="{14298D28-3EEF-473A-B5C8-4C478044B6EA}"/>
    <cellStyle name="Separador de milhares 9 64" xfId="25020" xr:uid="{00000000-0005-0000-0000-000046690000}"/>
    <cellStyle name="Separador de milhares 9 64 2" xfId="32917" xr:uid="{2CA56104-235C-4F01-B512-1097BDC9E328}"/>
    <cellStyle name="Separador de milhares 9 65" xfId="24984" xr:uid="{00000000-0005-0000-0000-000047690000}"/>
    <cellStyle name="Separador de milhares 9 65 2" xfId="32907" xr:uid="{C2E22553-386F-4F4E-A106-8F47DB986C27}"/>
    <cellStyle name="Separador de milhares 9 66" xfId="25019" xr:uid="{00000000-0005-0000-0000-000048690000}"/>
    <cellStyle name="Separador de milhares 9 66 2" xfId="32916" xr:uid="{9B603EA9-7E13-4051-95B5-DC69085A251D}"/>
    <cellStyle name="Separador de milhares 9 67" xfId="24985" xr:uid="{00000000-0005-0000-0000-000049690000}"/>
    <cellStyle name="Separador de milhares 9 67 2" xfId="32908" xr:uid="{0CCCE7C4-6468-4008-92F5-10CF45F971F7}"/>
    <cellStyle name="Separador de milhares 9 68" xfId="25018" xr:uid="{00000000-0005-0000-0000-00004A690000}"/>
    <cellStyle name="Separador de milhares 9 68 2" xfId="32915" xr:uid="{D7E8E0B2-FD52-4613-9E09-14E226CE7675}"/>
    <cellStyle name="Separador de milhares 9 69" xfId="24986" xr:uid="{00000000-0005-0000-0000-00004B690000}"/>
    <cellStyle name="Separador de milhares 9 69 2" xfId="32909" xr:uid="{1CA3A99D-9BE1-40E5-AE14-4D689B436FBE}"/>
    <cellStyle name="Separador de milhares 9 7" xfId="885" xr:uid="{00000000-0005-0000-0000-00004C690000}"/>
    <cellStyle name="Separador de milhares 9 7 2" xfId="24220" xr:uid="{00000000-0005-0000-0000-00004D690000}"/>
    <cellStyle name="Separador de milhares 9 7 3" xfId="24221" xr:uid="{00000000-0005-0000-0000-00004E690000}"/>
    <cellStyle name="Separador de milhares 9 7 4" xfId="24222" xr:uid="{00000000-0005-0000-0000-00004F690000}"/>
    <cellStyle name="Separador de milhares 9 7 5" xfId="24219" xr:uid="{00000000-0005-0000-0000-000050690000}"/>
    <cellStyle name="Separador de milhares 9 7 6" xfId="28119" xr:uid="{E06FAB7E-7253-4411-9EB5-2D970F90102A}"/>
    <cellStyle name="Separador de milhares 9 70" xfId="25017" xr:uid="{00000000-0005-0000-0000-000051690000}"/>
    <cellStyle name="Separador de milhares 9 70 2" xfId="32914" xr:uid="{5D8DBE63-D651-4BC9-8544-C7D42F496896}"/>
    <cellStyle name="Separador de milhares 9 71" xfId="24987" xr:uid="{00000000-0005-0000-0000-000052690000}"/>
    <cellStyle name="Separador de milhares 9 71 2" xfId="32910" xr:uid="{02A347A3-2A0D-4709-AA64-8A62744A6FE1}"/>
    <cellStyle name="Separador de milhares 9 72" xfId="25016" xr:uid="{00000000-0005-0000-0000-000053690000}"/>
    <cellStyle name="Separador de milhares 9 72 2" xfId="32913" xr:uid="{F818A527-01AE-4A6F-B202-381AD3D46C8B}"/>
    <cellStyle name="Separador de milhares 9 73" xfId="24988" xr:uid="{00000000-0005-0000-0000-000054690000}"/>
    <cellStyle name="Separador de milhares 9 73 2" xfId="32911" xr:uid="{BD7C7954-E486-4D00-A6A8-0823D72B37D9}"/>
    <cellStyle name="Separador de milhares 9 74" xfId="25015" xr:uid="{00000000-0005-0000-0000-000055690000}"/>
    <cellStyle name="Separador de milhares 9 74 2" xfId="32912" xr:uid="{7929A6E6-DCDC-4318-90E7-507F73694F88}"/>
    <cellStyle name="Separador de milhares 9 75" xfId="26009" xr:uid="{00000000-0005-0000-0000-000056690000}"/>
    <cellStyle name="Separador de milhares 9 75 2" xfId="32934" xr:uid="{70A48F7C-2795-4E8B-8A27-EFA0D6723DF0}"/>
    <cellStyle name="Separador de milhares 9 76" xfId="27219" xr:uid="{00000000-0005-0000-0000-000057690000}"/>
    <cellStyle name="Separador de milhares 9 76 2" xfId="33061" xr:uid="{966CA670-9D97-43A9-8F21-8606E31AC806}"/>
    <cellStyle name="Separador de milhares 9 77" xfId="27292" xr:uid="{00000000-0005-0000-0000-000058690000}"/>
    <cellStyle name="Separador de milhares 9 77 2" xfId="33131" xr:uid="{929EA233-3377-4C8F-AB25-111B637BE168}"/>
    <cellStyle name="Separador de milhares 9 78" xfId="27169" xr:uid="{00000000-0005-0000-0000-000059690000}"/>
    <cellStyle name="Separador de milhares 9 78 2" xfId="33015" xr:uid="{34CB14D7-6F03-4887-8A9F-81F41921C34F}"/>
    <cellStyle name="Separador de milhares 9 79" xfId="27305" xr:uid="{00000000-0005-0000-0000-00005A690000}"/>
    <cellStyle name="Separador de milhares 9 79 2" xfId="33144" xr:uid="{9630C1EF-CE0D-4BC2-A70E-8531490D9B51}"/>
    <cellStyle name="Separador de milhares 9 8" xfId="886" xr:uid="{00000000-0005-0000-0000-00005B690000}"/>
    <cellStyle name="Separador de milhares 9 8 2" xfId="24224" xr:uid="{00000000-0005-0000-0000-00005C690000}"/>
    <cellStyle name="Separador de milhares 9 8 3" xfId="24225" xr:uid="{00000000-0005-0000-0000-00005D690000}"/>
    <cellStyle name="Separador de milhares 9 8 4" xfId="24226" xr:uid="{00000000-0005-0000-0000-00005E690000}"/>
    <cellStyle name="Separador de milhares 9 8 5" xfId="24223" xr:uid="{00000000-0005-0000-0000-00005F690000}"/>
    <cellStyle name="Separador de milhares 9 8 6" xfId="28120" xr:uid="{4633A3A5-F332-49BA-9B8A-62A181AAC96A}"/>
    <cellStyle name="Separador de milhares 9 80" xfId="27306" xr:uid="{00000000-0005-0000-0000-000060690000}"/>
    <cellStyle name="Separador de milhares 9 80 2" xfId="33145" xr:uid="{EE44C16E-27B8-40B1-B2E3-6B3D358D0D8F}"/>
    <cellStyle name="Separador de milhares 9 81" xfId="27290" xr:uid="{00000000-0005-0000-0000-000061690000}"/>
    <cellStyle name="Separador de milhares 9 81 2" xfId="33130" xr:uid="{5130827E-B8FE-43A9-9B97-0D82F26BE44A}"/>
    <cellStyle name="Separador de milhares 9 82" xfId="27171" xr:uid="{00000000-0005-0000-0000-000062690000}"/>
    <cellStyle name="Separador de milhares 9 82 2" xfId="33017" xr:uid="{67569496-9C54-4BA9-9871-4025DDD23C34}"/>
    <cellStyle name="Separador de milhares 9 83" xfId="27158" xr:uid="{00000000-0005-0000-0000-000063690000}"/>
    <cellStyle name="Separador de milhares 9 83 2" xfId="33006" xr:uid="{724365C1-90C8-4744-8D7C-CC5756F8DF88}"/>
    <cellStyle name="Separador de milhares 9 84" xfId="27301" xr:uid="{00000000-0005-0000-0000-000064690000}"/>
    <cellStyle name="Separador de milhares 9 84 2" xfId="33140" xr:uid="{D2B3AEE7-0445-4F37-92D2-ED9685008B70}"/>
    <cellStyle name="Separador de milhares 9 85" xfId="27177" xr:uid="{00000000-0005-0000-0000-000065690000}"/>
    <cellStyle name="Separador de milhares 9 85 2" xfId="33019" xr:uid="{60B59E4F-2CDB-4649-B176-CDD41F9D2D08}"/>
    <cellStyle name="Separador de milhares 9 86" xfId="27163" xr:uid="{00000000-0005-0000-0000-000066690000}"/>
    <cellStyle name="Separador de milhares 9 86 2" xfId="33011" xr:uid="{30E90A25-ED91-408B-8740-F89F5941BC70}"/>
    <cellStyle name="Separador de milhares 9 87" xfId="27333" xr:uid="{00000000-0005-0000-0000-000067690000}"/>
    <cellStyle name="Separador de milhares 9 87 2" xfId="33170" xr:uid="{BDAB05E5-A7CE-479B-B6CD-2780670C2065}"/>
    <cellStyle name="Separador de milhares 9 88" xfId="27170" xr:uid="{00000000-0005-0000-0000-000068690000}"/>
    <cellStyle name="Separador de milhares 9 88 2" xfId="33016" xr:uid="{86031961-63BF-4403-9ED6-4E25BF6F4DD1}"/>
    <cellStyle name="Separador de milhares 9 89" xfId="27399" xr:uid="{00000000-0005-0000-0000-000069690000}"/>
    <cellStyle name="Separador de milhares 9 89 2" xfId="33236" xr:uid="{00BC00E9-C744-4C08-9F97-910A72DE543A}"/>
    <cellStyle name="Separador de milhares 9 9" xfId="24227" xr:uid="{00000000-0005-0000-0000-00006A690000}"/>
    <cellStyle name="Separador de milhares 9 9 2" xfId="24228" xr:uid="{00000000-0005-0000-0000-00006B690000}"/>
    <cellStyle name="Separador de milhares 9 9 2 2" xfId="24229" xr:uid="{00000000-0005-0000-0000-00006C690000}"/>
    <cellStyle name="Separador de milhares 9 9 2 3" xfId="24230" xr:uid="{00000000-0005-0000-0000-00006D690000}"/>
    <cellStyle name="Separador de milhares 9 9 2 4" xfId="24231" xr:uid="{00000000-0005-0000-0000-00006E690000}"/>
    <cellStyle name="Separador de milhares 9 9 3" xfId="24232" xr:uid="{00000000-0005-0000-0000-00006F690000}"/>
    <cellStyle name="Separador de milhares 9 9 3 2" xfId="24233" xr:uid="{00000000-0005-0000-0000-000070690000}"/>
    <cellStyle name="Separador de milhares 9 9 3 3" xfId="24234" xr:uid="{00000000-0005-0000-0000-000071690000}"/>
    <cellStyle name="Separador de milhares 9 9 3 4" xfId="24235" xr:uid="{00000000-0005-0000-0000-000072690000}"/>
    <cellStyle name="Separador de milhares 9 9 4" xfId="24236" xr:uid="{00000000-0005-0000-0000-000073690000}"/>
    <cellStyle name="Separador de milhares 9 90" xfId="27475" xr:uid="{00000000-0005-0000-0000-000074690000}"/>
    <cellStyle name="Separador de milhares 9 90 2" xfId="33312" xr:uid="{B065D84E-2809-4EFA-A7D5-89103D81CF28}"/>
    <cellStyle name="Separador de milhares 9 91" xfId="27344" xr:uid="{00000000-0005-0000-0000-000075690000}"/>
    <cellStyle name="Separador de milhares 9 91 2" xfId="33181" xr:uid="{0C565277-30ED-427E-8679-188864142138}"/>
    <cellStyle name="Separador de milhares 9 92" xfId="27348" xr:uid="{00000000-0005-0000-0000-000076690000}"/>
    <cellStyle name="Separador de milhares 9 92 2" xfId="33185" xr:uid="{EC44FB87-7C40-45FE-80FB-F488B24A95B4}"/>
    <cellStyle name="Separador de milhares 9 93" xfId="27470" xr:uid="{00000000-0005-0000-0000-000077690000}"/>
    <cellStyle name="Separador de milhares 9 93 2" xfId="33307" xr:uid="{F5984888-7CF2-4B63-8938-FE6CB018A3BE}"/>
    <cellStyle name="Separador de milhares 9 94" xfId="27347" xr:uid="{00000000-0005-0000-0000-000078690000}"/>
    <cellStyle name="Separador de milhares 9 94 2" xfId="33184" xr:uid="{7C8F62B2-528A-4789-BC52-F52F8DF78FBD}"/>
    <cellStyle name="Separador de milhares 9 95" xfId="27471" xr:uid="{00000000-0005-0000-0000-000079690000}"/>
    <cellStyle name="Separador de milhares 9 95 2" xfId="33308" xr:uid="{AF6A8BD4-A5E7-4474-AF9D-0B5BF20FBFB5}"/>
    <cellStyle name="Separador de milhares 9 96" xfId="27473" xr:uid="{00000000-0005-0000-0000-00007A690000}"/>
    <cellStyle name="Separador de milhares 9 96 2" xfId="33310" xr:uid="{B9FF43D9-3D01-49E9-A2D9-FEA421C9470A}"/>
    <cellStyle name="Separador de milhares 9 97" xfId="27472" xr:uid="{00000000-0005-0000-0000-00007B690000}"/>
    <cellStyle name="Separador de milhares 9 97 2" xfId="33309" xr:uid="{3417C42D-FEE7-4A2F-A54A-905576CAC05A}"/>
    <cellStyle name="Separador de milhares 9 98" xfId="27354" xr:uid="{00000000-0005-0000-0000-00007C690000}"/>
    <cellStyle name="Separador de milhares 9 98 2" xfId="33191" xr:uid="{C2B18CDD-CC5C-4E3A-88DD-882D68932303}"/>
    <cellStyle name="Separador de milhares 9 99" xfId="27577" xr:uid="{00000000-0005-0000-0000-00007D690000}"/>
    <cellStyle name="Separador de milhares 9 99 2" xfId="33389" xr:uid="{EFF369B2-1DF4-4D9D-91FD-3B4CED327843}"/>
    <cellStyle name="Table Head" xfId="887" xr:uid="{00000000-0005-0000-0000-00007E690000}"/>
    <cellStyle name="Table Head 2" xfId="24237" xr:uid="{00000000-0005-0000-0000-00007F690000}"/>
    <cellStyle name="Table Head Aligned" xfId="888" xr:uid="{00000000-0005-0000-0000-000080690000}"/>
    <cellStyle name="Table Head Aligned 2" xfId="27136" xr:uid="{00000000-0005-0000-0000-000081690000}"/>
    <cellStyle name="Table Head Blue" xfId="889" xr:uid="{00000000-0005-0000-0000-000082690000}"/>
    <cellStyle name="Table Head Blue 2" xfId="24238" xr:uid="{00000000-0005-0000-0000-000083690000}"/>
    <cellStyle name="Table Head Green" xfId="890" xr:uid="{00000000-0005-0000-0000-000084690000}"/>
    <cellStyle name="Table Head Green 2" xfId="24239" xr:uid="{00000000-0005-0000-0000-000085690000}"/>
    <cellStyle name="Table Head Green 2 2" xfId="27137" xr:uid="{00000000-0005-0000-0000-000086690000}"/>
    <cellStyle name="Table Title" xfId="891" xr:uid="{00000000-0005-0000-0000-000087690000}"/>
    <cellStyle name="Table Title 2" xfId="24240" xr:uid="{00000000-0005-0000-0000-000088690000}"/>
    <cellStyle name="Table Units" xfId="892" xr:uid="{00000000-0005-0000-0000-000089690000}"/>
    <cellStyle name="Table Units 2" xfId="24241" xr:uid="{00000000-0005-0000-0000-00008A690000}"/>
    <cellStyle name="Texto de advertencia" xfId="24242" xr:uid="{00000000-0005-0000-0000-00008B690000}"/>
    <cellStyle name="Texto de Aviso" xfId="893" builtinId="11" customBuiltin="1"/>
    <cellStyle name="Texto de Aviso 2" xfId="24243" xr:uid="{00000000-0005-0000-0000-00008D690000}"/>
    <cellStyle name="Texto de Aviso 2 2" xfId="24244" xr:uid="{00000000-0005-0000-0000-00008E690000}"/>
    <cellStyle name="Texto de Aviso 2 2 2" xfId="24245" xr:uid="{00000000-0005-0000-0000-00008F690000}"/>
    <cellStyle name="Texto de Aviso 2 2 3" xfId="24246" xr:uid="{00000000-0005-0000-0000-000090690000}"/>
    <cellStyle name="Texto de Aviso 2 3" xfId="24247" xr:uid="{00000000-0005-0000-0000-000091690000}"/>
    <cellStyle name="Texto de Aviso 2 4" xfId="24248" xr:uid="{00000000-0005-0000-0000-000092690000}"/>
    <cellStyle name="Texto de Aviso 2 5" xfId="24249" xr:uid="{00000000-0005-0000-0000-000093690000}"/>
    <cellStyle name="Texto de Aviso 2 6" xfId="26010" xr:uid="{00000000-0005-0000-0000-000094690000}"/>
    <cellStyle name="Texto de Aviso 3" xfId="24250" xr:uid="{00000000-0005-0000-0000-000095690000}"/>
    <cellStyle name="Texto de Aviso 3 2" xfId="24251" xr:uid="{00000000-0005-0000-0000-000096690000}"/>
    <cellStyle name="Texto de Aviso 3 2 2" xfId="24252" xr:uid="{00000000-0005-0000-0000-000097690000}"/>
    <cellStyle name="Texto de Aviso 3 2 3" xfId="24253" xr:uid="{00000000-0005-0000-0000-000098690000}"/>
    <cellStyle name="Texto de Aviso 3 2 4" xfId="26012" xr:uid="{00000000-0005-0000-0000-000099690000}"/>
    <cellStyle name="Texto de Aviso 3 3" xfId="24254" xr:uid="{00000000-0005-0000-0000-00009A690000}"/>
    <cellStyle name="Texto de Aviso 3 3 2" xfId="26013" xr:uid="{00000000-0005-0000-0000-00009B690000}"/>
    <cellStyle name="Texto de Aviso 3 4" xfId="24255" xr:uid="{00000000-0005-0000-0000-00009C690000}"/>
    <cellStyle name="Texto de Aviso 3 5" xfId="24256" xr:uid="{00000000-0005-0000-0000-00009D690000}"/>
    <cellStyle name="Texto de Aviso 3 6" xfId="26011" xr:uid="{00000000-0005-0000-0000-00009E690000}"/>
    <cellStyle name="Texto de Aviso 4" xfId="24257" xr:uid="{00000000-0005-0000-0000-00009F690000}"/>
    <cellStyle name="Texto de Aviso 4 2" xfId="24258" xr:uid="{00000000-0005-0000-0000-0000A0690000}"/>
    <cellStyle name="Texto de Aviso 4 3" xfId="24259" xr:uid="{00000000-0005-0000-0000-0000A1690000}"/>
    <cellStyle name="Texto de Aviso 4 4" xfId="24260" xr:uid="{00000000-0005-0000-0000-0000A2690000}"/>
    <cellStyle name="Texto de Aviso 4 5" xfId="24261" xr:uid="{00000000-0005-0000-0000-0000A3690000}"/>
    <cellStyle name="Texto de Aviso 5" xfId="24262" xr:uid="{00000000-0005-0000-0000-0000A4690000}"/>
    <cellStyle name="Texto de Aviso 5 2" xfId="26014" xr:uid="{00000000-0005-0000-0000-0000A5690000}"/>
    <cellStyle name="Texto de Aviso 6" xfId="24263" xr:uid="{00000000-0005-0000-0000-0000A6690000}"/>
    <cellStyle name="Texto de Aviso 7" xfId="24264" xr:uid="{00000000-0005-0000-0000-0000A7690000}"/>
    <cellStyle name="Texto Explicativo" xfId="894" builtinId="53" customBuiltin="1"/>
    <cellStyle name="Texto Explicativo 2" xfId="24265" xr:uid="{00000000-0005-0000-0000-0000A9690000}"/>
    <cellStyle name="Texto Explicativo 2 2" xfId="24266" xr:uid="{00000000-0005-0000-0000-0000AA690000}"/>
    <cellStyle name="Texto Explicativo 2 2 2" xfId="24267" xr:uid="{00000000-0005-0000-0000-0000AB690000}"/>
    <cellStyle name="Texto Explicativo 2 2 3" xfId="24268" xr:uid="{00000000-0005-0000-0000-0000AC690000}"/>
    <cellStyle name="Texto Explicativo 2 3" xfId="24269" xr:uid="{00000000-0005-0000-0000-0000AD690000}"/>
    <cellStyle name="Texto Explicativo 2 4" xfId="24270" xr:uid="{00000000-0005-0000-0000-0000AE690000}"/>
    <cellStyle name="Texto Explicativo 2 5" xfId="24271" xr:uid="{00000000-0005-0000-0000-0000AF690000}"/>
    <cellStyle name="Texto Explicativo 2 6" xfId="26015" xr:uid="{00000000-0005-0000-0000-0000B0690000}"/>
    <cellStyle name="Texto Explicativo 3" xfId="24272" xr:uid="{00000000-0005-0000-0000-0000B1690000}"/>
    <cellStyle name="Texto Explicativo 3 2" xfId="24273" xr:uid="{00000000-0005-0000-0000-0000B2690000}"/>
    <cellStyle name="Texto Explicativo 3 2 2" xfId="24274" xr:uid="{00000000-0005-0000-0000-0000B3690000}"/>
    <cellStyle name="Texto Explicativo 3 2 3" xfId="24275" xr:uid="{00000000-0005-0000-0000-0000B4690000}"/>
    <cellStyle name="Texto Explicativo 3 2 4" xfId="26017" xr:uid="{00000000-0005-0000-0000-0000B5690000}"/>
    <cellStyle name="Texto Explicativo 3 3" xfId="24276" xr:uid="{00000000-0005-0000-0000-0000B6690000}"/>
    <cellStyle name="Texto Explicativo 3 3 2" xfId="26018" xr:uid="{00000000-0005-0000-0000-0000B7690000}"/>
    <cellStyle name="Texto Explicativo 3 4" xfId="24277" xr:uid="{00000000-0005-0000-0000-0000B8690000}"/>
    <cellStyle name="Texto Explicativo 3 5" xfId="24278" xr:uid="{00000000-0005-0000-0000-0000B9690000}"/>
    <cellStyle name="Texto Explicativo 3 6" xfId="26016" xr:uid="{00000000-0005-0000-0000-0000BA690000}"/>
    <cellStyle name="Texto Explicativo 4" xfId="24279" xr:uid="{00000000-0005-0000-0000-0000BB690000}"/>
    <cellStyle name="Texto Explicativo 4 2" xfId="24280" xr:uid="{00000000-0005-0000-0000-0000BC690000}"/>
    <cellStyle name="Texto Explicativo 4 3" xfId="24281" xr:uid="{00000000-0005-0000-0000-0000BD690000}"/>
    <cellStyle name="Texto Explicativo 4 4" xfId="24282" xr:uid="{00000000-0005-0000-0000-0000BE690000}"/>
    <cellStyle name="Texto Explicativo 4 5" xfId="24283" xr:uid="{00000000-0005-0000-0000-0000BF690000}"/>
    <cellStyle name="Texto Explicativo 5" xfId="24284" xr:uid="{00000000-0005-0000-0000-0000C0690000}"/>
    <cellStyle name="Texto Explicativo 5 2" xfId="26019" xr:uid="{00000000-0005-0000-0000-0000C1690000}"/>
    <cellStyle name="Texto Explicativo 6" xfId="24285" xr:uid="{00000000-0005-0000-0000-0000C2690000}"/>
    <cellStyle name="Texto Explicativo 7" xfId="24286" xr:uid="{00000000-0005-0000-0000-0000C3690000}"/>
    <cellStyle name="Title" xfId="895" xr:uid="{00000000-0005-0000-0000-0000C4690000}"/>
    <cellStyle name="Title 2" xfId="24288" xr:uid="{00000000-0005-0000-0000-0000C5690000}"/>
    <cellStyle name="Title 2 2" xfId="26021" xr:uid="{00000000-0005-0000-0000-0000C6690000}"/>
    <cellStyle name="Title 2 3" xfId="26020" xr:uid="{00000000-0005-0000-0000-0000C7690000}"/>
    <cellStyle name="Title 3" xfId="24289" xr:uid="{00000000-0005-0000-0000-0000C8690000}"/>
    <cellStyle name="Title 4" xfId="24287" xr:uid="{00000000-0005-0000-0000-0000C9690000}"/>
    <cellStyle name="Título" xfId="896" builtinId="15" customBuiltin="1"/>
    <cellStyle name="Título 1" xfId="897" builtinId="16" customBuiltin="1"/>
    <cellStyle name="Título 1 1" xfId="24290" xr:uid="{00000000-0005-0000-0000-0000CC690000}"/>
    <cellStyle name="Título 1 2" xfId="24291" xr:uid="{00000000-0005-0000-0000-0000CD690000}"/>
    <cellStyle name="Título 1 2 2" xfId="24292" xr:uid="{00000000-0005-0000-0000-0000CE690000}"/>
    <cellStyle name="Título 1 2 2 2" xfId="24293" xr:uid="{00000000-0005-0000-0000-0000CF690000}"/>
    <cellStyle name="Título 1 2 2 3" xfId="24294" xr:uid="{00000000-0005-0000-0000-0000D0690000}"/>
    <cellStyle name="Título 1 2 2 4" xfId="26023" xr:uid="{00000000-0005-0000-0000-0000D1690000}"/>
    <cellStyle name="Título 1 2 3" xfId="24295" xr:uid="{00000000-0005-0000-0000-0000D2690000}"/>
    <cellStyle name="Título 1 2 3 2" xfId="26024" xr:uid="{00000000-0005-0000-0000-0000D3690000}"/>
    <cellStyle name="Título 1 2 4" xfId="24296" xr:uid="{00000000-0005-0000-0000-0000D4690000}"/>
    <cellStyle name="Título 1 2 5" xfId="24297" xr:uid="{00000000-0005-0000-0000-0000D5690000}"/>
    <cellStyle name="Título 1 2 6" xfId="26022" xr:uid="{00000000-0005-0000-0000-0000D6690000}"/>
    <cellStyle name="Título 1 3" xfId="24298" xr:uid="{00000000-0005-0000-0000-0000D7690000}"/>
    <cellStyle name="Título 1 3 2" xfId="24299" xr:uid="{00000000-0005-0000-0000-0000D8690000}"/>
    <cellStyle name="Título 1 3 2 2" xfId="24300" xr:uid="{00000000-0005-0000-0000-0000D9690000}"/>
    <cellStyle name="Título 1 3 2 3" xfId="24301" xr:uid="{00000000-0005-0000-0000-0000DA690000}"/>
    <cellStyle name="Título 1 3 2 4" xfId="26026" xr:uid="{00000000-0005-0000-0000-0000DB690000}"/>
    <cellStyle name="Título 1 3 3" xfId="24302" xr:uid="{00000000-0005-0000-0000-0000DC690000}"/>
    <cellStyle name="Título 1 3 3 2" xfId="26027" xr:uid="{00000000-0005-0000-0000-0000DD690000}"/>
    <cellStyle name="Título 1 3 4" xfId="24303" xr:uid="{00000000-0005-0000-0000-0000DE690000}"/>
    <cellStyle name="Título 1 3 5" xfId="24304" xr:uid="{00000000-0005-0000-0000-0000DF690000}"/>
    <cellStyle name="Título 1 3 6" xfId="26025" xr:uid="{00000000-0005-0000-0000-0000E0690000}"/>
    <cellStyle name="Título 1 4" xfId="24305" xr:uid="{00000000-0005-0000-0000-0000E1690000}"/>
    <cellStyle name="Título 1 4 2" xfId="24306" xr:uid="{00000000-0005-0000-0000-0000E2690000}"/>
    <cellStyle name="Título 1 4 3" xfId="24307" xr:uid="{00000000-0005-0000-0000-0000E3690000}"/>
    <cellStyle name="Título 1 4 4" xfId="24308" xr:uid="{00000000-0005-0000-0000-0000E4690000}"/>
    <cellStyle name="Título 1 4 5" xfId="24309" xr:uid="{00000000-0005-0000-0000-0000E5690000}"/>
    <cellStyle name="Título 1 5" xfId="24310" xr:uid="{00000000-0005-0000-0000-0000E6690000}"/>
    <cellStyle name="Título 1 5 2" xfId="26028" xr:uid="{00000000-0005-0000-0000-0000E7690000}"/>
    <cellStyle name="Título 1 6" xfId="24311" xr:uid="{00000000-0005-0000-0000-0000E8690000}"/>
    <cellStyle name="Título 1 7" xfId="24312" xr:uid="{00000000-0005-0000-0000-0000E9690000}"/>
    <cellStyle name="Título 10" xfId="24313" xr:uid="{00000000-0005-0000-0000-0000EA690000}"/>
    <cellStyle name="Título 2" xfId="898" builtinId="17" customBuiltin="1"/>
    <cellStyle name="Título 2 2" xfId="24314" xr:uid="{00000000-0005-0000-0000-0000EC690000}"/>
    <cellStyle name="Título 2 2 2" xfId="24315" xr:uid="{00000000-0005-0000-0000-0000ED690000}"/>
    <cellStyle name="Título 2 2 2 2" xfId="24316" xr:uid="{00000000-0005-0000-0000-0000EE690000}"/>
    <cellStyle name="Título 2 2 2 3" xfId="24317" xr:uid="{00000000-0005-0000-0000-0000EF690000}"/>
    <cellStyle name="Título 2 2 2 4" xfId="26030" xr:uid="{00000000-0005-0000-0000-0000F0690000}"/>
    <cellStyle name="Título 2 2 3" xfId="24318" xr:uid="{00000000-0005-0000-0000-0000F1690000}"/>
    <cellStyle name="Título 2 2 3 2" xfId="26031" xr:uid="{00000000-0005-0000-0000-0000F2690000}"/>
    <cellStyle name="Título 2 2 4" xfId="24319" xr:uid="{00000000-0005-0000-0000-0000F3690000}"/>
    <cellStyle name="Título 2 2 5" xfId="24320" xr:uid="{00000000-0005-0000-0000-0000F4690000}"/>
    <cellStyle name="Título 2 2 6" xfId="26029" xr:uid="{00000000-0005-0000-0000-0000F5690000}"/>
    <cellStyle name="Título 2 3" xfId="24321" xr:uid="{00000000-0005-0000-0000-0000F6690000}"/>
    <cellStyle name="Título 2 3 2" xfId="24322" xr:uid="{00000000-0005-0000-0000-0000F7690000}"/>
    <cellStyle name="Título 2 3 2 2" xfId="24323" xr:uid="{00000000-0005-0000-0000-0000F8690000}"/>
    <cellStyle name="Título 2 3 2 3" xfId="24324" xr:uid="{00000000-0005-0000-0000-0000F9690000}"/>
    <cellStyle name="Título 2 3 2 4" xfId="26033" xr:uid="{00000000-0005-0000-0000-0000FA690000}"/>
    <cellStyle name="Título 2 3 3" xfId="24325" xr:uid="{00000000-0005-0000-0000-0000FB690000}"/>
    <cellStyle name="Título 2 3 3 2" xfId="26034" xr:uid="{00000000-0005-0000-0000-0000FC690000}"/>
    <cellStyle name="Título 2 3 4" xfId="24326" xr:uid="{00000000-0005-0000-0000-0000FD690000}"/>
    <cellStyle name="Título 2 3 5" xfId="24327" xr:uid="{00000000-0005-0000-0000-0000FE690000}"/>
    <cellStyle name="Título 2 3 6" xfId="26032" xr:uid="{00000000-0005-0000-0000-0000FF690000}"/>
    <cellStyle name="Título 2 4" xfId="24328" xr:uid="{00000000-0005-0000-0000-0000006A0000}"/>
    <cellStyle name="Título 2 4 2" xfId="24329" xr:uid="{00000000-0005-0000-0000-0000016A0000}"/>
    <cellStyle name="Título 2 4 3" xfId="24330" xr:uid="{00000000-0005-0000-0000-0000026A0000}"/>
    <cellStyle name="Título 2 4 4" xfId="24331" xr:uid="{00000000-0005-0000-0000-0000036A0000}"/>
    <cellStyle name="Título 2 4 5" xfId="24332" xr:uid="{00000000-0005-0000-0000-0000046A0000}"/>
    <cellStyle name="Título 2 5" xfId="24333" xr:uid="{00000000-0005-0000-0000-0000056A0000}"/>
    <cellStyle name="Título 2 5 2" xfId="26035" xr:uid="{00000000-0005-0000-0000-0000066A0000}"/>
    <cellStyle name="Título 2 6" xfId="24334" xr:uid="{00000000-0005-0000-0000-0000076A0000}"/>
    <cellStyle name="Título 2 7" xfId="24335" xr:uid="{00000000-0005-0000-0000-0000086A0000}"/>
    <cellStyle name="Título 3" xfId="899" builtinId="18" customBuiltin="1"/>
    <cellStyle name="Título 3 2" xfId="24336" xr:uid="{00000000-0005-0000-0000-00000A6A0000}"/>
    <cellStyle name="Título 3 2 2" xfId="24337" xr:uid="{00000000-0005-0000-0000-00000B6A0000}"/>
    <cellStyle name="Título 3 2 2 2" xfId="24338" xr:uid="{00000000-0005-0000-0000-00000C6A0000}"/>
    <cellStyle name="Título 3 2 2 3" xfId="24339" xr:uid="{00000000-0005-0000-0000-00000D6A0000}"/>
    <cellStyle name="Título 3 2 2 4" xfId="26037" xr:uid="{00000000-0005-0000-0000-00000E6A0000}"/>
    <cellStyle name="Título 3 2 3" xfId="24340" xr:uid="{00000000-0005-0000-0000-00000F6A0000}"/>
    <cellStyle name="Título 3 2 4" xfId="24341" xr:uid="{00000000-0005-0000-0000-0000106A0000}"/>
    <cellStyle name="Título 3 2 5" xfId="24342" xr:uid="{00000000-0005-0000-0000-0000116A0000}"/>
    <cellStyle name="Título 3 2 6" xfId="26036" xr:uid="{00000000-0005-0000-0000-0000126A0000}"/>
    <cellStyle name="Título 3 3" xfId="24343" xr:uid="{00000000-0005-0000-0000-0000136A0000}"/>
    <cellStyle name="Título 3 3 2" xfId="24344" xr:uid="{00000000-0005-0000-0000-0000146A0000}"/>
    <cellStyle name="Título 3 3 2 2" xfId="24345" xr:uid="{00000000-0005-0000-0000-0000156A0000}"/>
    <cellStyle name="Título 3 3 2 3" xfId="24346" xr:uid="{00000000-0005-0000-0000-0000166A0000}"/>
    <cellStyle name="Título 3 3 2 4" xfId="26039" xr:uid="{00000000-0005-0000-0000-0000176A0000}"/>
    <cellStyle name="Título 3 3 3" xfId="24347" xr:uid="{00000000-0005-0000-0000-0000186A0000}"/>
    <cellStyle name="Título 3 3 3 2" xfId="26040" xr:uid="{00000000-0005-0000-0000-0000196A0000}"/>
    <cellStyle name="Título 3 3 4" xfId="24348" xr:uid="{00000000-0005-0000-0000-00001A6A0000}"/>
    <cellStyle name="Título 3 3 5" xfId="24349" xr:uid="{00000000-0005-0000-0000-00001B6A0000}"/>
    <cellStyle name="Título 3 3 6" xfId="26038" xr:uid="{00000000-0005-0000-0000-00001C6A0000}"/>
    <cellStyle name="Título 3 4" xfId="24350" xr:uid="{00000000-0005-0000-0000-00001D6A0000}"/>
    <cellStyle name="Título 3 4 2" xfId="24351" xr:uid="{00000000-0005-0000-0000-00001E6A0000}"/>
    <cellStyle name="Título 3 4 3" xfId="24352" xr:uid="{00000000-0005-0000-0000-00001F6A0000}"/>
    <cellStyle name="Título 3 4 4" xfId="24353" xr:uid="{00000000-0005-0000-0000-0000206A0000}"/>
    <cellStyle name="Título 3 4 5" xfId="24354" xr:uid="{00000000-0005-0000-0000-0000216A0000}"/>
    <cellStyle name="Título 3 5" xfId="24355" xr:uid="{00000000-0005-0000-0000-0000226A0000}"/>
    <cellStyle name="Título 3 5 2" xfId="26041" xr:uid="{00000000-0005-0000-0000-0000236A0000}"/>
    <cellStyle name="Título 3 6" xfId="24356" xr:uid="{00000000-0005-0000-0000-0000246A0000}"/>
    <cellStyle name="Título 3 7" xfId="24357" xr:uid="{00000000-0005-0000-0000-0000256A0000}"/>
    <cellStyle name="Título 4" xfId="900" builtinId="19" customBuiltin="1"/>
    <cellStyle name="Título 4 2" xfId="24358" xr:uid="{00000000-0005-0000-0000-0000276A0000}"/>
    <cellStyle name="Título 4 2 2" xfId="24359" xr:uid="{00000000-0005-0000-0000-0000286A0000}"/>
    <cellStyle name="Título 4 2 2 2" xfId="24360" xr:uid="{00000000-0005-0000-0000-0000296A0000}"/>
    <cellStyle name="Título 4 2 2 3" xfId="24361" xr:uid="{00000000-0005-0000-0000-00002A6A0000}"/>
    <cellStyle name="Título 4 2 2 4" xfId="26043" xr:uid="{00000000-0005-0000-0000-00002B6A0000}"/>
    <cellStyle name="Título 4 2 3" xfId="24362" xr:uid="{00000000-0005-0000-0000-00002C6A0000}"/>
    <cellStyle name="Título 4 2 4" xfId="24363" xr:uid="{00000000-0005-0000-0000-00002D6A0000}"/>
    <cellStyle name="Título 4 2 5" xfId="24364" xr:uid="{00000000-0005-0000-0000-00002E6A0000}"/>
    <cellStyle name="Título 4 2 6" xfId="26042" xr:uid="{00000000-0005-0000-0000-00002F6A0000}"/>
    <cellStyle name="Título 4 3" xfId="24365" xr:uid="{00000000-0005-0000-0000-0000306A0000}"/>
    <cellStyle name="Título 4 3 2" xfId="24366" xr:uid="{00000000-0005-0000-0000-0000316A0000}"/>
    <cellStyle name="Título 4 3 2 2" xfId="24367" xr:uid="{00000000-0005-0000-0000-0000326A0000}"/>
    <cellStyle name="Título 4 3 2 3" xfId="24368" xr:uid="{00000000-0005-0000-0000-0000336A0000}"/>
    <cellStyle name="Título 4 3 2 4" xfId="26045" xr:uid="{00000000-0005-0000-0000-0000346A0000}"/>
    <cellStyle name="Título 4 3 3" xfId="24369" xr:uid="{00000000-0005-0000-0000-0000356A0000}"/>
    <cellStyle name="Título 4 3 3 2" xfId="26046" xr:uid="{00000000-0005-0000-0000-0000366A0000}"/>
    <cellStyle name="Título 4 3 4" xfId="24370" xr:uid="{00000000-0005-0000-0000-0000376A0000}"/>
    <cellStyle name="Título 4 3 5" xfId="24371" xr:uid="{00000000-0005-0000-0000-0000386A0000}"/>
    <cellStyle name="Título 4 3 6" xfId="26044" xr:uid="{00000000-0005-0000-0000-0000396A0000}"/>
    <cellStyle name="Título 4 4" xfId="24372" xr:uid="{00000000-0005-0000-0000-00003A6A0000}"/>
    <cellStyle name="Título 4 4 2" xfId="24373" xr:uid="{00000000-0005-0000-0000-00003B6A0000}"/>
    <cellStyle name="Título 4 4 3" xfId="24374" xr:uid="{00000000-0005-0000-0000-00003C6A0000}"/>
    <cellStyle name="Título 4 4 4" xfId="24375" xr:uid="{00000000-0005-0000-0000-00003D6A0000}"/>
    <cellStyle name="Título 4 4 5" xfId="24376" xr:uid="{00000000-0005-0000-0000-00003E6A0000}"/>
    <cellStyle name="Título 4 5" xfId="24377" xr:uid="{00000000-0005-0000-0000-00003F6A0000}"/>
    <cellStyle name="Título 4 5 2" xfId="26047" xr:uid="{00000000-0005-0000-0000-0000406A0000}"/>
    <cellStyle name="Título 4 6" xfId="24378" xr:uid="{00000000-0005-0000-0000-0000416A0000}"/>
    <cellStyle name="Título 4 7" xfId="24379" xr:uid="{00000000-0005-0000-0000-0000426A0000}"/>
    <cellStyle name="Título 5" xfId="24380" xr:uid="{00000000-0005-0000-0000-0000436A0000}"/>
    <cellStyle name="Título 5 2" xfId="24381" xr:uid="{00000000-0005-0000-0000-0000446A0000}"/>
    <cellStyle name="Título 5 2 2" xfId="24382" xr:uid="{00000000-0005-0000-0000-0000456A0000}"/>
    <cellStyle name="Título 5 2 3" xfId="24383" xr:uid="{00000000-0005-0000-0000-0000466A0000}"/>
    <cellStyle name="Título 5 2 4" xfId="26049" xr:uid="{00000000-0005-0000-0000-0000476A0000}"/>
    <cellStyle name="Título 5 3" xfId="24384" xr:uid="{00000000-0005-0000-0000-0000486A0000}"/>
    <cellStyle name="Título 5 4" xfId="24385" xr:uid="{00000000-0005-0000-0000-0000496A0000}"/>
    <cellStyle name="Título 5 5" xfId="24386" xr:uid="{00000000-0005-0000-0000-00004A6A0000}"/>
    <cellStyle name="Título 5 6" xfId="26048" xr:uid="{00000000-0005-0000-0000-00004B6A0000}"/>
    <cellStyle name="Título 6" xfId="24387" xr:uid="{00000000-0005-0000-0000-00004C6A0000}"/>
    <cellStyle name="Título 6 2" xfId="24388" xr:uid="{00000000-0005-0000-0000-00004D6A0000}"/>
    <cellStyle name="Título 6 2 2" xfId="24389" xr:uid="{00000000-0005-0000-0000-00004E6A0000}"/>
    <cellStyle name="Título 6 2 3" xfId="24390" xr:uid="{00000000-0005-0000-0000-00004F6A0000}"/>
    <cellStyle name="Título 6 2 4" xfId="26051" xr:uid="{00000000-0005-0000-0000-0000506A0000}"/>
    <cellStyle name="Título 6 3" xfId="24391" xr:uid="{00000000-0005-0000-0000-0000516A0000}"/>
    <cellStyle name="Título 6 3 2" xfId="26052" xr:uid="{00000000-0005-0000-0000-0000526A0000}"/>
    <cellStyle name="Título 6 4" xfId="24392" xr:uid="{00000000-0005-0000-0000-0000536A0000}"/>
    <cellStyle name="Título 6 5" xfId="24393" xr:uid="{00000000-0005-0000-0000-0000546A0000}"/>
    <cellStyle name="Título 6 6" xfId="26050" xr:uid="{00000000-0005-0000-0000-0000556A0000}"/>
    <cellStyle name="Título 7" xfId="24394" xr:uid="{00000000-0005-0000-0000-0000566A0000}"/>
    <cellStyle name="Título 7 2" xfId="24395" xr:uid="{00000000-0005-0000-0000-0000576A0000}"/>
    <cellStyle name="Título 7 3" xfId="24396" xr:uid="{00000000-0005-0000-0000-0000586A0000}"/>
    <cellStyle name="Título 7 4" xfId="24397" xr:uid="{00000000-0005-0000-0000-0000596A0000}"/>
    <cellStyle name="Título 7 5" xfId="24398" xr:uid="{00000000-0005-0000-0000-00005A6A0000}"/>
    <cellStyle name="Título 8" xfId="24399" xr:uid="{00000000-0005-0000-0000-00005B6A0000}"/>
    <cellStyle name="Título 8 2" xfId="26053" xr:uid="{00000000-0005-0000-0000-00005C6A0000}"/>
    <cellStyle name="Título 9" xfId="24400" xr:uid="{00000000-0005-0000-0000-00005D6A0000}"/>
    <cellStyle name="Titulo1" xfId="24401" xr:uid="{00000000-0005-0000-0000-00005E6A0000}"/>
    <cellStyle name="Titulo2" xfId="24402" xr:uid="{00000000-0005-0000-0000-00005F6A0000}"/>
    <cellStyle name="titulos" xfId="24403" xr:uid="{00000000-0005-0000-0000-0000606A0000}"/>
    <cellStyle name="TopGrey" xfId="24404" xr:uid="{00000000-0005-0000-0000-0000616A0000}"/>
    <cellStyle name="Total" xfId="901" builtinId="25" customBuiltin="1"/>
    <cellStyle name="Total 10" xfId="24405" xr:uid="{00000000-0005-0000-0000-0000636A0000}"/>
    <cellStyle name="Total 2" xfId="24406" xr:uid="{00000000-0005-0000-0000-0000646A0000}"/>
    <cellStyle name="Total 2 10" xfId="24407" xr:uid="{00000000-0005-0000-0000-0000656A0000}"/>
    <cellStyle name="Total 2 11" xfId="24408" xr:uid="{00000000-0005-0000-0000-0000666A0000}"/>
    <cellStyle name="Total 2 12" xfId="24409" xr:uid="{00000000-0005-0000-0000-0000676A0000}"/>
    <cellStyle name="Total 2 13" xfId="24410" xr:uid="{00000000-0005-0000-0000-0000686A0000}"/>
    <cellStyle name="Total 2 14" xfId="24411" xr:uid="{00000000-0005-0000-0000-0000696A0000}"/>
    <cellStyle name="Total 2 15" xfId="24412" xr:uid="{00000000-0005-0000-0000-00006A6A0000}"/>
    <cellStyle name="Total 2 16" xfId="24413" xr:uid="{00000000-0005-0000-0000-00006B6A0000}"/>
    <cellStyle name="Total 2 17" xfId="24414" xr:uid="{00000000-0005-0000-0000-00006C6A0000}"/>
    <cellStyle name="Total 2 18" xfId="24415" xr:uid="{00000000-0005-0000-0000-00006D6A0000}"/>
    <cellStyle name="Total 2 19" xfId="24416" xr:uid="{00000000-0005-0000-0000-00006E6A0000}"/>
    <cellStyle name="Total 2 2" xfId="24417" xr:uid="{00000000-0005-0000-0000-00006F6A0000}"/>
    <cellStyle name="Total 2 2 10" xfId="24418" xr:uid="{00000000-0005-0000-0000-0000706A0000}"/>
    <cellStyle name="Total 2 2 11" xfId="24419" xr:uid="{00000000-0005-0000-0000-0000716A0000}"/>
    <cellStyle name="Total 2 2 12" xfId="24420" xr:uid="{00000000-0005-0000-0000-0000726A0000}"/>
    <cellStyle name="Total 2 2 13" xfId="24421" xr:uid="{00000000-0005-0000-0000-0000736A0000}"/>
    <cellStyle name="Total 2 2 14" xfId="24422" xr:uid="{00000000-0005-0000-0000-0000746A0000}"/>
    <cellStyle name="Total 2 2 15" xfId="24423" xr:uid="{00000000-0005-0000-0000-0000756A0000}"/>
    <cellStyle name="Total 2 2 16" xfId="24424" xr:uid="{00000000-0005-0000-0000-0000766A0000}"/>
    <cellStyle name="Total 2 2 17" xfId="24958" xr:uid="{00000000-0005-0000-0000-0000776A0000}"/>
    <cellStyle name="Total 2 2 18" xfId="26055" xr:uid="{00000000-0005-0000-0000-0000786A0000}"/>
    <cellStyle name="Total 2 2 2" xfId="24425" xr:uid="{00000000-0005-0000-0000-0000796A0000}"/>
    <cellStyle name="Total 2 2 2 2" xfId="27138" xr:uid="{00000000-0005-0000-0000-00007A6A0000}"/>
    <cellStyle name="Total 2 2 3" xfId="24426" xr:uid="{00000000-0005-0000-0000-00007B6A0000}"/>
    <cellStyle name="Total 2 2 4" xfId="24427" xr:uid="{00000000-0005-0000-0000-00007C6A0000}"/>
    <cellStyle name="Total 2 2 5" xfId="24428" xr:uid="{00000000-0005-0000-0000-00007D6A0000}"/>
    <cellStyle name="Total 2 2 6" xfId="24429" xr:uid="{00000000-0005-0000-0000-00007E6A0000}"/>
    <cellStyle name="Total 2 2 7" xfId="24430" xr:uid="{00000000-0005-0000-0000-00007F6A0000}"/>
    <cellStyle name="Total 2 2 8" xfId="24431" xr:uid="{00000000-0005-0000-0000-0000806A0000}"/>
    <cellStyle name="Total 2 2 9" xfId="24432" xr:uid="{00000000-0005-0000-0000-0000816A0000}"/>
    <cellStyle name="Total 2 20" xfId="24433" xr:uid="{00000000-0005-0000-0000-0000826A0000}"/>
    <cellStyle name="Total 2 21" xfId="24434" xr:uid="{00000000-0005-0000-0000-0000836A0000}"/>
    <cellStyle name="Total 2 22" xfId="26054" xr:uid="{00000000-0005-0000-0000-0000846A0000}"/>
    <cellStyle name="Total 2 3" xfId="24435" xr:uid="{00000000-0005-0000-0000-0000856A0000}"/>
    <cellStyle name="Total 2 3 2" xfId="24436" xr:uid="{00000000-0005-0000-0000-0000866A0000}"/>
    <cellStyle name="Total 2 3 2 2" xfId="24960" xr:uid="{00000000-0005-0000-0000-0000876A0000}"/>
    <cellStyle name="Total 2 3 3" xfId="24959" xr:uid="{00000000-0005-0000-0000-0000886A0000}"/>
    <cellStyle name="Total 2 4" xfId="24437" xr:uid="{00000000-0005-0000-0000-0000896A0000}"/>
    <cellStyle name="Total 2 4 2" xfId="24438" xr:uid="{00000000-0005-0000-0000-00008A6A0000}"/>
    <cellStyle name="Total 2 4 2 2" xfId="24961" xr:uid="{00000000-0005-0000-0000-00008B6A0000}"/>
    <cellStyle name="Total 2 5" xfId="24439" xr:uid="{00000000-0005-0000-0000-00008C6A0000}"/>
    <cellStyle name="Total 2 5 2" xfId="24440" xr:uid="{00000000-0005-0000-0000-00008D6A0000}"/>
    <cellStyle name="Total 2 5 2 2" xfId="24962" xr:uid="{00000000-0005-0000-0000-00008E6A0000}"/>
    <cellStyle name="Total 2 6" xfId="24441" xr:uid="{00000000-0005-0000-0000-00008F6A0000}"/>
    <cellStyle name="Total 2 6 2" xfId="24442" xr:uid="{00000000-0005-0000-0000-0000906A0000}"/>
    <cellStyle name="Total 2 6 2 2" xfId="24963" xr:uid="{00000000-0005-0000-0000-0000916A0000}"/>
    <cellStyle name="Total 2 7" xfId="24443" xr:uid="{00000000-0005-0000-0000-0000926A0000}"/>
    <cellStyle name="Total 2 7 2" xfId="24444" xr:uid="{00000000-0005-0000-0000-0000936A0000}"/>
    <cellStyle name="Total 2 7 2 2" xfId="24964" xr:uid="{00000000-0005-0000-0000-0000946A0000}"/>
    <cellStyle name="Total 2 8" xfId="24445" xr:uid="{00000000-0005-0000-0000-0000956A0000}"/>
    <cellStyle name="Total 2 9" xfId="24446" xr:uid="{00000000-0005-0000-0000-0000966A0000}"/>
    <cellStyle name="Total 3" xfId="24447" xr:uid="{00000000-0005-0000-0000-0000976A0000}"/>
    <cellStyle name="Total 3 10" xfId="24448" xr:uid="{00000000-0005-0000-0000-0000986A0000}"/>
    <cellStyle name="Total 3 11" xfId="24449" xr:uid="{00000000-0005-0000-0000-0000996A0000}"/>
    <cellStyle name="Total 3 12" xfId="24450" xr:uid="{00000000-0005-0000-0000-00009A6A0000}"/>
    <cellStyle name="Total 3 13" xfId="24451" xr:uid="{00000000-0005-0000-0000-00009B6A0000}"/>
    <cellStyle name="Total 3 14" xfId="24452" xr:uid="{00000000-0005-0000-0000-00009C6A0000}"/>
    <cellStyle name="Total 3 15" xfId="24453" xr:uid="{00000000-0005-0000-0000-00009D6A0000}"/>
    <cellStyle name="Total 3 16" xfId="24454" xr:uid="{00000000-0005-0000-0000-00009E6A0000}"/>
    <cellStyle name="Total 3 17" xfId="24455" xr:uid="{00000000-0005-0000-0000-00009F6A0000}"/>
    <cellStyle name="Total 3 18" xfId="24456" xr:uid="{00000000-0005-0000-0000-0000A06A0000}"/>
    <cellStyle name="Total 3 19" xfId="24457" xr:uid="{00000000-0005-0000-0000-0000A16A0000}"/>
    <cellStyle name="Total 3 2" xfId="24458" xr:uid="{00000000-0005-0000-0000-0000A26A0000}"/>
    <cellStyle name="Total 3 2 10" xfId="24459" xr:uid="{00000000-0005-0000-0000-0000A36A0000}"/>
    <cellStyle name="Total 3 2 11" xfId="24460" xr:uid="{00000000-0005-0000-0000-0000A46A0000}"/>
    <cellStyle name="Total 3 2 12" xfId="24461" xr:uid="{00000000-0005-0000-0000-0000A56A0000}"/>
    <cellStyle name="Total 3 2 13" xfId="24462" xr:uid="{00000000-0005-0000-0000-0000A66A0000}"/>
    <cellStyle name="Total 3 2 14" xfId="24463" xr:uid="{00000000-0005-0000-0000-0000A76A0000}"/>
    <cellStyle name="Total 3 2 15" xfId="24464" xr:uid="{00000000-0005-0000-0000-0000A86A0000}"/>
    <cellStyle name="Total 3 2 16" xfId="24465" xr:uid="{00000000-0005-0000-0000-0000A96A0000}"/>
    <cellStyle name="Total 3 2 17" xfId="24965" xr:uid="{00000000-0005-0000-0000-0000AA6A0000}"/>
    <cellStyle name="Total 3 2 18" xfId="26057" xr:uid="{00000000-0005-0000-0000-0000AB6A0000}"/>
    <cellStyle name="Total 3 2 2" xfId="24466" xr:uid="{00000000-0005-0000-0000-0000AC6A0000}"/>
    <cellStyle name="Total 3 2 3" xfId="24467" xr:uid="{00000000-0005-0000-0000-0000AD6A0000}"/>
    <cellStyle name="Total 3 2 4" xfId="24468" xr:uid="{00000000-0005-0000-0000-0000AE6A0000}"/>
    <cellStyle name="Total 3 2 5" xfId="24469" xr:uid="{00000000-0005-0000-0000-0000AF6A0000}"/>
    <cellStyle name="Total 3 2 6" xfId="24470" xr:uid="{00000000-0005-0000-0000-0000B06A0000}"/>
    <cellStyle name="Total 3 2 7" xfId="24471" xr:uid="{00000000-0005-0000-0000-0000B16A0000}"/>
    <cellStyle name="Total 3 2 8" xfId="24472" xr:uid="{00000000-0005-0000-0000-0000B26A0000}"/>
    <cellStyle name="Total 3 2 9" xfId="24473" xr:uid="{00000000-0005-0000-0000-0000B36A0000}"/>
    <cellStyle name="Total 3 20" xfId="24474" xr:uid="{00000000-0005-0000-0000-0000B46A0000}"/>
    <cellStyle name="Total 3 21" xfId="24475" xr:uid="{00000000-0005-0000-0000-0000B56A0000}"/>
    <cellStyle name="Total 3 22" xfId="26056" xr:uid="{00000000-0005-0000-0000-0000B66A0000}"/>
    <cellStyle name="Total 3 3" xfId="24476" xr:uid="{00000000-0005-0000-0000-0000B76A0000}"/>
    <cellStyle name="Total 3 3 2" xfId="24477" xr:uid="{00000000-0005-0000-0000-0000B86A0000}"/>
    <cellStyle name="Total 3 3 2 2" xfId="24966" xr:uid="{00000000-0005-0000-0000-0000B96A0000}"/>
    <cellStyle name="Total 3 3 2 3" xfId="26058" xr:uid="{00000000-0005-0000-0000-0000BA6A0000}"/>
    <cellStyle name="Total 3 3 3" xfId="27139" xr:uid="{00000000-0005-0000-0000-0000BB6A0000}"/>
    <cellStyle name="Total 3 4" xfId="24478" xr:uid="{00000000-0005-0000-0000-0000BC6A0000}"/>
    <cellStyle name="Total 3 4 2" xfId="24479" xr:uid="{00000000-0005-0000-0000-0000BD6A0000}"/>
    <cellStyle name="Total 3 4 2 2" xfId="24967" xr:uid="{00000000-0005-0000-0000-0000BE6A0000}"/>
    <cellStyle name="Total 3 5" xfId="24480" xr:uid="{00000000-0005-0000-0000-0000BF6A0000}"/>
    <cellStyle name="Total 3 5 2" xfId="24481" xr:uid="{00000000-0005-0000-0000-0000C06A0000}"/>
    <cellStyle name="Total 3 5 2 2" xfId="24968" xr:uid="{00000000-0005-0000-0000-0000C16A0000}"/>
    <cellStyle name="Total 3 6" xfId="24482" xr:uid="{00000000-0005-0000-0000-0000C26A0000}"/>
    <cellStyle name="Total 3 7" xfId="24483" xr:uid="{00000000-0005-0000-0000-0000C36A0000}"/>
    <cellStyle name="Total 3 8" xfId="24484" xr:uid="{00000000-0005-0000-0000-0000C46A0000}"/>
    <cellStyle name="Total 3 9" xfId="24485" xr:uid="{00000000-0005-0000-0000-0000C56A0000}"/>
    <cellStyle name="Total 4" xfId="24486" xr:uid="{00000000-0005-0000-0000-0000C66A0000}"/>
    <cellStyle name="Total 4 2" xfId="24487" xr:uid="{00000000-0005-0000-0000-0000C76A0000}"/>
    <cellStyle name="Total 4 2 2" xfId="24488" xr:uid="{00000000-0005-0000-0000-0000C86A0000}"/>
    <cellStyle name="Total 4 2 2 2" xfId="24969" xr:uid="{00000000-0005-0000-0000-0000C96A0000}"/>
    <cellStyle name="Total 4 2 3" xfId="26059" xr:uid="{00000000-0005-0000-0000-0000CA6A0000}"/>
    <cellStyle name="Total 4 3" xfId="24489" xr:uid="{00000000-0005-0000-0000-0000CB6A0000}"/>
    <cellStyle name="Total 4 3 2" xfId="24490" xr:uid="{00000000-0005-0000-0000-0000CC6A0000}"/>
    <cellStyle name="Total 4 3 2 2" xfId="24970" xr:uid="{00000000-0005-0000-0000-0000CD6A0000}"/>
    <cellStyle name="Total 4 4" xfId="24491" xr:uid="{00000000-0005-0000-0000-0000CE6A0000}"/>
    <cellStyle name="Total 4 4 2" xfId="24492" xr:uid="{00000000-0005-0000-0000-0000CF6A0000}"/>
    <cellStyle name="Total 4 4 2 2" xfId="24971" xr:uid="{00000000-0005-0000-0000-0000D06A0000}"/>
    <cellStyle name="Total 4 5" xfId="24493" xr:uid="{00000000-0005-0000-0000-0000D16A0000}"/>
    <cellStyle name="Total 4 5 2" xfId="24494" xr:uid="{00000000-0005-0000-0000-0000D26A0000}"/>
    <cellStyle name="Total 4 5 2 2" xfId="24972" xr:uid="{00000000-0005-0000-0000-0000D36A0000}"/>
    <cellStyle name="Total 4 6" xfId="24495" xr:uid="{00000000-0005-0000-0000-0000D46A0000}"/>
    <cellStyle name="Total 4 7" xfId="24496" xr:uid="{00000000-0005-0000-0000-0000D56A0000}"/>
    <cellStyle name="Total 5" xfId="24497" xr:uid="{00000000-0005-0000-0000-0000D66A0000}"/>
    <cellStyle name="Total 5 2" xfId="24498" xr:uid="{00000000-0005-0000-0000-0000D76A0000}"/>
    <cellStyle name="Total 5 2 2" xfId="24973" xr:uid="{00000000-0005-0000-0000-0000D86A0000}"/>
    <cellStyle name="Total 5 3" xfId="26060" xr:uid="{00000000-0005-0000-0000-0000D96A0000}"/>
    <cellStyle name="Total 6" xfId="24499" xr:uid="{00000000-0005-0000-0000-0000DA6A0000}"/>
    <cellStyle name="Total 6 2" xfId="24500" xr:uid="{00000000-0005-0000-0000-0000DB6A0000}"/>
    <cellStyle name="Total 6 2 2" xfId="24974" xr:uid="{00000000-0005-0000-0000-0000DC6A0000}"/>
    <cellStyle name="Total 7" xfId="24501" xr:uid="{00000000-0005-0000-0000-0000DD6A0000}"/>
    <cellStyle name="Total 7 2" xfId="24502" xr:uid="{00000000-0005-0000-0000-0000DE6A0000}"/>
    <cellStyle name="Total 7 2 2" xfId="24975" xr:uid="{00000000-0005-0000-0000-0000DF6A0000}"/>
    <cellStyle name="Total 8" xfId="24503" xr:uid="{00000000-0005-0000-0000-0000E06A0000}"/>
    <cellStyle name="Total 9" xfId="24504" xr:uid="{00000000-0005-0000-0000-0000E16A0000}"/>
    <cellStyle name="Tusenskille [0]_P&amp;L+BAL" xfId="24505" xr:uid="{00000000-0005-0000-0000-0000E26A0000}"/>
    <cellStyle name="Tusenskille_P&amp;L+BAL" xfId="24506" xr:uid="{00000000-0005-0000-0000-0000E36A0000}"/>
    <cellStyle name="V¡rgula" xfId="24507" xr:uid="{00000000-0005-0000-0000-0000E46A0000}"/>
    <cellStyle name="V¡rgula0" xfId="24508" xr:uid="{00000000-0005-0000-0000-0000E56A0000}"/>
    <cellStyle name="Valuta [0]_P&amp;L+BAL" xfId="24509" xr:uid="{00000000-0005-0000-0000-0000E66A0000}"/>
    <cellStyle name="Valuta_P&amp;L+BAL" xfId="24510" xr:uid="{00000000-0005-0000-0000-0000E76A0000}"/>
    <cellStyle name="Verificar Célula" xfId="902" xr:uid="{00000000-0005-0000-0000-0000E86A0000}"/>
    <cellStyle name="Vírgula 10" xfId="903" xr:uid="{00000000-0005-0000-0000-0000E96A0000}"/>
    <cellStyle name="Vírgula 10 2" xfId="24511" xr:uid="{00000000-0005-0000-0000-0000EA6A0000}"/>
    <cellStyle name="Vírgula 10 2 2" xfId="32532" xr:uid="{ACE043BF-1EBB-4061-B30F-F12E91A06A4D}"/>
    <cellStyle name="Vírgula 10 3" xfId="27331" xr:uid="{00000000-0005-0000-0000-0000EB6A0000}"/>
    <cellStyle name="Vírgula 10 3 2" xfId="33168" xr:uid="{6B3D87BD-C1F1-424F-A745-197A17C007F0}"/>
    <cellStyle name="Vírgula 10 4" xfId="27502" xr:uid="{00000000-0005-0000-0000-0000EC6A0000}"/>
    <cellStyle name="Vírgula 10 4 2" xfId="33339" xr:uid="{BA739548-2A2A-4828-95A5-1A4ADB39D948}"/>
    <cellStyle name="Vírgula 10 5" xfId="27671" xr:uid="{00000000-0005-0000-0000-0000ED6A0000}"/>
    <cellStyle name="Vírgula 10 5 2" xfId="33482" xr:uid="{34BDD2CC-8B55-4F81-AE72-911AF55DE372}"/>
    <cellStyle name="Vírgula 10 6" xfId="27828" xr:uid="{00000000-0005-0000-0000-0000EE6A0000}"/>
    <cellStyle name="Vírgula 10 6 2" xfId="33639" xr:uid="{F1787ABC-123E-4B3C-ABAF-0A155F59956F}"/>
    <cellStyle name="Vírgula 10 7" xfId="28121" xr:uid="{3A1C9E65-F242-4A82-A91A-6D563B7DE4D2}"/>
    <cellStyle name="Vírgula 11" xfId="27146" xr:uid="{00000000-0005-0000-0000-0000EF6A0000}"/>
    <cellStyle name="Vírgula 11 2" xfId="27332" xr:uid="{00000000-0005-0000-0000-0000F06A0000}"/>
    <cellStyle name="Vírgula 11 2 2" xfId="33169" xr:uid="{FF85C3B0-7DA9-4B4F-B3EE-F1222F58662D}"/>
    <cellStyle name="Vírgula 11 3" xfId="27503" xr:uid="{00000000-0005-0000-0000-0000F16A0000}"/>
    <cellStyle name="Vírgula 11 3 2" xfId="33340" xr:uid="{546D8723-4AB5-43F6-955C-AE83D90FE757}"/>
    <cellStyle name="Vírgula 11 4" xfId="27672" xr:uid="{00000000-0005-0000-0000-0000F26A0000}"/>
    <cellStyle name="Vírgula 11 4 2" xfId="33483" xr:uid="{53A27E8B-8802-49A4-BD69-86BADC69EF63}"/>
    <cellStyle name="Vírgula 11 5" xfId="27829" xr:uid="{00000000-0005-0000-0000-0000F36A0000}"/>
    <cellStyle name="Vírgula 11 5 2" xfId="33640" xr:uid="{84D1C968-B75A-4424-8313-EDD023B48A9C}"/>
    <cellStyle name="Vírgula 11 6" xfId="33001" xr:uid="{DB6A616E-8652-4B52-B539-10BBC914B839}"/>
    <cellStyle name="Vírgula 12" xfId="27221" xr:uid="{00000000-0005-0000-0000-0000F46A0000}"/>
    <cellStyle name="Vírgula 12 2" xfId="27518" xr:uid="{00000000-0005-0000-0000-0000F56A0000}"/>
    <cellStyle name="Vírgula 12 2 2" xfId="33342" xr:uid="{A3C2E1EC-BBF9-4C20-B265-95B3D4433D06}"/>
    <cellStyle name="Vírgula 12 3" xfId="27831" xr:uid="{00000000-0005-0000-0000-0000F66A0000}"/>
    <cellStyle name="Vírgula 12 3 2" xfId="33642" xr:uid="{001C63CA-12E5-42F9-AE55-76D494972DC5}"/>
    <cellStyle name="Vírgula 12 4" xfId="33062" xr:uid="{6F6786E0-6FC8-4F52-95DC-D559E6BE4A61}"/>
    <cellStyle name="Vírgula 13" xfId="27527" xr:uid="{00000000-0005-0000-0000-0000F76A0000}"/>
    <cellStyle name="Vírgula 13 2" xfId="27832" xr:uid="{00000000-0005-0000-0000-0000F86A0000}"/>
    <cellStyle name="Vírgula 13 2 2" xfId="33643" xr:uid="{7A9B08E2-A944-477A-988C-D08C4A1502C2}"/>
    <cellStyle name="Vírgula 13 3" xfId="33343" xr:uid="{5618ABF5-3A35-411B-90B9-365FB945F830}"/>
    <cellStyle name="Vírgula 14" xfId="27528" xr:uid="{00000000-0005-0000-0000-0000F96A0000}"/>
    <cellStyle name="Vírgula 14 2" xfId="33344" xr:uid="{5B022AB8-8879-4849-B449-0D5E3A98CD8B}"/>
    <cellStyle name="Vírgula 15" xfId="27400" xr:uid="{00000000-0005-0000-0000-0000FA6A0000}"/>
    <cellStyle name="Vírgula 15 2" xfId="33237" xr:uid="{54A8085E-6094-4F7E-8CE5-684DADE0C5B6}"/>
    <cellStyle name="Vírgula 16" xfId="27579" xr:uid="{00000000-0005-0000-0000-0000FB6A0000}"/>
    <cellStyle name="Vírgula 16 2" xfId="33391" xr:uid="{B792CC82-C34E-4F64-9EF8-E71A42B36610}"/>
    <cellStyle name="Vírgula 17" xfId="27730" xr:uid="{00000000-0005-0000-0000-0000FC6A0000}"/>
    <cellStyle name="Vírgula 17 2" xfId="27147" xr:uid="{00000000-0005-0000-0000-0000FD6A0000}"/>
    <cellStyle name="Vírgula 17 3" xfId="33541" xr:uid="{FD916E33-3D9F-46CF-9D03-2BC832D374F4}"/>
    <cellStyle name="Vírgula 2" xfId="904" xr:uid="{00000000-0005-0000-0000-0000FE6A0000}"/>
    <cellStyle name="Vírgula 2 10" xfId="27222" xr:uid="{00000000-0005-0000-0000-0000FF6A0000}"/>
    <cellStyle name="Vírgula 2 10 2" xfId="33063" xr:uid="{097F4D86-6822-41D8-A485-312F2462496E}"/>
    <cellStyle name="Vírgula 2 11" xfId="27401" xr:uid="{00000000-0005-0000-0000-0000006B0000}"/>
    <cellStyle name="Vírgula 2 11 2" xfId="33238" xr:uid="{A57C7F9A-6044-4469-8A41-7909BB5779C3}"/>
    <cellStyle name="Vírgula 2 12" xfId="27580" xr:uid="{00000000-0005-0000-0000-0000016B0000}"/>
    <cellStyle name="Vírgula 2 12 2" xfId="33392" xr:uid="{D2B4BE8B-3354-4F93-AB81-46C344806F62}"/>
    <cellStyle name="Vírgula 2 13" xfId="27731" xr:uid="{00000000-0005-0000-0000-0000026B0000}"/>
    <cellStyle name="Vírgula 2 13 2" xfId="33542" xr:uid="{2EF5C6EE-73A3-42F7-A9AB-C2EAD8C78669}"/>
    <cellStyle name="Vírgula 2 2" xfId="905" xr:uid="{00000000-0005-0000-0000-0000036B0000}"/>
    <cellStyle name="Vírgula 2 2 10" xfId="27581" xr:uid="{00000000-0005-0000-0000-0000046B0000}"/>
    <cellStyle name="Vírgula 2 2 10 2" xfId="33393" xr:uid="{7F67683D-A853-4ED7-AD87-F771FD1DFA44}"/>
    <cellStyle name="Vírgula 2 2 11" xfId="27732" xr:uid="{00000000-0005-0000-0000-0000056B0000}"/>
    <cellStyle name="Vírgula 2 2 11 2" xfId="33543" xr:uid="{BE5E7CEE-79CF-4203-B273-FDC98ADA9308}"/>
    <cellStyle name="Vírgula 2 2 12" xfId="28122" xr:uid="{B7B02111-AD44-4A33-AD2F-75693D6FF45B}"/>
    <cellStyle name="Vírgula 2 2 2" xfId="906" xr:uid="{00000000-0005-0000-0000-0000066B0000}"/>
    <cellStyle name="Vírgula 2 2 2 2" xfId="24513" xr:uid="{00000000-0005-0000-0000-0000076B0000}"/>
    <cellStyle name="Vírgula 2 2 2 2 2" xfId="27140" xr:uid="{00000000-0005-0000-0000-0000086B0000}"/>
    <cellStyle name="Vírgula 2 2 2 2 2 2" xfId="27325" xr:uid="{00000000-0005-0000-0000-0000096B0000}"/>
    <cellStyle name="Vírgula 2 2 2 2 2 2 2" xfId="33162" xr:uid="{A9F40FD3-A0B0-4032-B043-E44862270622}"/>
    <cellStyle name="Vírgula 2 2 2 2 2 3" xfId="27496" xr:uid="{00000000-0005-0000-0000-00000A6B0000}"/>
    <cellStyle name="Vírgula 2 2 2 2 2 3 2" xfId="33333" xr:uid="{1FD70AF3-812C-419B-AF87-5C51DC9CAE93}"/>
    <cellStyle name="Vírgula 2 2 2 2 2 4" xfId="27665" xr:uid="{00000000-0005-0000-0000-00000B6B0000}"/>
    <cellStyle name="Vírgula 2 2 2 2 2 4 2" xfId="33476" xr:uid="{D5AD2B74-FBAA-4B42-96A7-5FF0AAC33782}"/>
    <cellStyle name="Vírgula 2 2 2 2 2 5" xfId="27822" xr:uid="{00000000-0005-0000-0000-00000C6B0000}"/>
    <cellStyle name="Vírgula 2 2 2 2 2 5 2" xfId="33633" xr:uid="{D6EDADE7-56DA-4B66-BCF9-79A1C87AFE07}"/>
    <cellStyle name="Vírgula 2 2 2 2 2 6" xfId="32995" xr:uid="{FAC2D46B-D49A-471D-A7FE-0864CFC8BD1E}"/>
    <cellStyle name="Vírgula 2 2 2 2 3" xfId="26062" xr:uid="{00000000-0005-0000-0000-00000D6B0000}"/>
    <cellStyle name="Vírgula 2 2 2 2 3 2" xfId="32936" xr:uid="{3ACD6CF7-AB4E-4812-B303-A2B48BF2098B}"/>
    <cellStyle name="Vírgula 2 2 2 2 4" xfId="27225" xr:uid="{00000000-0005-0000-0000-00000E6B0000}"/>
    <cellStyle name="Vírgula 2 2 2 2 4 2" xfId="33066" xr:uid="{44E82C4C-B7C8-42C4-AC5D-5C6523FC9D26}"/>
    <cellStyle name="Vírgula 2 2 2 2 5" xfId="27404" xr:uid="{00000000-0005-0000-0000-00000F6B0000}"/>
    <cellStyle name="Vírgula 2 2 2 2 5 2" xfId="33241" xr:uid="{F6A03FA8-37C7-4E7A-92DB-E03F0D638C4F}"/>
    <cellStyle name="Vírgula 2 2 2 2 6" xfId="27583" xr:uid="{00000000-0005-0000-0000-0000106B0000}"/>
    <cellStyle name="Vírgula 2 2 2 2 6 2" xfId="33395" xr:uid="{746F0A96-8D29-4A58-B314-3608A4C41F89}"/>
    <cellStyle name="Vírgula 2 2 2 2 7" xfId="27734" xr:uid="{00000000-0005-0000-0000-0000116B0000}"/>
    <cellStyle name="Vírgula 2 2 2 2 7 2" xfId="33545" xr:uid="{2C824EE8-8D15-40E9-9732-29CF0969B5C6}"/>
    <cellStyle name="Vírgula 2 2 2 3" xfId="26061" xr:uid="{00000000-0005-0000-0000-0000126B0000}"/>
    <cellStyle name="Vírgula 2 2 2 3 2" xfId="32935" xr:uid="{D1E75B76-8F2E-43DE-B9AD-CF62E99B404F}"/>
    <cellStyle name="Vírgula 2 2 2 4" xfId="27224" xr:uid="{00000000-0005-0000-0000-0000136B0000}"/>
    <cellStyle name="Vírgula 2 2 2 4 2" xfId="33065" xr:uid="{2A109F32-B439-4D28-823C-ADFC6D5EABA7}"/>
    <cellStyle name="Vírgula 2 2 2 5" xfId="27403" xr:uid="{00000000-0005-0000-0000-0000146B0000}"/>
    <cellStyle name="Vírgula 2 2 2 5 2" xfId="33240" xr:uid="{6B5F78EF-D1BC-4C8F-8B87-1731B39F9A6B}"/>
    <cellStyle name="Vírgula 2 2 2 6" xfId="27582" xr:uid="{00000000-0005-0000-0000-0000156B0000}"/>
    <cellStyle name="Vírgula 2 2 2 6 2" xfId="33394" xr:uid="{EBB3C642-6374-4B2A-97C3-599AAC47AE80}"/>
    <cellStyle name="Vírgula 2 2 2 7" xfId="27733" xr:uid="{00000000-0005-0000-0000-0000166B0000}"/>
    <cellStyle name="Vírgula 2 2 2 7 2" xfId="33544" xr:uid="{25C4E607-0B4E-420F-9239-4A1387A15ACF}"/>
    <cellStyle name="Vírgula 2 2 2 8" xfId="28123" xr:uid="{200953A8-3C74-46BE-846E-AFDCFAD3F0F0}"/>
    <cellStyle name="Vírgula 2 2 3" xfId="907" xr:uid="{00000000-0005-0000-0000-0000176B0000}"/>
    <cellStyle name="Vírgula 2 2 3 2" xfId="26064" xr:uid="{00000000-0005-0000-0000-0000186B0000}"/>
    <cellStyle name="Vírgula 2 2 3 2 2" xfId="27141" xr:uid="{00000000-0005-0000-0000-0000196B0000}"/>
    <cellStyle name="Vírgula 2 2 3 2 2 2" xfId="27326" xr:uid="{00000000-0005-0000-0000-00001A6B0000}"/>
    <cellStyle name="Vírgula 2 2 3 2 2 2 2" xfId="33163" xr:uid="{0D8997F2-B852-467A-A302-C230C6FB2DB2}"/>
    <cellStyle name="Vírgula 2 2 3 2 2 3" xfId="27497" xr:uid="{00000000-0005-0000-0000-00001B6B0000}"/>
    <cellStyle name="Vírgula 2 2 3 2 2 3 2" xfId="33334" xr:uid="{B6274D25-F8D6-4CD9-B82A-30DDA861716E}"/>
    <cellStyle name="Vírgula 2 2 3 2 2 4" xfId="27666" xr:uid="{00000000-0005-0000-0000-00001C6B0000}"/>
    <cellStyle name="Vírgula 2 2 3 2 2 4 2" xfId="33477" xr:uid="{0379DFFB-7902-4C76-B0A5-5E4B17AB67CE}"/>
    <cellStyle name="Vírgula 2 2 3 2 2 5" xfId="27823" xr:uid="{00000000-0005-0000-0000-00001D6B0000}"/>
    <cellStyle name="Vírgula 2 2 3 2 2 5 2" xfId="33634" xr:uid="{B66B04CA-5CC6-4212-9E39-EB7C28A12D01}"/>
    <cellStyle name="Vírgula 2 2 3 2 2 6" xfId="32996" xr:uid="{CEEDB19B-11E2-40FE-868D-EC8DBFB19374}"/>
    <cellStyle name="Vírgula 2 2 3 2 3" xfId="27227" xr:uid="{00000000-0005-0000-0000-00001E6B0000}"/>
    <cellStyle name="Vírgula 2 2 3 2 3 2" xfId="33068" xr:uid="{06CBE626-D1AF-45F6-9B70-5FF2971EF9F1}"/>
    <cellStyle name="Vírgula 2 2 3 2 4" xfId="27406" xr:uid="{00000000-0005-0000-0000-00001F6B0000}"/>
    <cellStyle name="Vírgula 2 2 3 2 4 2" xfId="33243" xr:uid="{26A48A2E-A528-4035-ADB1-0A09B3CB053D}"/>
    <cellStyle name="Vírgula 2 2 3 2 5" xfId="27585" xr:uid="{00000000-0005-0000-0000-0000206B0000}"/>
    <cellStyle name="Vírgula 2 2 3 2 5 2" xfId="33397" xr:uid="{79369311-E4FA-4C61-8EC7-AC604436BC4A}"/>
    <cellStyle name="Vírgula 2 2 3 2 6" xfId="27736" xr:uid="{00000000-0005-0000-0000-0000216B0000}"/>
    <cellStyle name="Vírgula 2 2 3 2 6 2" xfId="33547" xr:uid="{0A3E45A9-8367-4309-9DCB-7EEAC69F45DD}"/>
    <cellStyle name="Vírgula 2 2 3 2 7" xfId="32938" xr:uid="{1FDB694F-25E9-45BA-ADB1-623D0E3B8CC0}"/>
    <cellStyle name="Vírgula 2 2 3 3" xfId="26063" xr:uid="{00000000-0005-0000-0000-0000226B0000}"/>
    <cellStyle name="Vírgula 2 2 3 3 2" xfId="32937" xr:uid="{1C3428B7-2F38-4671-BCF5-3AE81B18DA11}"/>
    <cellStyle name="Vírgula 2 2 3 4" xfId="27226" xr:uid="{00000000-0005-0000-0000-0000236B0000}"/>
    <cellStyle name="Vírgula 2 2 3 4 2" xfId="33067" xr:uid="{47F627C1-4A9A-4183-A4C0-EB28C1561384}"/>
    <cellStyle name="Vírgula 2 2 3 5" xfId="27405" xr:uid="{00000000-0005-0000-0000-0000246B0000}"/>
    <cellStyle name="Vírgula 2 2 3 5 2" xfId="33242" xr:uid="{7558CC70-A748-49F2-B820-270DAEBB4140}"/>
    <cellStyle name="Vírgula 2 2 3 6" xfId="27584" xr:uid="{00000000-0005-0000-0000-0000256B0000}"/>
    <cellStyle name="Vírgula 2 2 3 6 2" xfId="33396" xr:uid="{49795DE9-B881-4514-B745-816CEC535D64}"/>
    <cellStyle name="Vírgula 2 2 3 7" xfId="27735" xr:uid="{00000000-0005-0000-0000-0000266B0000}"/>
    <cellStyle name="Vírgula 2 2 3 7 2" xfId="33546" xr:uid="{658709EB-2F76-4CDF-BDAE-218B24BD55BD}"/>
    <cellStyle name="Vírgula 2 2 3 8" xfId="28124" xr:uid="{E1BBD5EB-3060-4CA3-8FCB-05D1D4FC3EF6}"/>
    <cellStyle name="Vírgula 2 2 4" xfId="24512" xr:uid="{00000000-0005-0000-0000-0000276B0000}"/>
    <cellStyle name="Vírgula 2 2 4 2" xfId="26066" xr:uid="{00000000-0005-0000-0000-0000286B0000}"/>
    <cellStyle name="Vírgula 2 2 4 2 2" xfId="26067" xr:uid="{00000000-0005-0000-0000-0000296B0000}"/>
    <cellStyle name="Vírgula 2 2 4 2 2 2" xfId="27230" xr:uid="{00000000-0005-0000-0000-00002A6B0000}"/>
    <cellStyle name="Vírgula 2 2 4 2 2 2 2" xfId="33071" xr:uid="{62F9C16B-B7BB-42E3-AB52-A9FD29D58CE1}"/>
    <cellStyle name="Vírgula 2 2 4 2 2 3" xfId="27409" xr:uid="{00000000-0005-0000-0000-00002B6B0000}"/>
    <cellStyle name="Vírgula 2 2 4 2 2 3 2" xfId="33246" xr:uid="{89B9B0CF-527F-48CF-93B3-5410337647FA}"/>
    <cellStyle name="Vírgula 2 2 4 2 2 4" xfId="27588" xr:uid="{00000000-0005-0000-0000-00002C6B0000}"/>
    <cellStyle name="Vírgula 2 2 4 2 2 4 2" xfId="33400" xr:uid="{66CF5D64-4585-4176-855C-C671367621E7}"/>
    <cellStyle name="Vírgula 2 2 4 2 2 5" xfId="27739" xr:uid="{00000000-0005-0000-0000-00002D6B0000}"/>
    <cellStyle name="Vírgula 2 2 4 2 2 5 2" xfId="33550" xr:uid="{1552E260-D8D0-4E07-ADAD-1F1A74FE032B}"/>
    <cellStyle name="Vírgula 2 2 4 2 2 6" xfId="32941" xr:uid="{020E0408-82DB-4A47-BF66-BD5C04CFC3A3}"/>
    <cellStyle name="Vírgula 2 2 4 2 3" xfId="27229" xr:uid="{00000000-0005-0000-0000-00002E6B0000}"/>
    <cellStyle name="Vírgula 2 2 4 2 3 2" xfId="33070" xr:uid="{C202BC2B-C4B7-4E41-8FB2-DF7CBC252FC7}"/>
    <cellStyle name="Vírgula 2 2 4 2 4" xfId="27408" xr:uid="{00000000-0005-0000-0000-00002F6B0000}"/>
    <cellStyle name="Vírgula 2 2 4 2 4 2" xfId="33245" xr:uid="{DD67A2D3-F99B-4F1C-A24E-6BFAB7150385}"/>
    <cellStyle name="Vírgula 2 2 4 2 5" xfId="27587" xr:uid="{00000000-0005-0000-0000-0000306B0000}"/>
    <cellStyle name="Vírgula 2 2 4 2 5 2" xfId="33399" xr:uid="{A73BA80C-4F9E-44AA-ADDC-278F2584765B}"/>
    <cellStyle name="Vírgula 2 2 4 2 6" xfId="27738" xr:uid="{00000000-0005-0000-0000-0000316B0000}"/>
    <cellStyle name="Vírgula 2 2 4 2 6 2" xfId="33549" xr:uid="{B2EE6677-F3EA-490A-879F-090FD1EF7D0B}"/>
    <cellStyle name="Vírgula 2 2 4 2 7" xfId="32940" xr:uid="{319903A6-81FC-4D80-8A9A-B4EA234586FC}"/>
    <cellStyle name="Vírgula 2 2 4 3" xfId="26068" xr:uid="{00000000-0005-0000-0000-0000326B0000}"/>
    <cellStyle name="Vírgula 2 2 4 3 2" xfId="27231" xr:uid="{00000000-0005-0000-0000-0000336B0000}"/>
    <cellStyle name="Vírgula 2 2 4 3 2 2" xfId="33072" xr:uid="{A3FF0EB2-7512-4868-A458-D14453C34339}"/>
    <cellStyle name="Vírgula 2 2 4 3 3" xfId="27410" xr:uid="{00000000-0005-0000-0000-0000346B0000}"/>
    <cellStyle name="Vírgula 2 2 4 3 3 2" xfId="33247" xr:uid="{C7AC3CD6-EB38-4734-BE5B-BB69848D987E}"/>
    <cellStyle name="Vírgula 2 2 4 3 4" xfId="27589" xr:uid="{00000000-0005-0000-0000-0000356B0000}"/>
    <cellStyle name="Vírgula 2 2 4 3 4 2" xfId="33401" xr:uid="{C33E23DF-97C3-4516-9305-86B65FC1F931}"/>
    <cellStyle name="Vírgula 2 2 4 3 5" xfId="27740" xr:uid="{00000000-0005-0000-0000-0000366B0000}"/>
    <cellStyle name="Vírgula 2 2 4 3 5 2" xfId="33551" xr:uid="{389D4FEB-4412-4716-AA5B-6D23BB28216A}"/>
    <cellStyle name="Vírgula 2 2 4 3 6" xfId="32942" xr:uid="{3047562B-68F4-40B8-A52E-F4C9DDAD136F}"/>
    <cellStyle name="Vírgula 2 2 4 4" xfId="26065" xr:uid="{00000000-0005-0000-0000-0000376B0000}"/>
    <cellStyle name="Vírgula 2 2 4 4 2" xfId="32939" xr:uid="{24558E56-4AA6-47EF-B65A-CE29727B6FCC}"/>
    <cellStyle name="Vírgula 2 2 4 5" xfId="27228" xr:uid="{00000000-0005-0000-0000-0000386B0000}"/>
    <cellStyle name="Vírgula 2 2 4 5 2" xfId="33069" xr:uid="{99EB53B6-E068-486C-8C53-459A71DADBFE}"/>
    <cellStyle name="Vírgula 2 2 4 6" xfId="27407" xr:uid="{00000000-0005-0000-0000-0000396B0000}"/>
    <cellStyle name="Vírgula 2 2 4 6 2" xfId="33244" xr:uid="{B12591BD-8C02-403F-9202-5593F54B736F}"/>
    <cellStyle name="Vírgula 2 2 4 7" xfId="27586" xr:uid="{00000000-0005-0000-0000-00003A6B0000}"/>
    <cellStyle name="Vírgula 2 2 4 7 2" xfId="33398" xr:uid="{457E6D13-DD4E-4FD6-A74F-700B7245C84E}"/>
    <cellStyle name="Vírgula 2 2 4 8" xfId="27737" xr:uid="{00000000-0005-0000-0000-00003B6B0000}"/>
    <cellStyle name="Vírgula 2 2 4 8 2" xfId="33548" xr:uid="{018C7341-FB6D-4B6A-8CD7-CFA47621B890}"/>
    <cellStyle name="Vírgula 2 2 4 9" xfId="32533" xr:uid="{62088B0F-4145-47BE-9D79-5BFDF26F3708}"/>
    <cellStyle name="Vírgula 2 2 5" xfId="26069" xr:uid="{00000000-0005-0000-0000-00003C6B0000}"/>
    <cellStyle name="Vírgula 2 2 5 2" xfId="27232" xr:uid="{00000000-0005-0000-0000-00003D6B0000}"/>
    <cellStyle name="Vírgula 2 2 5 2 2" xfId="33073" xr:uid="{BD6D3DC8-CC0D-42A4-9673-F8605984DEA7}"/>
    <cellStyle name="Vírgula 2 2 5 3" xfId="27411" xr:uid="{00000000-0005-0000-0000-00003E6B0000}"/>
    <cellStyle name="Vírgula 2 2 5 3 2" xfId="33248" xr:uid="{68603678-7735-42BE-AC6A-272F879182A5}"/>
    <cellStyle name="Vírgula 2 2 5 4" xfId="27590" xr:uid="{00000000-0005-0000-0000-00003F6B0000}"/>
    <cellStyle name="Vírgula 2 2 5 4 2" xfId="33402" xr:uid="{8C910D7B-F49C-4F12-BE73-E99B5D7DF397}"/>
    <cellStyle name="Vírgula 2 2 5 5" xfId="27741" xr:uid="{00000000-0005-0000-0000-0000406B0000}"/>
    <cellStyle name="Vírgula 2 2 5 5 2" xfId="33552" xr:uid="{44582E5E-F7B1-4EC1-A5F9-07C57667023B}"/>
    <cellStyle name="Vírgula 2 2 5 6" xfId="32943" xr:uid="{13F1AA57-B2C1-4D32-B4ED-CC5AAA8BCC5D}"/>
    <cellStyle name="Vírgula 2 2 6" xfId="26070" xr:uid="{00000000-0005-0000-0000-0000416B0000}"/>
    <cellStyle name="Vírgula 2 2 6 2" xfId="27142" xr:uid="{00000000-0005-0000-0000-0000426B0000}"/>
    <cellStyle name="Vírgula 2 2 6 2 2" xfId="27327" xr:uid="{00000000-0005-0000-0000-0000436B0000}"/>
    <cellStyle name="Vírgula 2 2 6 2 2 2" xfId="33164" xr:uid="{9CAA700F-118C-413D-BD22-7BF0CEA550C5}"/>
    <cellStyle name="Vírgula 2 2 6 2 3" xfId="27498" xr:uid="{00000000-0005-0000-0000-0000446B0000}"/>
    <cellStyle name="Vírgula 2 2 6 2 3 2" xfId="33335" xr:uid="{81721F7D-CE96-4DFB-867E-BE0D8FFB3F4F}"/>
    <cellStyle name="Vírgula 2 2 6 2 4" xfId="27667" xr:uid="{00000000-0005-0000-0000-0000456B0000}"/>
    <cellStyle name="Vírgula 2 2 6 2 4 2" xfId="33478" xr:uid="{32419304-7661-483D-9E51-BFA8F24AE272}"/>
    <cellStyle name="Vírgula 2 2 6 2 5" xfId="27824" xr:uid="{00000000-0005-0000-0000-0000466B0000}"/>
    <cellStyle name="Vírgula 2 2 6 2 5 2" xfId="33635" xr:uid="{F8E96D5C-6006-4B18-8B02-AE1316C13915}"/>
    <cellStyle name="Vírgula 2 2 6 2 6" xfId="32997" xr:uid="{92922B52-9CE4-454A-85AD-7A17FDAE3A88}"/>
    <cellStyle name="Vírgula 2 2 6 3" xfId="27233" xr:uid="{00000000-0005-0000-0000-0000476B0000}"/>
    <cellStyle name="Vírgula 2 2 6 3 2" xfId="33074" xr:uid="{FAEA8425-48E6-4BAC-835B-28A408923E6D}"/>
    <cellStyle name="Vírgula 2 2 6 4" xfId="27412" xr:uid="{00000000-0005-0000-0000-0000486B0000}"/>
    <cellStyle name="Vírgula 2 2 6 4 2" xfId="33249" xr:uid="{CFBA8D21-14BF-480A-94CB-99DE7376034A}"/>
    <cellStyle name="Vírgula 2 2 6 5" xfId="27591" xr:uid="{00000000-0005-0000-0000-0000496B0000}"/>
    <cellStyle name="Vírgula 2 2 6 5 2" xfId="33403" xr:uid="{B2F9BDFF-6E27-40B7-8F2D-F1A98636569F}"/>
    <cellStyle name="Vírgula 2 2 6 6" xfId="27742" xr:uid="{00000000-0005-0000-0000-00004A6B0000}"/>
    <cellStyle name="Vírgula 2 2 6 6 2" xfId="33553" xr:uid="{59487D12-20B3-4B16-BB26-E7A656BCA6A8}"/>
    <cellStyle name="Vírgula 2 2 6 7" xfId="32944" xr:uid="{78BCC56B-90AE-4F6A-9DCB-A2E42400B36D}"/>
    <cellStyle name="Vírgula 2 2 7" xfId="26071" xr:uid="{00000000-0005-0000-0000-00004B6B0000}"/>
    <cellStyle name="Vírgula 2 2 7 2" xfId="27234" xr:uid="{00000000-0005-0000-0000-00004C6B0000}"/>
    <cellStyle name="Vírgula 2 2 7 2 2" xfId="33075" xr:uid="{2443AA65-89EE-4285-9718-F27B002F78A1}"/>
    <cellStyle name="Vírgula 2 2 7 3" xfId="27413" xr:uid="{00000000-0005-0000-0000-00004D6B0000}"/>
    <cellStyle name="Vírgula 2 2 7 3 2" xfId="33250" xr:uid="{AC8D27BC-ABD6-460F-8E21-EC02BFC56AE4}"/>
    <cellStyle name="Vírgula 2 2 7 4" xfId="27592" xr:uid="{00000000-0005-0000-0000-00004E6B0000}"/>
    <cellStyle name="Vírgula 2 2 7 4 2" xfId="33404" xr:uid="{DE2055C5-5F10-4EC6-8324-80639E521193}"/>
    <cellStyle name="Vírgula 2 2 7 5" xfId="27743" xr:uid="{00000000-0005-0000-0000-00004F6B0000}"/>
    <cellStyle name="Vírgula 2 2 7 5 2" xfId="33554" xr:uid="{460BB731-891F-432B-AED5-ABEDCC7D8473}"/>
    <cellStyle name="Vírgula 2 2 7 6" xfId="32945" xr:uid="{BB2663F0-2AE6-453C-A868-E31B410DF1C4}"/>
    <cellStyle name="Vírgula 2 2 8" xfId="27223" xr:uid="{00000000-0005-0000-0000-0000506B0000}"/>
    <cellStyle name="Vírgula 2 2 8 2" xfId="33064" xr:uid="{7E7B7E31-3D18-4ECA-9E14-2B5F300AC99E}"/>
    <cellStyle name="Vírgula 2 2 9" xfId="27402" xr:uid="{00000000-0005-0000-0000-0000516B0000}"/>
    <cellStyle name="Vírgula 2 2 9 2" xfId="33239" xr:uid="{5863775D-A290-4475-BC50-9E5986170F4B}"/>
    <cellStyle name="Vírgula 2 3" xfId="908" xr:uid="{00000000-0005-0000-0000-0000526B0000}"/>
    <cellStyle name="Vírgula 2 3 10" xfId="27744" xr:uid="{00000000-0005-0000-0000-0000536B0000}"/>
    <cellStyle name="Vírgula 2 3 10 2" xfId="33555" xr:uid="{0FF57949-D7BB-433D-A84F-579DD5E7CB37}"/>
    <cellStyle name="Vírgula 2 3 11" xfId="28125" xr:uid="{F3030838-0C8E-43D6-B8C2-04C14F64979D}"/>
    <cellStyle name="Vírgula 2 3 2" xfId="909" xr:uid="{00000000-0005-0000-0000-0000546B0000}"/>
    <cellStyle name="Vírgula 2 3 2 2" xfId="910" xr:uid="{00000000-0005-0000-0000-0000556B0000}"/>
    <cellStyle name="Vírgula 2 3 2 2 2" xfId="911" xr:uid="{00000000-0005-0000-0000-0000566B0000}"/>
    <cellStyle name="Vírgula 2 3 2 2 2 2" xfId="28128" xr:uid="{054EE4C4-C3B2-43C5-8724-A93F30666038}"/>
    <cellStyle name="Vírgula 2 3 2 2 3" xfId="28127" xr:uid="{C23DF3E5-2F8A-47AC-8EF7-3789BFCAA868}"/>
    <cellStyle name="Vírgula 2 3 2 3" xfId="912" xr:uid="{00000000-0005-0000-0000-0000576B0000}"/>
    <cellStyle name="Vírgula 2 3 2 3 2" xfId="28129" xr:uid="{EE1EF072-0623-4769-BDDC-F23736A3BEDB}"/>
    <cellStyle name="Vírgula 2 3 2 4" xfId="26072" xr:uid="{00000000-0005-0000-0000-0000586B0000}"/>
    <cellStyle name="Vírgula 2 3 2 4 2" xfId="32946" xr:uid="{A872B15D-FF77-44CE-ABF4-47809BC34210}"/>
    <cellStyle name="Vírgula 2 3 2 5" xfId="27236" xr:uid="{00000000-0005-0000-0000-0000596B0000}"/>
    <cellStyle name="Vírgula 2 3 2 5 2" xfId="33077" xr:uid="{66DF7089-C41A-4B52-BE2D-CC17AC626501}"/>
    <cellStyle name="Vírgula 2 3 2 6" xfId="27415" xr:uid="{00000000-0005-0000-0000-00005A6B0000}"/>
    <cellStyle name="Vírgula 2 3 2 6 2" xfId="33252" xr:uid="{12541C25-2971-44DF-9989-6BD218EF48E3}"/>
    <cellStyle name="Vírgula 2 3 2 7" xfId="27594" xr:uid="{00000000-0005-0000-0000-00005B6B0000}"/>
    <cellStyle name="Vírgula 2 3 2 7 2" xfId="33406" xr:uid="{9E8BDD7B-BB07-47C6-B15A-2C03CA7C7D9E}"/>
    <cellStyle name="Vírgula 2 3 2 8" xfId="27745" xr:uid="{00000000-0005-0000-0000-00005C6B0000}"/>
    <cellStyle name="Vírgula 2 3 2 8 2" xfId="33556" xr:uid="{A1E6B896-3F71-447D-9F17-8504489E6D3C}"/>
    <cellStyle name="Vírgula 2 3 2 9" xfId="28126" xr:uid="{FB5548D7-B4FB-4221-BEF5-01ACE49547EA}"/>
    <cellStyle name="Vírgula 2 3 3" xfId="913" xr:uid="{00000000-0005-0000-0000-00005D6B0000}"/>
    <cellStyle name="Vírgula 2 3 3 2" xfId="914" xr:uid="{00000000-0005-0000-0000-00005E6B0000}"/>
    <cellStyle name="Vírgula 2 3 3 2 2" xfId="26073" xr:uid="{00000000-0005-0000-0000-00005F6B0000}"/>
    <cellStyle name="Vírgula 2 3 3 2 2 2" xfId="27239" xr:uid="{00000000-0005-0000-0000-0000606B0000}"/>
    <cellStyle name="Vírgula 2 3 3 2 2 2 2" xfId="33080" xr:uid="{C78BFFFC-89BD-4F38-B048-BD0846C5702C}"/>
    <cellStyle name="Vírgula 2 3 3 2 2 3" xfId="27418" xr:uid="{00000000-0005-0000-0000-0000616B0000}"/>
    <cellStyle name="Vírgula 2 3 3 2 2 3 2" xfId="33255" xr:uid="{9A688FC8-44B3-4625-900A-2C9389A9BE66}"/>
    <cellStyle name="Vírgula 2 3 3 2 2 4" xfId="27597" xr:uid="{00000000-0005-0000-0000-0000626B0000}"/>
    <cellStyle name="Vírgula 2 3 3 2 2 4 2" xfId="33409" xr:uid="{E6FB2748-09AC-4E5A-BCFB-5A303D3291B1}"/>
    <cellStyle name="Vírgula 2 3 3 2 2 5" xfId="27748" xr:uid="{00000000-0005-0000-0000-0000636B0000}"/>
    <cellStyle name="Vírgula 2 3 3 2 2 5 2" xfId="33559" xr:uid="{91A1FF40-F8E2-4E2B-9C2A-185EF1E87973}"/>
    <cellStyle name="Vírgula 2 3 3 2 2 6" xfId="32947" xr:uid="{E0E7DAA8-193F-473F-AE47-BEC4073C662F}"/>
    <cellStyle name="Vírgula 2 3 3 2 3" xfId="27238" xr:uid="{00000000-0005-0000-0000-0000646B0000}"/>
    <cellStyle name="Vírgula 2 3 3 2 3 2" xfId="33079" xr:uid="{45CF3234-0AD5-438D-87FE-03E80E477FE7}"/>
    <cellStyle name="Vírgula 2 3 3 2 4" xfId="27417" xr:uid="{00000000-0005-0000-0000-0000656B0000}"/>
    <cellStyle name="Vírgula 2 3 3 2 4 2" xfId="33254" xr:uid="{463B5D19-8E64-4D18-9027-0FCF45488220}"/>
    <cellStyle name="Vírgula 2 3 3 2 5" xfId="27596" xr:uid="{00000000-0005-0000-0000-0000666B0000}"/>
    <cellStyle name="Vírgula 2 3 3 2 5 2" xfId="33408" xr:uid="{43F7E70F-DF70-4F27-B735-CB5877BC634C}"/>
    <cellStyle name="Vírgula 2 3 3 2 6" xfId="27747" xr:uid="{00000000-0005-0000-0000-0000676B0000}"/>
    <cellStyle name="Vírgula 2 3 3 2 6 2" xfId="33558" xr:uid="{5E8C18CE-B64E-4F56-9C91-01B876AC75A3}"/>
    <cellStyle name="Vírgula 2 3 3 2 7" xfId="28131" xr:uid="{6957F636-4378-43B8-BA26-26C220EB7170}"/>
    <cellStyle name="Vírgula 2 3 3 3" xfId="26074" xr:uid="{00000000-0005-0000-0000-0000686B0000}"/>
    <cellStyle name="Vírgula 2 3 3 3 2" xfId="27240" xr:uid="{00000000-0005-0000-0000-0000696B0000}"/>
    <cellStyle name="Vírgula 2 3 3 3 2 2" xfId="33081" xr:uid="{41961644-8E2A-4CB5-9225-72B9D217146E}"/>
    <cellStyle name="Vírgula 2 3 3 3 3" xfId="27419" xr:uid="{00000000-0005-0000-0000-00006A6B0000}"/>
    <cellStyle name="Vírgula 2 3 3 3 3 2" xfId="33256" xr:uid="{02E96676-C4CF-41AD-8480-A95CE8E36D21}"/>
    <cellStyle name="Vírgula 2 3 3 3 4" xfId="27598" xr:uid="{00000000-0005-0000-0000-00006B6B0000}"/>
    <cellStyle name="Vírgula 2 3 3 3 4 2" xfId="33410" xr:uid="{6CF4DABA-D596-43E8-892C-01ECCD112721}"/>
    <cellStyle name="Vírgula 2 3 3 3 5" xfId="27749" xr:uid="{00000000-0005-0000-0000-00006C6B0000}"/>
    <cellStyle name="Vírgula 2 3 3 3 5 2" xfId="33560" xr:uid="{5B00E97F-92D3-4732-A17B-B5ABDAC570CC}"/>
    <cellStyle name="Vírgula 2 3 3 3 6" xfId="32948" xr:uid="{14C5EDE4-5E67-4A7C-9F62-C3EFD4C765CC}"/>
    <cellStyle name="Vírgula 2 3 3 4" xfId="27237" xr:uid="{00000000-0005-0000-0000-00006D6B0000}"/>
    <cellStyle name="Vírgula 2 3 3 4 2" xfId="33078" xr:uid="{80116D28-3774-4B60-92D0-759E1DFE7D93}"/>
    <cellStyle name="Vírgula 2 3 3 5" xfId="27416" xr:uid="{00000000-0005-0000-0000-00006E6B0000}"/>
    <cellStyle name="Vírgula 2 3 3 5 2" xfId="33253" xr:uid="{2A1C1B04-59F8-457D-B552-F00484CFA191}"/>
    <cellStyle name="Vírgula 2 3 3 6" xfId="27595" xr:uid="{00000000-0005-0000-0000-00006F6B0000}"/>
    <cellStyle name="Vírgula 2 3 3 6 2" xfId="33407" xr:uid="{300D217B-66C5-48EE-B95B-613F74D166BE}"/>
    <cellStyle name="Vírgula 2 3 3 7" xfId="27746" xr:uid="{00000000-0005-0000-0000-0000706B0000}"/>
    <cellStyle name="Vírgula 2 3 3 7 2" xfId="33557" xr:uid="{33FD23D4-CD6E-4751-87C0-63B0EA7BE470}"/>
    <cellStyle name="Vírgula 2 3 3 8" xfId="28130" xr:uid="{68A12A56-98DC-4601-B326-9F751D481005}"/>
    <cellStyle name="Vírgula 2 3 4" xfId="915" xr:uid="{00000000-0005-0000-0000-0000716B0000}"/>
    <cellStyle name="Vírgula 2 3 4 2" xfId="27143" xr:uid="{00000000-0005-0000-0000-0000726B0000}"/>
    <cellStyle name="Vírgula 2 3 4 2 2" xfId="27328" xr:uid="{00000000-0005-0000-0000-0000736B0000}"/>
    <cellStyle name="Vírgula 2 3 4 2 2 2" xfId="33165" xr:uid="{2E5FA07F-2597-4641-85AC-5DD923BBFEC5}"/>
    <cellStyle name="Vírgula 2 3 4 2 3" xfId="27499" xr:uid="{00000000-0005-0000-0000-0000746B0000}"/>
    <cellStyle name="Vírgula 2 3 4 2 3 2" xfId="33336" xr:uid="{CBB70DCD-0618-4392-92CE-35BDFBCEEF24}"/>
    <cellStyle name="Vírgula 2 3 4 2 4" xfId="27668" xr:uid="{00000000-0005-0000-0000-0000756B0000}"/>
    <cellStyle name="Vírgula 2 3 4 2 4 2" xfId="33479" xr:uid="{4BD13F41-1A38-4237-89FC-04CE83F8E12E}"/>
    <cellStyle name="Vírgula 2 3 4 2 5" xfId="27825" xr:uid="{00000000-0005-0000-0000-0000766B0000}"/>
    <cellStyle name="Vírgula 2 3 4 2 5 2" xfId="33636" xr:uid="{1A18474E-9ACE-43D1-8BD2-21544B9A2CE9}"/>
    <cellStyle name="Vírgula 2 3 4 2 6" xfId="32998" xr:uid="{F88E731A-70FD-4913-B860-8469B7A319B8}"/>
    <cellStyle name="Vírgula 2 3 4 3" xfId="26075" xr:uid="{00000000-0005-0000-0000-0000776B0000}"/>
    <cellStyle name="Vírgula 2 3 4 3 2" xfId="32949" xr:uid="{30CEB8B5-2A42-4697-87A3-13FB9F3EACDC}"/>
    <cellStyle name="Vírgula 2 3 4 4" xfId="27241" xr:uid="{00000000-0005-0000-0000-0000786B0000}"/>
    <cellStyle name="Vírgula 2 3 4 4 2" xfId="33082" xr:uid="{18B0F19B-E0DB-4535-83AB-516192AC2A7B}"/>
    <cellStyle name="Vírgula 2 3 4 5" xfId="27420" xr:uid="{00000000-0005-0000-0000-0000796B0000}"/>
    <cellStyle name="Vírgula 2 3 4 5 2" xfId="33257" xr:uid="{F99BA523-90E5-4C6C-9BAE-2A2948C3C05F}"/>
    <cellStyle name="Vírgula 2 3 4 6" xfId="27599" xr:uid="{00000000-0005-0000-0000-00007A6B0000}"/>
    <cellStyle name="Vírgula 2 3 4 6 2" xfId="33411" xr:uid="{D4274FFB-6263-480B-A161-9FBE579E784F}"/>
    <cellStyle name="Vírgula 2 3 4 7" xfId="27750" xr:uid="{00000000-0005-0000-0000-00007B6B0000}"/>
    <cellStyle name="Vírgula 2 3 4 7 2" xfId="33561" xr:uid="{12F429EC-FC47-4D1C-9E02-BD5604B53887}"/>
    <cellStyle name="Vírgula 2 3 4 8" xfId="28132" xr:uid="{522A5D82-8554-45DC-8B90-1C417794552C}"/>
    <cellStyle name="Vírgula 2 3 5" xfId="24514" xr:uid="{00000000-0005-0000-0000-00007C6B0000}"/>
    <cellStyle name="Vírgula 2 3 5 2" xfId="26077" xr:uid="{00000000-0005-0000-0000-00007D6B0000}"/>
    <cellStyle name="Vírgula 2 3 5 2 2" xfId="27243" xr:uid="{00000000-0005-0000-0000-00007E6B0000}"/>
    <cellStyle name="Vírgula 2 3 5 2 2 2" xfId="33084" xr:uid="{EF1261D4-1ACC-4F6A-879C-627D6AC40E32}"/>
    <cellStyle name="Vírgula 2 3 5 2 3" xfId="27422" xr:uid="{00000000-0005-0000-0000-00007F6B0000}"/>
    <cellStyle name="Vírgula 2 3 5 2 3 2" xfId="33259" xr:uid="{943A5427-49C0-45CD-89D3-70D1B289CFDF}"/>
    <cellStyle name="Vírgula 2 3 5 2 4" xfId="27601" xr:uid="{00000000-0005-0000-0000-0000806B0000}"/>
    <cellStyle name="Vírgula 2 3 5 2 4 2" xfId="33413" xr:uid="{7C9B2AE2-77CB-455A-9B36-4A7042F31742}"/>
    <cellStyle name="Vírgula 2 3 5 2 5" xfId="27752" xr:uid="{00000000-0005-0000-0000-0000816B0000}"/>
    <cellStyle name="Vírgula 2 3 5 2 5 2" xfId="33563" xr:uid="{9528355B-3ACA-45E2-B240-A52585806FB7}"/>
    <cellStyle name="Vírgula 2 3 5 2 6" xfId="32951" xr:uid="{20FBD1AB-50B5-419B-B138-5BB370400D2D}"/>
    <cellStyle name="Vírgula 2 3 5 3" xfId="26076" xr:uid="{00000000-0005-0000-0000-0000826B0000}"/>
    <cellStyle name="Vírgula 2 3 5 3 2" xfId="32950" xr:uid="{9A960EF1-1517-4473-896B-B4EF75977C9E}"/>
    <cellStyle name="Vírgula 2 3 5 4" xfId="27242" xr:uid="{00000000-0005-0000-0000-0000836B0000}"/>
    <cellStyle name="Vírgula 2 3 5 4 2" xfId="33083" xr:uid="{A103351E-EB2C-46D3-90E3-42B5BEC33DB8}"/>
    <cellStyle name="Vírgula 2 3 5 5" xfId="27421" xr:uid="{00000000-0005-0000-0000-0000846B0000}"/>
    <cellStyle name="Vírgula 2 3 5 5 2" xfId="33258" xr:uid="{92CDA70B-69DF-467E-B8E1-82E0618D0B9D}"/>
    <cellStyle name="Vírgula 2 3 5 6" xfId="27600" xr:uid="{00000000-0005-0000-0000-0000856B0000}"/>
    <cellStyle name="Vírgula 2 3 5 6 2" xfId="33412" xr:uid="{6E259876-1E9C-4F83-857C-D12CD7A532EA}"/>
    <cellStyle name="Vírgula 2 3 5 7" xfId="27751" xr:uid="{00000000-0005-0000-0000-0000866B0000}"/>
    <cellStyle name="Vírgula 2 3 5 7 2" xfId="33562" xr:uid="{C9B74BB1-C5FA-4E34-9F1B-DA3FD2589FBC}"/>
    <cellStyle name="Vírgula 2 3 5 8" xfId="32534" xr:uid="{5D04BD44-6433-4AFB-A255-09FFFD53AA96}"/>
    <cellStyle name="Vírgula 2 3 6" xfId="26078" xr:uid="{00000000-0005-0000-0000-0000876B0000}"/>
    <cellStyle name="Vírgula 2 3 6 2" xfId="27244" xr:uid="{00000000-0005-0000-0000-0000886B0000}"/>
    <cellStyle name="Vírgula 2 3 6 2 2" xfId="33085" xr:uid="{AE39F102-7E52-4834-B1A0-3FB5CDC6F97D}"/>
    <cellStyle name="Vírgula 2 3 6 3" xfId="27423" xr:uid="{00000000-0005-0000-0000-0000896B0000}"/>
    <cellStyle name="Vírgula 2 3 6 3 2" xfId="33260" xr:uid="{E1727C04-9062-4D1E-A2A3-ED56CA21679C}"/>
    <cellStyle name="Vírgula 2 3 6 4" xfId="27602" xr:uid="{00000000-0005-0000-0000-00008A6B0000}"/>
    <cellStyle name="Vírgula 2 3 6 4 2" xfId="33414" xr:uid="{3E3A6993-6F05-4A34-8D6C-C8442EE03FD6}"/>
    <cellStyle name="Vírgula 2 3 6 5" xfId="27753" xr:uid="{00000000-0005-0000-0000-00008B6B0000}"/>
    <cellStyle name="Vírgula 2 3 6 5 2" xfId="33564" xr:uid="{172D0702-D5E3-46C8-8365-981A6ACD61E6}"/>
    <cellStyle name="Vírgula 2 3 6 6" xfId="32952" xr:uid="{2D4517A5-9EAF-4457-AEEC-67B62C4ECB9C}"/>
    <cellStyle name="Vírgula 2 3 7" xfId="27235" xr:uid="{00000000-0005-0000-0000-00008C6B0000}"/>
    <cellStyle name="Vírgula 2 3 7 2" xfId="33076" xr:uid="{8C104DDC-EB49-41BD-BF93-3CBD11233B4C}"/>
    <cellStyle name="Vírgula 2 3 8" xfId="27414" xr:uid="{00000000-0005-0000-0000-00008D6B0000}"/>
    <cellStyle name="Vírgula 2 3 8 2" xfId="33251" xr:uid="{06669B9F-1D60-4E8D-B944-4CC19837098D}"/>
    <cellStyle name="Vírgula 2 3 9" xfId="27593" xr:uid="{00000000-0005-0000-0000-00008E6B0000}"/>
    <cellStyle name="Vírgula 2 3 9 2" xfId="33405" xr:uid="{93D877C9-5873-4852-BADF-7C04670D6F33}"/>
    <cellStyle name="Vírgula 2 4" xfId="916" xr:uid="{00000000-0005-0000-0000-00008F6B0000}"/>
    <cellStyle name="Vírgula 2 4 10" xfId="27754" xr:uid="{00000000-0005-0000-0000-0000906B0000}"/>
    <cellStyle name="Vírgula 2 4 10 2" xfId="33565" xr:uid="{EAD6605E-CAC7-492B-9CF2-B0632EE2AB80}"/>
    <cellStyle name="Vírgula 2 4 11" xfId="28133" xr:uid="{9F8DBA24-5ADB-4155-8CE2-A87E522E9A91}"/>
    <cellStyle name="Vírgula 2 4 2" xfId="917" xr:uid="{00000000-0005-0000-0000-0000916B0000}"/>
    <cellStyle name="Vírgula 2 4 2 2" xfId="918" xr:uid="{00000000-0005-0000-0000-0000926B0000}"/>
    <cellStyle name="Vírgula 2 4 2 2 2" xfId="919" xr:uid="{00000000-0005-0000-0000-0000936B0000}"/>
    <cellStyle name="Vírgula 2 4 2 2 2 2" xfId="28136" xr:uid="{536C1B3F-B8AE-4F68-BEF6-3C1A41EA0358}"/>
    <cellStyle name="Vírgula 2 4 2 2 3" xfId="27144" xr:uid="{00000000-0005-0000-0000-0000946B0000}"/>
    <cellStyle name="Vírgula 2 4 2 2 3 2" xfId="32999" xr:uid="{59A943FC-63EA-4AC5-9ABD-3BE12265CE69}"/>
    <cellStyle name="Vírgula 2 4 2 2 4" xfId="27329" xr:uid="{00000000-0005-0000-0000-0000956B0000}"/>
    <cellStyle name="Vírgula 2 4 2 2 4 2" xfId="33166" xr:uid="{7497AD65-CD25-4D8A-8871-90C559D1F2FA}"/>
    <cellStyle name="Vírgula 2 4 2 2 5" xfId="27500" xr:uid="{00000000-0005-0000-0000-0000966B0000}"/>
    <cellStyle name="Vírgula 2 4 2 2 5 2" xfId="33337" xr:uid="{03F42409-4BDD-4837-841A-111DA6C4FADE}"/>
    <cellStyle name="Vírgula 2 4 2 2 6" xfId="27669" xr:uid="{00000000-0005-0000-0000-0000976B0000}"/>
    <cellStyle name="Vírgula 2 4 2 2 6 2" xfId="33480" xr:uid="{344F462E-2557-4885-9478-1646D2CE7E0A}"/>
    <cellStyle name="Vírgula 2 4 2 2 7" xfId="27826" xr:uid="{00000000-0005-0000-0000-0000986B0000}"/>
    <cellStyle name="Vírgula 2 4 2 2 7 2" xfId="33637" xr:uid="{6FED30A7-9C4A-478B-A30D-21DCE2C24455}"/>
    <cellStyle name="Vírgula 2 4 2 2 8" xfId="28135" xr:uid="{4A221F12-5CB3-4BA0-AAE6-10E351E19C04}"/>
    <cellStyle name="Vírgula 2 4 2 3" xfId="920" xr:uid="{00000000-0005-0000-0000-0000996B0000}"/>
    <cellStyle name="Vírgula 2 4 2 3 2" xfId="28137" xr:uid="{3B4AA7A4-10AF-4A5F-920E-5872445923C6}"/>
    <cellStyle name="Vírgula 2 4 2 4" xfId="26080" xr:uid="{00000000-0005-0000-0000-00009A6B0000}"/>
    <cellStyle name="Vírgula 2 4 2 4 2" xfId="32954" xr:uid="{0DB59B07-16E8-4544-9F9C-3D6816118109}"/>
    <cellStyle name="Vírgula 2 4 2 5" xfId="27246" xr:uid="{00000000-0005-0000-0000-00009B6B0000}"/>
    <cellStyle name="Vírgula 2 4 2 5 2" xfId="33087" xr:uid="{C0B58D56-4392-41BE-85FD-970557708B1B}"/>
    <cellStyle name="Vírgula 2 4 2 6" xfId="27425" xr:uid="{00000000-0005-0000-0000-00009C6B0000}"/>
    <cellStyle name="Vírgula 2 4 2 6 2" xfId="33262" xr:uid="{EF2B042F-489F-47F5-846B-6FCB066FD344}"/>
    <cellStyle name="Vírgula 2 4 2 7" xfId="27604" xr:uid="{00000000-0005-0000-0000-00009D6B0000}"/>
    <cellStyle name="Vírgula 2 4 2 7 2" xfId="33416" xr:uid="{7FBD0411-6073-4732-819C-0436E8FF8B7E}"/>
    <cellStyle name="Vírgula 2 4 2 8" xfId="27755" xr:uid="{00000000-0005-0000-0000-00009E6B0000}"/>
    <cellStyle name="Vírgula 2 4 2 8 2" xfId="33566" xr:uid="{317BB76D-72D7-4B0F-B69D-B79E005F84E2}"/>
    <cellStyle name="Vírgula 2 4 2 9" xfId="28134" xr:uid="{0E74747B-7B8D-442D-AE05-0286E3144FF3}"/>
    <cellStyle name="Vírgula 2 4 3" xfId="921" xr:uid="{00000000-0005-0000-0000-00009F6B0000}"/>
    <cellStyle name="Vírgula 2 4 3 2" xfId="922" xr:uid="{00000000-0005-0000-0000-0000A06B0000}"/>
    <cellStyle name="Vírgula 2 4 3 2 2" xfId="28139" xr:uid="{A84F3D26-B0F3-4C9E-866A-801F7ACC04E1}"/>
    <cellStyle name="Vírgula 2 4 3 3" xfId="28138" xr:uid="{8C268A38-A5C3-4DAA-ABDA-86B8AA115D1E}"/>
    <cellStyle name="Vírgula 2 4 4" xfId="923" xr:uid="{00000000-0005-0000-0000-0000A16B0000}"/>
    <cellStyle name="Vírgula 2 4 4 2" xfId="28140" xr:uid="{14E867FD-F51B-45DE-A944-9D7C19DE4C55}"/>
    <cellStyle name="Vírgula 2 4 5" xfId="24515" xr:uid="{00000000-0005-0000-0000-0000A26B0000}"/>
    <cellStyle name="Vírgula 2 4 5 2" xfId="32535" xr:uid="{BD024143-9FB7-40D3-84A7-A4ECEA73F2F8}"/>
    <cellStyle name="Vírgula 2 4 6" xfId="26079" xr:uid="{00000000-0005-0000-0000-0000A36B0000}"/>
    <cellStyle name="Vírgula 2 4 6 2" xfId="32953" xr:uid="{051F8AB8-AD90-4577-8709-6A982A1B3755}"/>
    <cellStyle name="Vírgula 2 4 7" xfId="27245" xr:uid="{00000000-0005-0000-0000-0000A46B0000}"/>
    <cellStyle name="Vírgula 2 4 7 2" xfId="33086" xr:uid="{33759A7A-4DD9-4E62-B50E-4326A9E08CE0}"/>
    <cellStyle name="Vírgula 2 4 8" xfId="27424" xr:uid="{00000000-0005-0000-0000-0000A56B0000}"/>
    <cellStyle name="Vírgula 2 4 8 2" xfId="33261" xr:uid="{92B816D1-4744-4A6F-9B8D-66FEC6373DFE}"/>
    <cellStyle name="Vírgula 2 4 9" xfId="27603" xr:uid="{00000000-0005-0000-0000-0000A66B0000}"/>
    <cellStyle name="Vírgula 2 4 9 2" xfId="33415" xr:uid="{88656B08-26A7-43E6-8D46-2FB947602BAC}"/>
    <cellStyle name="Vírgula 2 5" xfId="924" xr:uid="{00000000-0005-0000-0000-0000A76B0000}"/>
    <cellStyle name="Vírgula 2 5 2" xfId="27145" xr:uid="{00000000-0005-0000-0000-0000A86B0000}"/>
    <cellStyle name="Vírgula 2 5 2 2" xfId="27330" xr:uid="{00000000-0005-0000-0000-0000A96B0000}"/>
    <cellStyle name="Vírgula 2 5 2 2 2" xfId="33167" xr:uid="{8B6F0794-6898-41CC-AA9B-A4336131D2C9}"/>
    <cellStyle name="Vírgula 2 5 2 3" xfId="27501" xr:uid="{00000000-0005-0000-0000-0000AA6B0000}"/>
    <cellStyle name="Vírgula 2 5 2 3 2" xfId="33338" xr:uid="{67A0E35C-2D51-43F2-B5D3-1712473D6FCB}"/>
    <cellStyle name="Vírgula 2 5 2 4" xfId="27670" xr:uid="{00000000-0005-0000-0000-0000AB6B0000}"/>
    <cellStyle name="Vírgula 2 5 2 4 2" xfId="33481" xr:uid="{7D52084B-D477-41B6-AAEA-5E67E03C83CC}"/>
    <cellStyle name="Vírgula 2 5 2 5" xfId="27827" xr:uid="{00000000-0005-0000-0000-0000AC6B0000}"/>
    <cellStyle name="Vírgula 2 5 2 5 2" xfId="33638" xr:uid="{04A2AC44-4DC1-49DD-A696-3699322D45C6}"/>
    <cellStyle name="Vírgula 2 5 2 6" xfId="33000" xr:uid="{DD9F3152-E638-4C3C-B042-B0EBBB1B9C10}"/>
    <cellStyle name="Vírgula 2 5 3" xfId="26081" xr:uid="{00000000-0005-0000-0000-0000AD6B0000}"/>
    <cellStyle name="Vírgula 2 5 3 2" xfId="32955" xr:uid="{0BA23CC7-10B1-4E0F-B2DC-9493B11884AC}"/>
    <cellStyle name="Vírgula 2 5 4" xfId="27247" xr:uid="{00000000-0005-0000-0000-0000AE6B0000}"/>
    <cellStyle name="Vírgula 2 5 4 2" xfId="33088" xr:uid="{4DED789D-0768-40B0-B9EE-7B1C02572FBD}"/>
    <cellStyle name="Vírgula 2 5 5" xfId="27426" xr:uid="{00000000-0005-0000-0000-0000AF6B0000}"/>
    <cellStyle name="Vírgula 2 5 5 2" xfId="33263" xr:uid="{1F82F602-2FC9-4DDC-AB29-FEC7CCC44854}"/>
    <cellStyle name="Vírgula 2 5 6" xfId="27605" xr:uid="{00000000-0005-0000-0000-0000B06B0000}"/>
    <cellStyle name="Vírgula 2 5 6 2" xfId="33417" xr:uid="{2B81979B-A06C-4E40-987D-7A45B64C360B}"/>
    <cellStyle name="Vírgula 2 5 7" xfId="27756" xr:uid="{00000000-0005-0000-0000-0000B16B0000}"/>
    <cellStyle name="Vírgula 2 5 7 2" xfId="33567" xr:uid="{E00D76D9-6AC7-4937-AB20-B864D0F039F0}"/>
    <cellStyle name="Vírgula 2 5 8" xfId="28141" xr:uid="{1792C336-9BC6-447B-90DC-E1D1C3271C53}"/>
    <cellStyle name="Vírgula 2 6" xfId="925" xr:uid="{00000000-0005-0000-0000-0000B26B0000}"/>
    <cellStyle name="Vírgula 2 6 2" xfId="926" xr:uid="{00000000-0005-0000-0000-0000B36B0000}"/>
    <cellStyle name="Vírgula 2 6 2 2" xfId="28143" xr:uid="{11E51D94-8D60-4597-82A2-B8953E68DEA7}"/>
    <cellStyle name="Vírgula 2 6 3" xfId="927" xr:uid="{00000000-0005-0000-0000-0000B46B0000}"/>
    <cellStyle name="Vírgula 2 6 3 2" xfId="28144" xr:uid="{E31BE8A6-53C7-43D2-9EFD-985E1158BC26}"/>
    <cellStyle name="Vírgula 2 6 4" xfId="26082" xr:uid="{00000000-0005-0000-0000-0000B56B0000}"/>
    <cellStyle name="Vírgula 2 6 4 2" xfId="32956" xr:uid="{880DA32F-D88E-42B1-A714-64619A97B38E}"/>
    <cellStyle name="Vírgula 2 6 5" xfId="27248" xr:uid="{00000000-0005-0000-0000-0000B66B0000}"/>
    <cellStyle name="Vírgula 2 6 5 2" xfId="33089" xr:uid="{9DA8AFD5-8362-4D34-962D-DE92DF429E0B}"/>
    <cellStyle name="Vírgula 2 6 6" xfId="27427" xr:uid="{00000000-0005-0000-0000-0000B76B0000}"/>
    <cellStyle name="Vírgula 2 6 6 2" xfId="33264" xr:uid="{D91C7103-ECAF-4E02-A57E-D2740E076DE5}"/>
    <cellStyle name="Vírgula 2 6 7" xfId="27606" xr:uid="{00000000-0005-0000-0000-0000B86B0000}"/>
    <cellStyle name="Vírgula 2 6 7 2" xfId="33418" xr:uid="{47A747F4-6087-4EBB-B0DC-0B58C2F62B12}"/>
    <cellStyle name="Vírgula 2 6 8" xfId="27757" xr:uid="{00000000-0005-0000-0000-0000B96B0000}"/>
    <cellStyle name="Vírgula 2 6 8 2" xfId="33568" xr:uid="{D12785AB-4C4C-4690-9EB5-BC0365886670}"/>
    <cellStyle name="Vírgula 2 6 9" xfId="28142" xr:uid="{D50E4904-8B90-4BBB-BF1E-15105D84541F}"/>
    <cellStyle name="Vírgula 2 7" xfId="928" xr:uid="{00000000-0005-0000-0000-0000BA6B0000}"/>
    <cellStyle name="Vírgula 2 7 2" xfId="26109" xr:uid="{00000000-0005-0000-0000-0000BB6B0000}"/>
    <cellStyle name="Vírgula 2 7 2 2" xfId="32983" xr:uid="{67435B97-8A50-4C9E-8A88-E427E30530E9}"/>
    <cellStyle name="Vírgula 2 7 3" xfId="27289" xr:uid="{00000000-0005-0000-0000-0000BC6B0000}"/>
    <cellStyle name="Vírgula 2 7 3 2" xfId="33129" xr:uid="{D8BB4A65-B75C-47D5-A00C-CBB46BCD2C6B}"/>
    <cellStyle name="Vírgula 2 7 4" xfId="27468" xr:uid="{00000000-0005-0000-0000-0000BD6B0000}"/>
    <cellStyle name="Vírgula 2 7 4 2" xfId="33305" xr:uid="{6755CDEF-14A8-4165-AE57-C69AEDC9CACC}"/>
    <cellStyle name="Vírgula 2 7 5" xfId="27647" xr:uid="{00000000-0005-0000-0000-0000BE6B0000}"/>
    <cellStyle name="Vírgula 2 7 5 2" xfId="33458" xr:uid="{F5725F5F-19A6-46B5-9270-518D8C309014}"/>
    <cellStyle name="Vírgula 2 7 6" xfId="27798" xr:uid="{00000000-0005-0000-0000-0000BF6B0000}"/>
    <cellStyle name="Vírgula 2 7 6 2" xfId="33609" xr:uid="{05EFE82C-87AA-463E-971F-C17A339AC098}"/>
    <cellStyle name="Vírgula 2 7 7" xfId="28145" xr:uid="{89B5AA0E-9009-46C5-B25E-10CBCC0FF648}"/>
    <cellStyle name="Vírgula 2 8" xfId="929" xr:uid="{00000000-0005-0000-0000-0000C06B0000}"/>
    <cellStyle name="Vírgula 2 8 2" xfId="27150" xr:uid="{00000000-0005-0000-0000-0000C16B0000}"/>
    <cellStyle name="Vírgula 2 8 2 2" xfId="33002" xr:uid="{D06D78A7-228B-4DE8-8847-42B1676A7663}"/>
    <cellStyle name="Vírgula 2 8 3" xfId="27504" xr:uid="{00000000-0005-0000-0000-0000C26B0000}"/>
    <cellStyle name="Vírgula 2 8 3 2" xfId="33341" xr:uid="{C47AE72F-38EC-4876-8BE6-4DDFAB18174A}"/>
    <cellStyle name="Vírgula 2 8 4" xfId="27673" xr:uid="{00000000-0005-0000-0000-0000C36B0000}"/>
    <cellStyle name="Vírgula 2 8 4 2" xfId="33484" xr:uid="{23609183-0414-4097-92CC-6A6EFC3F8AE6}"/>
    <cellStyle name="Vírgula 2 8 5" xfId="27830" xr:uid="{00000000-0005-0000-0000-0000C46B0000}"/>
    <cellStyle name="Vírgula 2 8 5 2" xfId="33641" xr:uid="{9159D363-F20E-455B-9447-6226D108680E}"/>
    <cellStyle name="Vírgula 2 8 6" xfId="28146" xr:uid="{0683803B-E90B-430C-87FF-A0FC7AC36978}"/>
    <cellStyle name="Vírgula 2 9" xfId="930" xr:uid="{00000000-0005-0000-0000-0000C56B0000}"/>
    <cellStyle name="Vírgula 3" xfId="931" xr:uid="{00000000-0005-0000-0000-0000C66B0000}"/>
    <cellStyle name="Vírgula 3 10" xfId="27607" xr:uid="{00000000-0005-0000-0000-0000C76B0000}"/>
    <cellStyle name="Vírgula 3 10 2" xfId="33419" xr:uid="{9D75B047-E0B3-4A4A-A579-1BF3C408A3B7}"/>
    <cellStyle name="Vírgula 3 11" xfId="27758" xr:uid="{00000000-0005-0000-0000-0000C86B0000}"/>
    <cellStyle name="Vírgula 3 11 2" xfId="33569" xr:uid="{D0D81D0D-0521-4CE2-85B0-ABA361AF359B}"/>
    <cellStyle name="Vírgula 3 12" xfId="28147" xr:uid="{C26010D7-A30D-4135-853B-4F1792C8D2C2}"/>
    <cellStyle name="Vírgula 3 2" xfId="932" xr:uid="{00000000-0005-0000-0000-0000C96B0000}"/>
    <cellStyle name="Vírgula 3 2 2" xfId="24517" xr:uid="{00000000-0005-0000-0000-0000CA6B0000}"/>
    <cellStyle name="Vírgula 3 2 2 2" xfId="26085" xr:uid="{00000000-0005-0000-0000-0000CB6B0000}"/>
    <cellStyle name="Vírgula 3 2 2 2 2" xfId="32959" xr:uid="{37CC18C6-CA96-4489-AF33-1F2B87A36075}"/>
    <cellStyle name="Vírgula 3 2 2 3" xfId="27251" xr:uid="{00000000-0005-0000-0000-0000CC6B0000}"/>
    <cellStyle name="Vírgula 3 2 2 3 2" xfId="33092" xr:uid="{B2CFDA1D-6398-4E6A-A1EF-D701A463F850}"/>
    <cellStyle name="Vírgula 3 2 2 4" xfId="27430" xr:uid="{00000000-0005-0000-0000-0000CD6B0000}"/>
    <cellStyle name="Vírgula 3 2 2 4 2" xfId="33267" xr:uid="{7DDF9DB2-DD30-45D8-8F58-270A6B4DA195}"/>
    <cellStyle name="Vírgula 3 2 2 5" xfId="27609" xr:uid="{00000000-0005-0000-0000-0000CE6B0000}"/>
    <cellStyle name="Vírgula 3 2 2 5 2" xfId="33421" xr:uid="{C7EF61A1-79CD-40E8-8C95-750CA5C48808}"/>
    <cellStyle name="Vírgula 3 2 2 6" xfId="27760" xr:uid="{00000000-0005-0000-0000-0000CF6B0000}"/>
    <cellStyle name="Vírgula 3 2 2 6 2" xfId="33571" xr:uid="{8936621B-5F48-4AA2-8B7D-C343133543E1}"/>
    <cellStyle name="Vírgula 3 2 3" xfId="26084" xr:uid="{00000000-0005-0000-0000-0000D06B0000}"/>
    <cellStyle name="Vírgula 3 2 3 2" xfId="32958" xr:uid="{FC3DB8F1-1EE0-4BCA-A113-3F627A8138B9}"/>
    <cellStyle name="Vírgula 3 2 4" xfId="27250" xr:uid="{00000000-0005-0000-0000-0000D16B0000}"/>
    <cellStyle name="Vírgula 3 2 4 2" xfId="33091" xr:uid="{BEF28239-B9DD-4589-B437-2BEC8546B9C4}"/>
    <cellStyle name="Vírgula 3 2 5" xfId="27429" xr:uid="{00000000-0005-0000-0000-0000D26B0000}"/>
    <cellStyle name="Vírgula 3 2 5 2" xfId="33266" xr:uid="{053E6C8E-4004-404F-9AFD-1A4659F51D25}"/>
    <cellStyle name="Vírgula 3 2 6" xfId="27608" xr:uid="{00000000-0005-0000-0000-0000D36B0000}"/>
    <cellStyle name="Vírgula 3 2 6 2" xfId="33420" xr:uid="{3D6FCFBD-D837-4734-8B3A-50022BB06A87}"/>
    <cellStyle name="Vírgula 3 2 7" xfId="27759" xr:uid="{00000000-0005-0000-0000-0000D46B0000}"/>
    <cellStyle name="Vírgula 3 2 7 2" xfId="33570" xr:uid="{2385EDD2-4695-45CC-85CE-D9B1EA9456BD}"/>
    <cellStyle name="Vírgula 3 2 8" xfId="28148" xr:uid="{DA0BAAAE-03C0-4784-B306-ACAA331EF6F6}"/>
    <cellStyle name="Vírgula 3 3" xfId="933" xr:uid="{00000000-0005-0000-0000-0000D56B0000}"/>
    <cellStyle name="Vírgula 3 3 10" xfId="28149" xr:uid="{FEC1F442-E863-4812-8FE8-3FD6E53E6E56}"/>
    <cellStyle name="Vírgula 3 3 2" xfId="934" xr:uid="{00000000-0005-0000-0000-0000D66B0000}"/>
    <cellStyle name="Vírgula 3 3 2 2" xfId="935" xr:uid="{00000000-0005-0000-0000-0000D76B0000}"/>
    <cellStyle name="Vírgula 3 3 2 2 2" xfId="28151" xr:uid="{59CF097D-3D36-475B-93D1-DA78F4DEA474}"/>
    <cellStyle name="Vírgula 3 3 2 3" xfId="26087" xr:uid="{00000000-0005-0000-0000-0000D86B0000}"/>
    <cellStyle name="Vírgula 3 3 2 3 2" xfId="32961" xr:uid="{34A66FF0-CF0E-485C-967C-B4DDFD5835C7}"/>
    <cellStyle name="Vírgula 3 3 2 4" xfId="27253" xr:uid="{00000000-0005-0000-0000-0000D96B0000}"/>
    <cellStyle name="Vírgula 3 3 2 4 2" xfId="33094" xr:uid="{E798B778-8527-4A5B-94B2-0FD425877DED}"/>
    <cellStyle name="Vírgula 3 3 2 5" xfId="27432" xr:uid="{00000000-0005-0000-0000-0000DA6B0000}"/>
    <cellStyle name="Vírgula 3 3 2 5 2" xfId="33269" xr:uid="{E30CDD09-9E80-475F-9F25-C7AFE325FDE4}"/>
    <cellStyle name="Vírgula 3 3 2 6" xfId="27611" xr:uid="{00000000-0005-0000-0000-0000DB6B0000}"/>
    <cellStyle name="Vírgula 3 3 2 6 2" xfId="33423" xr:uid="{E2D8F769-7D3E-443D-9911-B5E924F6DDBF}"/>
    <cellStyle name="Vírgula 3 3 2 7" xfId="27762" xr:uid="{00000000-0005-0000-0000-0000DC6B0000}"/>
    <cellStyle name="Vírgula 3 3 2 7 2" xfId="33573" xr:uid="{7D648B14-A018-4DFD-897B-FA5BB559F17F}"/>
    <cellStyle name="Vírgula 3 3 2 8" xfId="28150" xr:uid="{38CEA0F4-B0E0-4B31-88D3-83AAE7618316}"/>
    <cellStyle name="Vírgula 3 3 3" xfId="936" xr:uid="{00000000-0005-0000-0000-0000DD6B0000}"/>
    <cellStyle name="Vírgula 3 3 3 2" xfId="28152" xr:uid="{E4103A25-71BC-4C4B-8EF3-686E5C893BD1}"/>
    <cellStyle name="Vírgula 3 3 4" xfId="24518" xr:uid="{00000000-0005-0000-0000-0000DE6B0000}"/>
    <cellStyle name="Vírgula 3 3 4 2" xfId="32537" xr:uid="{18E2C93C-5EEF-4908-8E4A-C1CCD082FDBF}"/>
    <cellStyle name="Vírgula 3 3 5" xfId="26086" xr:uid="{00000000-0005-0000-0000-0000DF6B0000}"/>
    <cellStyle name="Vírgula 3 3 5 2" xfId="32960" xr:uid="{E6B3FC04-39AD-4069-9233-4D7AD49D5353}"/>
    <cellStyle name="Vírgula 3 3 6" xfId="27252" xr:uid="{00000000-0005-0000-0000-0000E06B0000}"/>
    <cellStyle name="Vírgula 3 3 6 2" xfId="33093" xr:uid="{4905BB46-6865-4277-8B46-7DB745E5583C}"/>
    <cellStyle name="Vírgula 3 3 7" xfId="27431" xr:uid="{00000000-0005-0000-0000-0000E16B0000}"/>
    <cellStyle name="Vírgula 3 3 7 2" xfId="33268" xr:uid="{93B4E80F-8F95-4E44-BD40-3392E8BBF4A0}"/>
    <cellStyle name="Vírgula 3 3 8" xfId="27610" xr:uid="{00000000-0005-0000-0000-0000E26B0000}"/>
    <cellStyle name="Vírgula 3 3 8 2" xfId="33422" xr:uid="{AF7444FD-25EF-4732-B22B-76450C984112}"/>
    <cellStyle name="Vírgula 3 3 9" xfId="27761" xr:uid="{00000000-0005-0000-0000-0000E36B0000}"/>
    <cellStyle name="Vírgula 3 3 9 2" xfId="33572" xr:uid="{358DE366-49DA-4978-9A75-96D79BAD0074}"/>
    <cellStyle name="Vírgula 3 4" xfId="937" xr:uid="{00000000-0005-0000-0000-0000E46B0000}"/>
    <cellStyle name="Vírgula 3 4 2" xfId="938" xr:uid="{00000000-0005-0000-0000-0000E56B0000}"/>
    <cellStyle name="Vírgula 3 4 2 2" xfId="28154" xr:uid="{BC86E4B2-26D1-4025-9EC9-DB9D8FC54863}"/>
    <cellStyle name="Vírgula 3 4 3" xfId="26088" xr:uid="{00000000-0005-0000-0000-0000E66B0000}"/>
    <cellStyle name="Vírgula 3 4 3 2" xfId="32962" xr:uid="{A730204F-B3B6-49DC-B171-C9528831AB71}"/>
    <cellStyle name="Vírgula 3 4 4" xfId="27254" xr:uid="{00000000-0005-0000-0000-0000E76B0000}"/>
    <cellStyle name="Vírgula 3 4 4 2" xfId="33095" xr:uid="{761F3BFF-B791-44C5-92FE-4932181CCF0E}"/>
    <cellStyle name="Vírgula 3 4 5" xfId="27433" xr:uid="{00000000-0005-0000-0000-0000E86B0000}"/>
    <cellStyle name="Vírgula 3 4 5 2" xfId="33270" xr:uid="{CDBDBEC4-540B-4A1E-A588-331E678FD494}"/>
    <cellStyle name="Vírgula 3 4 6" xfId="27612" xr:uid="{00000000-0005-0000-0000-0000E96B0000}"/>
    <cellStyle name="Vírgula 3 4 6 2" xfId="33424" xr:uid="{5C292651-DA89-4A6B-9DBB-DD916E61E68E}"/>
    <cellStyle name="Vírgula 3 4 7" xfId="27763" xr:uid="{00000000-0005-0000-0000-0000EA6B0000}"/>
    <cellStyle name="Vírgula 3 4 7 2" xfId="33574" xr:uid="{B25FA8A0-81CE-40C6-BAB8-11AEBA216877}"/>
    <cellStyle name="Vírgula 3 4 8" xfId="28153" xr:uid="{4BFA1729-24D1-43B9-B95E-B52B53D9E82F}"/>
    <cellStyle name="Vírgula 3 5" xfId="939" xr:uid="{00000000-0005-0000-0000-0000EB6B0000}"/>
    <cellStyle name="Vírgula 3 5 2" xfId="28155" xr:uid="{0D3DC1B4-8E76-4D56-92DD-88A0A31576AA}"/>
    <cellStyle name="Vírgula 3 6" xfId="24516" xr:uid="{00000000-0005-0000-0000-0000EC6B0000}"/>
    <cellStyle name="Vírgula 3 6 2" xfId="32536" xr:uid="{D2331C02-BCC5-478F-93F8-38AB7D1085C6}"/>
    <cellStyle name="Vírgula 3 7" xfId="26083" xr:uid="{00000000-0005-0000-0000-0000ED6B0000}"/>
    <cellStyle name="Vírgula 3 7 2" xfId="32957" xr:uid="{56F875D3-02AE-491A-A641-84EBD2A3881D}"/>
    <cellStyle name="Vírgula 3 8" xfId="27249" xr:uid="{00000000-0005-0000-0000-0000EE6B0000}"/>
    <cellStyle name="Vírgula 3 8 2" xfId="33090" xr:uid="{720F0D6E-9F8D-4FA3-A623-FB162C83FB2C}"/>
    <cellStyle name="Vírgula 3 9" xfId="27428" xr:uid="{00000000-0005-0000-0000-0000EF6B0000}"/>
    <cellStyle name="Vírgula 3 9 2" xfId="33265" xr:uid="{7842A468-7F3D-455A-A07E-FA3BF54935CE}"/>
    <cellStyle name="Vírgula 4" xfId="940" xr:uid="{00000000-0005-0000-0000-0000F06B0000}"/>
    <cellStyle name="Vírgula 4 10" xfId="27613" xr:uid="{00000000-0005-0000-0000-0000F16B0000}"/>
    <cellStyle name="Vírgula 4 10 2" xfId="33425" xr:uid="{6D979C11-1010-4EB2-8763-892D5173A067}"/>
    <cellStyle name="Vírgula 4 11" xfId="27764" xr:uid="{00000000-0005-0000-0000-0000F26B0000}"/>
    <cellStyle name="Vírgula 4 11 2" xfId="33575" xr:uid="{4E62E198-41F3-464A-954C-DA5A10971813}"/>
    <cellStyle name="Vírgula 4 12" xfId="28156" xr:uid="{32323CBF-62E3-4555-8657-FE0EEEF28FA0}"/>
    <cellStyle name="Vírgula 4 2" xfId="941" xr:uid="{00000000-0005-0000-0000-0000F36B0000}"/>
    <cellStyle name="Vírgula 4 2 10" xfId="28157" xr:uid="{63DB7025-53DB-4E14-AC7B-F56AFC53AA2B}"/>
    <cellStyle name="Vírgula 4 2 2" xfId="26090" xr:uid="{00000000-0005-0000-0000-0000F46B0000}"/>
    <cellStyle name="Vírgula 4 2 2 2" xfId="26091" xr:uid="{00000000-0005-0000-0000-0000F56B0000}"/>
    <cellStyle name="Vírgula 4 2 2 2 2" xfId="26092" xr:uid="{00000000-0005-0000-0000-0000F66B0000}"/>
    <cellStyle name="Vírgula 4 2 2 2 2 2" xfId="27259" xr:uid="{00000000-0005-0000-0000-0000F76B0000}"/>
    <cellStyle name="Vírgula 4 2 2 2 2 2 2" xfId="33100" xr:uid="{00191A32-C4C0-4A25-A78E-5A47D9881358}"/>
    <cellStyle name="Vírgula 4 2 2 2 2 3" xfId="27438" xr:uid="{00000000-0005-0000-0000-0000F86B0000}"/>
    <cellStyle name="Vírgula 4 2 2 2 2 3 2" xfId="33275" xr:uid="{4EC98956-75FA-4814-B9E9-89FA81B96E0F}"/>
    <cellStyle name="Vírgula 4 2 2 2 2 4" xfId="27617" xr:uid="{00000000-0005-0000-0000-0000F96B0000}"/>
    <cellStyle name="Vírgula 4 2 2 2 2 4 2" xfId="33429" xr:uid="{466D1E4F-3867-4E94-A97A-BB92A8B9FD1E}"/>
    <cellStyle name="Vírgula 4 2 2 2 2 5" xfId="27768" xr:uid="{00000000-0005-0000-0000-0000FA6B0000}"/>
    <cellStyle name="Vírgula 4 2 2 2 2 5 2" xfId="33579" xr:uid="{CA98C401-93F4-4DBE-8E97-BFC5BB3F80D1}"/>
    <cellStyle name="Vírgula 4 2 2 2 2 6" xfId="32966" xr:uid="{9F73E2AA-3C7F-4D94-BEE4-126CE6700335}"/>
    <cellStyle name="Vírgula 4 2 2 2 3" xfId="27258" xr:uid="{00000000-0005-0000-0000-0000FB6B0000}"/>
    <cellStyle name="Vírgula 4 2 2 2 3 2" xfId="33099" xr:uid="{E83BAACB-008E-4806-84D0-D109318A5F28}"/>
    <cellStyle name="Vírgula 4 2 2 2 4" xfId="27437" xr:uid="{00000000-0005-0000-0000-0000FC6B0000}"/>
    <cellStyle name="Vírgula 4 2 2 2 4 2" xfId="33274" xr:uid="{DEE16176-A6EA-41AB-A1DD-A36380421C58}"/>
    <cellStyle name="Vírgula 4 2 2 2 5" xfId="27616" xr:uid="{00000000-0005-0000-0000-0000FD6B0000}"/>
    <cellStyle name="Vírgula 4 2 2 2 5 2" xfId="33428" xr:uid="{D1478609-A420-453B-86DB-0410A70DA9C4}"/>
    <cellStyle name="Vírgula 4 2 2 2 6" xfId="27767" xr:uid="{00000000-0005-0000-0000-0000FE6B0000}"/>
    <cellStyle name="Vírgula 4 2 2 2 6 2" xfId="33578" xr:uid="{2D7AF1F0-16A2-454E-8F9B-B83A57968856}"/>
    <cellStyle name="Vírgula 4 2 2 2 7" xfId="32965" xr:uid="{DF679658-C5BA-4018-A08B-A8CE0F1C7430}"/>
    <cellStyle name="Vírgula 4 2 2 3" xfId="26093" xr:uid="{00000000-0005-0000-0000-0000FF6B0000}"/>
    <cellStyle name="Vírgula 4 2 2 3 2" xfId="27260" xr:uid="{00000000-0005-0000-0000-0000006C0000}"/>
    <cellStyle name="Vírgula 4 2 2 3 2 2" xfId="33101" xr:uid="{E44A4453-D901-4A2C-AC0E-5A6574123D19}"/>
    <cellStyle name="Vírgula 4 2 2 3 3" xfId="27439" xr:uid="{00000000-0005-0000-0000-0000016C0000}"/>
    <cellStyle name="Vírgula 4 2 2 3 3 2" xfId="33276" xr:uid="{5B2A4360-8EC0-4581-BA96-14A02DF5075D}"/>
    <cellStyle name="Vírgula 4 2 2 3 4" xfId="27618" xr:uid="{00000000-0005-0000-0000-0000026C0000}"/>
    <cellStyle name="Vírgula 4 2 2 3 4 2" xfId="33430" xr:uid="{FC2BD684-239F-404F-99CE-F619A6FDA4D5}"/>
    <cellStyle name="Vírgula 4 2 2 3 5" xfId="27769" xr:uid="{00000000-0005-0000-0000-0000036C0000}"/>
    <cellStyle name="Vírgula 4 2 2 3 5 2" xfId="33580" xr:uid="{D98EE781-2824-43E4-A1F1-F5D1DBFACA14}"/>
    <cellStyle name="Vírgula 4 2 2 3 6" xfId="32967" xr:uid="{895B25D0-3C91-4675-AD1D-8DECECA582C6}"/>
    <cellStyle name="Vírgula 4 2 2 4" xfId="27257" xr:uid="{00000000-0005-0000-0000-0000046C0000}"/>
    <cellStyle name="Vírgula 4 2 2 4 2" xfId="33098" xr:uid="{D4890CFB-81CE-4465-A933-967CF9887252}"/>
    <cellStyle name="Vírgula 4 2 2 5" xfId="27436" xr:uid="{00000000-0005-0000-0000-0000056C0000}"/>
    <cellStyle name="Vírgula 4 2 2 5 2" xfId="33273" xr:uid="{4E33F549-7DD5-4EEC-A73F-064F17E79069}"/>
    <cellStyle name="Vírgula 4 2 2 6" xfId="27615" xr:uid="{00000000-0005-0000-0000-0000066C0000}"/>
    <cellStyle name="Vírgula 4 2 2 6 2" xfId="33427" xr:uid="{8788EF5A-01A4-4EDC-B473-4F505715EF76}"/>
    <cellStyle name="Vírgula 4 2 2 7" xfId="27766" xr:uid="{00000000-0005-0000-0000-0000076C0000}"/>
    <cellStyle name="Vírgula 4 2 2 7 2" xfId="33577" xr:uid="{D98B2063-EBF5-4717-94E0-A56CE374D31B}"/>
    <cellStyle name="Vírgula 4 2 2 8" xfId="32964" xr:uid="{FFFC972B-6313-44BD-90B7-5FC12D15A8FB}"/>
    <cellStyle name="Vírgula 4 2 3" xfId="26094" xr:uid="{00000000-0005-0000-0000-0000086C0000}"/>
    <cellStyle name="Vírgula 4 2 3 2" xfId="26095" xr:uid="{00000000-0005-0000-0000-0000096C0000}"/>
    <cellStyle name="Vírgula 4 2 3 2 2" xfId="27262" xr:uid="{00000000-0005-0000-0000-00000A6C0000}"/>
    <cellStyle name="Vírgula 4 2 3 2 2 2" xfId="33103" xr:uid="{43DCE0D4-13B5-41D3-933F-8B61A2813E12}"/>
    <cellStyle name="Vírgula 4 2 3 2 3" xfId="27441" xr:uid="{00000000-0005-0000-0000-00000B6C0000}"/>
    <cellStyle name="Vírgula 4 2 3 2 3 2" xfId="33278" xr:uid="{B1CB8B3F-F8EB-4030-9436-CBF82DB4A453}"/>
    <cellStyle name="Vírgula 4 2 3 2 4" xfId="27620" xr:uid="{00000000-0005-0000-0000-00000C6C0000}"/>
    <cellStyle name="Vírgula 4 2 3 2 4 2" xfId="33432" xr:uid="{C3418649-DD7D-423C-9C30-2ECC4B372204}"/>
    <cellStyle name="Vírgula 4 2 3 2 5" xfId="27771" xr:uid="{00000000-0005-0000-0000-00000D6C0000}"/>
    <cellStyle name="Vírgula 4 2 3 2 5 2" xfId="33582" xr:uid="{67C1F589-9897-426D-A22C-3C93D06FC38A}"/>
    <cellStyle name="Vírgula 4 2 3 2 6" xfId="32969" xr:uid="{4528B23F-E34B-4EBD-A074-F4E01BA5D116}"/>
    <cellStyle name="Vírgula 4 2 3 3" xfId="27261" xr:uid="{00000000-0005-0000-0000-00000E6C0000}"/>
    <cellStyle name="Vírgula 4 2 3 3 2" xfId="33102" xr:uid="{E0DBB710-16A3-45F1-BE15-FC3B31FC42E9}"/>
    <cellStyle name="Vírgula 4 2 3 4" xfId="27440" xr:uid="{00000000-0005-0000-0000-00000F6C0000}"/>
    <cellStyle name="Vírgula 4 2 3 4 2" xfId="33277" xr:uid="{853F7A86-21E6-4002-AFBB-353DDC9A088E}"/>
    <cellStyle name="Vírgula 4 2 3 5" xfId="27619" xr:uid="{00000000-0005-0000-0000-0000106C0000}"/>
    <cellStyle name="Vírgula 4 2 3 5 2" xfId="33431" xr:uid="{65EC77CB-3F2B-4054-9A3A-733158EF9C5A}"/>
    <cellStyle name="Vírgula 4 2 3 6" xfId="27770" xr:uid="{00000000-0005-0000-0000-0000116C0000}"/>
    <cellStyle name="Vírgula 4 2 3 6 2" xfId="33581" xr:uid="{8E7AFE55-70B5-45CD-B233-858D53BD5718}"/>
    <cellStyle name="Vírgula 4 2 3 7" xfId="32968" xr:uid="{588C1106-C850-4105-B3BF-3AB98C595417}"/>
    <cellStyle name="Vírgula 4 2 4" xfId="26096" xr:uid="{00000000-0005-0000-0000-0000126C0000}"/>
    <cellStyle name="Vírgula 4 2 4 2" xfId="27263" xr:uid="{00000000-0005-0000-0000-0000136C0000}"/>
    <cellStyle name="Vírgula 4 2 4 2 2" xfId="33104" xr:uid="{1B94446D-8287-4982-B9BA-CDF80D26E93F}"/>
    <cellStyle name="Vírgula 4 2 4 3" xfId="27442" xr:uid="{00000000-0005-0000-0000-0000146C0000}"/>
    <cellStyle name="Vírgula 4 2 4 3 2" xfId="33279" xr:uid="{762F29DC-E4BA-40B1-B528-324CD78BC95F}"/>
    <cellStyle name="Vírgula 4 2 4 4" xfId="27621" xr:uid="{00000000-0005-0000-0000-0000156C0000}"/>
    <cellStyle name="Vírgula 4 2 4 4 2" xfId="33433" xr:uid="{D22B4E58-BC37-42B6-9F82-3CB8A45C34BB}"/>
    <cellStyle name="Vírgula 4 2 4 5" xfId="27772" xr:uid="{00000000-0005-0000-0000-0000166C0000}"/>
    <cellStyle name="Vírgula 4 2 4 5 2" xfId="33583" xr:uid="{4E3CAA8F-32CA-4708-B2B8-003BE0E11EF8}"/>
    <cellStyle name="Vírgula 4 2 4 6" xfId="32970" xr:uid="{C93313AA-770A-4C4C-8370-36905E0183F8}"/>
    <cellStyle name="Vírgula 4 2 5" xfId="26089" xr:uid="{00000000-0005-0000-0000-0000176C0000}"/>
    <cellStyle name="Vírgula 4 2 5 2" xfId="32963" xr:uid="{C2DE8996-0710-4291-ACAD-ABA626A0ADD2}"/>
    <cellStyle name="Vírgula 4 2 6" xfId="27256" xr:uid="{00000000-0005-0000-0000-0000186C0000}"/>
    <cellStyle name="Vírgula 4 2 6 2" xfId="33097" xr:uid="{D9613885-2E36-4A8B-9C97-C981D6527326}"/>
    <cellStyle name="Vírgula 4 2 7" xfId="27435" xr:uid="{00000000-0005-0000-0000-0000196C0000}"/>
    <cellStyle name="Vírgula 4 2 7 2" xfId="33272" xr:uid="{8B831985-98AB-4132-B294-8567E3F85919}"/>
    <cellStyle name="Vírgula 4 2 8" xfId="27614" xr:uid="{00000000-0005-0000-0000-00001A6C0000}"/>
    <cellStyle name="Vírgula 4 2 8 2" xfId="33426" xr:uid="{68449458-606E-4797-AA8D-595C520C7CE6}"/>
    <cellStyle name="Vírgula 4 2 9" xfId="27765" xr:uid="{00000000-0005-0000-0000-00001B6C0000}"/>
    <cellStyle name="Vírgula 4 2 9 2" xfId="33576" xr:uid="{D958B06E-0306-4601-B0D3-0B68FED7FB7A}"/>
    <cellStyle name="Vírgula 4 3" xfId="942" xr:uid="{00000000-0005-0000-0000-00001C6C0000}"/>
    <cellStyle name="Vírgula 4 3 2" xfId="943" xr:uid="{00000000-0005-0000-0000-00001D6C0000}"/>
    <cellStyle name="Vírgula 4 3 2 2" xfId="944" xr:uid="{00000000-0005-0000-0000-00001E6C0000}"/>
    <cellStyle name="Vírgula 4 3 2 2 2" xfId="27266" xr:uid="{00000000-0005-0000-0000-00001F6C0000}"/>
    <cellStyle name="Vírgula 4 3 2 2 2 2" xfId="33107" xr:uid="{9B5130B8-37C8-49D9-9D2B-716C27432CCF}"/>
    <cellStyle name="Vírgula 4 3 2 2 3" xfId="27445" xr:uid="{00000000-0005-0000-0000-0000206C0000}"/>
    <cellStyle name="Vírgula 4 3 2 2 3 2" xfId="33282" xr:uid="{C9E18517-EE9F-4D49-A4E9-5F9084E79C22}"/>
    <cellStyle name="Vírgula 4 3 2 2 4" xfId="27624" xr:uid="{00000000-0005-0000-0000-0000216C0000}"/>
    <cellStyle name="Vírgula 4 3 2 2 4 2" xfId="33436" xr:uid="{09521784-41D1-4CAD-8A45-E3495FB916A8}"/>
    <cellStyle name="Vírgula 4 3 2 2 5" xfId="27775" xr:uid="{00000000-0005-0000-0000-0000226C0000}"/>
    <cellStyle name="Vírgula 4 3 2 2 5 2" xfId="33586" xr:uid="{3548F92F-B190-498F-A5DE-0B5BA456819D}"/>
    <cellStyle name="Vírgula 4 3 2 2 6" xfId="28160" xr:uid="{09C48B56-F33A-4BB3-988E-DBCEFD9417EF}"/>
    <cellStyle name="Vírgula 4 3 2 3" xfId="27265" xr:uid="{00000000-0005-0000-0000-0000236C0000}"/>
    <cellStyle name="Vírgula 4 3 2 3 2" xfId="33106" xr:uid="{5B8DC92D-C470-4CB7-B0BD-30C4EDE73D0F}"/>
    <cellStyle name="Vírgula 4 3 2 4" xfId="27444" xr:uid="{00000000-0005-0000-0000-0000246C0000}"/>
    <cellStyle name="Vírgula 4 3 2 4 2" xfId="33281" xr:uid="{C3A40705-F765-4349-9F05-E3BAA530D8A2}"/>
    <cellStyle name="Vírgula 4 3 2 5" xfId="27623" xr:uid="{00000000-0005-0000-0000-0000256C0000}"/>
    <cellStyle name="Vírgula 4 3 2 5 2" xfId="33435" xr:uid="{85535184-447E-41BD-BB7D-A4A90BB7842A}"/>
    <cellStyle name="Vírgula 4 3 2 6" xfId="27774" xr:uid="{00000000-0005-0000-0000-0000266C0000}"/>
    <cellStyle name="Vírgula 4 3 2 6 2" xfId="33585" xr:uid="{96A8E9F9-A967-4281-9018-D78B8986A50C}"/>
    <cellStyle name="Vírgula 4 3 2 7" xfId="28159" xr:uid="{25251EAA-13B1-4927-BA1E-19E1A97BBB94}"/>
    <cellStyle name="Vírgula 4 3 3" xfId="945" xr:uid="{00000000-0005-0000-0000-0000276C0000}"/>
    <cellStyle name="Vírgula 4 3 3 2" xfId="27267" xr:uid="{00000000-0005-0000-0000-0000286C0000}"/>
    <cellStyle name="Vírgula 4 3 3 2 2" xfId="33108" xr:uid="{EE9C6B98-631B-4563-A3F2-807A7EECA1C8}"/>
    <cellStyle name="Vírgula 4 3 3 3" xfId="27446" xr:uid="{00000000-0005-0000-0000-0000296C0000}"/>
    <cellStyle name="Vírgula 4 3 3 3 2" xfId="33283" xr:uid="{5C021D16-2C02-40E9-A0DE-14751E9F432A}"/>
    <cellStyle name="Vírgula 4 3 3 4" xfId="27625" xr:uid="{00000000-0005-0000-0000-00002A6C0000}"/>
    <cellStyle name="Vírgula 4 3 3 4 2" xfId="33437" xr:uid="{234FB6C9-C237-4372-A12A-FC3778108F2C}"/>
    <cellStyle name="Vírgula 4 3 3 5" xfId="27776" xr:uid="{00000000-0005-0000-0000-00002B6C0000}"/>
    <cellStyle name="Vírgula 4 3 3 5 2" xfId="33587" xr:uid="{4EB9C177-02AF-4E95-9681-3A82B881FCB0}"/>
    <cellStyle name="Vírgula 4 3 3 6" xfId="28161" xr:uid="{E89F666B-E957-45EA-A6B6-E5490F20534E}"/>
    <cellStyle name="Vírgula 4 3 4" xfId="27264" xr:uid="{00000000-0005-0000-0000-00002C6C0000}"/>
    <cellStyle name="Vírgula 4 3 4 2" xfId="33105" xr:uid="{977D0B79-28BA-48EE-A914-C9CDE7D6CB18}"/>
    <cellStyle name="Vírgula 4 3 5" xfId="27443" xr:uid="{00000000-0005-0000-0000-00002D6C0000}"/>
    <cellStyle name="Vírgula 4 3 5 2" xfId="33280" xr:uid="{E10A4E42-A7EE-4DB8-AC2B-A6B6F10507B9}"/>
    <cellStyle name="Vírgula 4 3 6" xfId="27622" xr:uid="{00000000-0005-0000-0000-00002E6C0000}"/>
    <cellStyle name="Vírgula 4 3 6 2" xfId="33434" xr:uid="{E7E2BCD8-1027-4D96-A7AA-F4D5052181C1}"/>
    <cellStyle name="Vírgula 4 3 7" xfId="27773" xr:uid="{00000000-0005-0000-0000-00002F6C0000}"/>
    <cellStyle name="Vírgula 4 3 7 2" xfId="33584" xr:uid="{DDA9E934-C5FB-4925-B049-2983A9B9551F}"/>
    <cellStyle name="Vírgula 4 3 8" xfId="28158" xr:uid="{7C5073BA-4FAC-43C3-ACB2-BD3DDEEA00F3}"/>
    <cellStyle name="Vírgula 4 4" xfId="946" xr:uid="{00000000-0005-0000-0000-0000306C0000}"/>
    <cellStyle name="Vírgula 4 4 2" xfId="947" xr:uid="{00000000-0005-0000-0000-0000316C0000}"/>
    <cellStyle name="Vírgula 4 4 2 2" xfId="26097" xr:uid="{00000000-0005-0000-0000-0000326C0000}"/>
    <cellStyle name="Vírgula 4 4 2 2 2" xfId="27270" xr:uid="{00000000-0005-0000-0000-0000336C0000}"/>
    <cellStyle name="Vírgula 4 4 2 2 2 2" xfId="33111" xr:uid="{E4E36026-D0D1-4556-B1A0-ABC19DABB2ED}"/>
    <cellStyle name="Vírgula 4 4 2 2 3" xfId="27449" xr:uid="{00000000-0005-0000-0000-0000346C0000}"/>
    <cellStyle name="Vírgula 4 4 2 2 3 2" xfId="33286" xr:uid="{83D14A0A-DC16-4CF4-86B2-326CD660FA19}"/>
    <cellStyle name="Vírgula 4 4 2 2 4" xfId="27628" xr:uid="{00000000-0005-0000-0000-0000356C0000}"/>
    <cellStyle name="Vírgula 4 4 2 2 4 2" xfId="33440" xr:uid="{250BC10D-E8DD-481D-8F90-43BC6852CF4A}"/>
    <cellStyle name="Vírgula 4 4 2 2 5" xfId="27779" xr:uid="{00000000-0005-0000-0000-0000366C0000}"/>
    <cellStyle name="Vírgula 4 4 2 2 5 2" xfId="33590" xr:uid="{D0453CCC-795E-43F6-9F76-9C47C80C32AE}"/>
    <cellStyle name="Vírgula 4 4 2 2 6" xfId="32971" xr:uid="{34759A39-03EE-4982-9B16-09B997C193F3}"/>
    <cellStyle name="Vírgula 4 4 2 3" xfId="27269" xr:uid="{00000000-0005-0000-0000-0000376C0000}"/>
    <cellStyle name="Vírgula 4 4 2 3 2" xfId="33110" xr:uid="{FB08A0B0-9056-41A8-A50C-613315EBA45A}"/>
    <cellStyle name="Vírgula 4 4 2 4" xfId="27448" xr:uid="{00000000-0005-0000-0000-0000386C0000}"/>
    <cellStyle name="Vírgula 4 4 2 4 2" xfId="33285" xr:uid="{D10BAAD0-B070-41B9-AAED-DE6ABB9E4094}"/>
    <cellStyle name="Vírgula 4 4 2 5" xfId="27627" xr:uid="{00000000-0005-0000-0000-0000396C0000}"/>
    <cellStyle name="Vírgula 4 4 2 5 2" xfId="33439" xr:uid="{239AE810-DBFE-44E4-9B0D-7239DF96AC26}"/>
    <cellStyle name="Vírgula 4 4 2 6" xfId="27778" xr:uid="{00000000-0005-0000-0000-00003A6C0000}"/>
    <cellStyle name="Vírgula 4 4 2 6 2" xfId="33589" xr:uid="{5C0304C0-866F-48E6-91D3-DF2D4D8E59F6}"/>
    <cellStyle name="Vírgula 4 4 2 7" xfId="28163" xr:uid="{8CFAD274-6219-4666-AC03-49821546845B}"/>
    <cellStyle name="Vírgula 4 4 3" xfId="26098" xr:uid="{00000000-0005-0000-0000-00003B6C0000}"/>
    <cellStyle name="Vírgula 4 4 3 2" xfId="27271" xr:uid="{00000000-0005-0000-0000-00003C6C0000}"/>
    <cellStyle name="Vírgula 4 4 3 2 2" xfId="33112" xr:uid="{69F3A8F7-2D5F-443A-9FDD-53D3F9F08AB7}"/>
    <cellStyle name="Vírgula 4 4 3 3" xfId="27450" xr:uid="{00000000-0005-0000-0000-00003D6C0000}"/>
    <cellStyle name="Vírgula 4 4 3 3 2" xfId="33287" xr:uid="{AA69D073-94F6-4BD0-898F-0FE8DC9CA10E}"/>
    <cellStyle name="Vírgula 4 4 3 4" xfId="27629" xr:uid="{00000000-0005-0000-0000-00003E6C0000}"/>
    <cellStyle name="Vírgula 4 4 3 4 2" xfId="33441" xr:uid="{C5AF2237-8E77-4CA1-B8F9-43F40DB156D8}"/>
    <cellStyle name="Vírgula 4 4 3 5" xfId="27780" xr:uid="{00000000-0005-0000-0000-00003F6C0000}"/>
    <cellStyle name="Vírgula 4 4 3 5 2" xfId="33591" xr:uid="{388AEC9A-72C9-4375-8FEA-154CB3C75563}"/>
    <cellStyle name="Vírgula 4 4 3 6" xfId="32972" xr:uid="{BEE2253B-BA1D-4959-9BE5-E4541DF2D1E7}"/>
    <cellStyle name="Vírgula 4 4 4" xfId="27268" xr:uid="{00000000-0005-0000-0000-0000406C0000}"/>
    <cellStyle name="Vírgula 4 4 4 2" xfId="33109" xr:uid="{B2C93323-A280-4685-B50E-D89525C5BBB1}"/>
    <cellStyle name="Vírgula 4 4 5" xfId="27447" xr:uid="{00000000-0005-0000-0000-0000416C0000}"/>
    <cellStyle name="Vírgula 4 4 5 2" xfId="33284" xr:uid="{C0D6C6F0-0256-4116-8B74-53B5DE5F4C15}"/>
    <cellStyle name="Vírgula 4 4 6" xfId="27626" xr:uid="{00000000-0005-0000-0000-0000426C0000}"/>
    <cellStyle name="Vírgula 4 4 6 2" xfId="33438" xr:uid="{19E970A4-79BC-4302-AA4F-3357072D3E60}"/>
    <cellStyle name="Vírgula 4 4 7" xfId="27777" xr:uid="{00000000-0005-0000-0000-0000436C0000}"/>
    <cellStyle name="Vírgula 4 4 7 2" xfId="33588" xr:uid="{844CC04F-D033-4FD3-8A72-2421A58F9EA7}"/>
    <cellStyle name="Vírgula 4 4 8" xfId="28162" xr:uid="{1DD8FE38-588A-457C-9255-C61C8A23A2CE}"/>
    <cellStyle name="Vírgula 4 5" xfId="948" xr:uid="{00000000-0005-0000-0000-0000446C0000}"/>
    <cellStyle name="Vírgula 4 5 2" xfId="26099" xr:uid="{00000000-0005-0000-0000-0000456C0000}"/>
    <cellStyle name="Vírgula 4 5 2 2" xfId="32973" xr:uid="{D0ACEE4B-C36D-4811-8D5E-D1914D66E224}"/>
    <cellStyle name="Vírgula 4 5 3" xfId="27272" xr:uid="{00000000-0005-0000-0000-0000466C0000}"/>
    <cellStyle name="Vírgula 4 5 3 2" xfId="33113" xr:uid="{1F8B285B-1585-4C28-B10B-9D1033515A74}"/>
    <cellStyle name="Vírgula 4 5 4" xfId="27451" xr:uid="{00000000-0005-0000-0000-0000476C0000}"/>
    <cellStyle name="Vírgula 4 5 4 2" xfId="33288" xr:uid="{137F1874-90A0-4E5A-90CD-D3A1A515F60C}"/>
    <cellStyle name="Vírgula 4 5 5" xfId="27630" xr:uid="{00000000-0005-0000-0000-0000486C0000}"/>
    <cellStyle name="Vírgula 4 5 5 2" xfId="33442" xr:uid="{BC85992E-D1FA-43E5-AE97-0BECFDD1EE0A}"/>
    <cellStyle name="Vírgula 4 5 6" xfId="27781" xr:uid="{00000000-0005-0000-0000-0000496C0000}"/>
    <cellStyle name="Vírgula 4 5 6 2" xfId="33592" xr:uid="{3B486952-C001-4744-847B-9C43A5A88784}"/>
    <cellStyle name="Vírgula 4 6" xfId="949" xr:uid="{00000000-0005-0000-0000-00004A6C0000}"/>
    <cellStyle name="Vírgula 4 6 2" xfId="26100" xr:uid="{00000000-0005-0000-0000-00004B6C0000}"/>
    <cellStyle name="Vírgula 4 6 2 2" xfId="32974" xr:uid="{788A7B0B-AD82-49DF-A4BC-A9DFBE3F088B}"/>
    <cellStyle name="Vírgula 4 6 3" xfId="27273" xr:uid="{00000000-0005-0000-0000-00004C6C0000}"/>
    <cellStyle name="Vírgula 4 6 3 2" xfId="33114" xr:uid="{4D3578F9-D525-497D-98EF-F137F6B53D39}"/>
    <cellStyle name="Vírgula 4 6 4" xfId="27452" xr:uid="{00000000-0005-0000-0000-00004D6C0000}"/>
    <cellStyle name="Vírgula 4 6 4 2" xfId="33289" xr:uid="{5D35FA89-ED0D-4A3E-BCA6-9CAE476B15F5}"/>
    <cellStyle name="Vírgula 4 6 5" xfId="27631" xr:uid="{00000000-0005-0000-0000-00004E6C0000}"/>
    <cellStyle name="Vírgula 4 6 5 2" xfId="33443" xr:uid="{D88992CB-BA65-42CC-9473-A2A086B58FB7}"/>
    <cellStyle name="Vírgula 4 6 6" xfId="27782" xr:uid="{00000000-0005-0000-0000-00004F6C0000}"/>
    <cellStyle name="Vírgula 4 6 6 2" xfId="33593" xr:uid="{224C7DB9-6C91-44EE-97BB-7757E905BF0C}"/>
    <cellStyle name="Vírgula 4 6 7" xfId="28164" xr:uid="{AB3C171A-4781-435D-B541-2A17C677A135}"/>
    <cellStyle name="Vírgula 4 7" xfId="24519" xr:uid="{00000000-0005-0000-0000-0000506C0000}"/>
    <cellStyle name="Vírgula 4 7 2" xfId="26102" xr:uid="{00000000-0005-0000-0000-0000516C0000}"/>
    <cellStyle name="Vírgula 4 7 2 2" xfId="27275" xr:uid="{00000000-0005-0000-0000-0000526C0000}"/>
    <cellStyle name="Vírgula 4 7 2 2 2" xfId="33116" xr:uid="{9A52046A-79AF-4436-BA02-AC139261D896}"/>
    <cellStyle name="Vírgula 4 7 2 3" xfId="27454" xr:uid="{00000000-0005-0000-0000-0000536C0000}"/>
    <cellStyle name="Vírgula 4 7 2 3 2" xfId="33291" xr:uid="{15A5FE50-3C3A-4758-BD42-26D667D99A05}"/>
    <cellStyle name="Vírgula 4 7 2 4" xfId="27633" xr:uid="{00000000-0005-0000-0000-0000546C0000}"/>
    <cellStyle name="Vírgula 4 7 2 4 2" xfId="33445" xr:uid="{8CB450DF-10D5-482E-A7F0-9ECC6497B86E}"/>
    <cellStyle name="Vírgula 4 7 2 5" xfId="27784" xr:uid="{00000000-0005-0000-0000-0000556C0000}"/>
    <cellStyle name="Vírgula 4 7 2 5 2" xfId="33595" xr:uid="{6DABC8F2-AE4C-47E8-AF10-9EC9F1F5C020}"/>
    <cellStyle name="Vírgula 4 7 2 6" xfId="32976" xr:uid="{46B308E7-6EED-4B70-98FD-08FBFDC68DC4}"/>
    <cellStyle name="Vírgula 4 7 3" xfId="26101" xr:uid="{00000000-0005-0000-0000-0000566C0000}"/>
    <cellStyle name="Vírgula 4 7 3 2" xfId="32975" xr:uid="{3DB83CC0-2B8D-4B11-89EC-44DED4A831D7}"/>
    <cellStyle name="Vírgula 4 7 4" xfId="27274" xr:uid="{00000000-0005-0000-0000-0000576C0000}"/>
    <cellStyle name="Vírgula 4 7 4 2" xfId="33115" xr:uid="{A9AE3390-CDA5-4D0F-91C5-5BC60FD3709A}"/>
    <cellStyle name="Vírgula 4 7 5" xfId="27453" xr:uid="{00000000-0005-0000-0000-0000586C0000}"/>
    <cellStyle name="Vírgula 4 7 5 2" xfId="33290" xr:uid="{DDE93B67-AC89-41B3-AB6E-48C882B20F3B}"/>
    <cellStyle name="Vírgula 4 7 6" xfId="27632" xr:uid="{00000000-0005-0000-0000-0000596C0000}"/>
    <cellStyle name="Vírgula 4 7 6 2" xfId="33444" xr:uid="{F8D1B18C-3F78-4062-BBA3-C37A456FF4C7}"/>
    <cellStyle name="Vírgula 4 7 7" xfId="27783" xr:uid="{00000000-0005-0000-0000-00005A6C0000}"/>
    <cellStyle name="Vírgula 4 7 7 2" xfId="33594" xr:uid="{5C0619C3-72B8-477F-818F-EF1D5E7C6A8B}"/>
    <cellStyle name="Vírgula 4 7 8" xfId="32538" xr:uid="{5E38E4C2-5442-4E6F-AE15-BEF153DF43CE}"/>
    <cellStyle name="Vírgula 4 8" xfId="27255" xr:uid="{00000000-0005-0000-0000-00005B6C0000}"/>
    <cellStyle name="Vírgula 4 8 2" xfId="33096" xr:uid="{FBB3768C-EA3E-4659-9578-CF16881DCDB5}"/>
    <cellStyle name="Vírgula 4 9" xfId="27434" xr:uid="{00000000-0005-0000-0000-00005C6C0000}"/>
    <cellStyle name="Vírgula 4 9 2" xfId="33271" xr:uid="{1E289797-515F-4C65-913F-08622FAA7869}"/>
    <cellStyle name="Vírgula 5" xfId="950" xr:uid="{00000000-0005-0000-0000-00005D6C0000}"/>
    <cellStyle name="Vírgula 5 10" xfId="27634" xr:uid="{00000000-0005-0000-0000-00005E6C0000}"/>
    <cellStyle name="Vírgula 5 10 2" xfId="33446" xr:uid="{FFC92CBD-0BDB-4A03-9874-E36970AE0477}"/>
    <cellStyle name="Vírgula 5 11" xfId="27785" xr:uid="{00000000-0005-0000-0000-00005F6C0000}"/>
    <cellStyle name="Vírgula 5 11 2" xfId="33596" xr:uid="{E7A497BF-4949-42A7-9598-BAF20772DD12}"/>
    <cellStyle name="Vírgula 5 12" xfId="28165" xr:uid="{CBA0BC3A-3F47-49F6-ACAB-896D0EA462C1}"/>
    <cellStyle name="Vírgula 5 2" xfId="951" xr:uid="{00000000-0005-0000-0000-0000606C0000}"/>
    <cellStyle name="Vírgula 5 2 2" xfId="26105" xr:uid="{00000000-0005-0000-0000-0000616C0000}"/>
    <cellStyle name="Vírgula 5 2 2 2" xfId="27278" xr:uid="{00000000-0005-0000-0000-0000626C0000}"/>
    <cellStyle name="Vírgula 5 2 2 2 2" xfId="33119" xr:uid="{5C5AC419-45D5-4E09-A856-2C31D90DC2E8}"/>
    <cellStyle name="Vírgula 5 2 2 3" xfId="27457" xr:uid="{00000000-0005-0000-0000-0000636C0000}"/>
    <cellStyle name="Vírgula 5 2 2 3 2" xfId="33294" xr:uid="{FB5E7E38-432A-4393-8485-FE3F8F22602C}"/>
    <cellStyle name="Vírgula 5 2 2 4" xfId="27636" xr:uid="{00000000-0005-0000-0000-0000646C0000}"/>
    <cellStyle name="Vírgula 5 2 2 4 2" xfId="33448" xr:uid="{07651DF0-9CBB-47AD-A249-2EC45362BF34}"/>
    <cellStyle name="Vírgula 5 2 2 5" xfId="27787" xr:uid="{00000000-0005-0000-0000-0000656C0000}"/>
    <cellStyle name="Vírgula 5 2 2 5 2" xfId="33598" xr:uid="{07E83C9C-5F0F-4FD8-B475-F04C697E0B4D}"/>
    <cellStyle name="Vírgula 5 2 2 6" xfId="32979" xr:uid="{4E48DF8F-81C5-4163-B86C-7582DD859133}"/>
    <cellStyle name="Vírgula 5 2 3" xfId="26104" xr:uid="{00000000-0005-0000-0000-0000666C0000}"/>
    <cellStyle name="Vírgula 5 2 3 2" xfId="32978" xr:uid="{316AA263-73ED-4D72-8279-711910493110}"/>
    <cellStyle name="Vírgula 5 2 4" xfId="27277" xr:uid="{00000000-0005-0000-0000-0000676C0000}"/>
    <cellStyle name="Vírgula 5 2 4 2" xfId="33118" xr:uid="{F3698BDF-6D7E-43AC-8BDB-AAC8642BD30C}"/>
    <cellStyle name="Vírgula 5 2 5" xfId="27456" xr:uid="{00000000-0005-0000-0000-0000686C0000}"/>
    <cellStyle name="Vírgula 5 2 5 2" xfId="33293" xr:uid="{801BAB40-3922-4410-A002-9D6E43B0A33E}"/>
    <cellStyle name="Vírgula 5 2 6" xfId="27635" xr:uid="{00000000-0005-0000-0000-0000696C0000}"/>
    <cellStyle name="Vírgula 5 2 6 2" xfId="33447" xr:uid="{3D6B6E0F-B476-476C-97B4-01771B2D5271}"/>
    <cellStyle name="Vírgula 5 2 7" xfId="27786" xr:uid="{00000000-0005-0000-0000-00006A6C0000}"/>
    <cellStyle name="Vírgula 5 2 7 2" xfId="33597" xr:uid="{B522B368-2B3E-4B8F-B721-CD6E99AC5913}"/>
    <cellStyle name="Vírgula 5 2 8" xfId="28166" xr:uid="{861DA048-E9BE-4E3D-9E85-C623DE5AD447}"/>
    <cellStyle name="Vírgula 5 3" xfId="952" xr:uid="{00000000-0005-0000-0000-00006B6C0000}"/>
    <cellStyle name="Vírgula 5 3 2" xfId="953" xr:uid="{00000000-0005-0000-0000-00006C6C0000}"/>
    <cellStyle name="Vírgula 5 3 2 2" xfId="954" xr:uid="{00000000-0005-0000-0000-00006D6C0000}"/>
    <cellStyle name="Vírgula 5 3 2 2 2" xfId="28169" xr:uid="{AB280AEB-A023-4FE8-BAB5-CE573657D4BA}"/>
    <cellStyle name="Vírgula 5 3 2 3" xfId="27280" xr:uid="{00000000-0005-0000-0000-00006E6C0000}"/>
    <cellStyle name="Vírgula 5 3 2 3 2" xfId="33121" xr:uid="{C4180627-2A16-4772-9053-0C430ED7D800}"/>
    <cellStyle name="Vírgula 5 3 2 4" xfId="27459" xr:uid="{00000000-0005-0000-0000-00006F6C0000}"/>
    <cellStyle name="Vírgula 5 3 2 4 2" xfId="33296" xr:uid="{1BFAB85E-F1E5-48FA-962D-2DE32368F326}"/>
    <cellStyle name="Vírgula 5 3 2 5" xfId="27638" xr:uid="{00000000-0005-0000-0000-0000706C0000}"/>
    <cellStyle name="Vírgula 5 3 2 5 2" xfId="33450" xr:uid="{112CA6E8-7AAC-4710-AAB4-6435CC4929BA}"/>
    <cellStyle name="Vírgula 5 3 2 6" xfId="27789" xr:uid="{00000000-0005-0000-0000-0000716C0000}"/>
    <cellStyle name="Vírgula 5 3 2 6 2" xfId="33600" xr:uid="{018E4C28-A9CF-4798-B809-D2B291F4372A}"/>
    <cellStyle name="Vírgula 5 3 2 7" xfId="28168" xr:uid="{4AB1F4C0-2195-4CAF-B5F0-BA1B92898ED7}"/>
    <cellStyle name="Vírgula 5 3 3" xfId="955" xr:uid="{00000000-0005-0000-0000-0000726C0000}"/>
    <cellStyle name="Vírgula 5 3 3 2" xfId="28170" xr:uid="{AE7C51BC-DC71-487D-A3AD-FFB20F241B6C}"/>
    <cellStyle name="Vírgula 5 3 4" xfId="27279" xr:uid="{00000000-0005-0000-0000-0000736C0000}"/>
    <cellStyle name="Vírgula 5 3 4 2" xfId="33120" xr:uid="{D495803E-2D8D-4E13-8009-ADD8ECB85242}"/>
    <cellStyle name="Vírgula 5 3 5" xfId="27458" xr:uid="{00000000-0005-0000-0000-0000746C0000}"/>
    <cellStyle name="Vírgula 5 3 5 2" xfId="33295" xr:uid="{9C466765-02D4-4018-BADE-B88513E4A1ED}"/>
    <cellStyle name="Vírgula 5 3 6" xfId="27637" xr:uid="{00000000-0005-0000-0000-0000756C0000}"/>
    <cellStyle name="Vírgula 5 3 6 2" xfId="33449" xr:uid="{3807202A-267F-4194-B69C-C5C28BCE1AAC}"/>
    <cellStyle name="Vírgula 5 3 7" xfId="27788" xr:uid="{00000000-0005-0000-0000-0000766C0000}"/>
    <cellStyle name="Vírgula 5 3 7 2" xfId="33599" xr:uid="{E7117F95-DDCC-40F8-A89B-096295531404}"/>
    <cellStyle name="Vírgula 5 3 8" xfId="28167" xr:uid="{0896730A-1F52-4103-A879-69D61B908B5A}"/>
    <cellStyle name="Vírgula 5 4" xfId="956" xr:uid="{00000000-0005-0000-0000-0000776C0000}"/>
    <cellStyle name="Vírgula 5 4 2" xfId="957" xr:uid="{00000000-0005-0000-0000-0000786C0000}"/>
    <cellStyle name="Vírgula 5 4 2 2" xfId="28172" xr:uid="{09E8E3F1-4412-4519-8EE9-94E36972CE8C}"/>
    <cellStyle name="Vírgula 5 4 3" xfId="28171" xr:uid="{D40E7AAB-48B7-40D2-A3F1-F619CD0F1618}"/>
    <cellStyle name="Vírgula 5 5" xfId="958" xr:uid="{00000000-0005-0000-0000-0000796C0000}"/>
    <cellStyle name="Vírgula 5 5 2" xfId="28173" xr:uid="{F59E08F5-FB6E-46A7-BBF3-53019E84CBAB}"/>
    <cellStyle name="Vírgula 5 6" xfId="24520" xr:uid="{00000000-0005-0000-0000-00007A6C0000}"/>
    <cellStyle name="Vírgula 5 6 2" xfId="32539" xr:uid="{07E0BC76-7619-4BE0-8A33-AEC13667DA56}"/>
    <cellStyle name="Vírgula 5 7" xfId="26103" xr:uid="{00000000-0005-0000-0000-00007B6C0000}"/>
    <cellStyle name="Vírgula 5 7 2" xfId="32977" xr:uid="{C381341A-0B47-4773-AAB5-F0E9293C7303}"/>
    <cellStyle name="Vírgula 5 8" xfId="27276" xr:uid="{00000000-0005-0000-0000-00007C6C0000}"/>
    <cellStyle name="Vírgula 5 8 2" xfId="33117" xr:uid="{B86EF542-1B51-47C0-BDF7-E48503E96811}"/>
    <cellStyle name="Vírgula 5 9" xfId="27455" xr:uid="{00000000-0005-0000-0000-00007D6C0000}"/>
    <cellStyle name="Vírgula 5 9 2" xfId="33292" xr:uid="{B4FAF0DC-0CAD-4852-9D6A-ACA4D46F8743}"/>
    <cellStyle name="Vírgula 6" xfId="959" xr:uid="{00000000-0005-0000-0000-00007E6C0000}"/>
    <cellStyle name="Vírgula 6 10" xfId="27790" xr:uid="{00000000-0005-0000-0000-00007F6C0000}"/>
    <cellStyle name="Vírgula 6 10 2" xfId="33601" xr:uid="{1D9D2F43-13FC-4579-A26D-1F7614F0C4FD}"/>
    <cellStyle name="Vírgula 6 11" xfId="28174" xr:uid="{353C981B-AF56-4296-985C-51A9760FBF15}"/>
    <cellStyle name="Vírgula 6 2" xfId="960" xr:uid="{00000000-0005-0000-0000-0000806C0000}"/>
    <cellStyle name="Vírgula 6 2 2" xfId="961" xr:uid="{00000000-0005-0000-0000-0000816C0000}"/>
    <cellStyle name="Vírgula 6 2 2 2" xfId="962" xr:uid="{00000000-0005-0000-0000-0000826C0000}"/>
    <cellStyle name="Vírgula 6 2 2 2 2" xfId="28177" xr:uid="{ECF65918-2934-4252-9B77-2A3E3A830503}"/>
    <cellStyle name="Vírgula 6 2 2 3" xfId="27283" xr:uid="{00000000-0005-0000-0000-0000836C0000}"/>
    <cellStyle name="Vírgula 6 2 2 3 2" xfId="33124" xr:uid="{E97F3B47-44AC-430A-A844-123ED937B623}"/>
    <cellStyle name="Vírgula 6 2 2 4" xfId="27462" xr:uid="{00000000-0005-0000-0000-0000846C0000}"/>
    <cellStyle name="Vírgula 6 2 2 4 2" xfId="33299" xr:uid="{82FC7C05-29A4-4699-A74D-2211B3DDABB0}"/>
    <cellStyle name="Vírgula 6 2 2 5" xfId="27641" xr:uid="{00000000-0005-0000-0000-0000856C0000}"/>
    <cellStyle name="Vírgula 6 2 2 5 2" xfId="33453" xr:uid="{3C8F9B11-3096-4EA3-BB3E-9C877B132EA1}"/>
    <cellStyle name="Vírgula 6 2 2 6" xfId="27792" xr:uid="{00000000-0005-0000-0000-0000866C0000}"/>
    <cellStyle name="Vírgula 6 2 2 6 2" xfId="33603" xr:uid="{8FE1217B-2A4A-495C-84B7-B8F1A0314F4B}"/>
    <cellStyle name="Vírgula 6 2 2 7" xfId="28176" xr:uid="{F04BA856-0AF2-4C49-AE73-9FC9EC86E8FD}"/>
    <cellStyle name="Vírgula 6 2 3" xfId="963" xr:uid="{00000000-0005-0000-0000-0000876C0000}"/>
    <cellStyle name="Vírgula 6 2 3 2" xfId="28178" xr:uid="{9D99607C-2C0A-4305-857E-3059ECBA0F09}"/>
    <cellStyle name="Vírgula 6 2 4" xfId="27282" xr:uid="{00000000-0005-0000-0000-0000886C0000}"/>
    <cellStyle name="Vírgula 6 2 4 2" xfId="33123" xr:uid="{5AB8AD0F-C7BB-45C4-9945-3A6E010A43D8}"/>
    <cellStyle name="Vírgula 6 2 5" xfId="27461" xr:uid="{00000000-0005-0000-0000-0000896C0000}"/>
    <cellStyle name="Vírgula 6 2 5 2" xfId="33298" xr:uid="{7784DB21-B889-49AC-A9FB-C605742C5A74}"/>
    <cellStyle name="Vírgula 6 2 6" xfId="27640" xr:uid="{00000000-0005-0000-0000-00008A6C0000}"/>
    <cellStyle name="Vírgula 6 2 6 2" xfId="33452" xr:uid="{81F9349A-A292-4068-9D6E-125DC4FBBAFE}"/>
    <cellStyle name="Vírgula 6 2 7" xfId="27791" xr:uid="{00000000-0005-0000-0000-00008B6C0000}"/>
    <cellStyle name="Vírgula 6 2 7 2" xfId="33602" xr:uid="{9E80343C-DE16-4239-99C4-F4CADE50D17C}"/>
    <cellStyle name="Vírgula 6 2 8" xfId="28175" xr:uid="{4C95785D-40EC-4ED5-BFD1-132F76FF7062}"/>
    <cellStyle name="Vírgula 6 3" xfId="964" xr:uid="{00000000-0005-0000-0000-00008C6C0000}"/>
    <cellStyle name="Vírgula 6 3 2" xfId="965" xr:uid="{00000000-0005-0000-0000-00008D6C0000}"/>
    <cellStyle name="Vírgula 6 3 2 2" xfId="28180" xr:uid="{C2E81DFF-1A70-4072-BA68-418C7DC49D4D}"/>
    <cellStyle name="Vírgula 6 3 3" xfId="28179" xr:uid="{36EA63E2-E4FA-4610-8E60-AE3F3ED9CBA7}"/>
    <cellStyle name="Vírgula 6 4" xfId="966" xr:uid="{00000000-0005-0000-0000-00008E6C0000}"/>
    <cellStyle name="Vírgula 6 4 2" xfId="28181" xr:uid="{EE698B0B-62DC-4D44-AE85-65C71078AC1C}"/>
    <cellStyle name="Vírgula 6 5" xfId="24521" xr:uid="{00000000-0005-0000-0000-00008F6C0000}"/>
    <cellStyle name="Vírgula 6 5 2" xfId="32540" xr:uid="{4DA2F863-D27A-45AB-9187-55F1038BCD80}"/>
    <cellStyle name="Vírgula 6 6" xfId="26106" xr:uid="{00000000-0005-0000-0000-0000906C0000}"/>
    <cellStyle name="Vírgula 6 6 2" xfId="32980" xr:uid="{60A076B6-936C-4852-8614-77D3A4CADFD7}"/>
    <cellStyle name="Vírgula 6 7" xfId="27281" xr:uid="{00000000-0005-0000-0000-0000916C0000}"/>
    <cellStyle name="Vírgula 6 7 2" xfId="33122" xr:uid="{CBF2E086-16BB-4F0B-920E-828CC6013A56}"/>
    <cellStyle name="Vírgula 6 8" xfId="27460" xr:uid="{00000000-0005-0000-0000-0000926C0000}"/>
    <cellStyle name="Vírgula 6 8 2" xfId="33297" xr:uid="{276461AD-4983-4160-B039-5EB2C8B526AD}"/>
    <cellStyle name="Vírgula 6 9" xfId="27639" xr:uid="{00000000-0005-0000-0000-0000936C0000}"/>
    <cellStyle name="Vírgula 6 9 2" xfId="33451" xr:uid="{A5A62FEE-53D8-4044-AAEC-A14CA14BD8C3}"/>
    <cellStyle name="Vírgula 7" xfId="967" xr:uid="{00000000-0005-0000-0000-0000946C0000}"/>
    <cellStyle name="Vírgula 7 2" xfId="968" xr:uid="{00000000-0005-0000-0000-0000956C0000}"/>
    <cellStyle name="Vírgula 7 2 2" xfId="27285" xr:uid="{00000000-0005-0000-0000-0000966C0000}"/>
    <cellStyle name="Vírgula 7 2 2 2" xfId="33126" xr:uid="{F38B0FEE-BCE2-46F7-B7F6-6A5405BBBD5C}"/>
    <cellStyle name="Vírgula 7 2 3" xfId="27464" xr:uid="{00000000-0005-0000-0000-0000976C0000}"/>
    <cellStyle name="Vírgula 7 2 3 2" xfId="33301" xr:uid="{A2F5A523-1CF6-4648-AF27-62DD9FA948CD}"/>
    <cellStyle name="Vírgula 7 2 4" xfId="27643" xr:uid="{00000000-0005-0000-0000-0000986C0000}"/>
    <cellStyle name="Vírgula 7 2 4 2" xfId="33455" xr:uid="{B11589AB-888E-4418-B5C3-364F94D070A8}"/>
    <cellStyle name="Vírgula 7 2 5" xfId="27794" xr:uid="{00000000-0005-0000-0000-0000996C0000}"/>
    <cellStyle name="Vírgula 7 2 5 2" xfId="33605" xr:uid="{EDAE8290-C93A-4F1A-804F-FC84E291CBD4}"/>
    <cellStyle name="Vírgula 7 2 6" xfId="28183" xr:uid="{AEFBE6DA-6D6F-4447-899E-6EF944629ABE}"/>
    <cellStyle name="Vírgula 7 3" xfId="969" xr:uid="{00000000-0005-0000-0000-00009A6C0000}"/>
    <cellStyle name="Vírgula 7 3 2" xfId="28184" xr:uid="{C1F3F61F-E652-4165-83DD-0781AFEAB7EF}"/>
    <cellStyle name="Vírgula 7 4" xfId="24522" xr:uid="{00000000-0005-0000-0000-00009B6C0000}"/>
    <cellStyle name="Vírgula 7 4 2" xfId="32541" xr:uid="{997AD4E4-ECA1-42D5-95C4-0B684AC48BAD}"/>
    <cellStyle name="Vírgula 7 5" xfId="27284" xr:uid="{00000000-0005-0000-0000-00009C6C0000}"/>
    <cellStyle name="Vírgula 7 5 2" xfId="33125" xr:uid="{415577D8-DF7E-492F-A45D-0AC64865185D}"/>
    <cellStyle name="Vírgula 7 6" xfId="27463" xr:uid="{00000000-0005-0000-0000-00009D6C0000}"/>
    <cellStyle name="Vírgula 7 6 2" xfId="33300" xr:uid="{894C3163-03BD-43E8-B70C-364238CC9484}"/>
    <cellStyle name="Vírgula 7 7" xfId="27642" xr:uid="{00000000-0005-0000-0000-00009E6C0000}"/>
    <cellStyle name="Vírgula 7 7 2" xfId="33454" xr:uid="{E7E7F5A0-AECE-479C-845E-69C344E27B28}"/>
    <cellStyle name="Vírgula 7 8" xfId="27793" xr:uid="{00000000-0005-0000-0000-00009F6C0000}"/>
    <cellStyle name="Vírgula 7 8 2" xfId="33604" xr:uid="{B5DB008E-2A38-4591-BFC5-7B1A639EE429}"/>
    <cellStyle name="Vírgula 7 9" xfId="28182" xr:uid="{2FD163AF-B666-4CA8-AF6E-0EA3B88ABFF7}"/>
    <cellStyle name="Vírgula 8" xfId="970" xr:uid="{00000000-0005-0000-0000-0000A06C0000}"/>
    <cellStyle name="Vírgula 8 10" xfId="27795" xr:uid="{00000000-0005-0000-0000-0000A16C0000}"/>
    <cellStyle name="Vírgula 8 10 2" xfId="33606" xr:uid="{C3DCA465-BEAA-416D-8F5D-2E755EE81754}"/>
    <cellStyle name="Vírgula 8 11" xfId="28185" xr:uid="{BFF80B5D-CCC1-4A49-84E5-58E92C1D2994}"/>
    <cellStyle name="Vírgula 8 2" xfId="971" xr:uid="{00000000-0005-0000-0000-0000A26C0000}"/>
    <cellStyle name="Vírgula 8 2 2" xfId="28186" xr:uid="{C161ECAD-9463-4EAD-A969-7151C307D30D}"/>
    <cellStyle name="Vírgula 8 3" xfId="972" xr:uid="{00000000-0005-0000-0000-0000A36C0000}"/>
    <cellStyle name="Vírgula 8 3 2" xfId="28187" xr:uid="{4CCE6CE9-59C6-42D5-979E-A099DF21C152}"/>
    <cellStyle name="Vírgula 8 4" xfId="24523" xr:uid="{00000000-0005-0000-0000-0000A46C0000}"/>
    <cellStyle name="Vírgula 8 4 2" xfId="32542" xr:uid="{3C846436-3B1D-4C2C-80DD-76817A6F2BF6}"/>
    <cellStyle name="Vírgula 8 5" xfId="26107" xr:uid="{00000000-0005-0000-0000-0000A56C0000}"/>
    <cellStyle name="Vírgula 8 5 2" xfId="32981" xr:uid="{B640552D-CC4C-466A-B704-7339F4BC9BBA}"/>
    <cellStyle name="Vírgula 8 6" xfId="27286" xr:uid="{00000000-0005-0000-0000-0000A66C0000}"/>
    <cellStyle name="Vírgula 8 6 2" xfId="33127" xr:uid="{ED002150-0AD0-4F1C-88A5-B0B45C8B3798}"/>
    <cellStyle name="Vírgula 8 7" xfId="27307" xr:uid="{00000000-0005-0000-0000-0000A76C0000}"/>
    <cellStyle name="Vírgula 8 8" xfId="27465" xr:uid="{00000000-0005-0000-0000-0000A86C0000}"/>
    <cellStyle name="Vírgula 8 8 2" xfId="33302" xr:uid="{7E023F2F-4162-4542-80F9-CEFD16EB8ACA}"/>
    <cellStyle name="Vírgula 8 9" xfId="27644" xr:uid="{00000000-0005-0000-0000-0000A96C0000}"/>
    <cellStyle name="Vírgula 8 9 2" xfId="33456" xr:uid="{FC435482-D1F3-42AB-B6AE-01A2682E4471}"/>
    <cellStyle name="Vírgula 9" xfId="973" xr:uid="{00000000-0005-0000-0000-0000AA6C0000}"/>
    <cellStyle name="Vírgula 9 2" xfId="24524" xr:uid="{00000000-0005-0000-0000-0000AB6C0000}"/>
    <cellStyle name="Vírgula 9 2 2" xfId="32543" xr:uid="{397C6036-B677-432B-9CED-DED863B086F6}"/>
    <cellStyle name="Vírgula 9 3" xfId="26108" xr:uid="{00000000-0005-0000-0000-0000AC6C0000}"/>
    <cellStyle name="Vírgula 9 3 2" xfId="32982" xr:uid="{8CB14EA7-94AB-4EAE-88B3-14D94A63FFA9}"/>
    <cellStyle name="Vírgula 9 4" xfId="27288" xr:uid="{00000000-0005-0000-0000-0000AD6C0000}"/>
    <cellStyle name="Vírgula 9 4 2" xfId="33128" xr:uid="{8B118593-1CB8-4BA6-952F-638A3F8F8AB8}"/>
    <cellStyle name="Vírgula 9 5" xfId="27467" xr:uid="{00000000-0005-0000-0000-0000AE6C0000}"/>
    <cellStyle name="Vírgula 9 5 2" xfId="33304" xr:uid="{7FACEAF0-5462-4D21-8766-DC3A1AAEDD3C}"/>
    <cellStyle name="Vírgula 9 6" xfId="27646" xr:uid="{00000000-0005-0000-0000-0000AF6C0000}"/>
    <cellStyle name="Vírgula 9 6 2" xfId="33457" xr:uid="{F345619A-EC42-4C2B-AFFE-B3C6FE3DAE4A}"/>
    <cellStyle name="Vírgula 9 7" xfId="27797" xr:uid="{00000000-0005-0000-0000-0000B06C0000}"/>
    <cellStyle name="Vírgula 9 7 2" xfId="33608" xr:uid="{F4BC44FE-8038-47BB-AF1E-67A010859B6A}"/>
    <cellStyle name="Vírgula 9 8" xfId="28188" xr:uid="{93981320-2C0E-47C7-A406-2D496B756825}"/>
    <cellStyle name="Vírgula0" xfId="24525" xr:uid="{00000000-0005-0000-0000-0000B16C0000}"/>
    <cellStyle name="Währung" xfId="24526" xr:uid="{00000000-0005-0000-0000-0000B26C0000}"/>
    <cellStyle name="Währung 2" xfId="24527" xr:uid="{00000000-0005-0000-0000-0000B36C0000}"/>
    <cellStyle name="Währung 3" xfId="24528" xr:uid="{00000000-0005-0000-0000-0000B46C0000}"/>
    <cellStyle name="Warning Text" xfId="974" xr:uid="{00000000-0005-0000-0000-0000B56C0000}"/>
    <cellStyle name="Warning Text 2" xfId="24530" xr:uid="{00000000-0005-0000-0000-0000B66C0000}"/>
    <cellStyle name="Warning Text 3" xfId="24531" xr:uid="{00000000-0005-0000-0000-0000B76C0000}"/>
    <cellStyle name="표준_1424D_list_020301" xfId="24532" xr:uid="{00000000-0005-0000-0000-0000B86C0000}"/>
    <cellStyle name="桁区切り_資金繰表" xfId="24533" xr:uid="{00000000-0005-0000-0000-0000B96C0000}"/>
    <cellStyle name="標準_資金繰表" xfId="24534" xr:uid="{00000000-0005-0000-0000-0000BA6C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1A983"/>
      <color rgb="FFBE5014"/>
      <color rgb="FFD86DCD"/>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 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23000" cy="386715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0" y="0"/>
          <a:ext cx="6223000" cy="386715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848718" y="948039"/>
          <a:ext cx="1434414"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12701</xdr:colOff>
      <xdr:row>0</xdr:row>
      <xdr:rowOff>78692</xdr:rowOff>
    </xdr:from>
    <xdr:to>
      <xdr:col>2</xdr:col>
      <xdr:colOff>88900</xdr:colOff>
      <xdr:row>2</xdr:row>
      <xdr:rowOff>133733</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507" t="29255" r="15190" b="29114"/>
        <a:stretch/>
      </xdr:blipFill>
      <xdr:spPr>
        <a:xfrm>
          <a:off x="12701" y="78692"/>
          <a:ext cx="1320799" cy="423341"/>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8" name="Retângulo: Cantos Arredondados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843956" y="1646572"/>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9" name="Retângulo: Cantos Arredondados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843956" y="2343729"/>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10" name="Retângulo: Cantos Arredondados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3179777" y="97525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11" name="Retângulo: Cantos Arredondados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179777" y="1673786"/>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2" name="Retângulo: Cantos Arredondados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79777" y="2370943"/>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843956" y="3040887"/>
          <a:ext cx="1439848" cy="4154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00000000-0008-0000-0000-00000E000000}"/>
            </a:ext>
          </a:extLst>
        </xdr:cNvPr>
        <xdr:cNvSpPr/>
      </xdr:nvSpPr>
      <xdr:spPr>
        <a:xfrm>
          <a:off x="3306777" y="2966501"/>
          <a:ext cx="1490648" cy="4027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1759131</xdr:colOff>
      <xdr:row>0</xdr:row>
      <xdr:rowOff>0</xdr:rowOff>
    </xdr:from>
    <xdr:to>
      <xdr:col>1</xdr:col>
      <xdr:colOff>1206905</xdr:colOff>
      <xdr:row>2</xdr:row>
      <xdr:rowOff>49113</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1885" b="25142"/>
        <a:stretch/>
      </xdr:blipFill>
      <xdr:spPr>
        <a:xfrm>
          <a:off x="1759131" y="0"/>
          <a:ext cx="1206509" cy="414873"/>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398059"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1949824</xdr:colOff>
      <xdr:row>0</xdr:row>
      <xdr:rowOff>112059</xdr:rowOff>
    </xdr:from>
    <xdr:to>
      <xdr:col>1</xdr:col>
      <xdr:colOff>3389672</xdr:colOff>
      <xdr:row>2</xdr:row>
      <xdr:rowOff>146522</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949824" y="112059"/>
          <a:ext cx="1439848" cy="4027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22860</xdr:colOff>
      <xdr:row>0</xdr:row>
      <xdr:rowOff>0</xdr:rowOff>
    </xdr:from>
    <xdr:to>
      <xdr:col>1</xdr:col>
      <xdr:colOff>1228700</xdr:colOff>
      <xdr:row>2</xdr:row>
      <xdr:rowOff>46768</xdr:rowOff>
    </xdr:to>
    <xdr:pic>
      <xdr:nvPicPr>
        <xdr:cNvPr id="4" name="Imagem 3">
          <a:extLst>
            <a:ext uri="{FF2B5EF4-FFF2-40B4-BE49-F238E27FC236}">
              <a16:creationId xmlns:a16="http://schemas.microsoft.com/office/drawing/2014/main" id="{5C2357F9-FB43-4047-B790-7E4C87BC2088}"/>
            </a:ext>
          </a:extLst>
        </xdr:cNvPr>
        <xdr:cNvPicPr>
          <a:picLocks noChangeAspect="1"/>
        </xdr:cNvPicPr>
      </xdr:nvPicPr>
      <xdr:blipFill rotWithShape="1">
        <a:blip xmlns:r="http://schemas.openxmlformats.org/officeDocument/2006/relationships" r:embed="rId2"/>
        <a:srcRect l="31885" b="25142"/>
        <a:stretch/>
      </xdr:blipFill>
      <xdr:spPr>
        <a:xfrm>
          <a:off x="1584960" y="0"/>
          <a:ext cx="1205840" cy="41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1725707</xdr:colOff>
      <xdr:row>0</xdr:row>
      <xdr:rowOff>156883</xdr:rowOff>
    </xdr:from>
    <xdr:to>
      <xdr:col>2</xdr:col>
      <xdr:colOff>195996</xdr:colOff>
      <xdr:row>3</xdr:row>
      <xdr:rowOff>846</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725707" y="15688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7BB4391D-98A3-4460-B910-8CD6F42FF64D}"/>
            </a:ext>
          </a:extLst>
        </xdr:cNvPr>
        <xdr:cNvPicPr>
          <a:picLocks noChangeAspect="1"/>
        </xdr:cNvPicPr>
      </xdr:nvPicPr>
      <xdr:blipFill rotWithShape="1">
        <a:blip xmlns:r="http://schemas.openxmlformats.org/officeDocument/2006/relationships" r:embed="rId2"/>
        <a:srcRect l="31885" b="25142"/>
        <a:stretch/>
      </xdr:blipFill>
      <xdr:spPr>
        <a:xfrm>
          <a:off x="2255520" y="0"/>
          <a:ext cx="1205840" cy="412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2084294</xdr:colOff>
      <xdr:row>0</xdr:row>
      <xdr:rowOff>89647</xdr:rowOff>
    </xdr:from>
    <xdr:to>
      <xdr:col>1</xdr:col>
      <xdr:colOff>3524142</xdr:colOff>
      <xdr:row>2</xdr:row>
      <xdr:rowOff>124110</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2084294" y="89647"/>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7E64C775-78D7-49FB-837F-9FE3AEF2C48F}"/>
            </a:ext>
          </a:extLst>
        </xdr:cNvPr>
        <xdr:cNvPicPr>
          <a:picLocks noChangeAspect="1"/>
        </xdr:cNvPicPr>
      </xdr:nvPicPr>
      <xdr:blipFill rotWithShape="1">
        <a:blip xmlns:r="http://schemas.openxmlformats.org/officeDocument/2006/relationships" r:embed="rId2"/>
        <a:srcRect l="31885" b="25142"/>
        <a:stretch/>
      </xdr:blipFill>
      <xdr:spPr>
        <a:xfrm>
          <a:off x="2499360" y="0"/>
          <a:ext cx="1205840" cy="412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2129117</xdr:colOff>
      <xdr:row>0</xdr:row>
      <xdr:rowOff>67235</xdr:rowOff>
    </xdr:from>
    <xdr:to>
      <xdr:col>1</xdr:col>
      <xdr:colOff>3568965</xdr:colOff>
      <xdr:row>2</xdr:row>
      <xdr:rowOff>101698</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129117" y="67235"/>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47403</xdr:rowOff>
    </xdr:to>
    <xdr:pic>
      <xdr:nvPicPr>
        <xdr:cNvPr id="2" name="Imagem 1">
          <a:extLst>
            <a:ext uri="{FF2B5EF4-FFF2-40B4-BE49-F238E27FC236}">
              <a16:creationId xmlns:a16="http://schemas.microsoft.com/office/drawing/2014/main" id="{DC15FF3A-08EC-48BA-B2E2-B820AF9E6E4A}"/>
            </a:ext>
          </a:extLst>
        </xdr:cNvPr>
        <xdr:cNvPicPr>
          <a:picLocks noChangeAspect="1"/>
        </xdr:cNvPicPr>
      </xdr:nvPicPr>
      <xdr:blipFill rotWithShape="1">
        <a:blip xmlns:r="http://schemas.openxmlformats.org/officeDocument/2006/relationships" r:embed="rId2"/>
        <a:srcRect l="31885" b="25142"/>
        <a:stretch/>
      </xdr:blipFill>
      <xdr:spPr>
        <a:xfrm>
          <a:off x="730250" y="0"/>
          <a:ext cx="1205840" cy="4125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2286000</xdr:colOff>
      <xdr:row>0</xdr:row>
      <xdr:rowOff>112058</xdr:rowOff>
    </xdr:from>
    <xdr:to>
      <xdr:col>1</xdr:col>
      <xdr:colOff>3725848</xdr:colOff>
      <xdr:row>2</xdr:row>
      <xdr:rowOff>146521</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286000" y="112058"/>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D9B71680-96A0-4035-A9F3-9B736F1D1618}"/>
            </a:ext>
          </a:extLst>
        </xdr:cNvPr>
        <xdr:cNvPicPr>
          <a:picLocks noChangeAspect="1"/>
        </xdr:cNvPicPr>
      </xdr:nvPicPr>
      <xdr:blipFill rotWithShape="1">
        <a:blip xmlns:r="http://schemas.openxmlformats.org/officeDocument/2006/relationships" r:embed="rId2"/>
        <a:srcRect l="31885" b="25142"/>
        <a:stretch/>
      </xdr:blipFill>
      <xdr:spPr>
        <a:xfrm>
          <a:off x="1607820" y="0"/>
          <a:ext cx="1205840" cy="4125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1792941</xdr:colOff>
      <xdr:row>0</xdr:row>
      <xdr:rowOff>134470</xdr:rowOff>
    </xdr:from>
    <xdr:to>
      <xdr:col>1</xdr:col>
      <xdr:colOff>3232789</xdr:colOff>
      <xdr:row>2</xdr:row>
      <xdr:rowOff>168933</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792941"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220921CC-8EF7-48F5-A92D-2F0B4D320B2A}"/>
            </a:ext>
          </a:extLst>
        </xdr:cNvPr>
        <xdr:cNvPicPr>
          <a:picLocks noChangeAspect="1"/>
        </xdr:cNvPicPr>
      </xdr:nvPicPr>
      <xdr:blipFill rotWithShape="1">
        <a:blip xmlns:r="http://schemas.openxmlformats.org/officeDocument/2006/relationships" r:embed="rId2"/>
        <a:srcRect l="31885" b="25142"/>
        <a:stretch/>
      </xdr:blipFill>
      <xdr:spPr>
        <a:xfrm>
          <a:off x="571500" y="0"/>
          <a:ext cx="1205840" cy="412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1972236</xdr:colOff>
      <xdr:row>0</xdr:row>
      <xdr:rowOff>134470</xdr:rowOff>
    </xdr:from>
    <xdr:to>
      <xdr:col>2</xdr:col>
      <xdr:colOff>621819</xdr:colOff>
      <xdr:row>2</xdr:row>
      <xdr:rowOff>168933</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972236"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0</xdr:colOff>
      <xdr:row>0</xdr:row>
      <xdr:rowOff>0</xdr:rowOff>
    </xdr:from>
    <xdr:to>
      <xdr:col>1</xdr:col>
      <xdr:colOff>1205840</xdr:colOff>
      <xdr:row>2</xdr:row>
      <xdr:rowOff>50578</xdr:rowOff>
    </xdr:to>
    <xdr:pic>
      <xdr:nvPicPr>
        <xdr:cNvPr id="2" name="Imagem 1">
          <a:extLst>
            <a:ext uri="{FF2B5EF4-FFF2-40B4-BE49-F238E27FC236}">
              <a16:creationId xmlns:a16="http://schemas.microsoft.com/office/drawing/2014/main" id="{24147AB4-ADC7-42D6-8235-832EE2EAC0E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65DB-2734-4416-89AB-C14F6213A7CF}">
  <sheetPr codeName="Planilha1"/>
  <dimension ref="A1:P21"/>
  <sheetViews>
    <sheetView showGridLines="0" showRowColHeaders="0" tabSelected="1" view="pageBreakPreview" zoomScaleNormal="70" zoomScaleSheetLayoutView="100" workbookViewId="0"/>
  </sheetViews>
  <sheetFormatPr defaultColWidth="0" defaultRowHeight="14.4" zeroHeight="1"/>
  <cols>
    <col min="1" max="10" width="9.109375" customWidth="1"/>
    <col min="11" max="16384" width="9.109375" hidden="1"/>
  </cols>
  <sheetData>
    <row r="1" spans="16:16">
      <c r="P1">
        <v>1</v>
      </c>
    </row>
    <row r="2" spans="16:16"/>
    <row r="3" spans="16:16"/>
    <row r="4" spans="16:16"/>
    <row r="5" spans="16:16"/>
    <row r="6" spans="16:16"/>
    <row r="7" spans="16:16"/>
    <row r="8" spans="16:16"/>
    <row r="9" spans="16:16"/>
    <row r="10" spans="16:16"/>
    <row r="11" spans="16:16"/>
    <row r="12" spans="16:16"/>
    <row r="13" spans="16:16"/>
    <row r="14" spans="16:16"/>
    <row r="15" spans="16:16"/>
    <row r="16" spans="16:16"/>
    <row r="17"/>
    <row r="18"/>
    <row r="19"/>
    <row r="20"/>
    <row r="21"/>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053E-B287-4045-ACB0-E24E0710D454}">
  <dimension ref="A1:BL73"/>
  <sheetViews>
    <sheetView showGridLines="0" showRowColHeaders="0" topLeftCell="B1" zoomScaleNormal="100" workbookViewId="0">
      <pane xSplit="25" topLeftCell="AU1" activePane="topRight" state="frozen"/>
      <selection activeCell="B1" sqref="B1"/>
      <selection pane="topRight" activeCell="BL5" sqref="BL5"/>
    </sheetView>
  </sheetViews>
  <sheetFormatPr defaultRowHeight="14.4" outlineLevelCol="1"/>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165" hidden="1" customWidth="1" outlineLevel="1"/>
    <col min="52" max="52" width="15.109375" customWidth="1" collapsed="1"/>
    <col min="53" max="53" width="15.109375" style="165" hidden="1" customWidth="1" outlineLevel="1"/>
    <col min="54" max="54" width="17.6640625" style="165" hidden="1" customWidth="1" outlineLevel="1"/>
    <col min="55" max="56" width="15.109375" style="165" hidden="1" customWidth="1" outlineLevel="1"/>
    <col min="57" max="57" width="15.109375" style="165" customWidth="1" collapsed="1"/>
    <col min="58" max="61" width="15.109375" style="165" customWidth="1"/>
    <col min="62" max="62" width="11.5546875" style="165" bestFit="1" customWidth="1"/>
    <col min="63" max="64" width="15.109375" style="165" customWidth="1"/>
  </cols>
  <sheetData>
    <row r="1" spans="1:64">
      <c r="B1" t="s">
        <v>42</v>
      </c>
      <c r="AL1" s="237"/>
      <c r="AM1" s="237"/>
      <c r="AN1" s="237"/>
      <c r="AO1" s="237"/>
      <c r="AQ1" s="237"/>
      <c r="AR1" s="237"/>
      <c r="AS1" s="237"/>
      <c r="AT1" s="237"/>
      <c r="AU1" s="237"/>
      <c r="AV1" s="237"/>
      <c r="AW1" s="237"/>
      <c r="AX1" s="237"/>
      <c r="AY1" s="237"/>
      <c r="BA1" s="237"/>
      <c r="BB1" s="237"/>
      <c r="BC1" s="237"/>
      <c r="BD1" s="237"/>
      <c r="BE1" s="237"/>
      <c r="BF1" s="237"/>
      <c r="BG1" s="237"/>
      <c r="BH1" s="237"/>
      <c r="BI1" s="237"/>
      <c r="BK1" s="237"/>
      <c r="BL1" s="237"/>
    </row>
    <row r="2" spans="1:64">
      <c r="AL2" s="237"/>
      <c r="AM2" s="237"/>
      <c r="AN2" s="237"/>
      <c r="AO2" s="237"/>
      <c r="AQ2" s="237"/>
      <c r="AR2" s="237"/>
      <c r="AS2" s="237"/>
      <c r="AT2" s="237"/>
      <c r="AU2" s="237"/>
      <c r="AV2" s="237"/>
      <c r="AW2" s="237"/>
      <c r="AX2" s="237"/>
      <c r="AY2" s="237"/>
      <c r="BA2" s="237"/>
      <c r="BB2" s="237"/>
      <c r="BC2" s="237"/>
      <c r="BD2" s="237"/>
      <c r="BE2" s="237"/>
      <c r="BF2" s="237"/>
      <c r="BG2" s="237"/>
      <c r="BH2" s="237"/>
      <c r="BI2" s="237"/>
      <c r="BK2" s="237"/>
      <c r="BL2" s="237"/>
    </row>
    <row r="3" spans="1:64" s="239" customFormat="1">
      <c r="AL3" s="238"/>
      <c r="AM3" s="238"/>
      <c r="AN3" s="238"/>
      <c r="AO3" s="238"/>
      <c r="AQ3" s="238"/>
      <c r="AR3" s="238"/>
      <c r="AS3" s="238"/>
      <c r="AT3" s="238"/>
      <c r="AU3" s="238"/>
      <c r="AV3" s="238"/>
      <c r="AW3" s="238"/>
      <c r="AX3" s="238"/>
      <c r="AY3" s="238"/>
      <c r="BA3" s="238"/>
      <c r="BB3" s="238"/>
      <c r="BC3" s="238"/>
      <c r="BD3" s="238"/>
      <c r="BE3" s="238"/>
      <c r="BF3" s="238"/>
      <c r="BG3" s="238"/>
      <c r="BH3" s="238"/>
      <c r="BI3" s="238"/>
      <c r="BJ3" s="238"/>
      <c r="BK3" s="238"/>
      <c r="BL3" s="238"/>
    </row>
    <row r="4" spans="1:64"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Q4" s="12"/>
      <c r="AR4" s="12"/>
      <c r="AS4" s="12"/>
      <c r="AT4" s="12"/>
      <c r="AV4" s="12"/>
      <c r="AW4" s="12"/>
      <c r="AX4" s="12"/>
      <c r="AY4" s="166"/>
      <c r="AZ4" s="12"/>
      <c r="BA4" s="166"/>
      <c r="BB4" s="166"/>
      <c r="BC4" s="166"/>
      <c r="BD4" s="166"/>
      <c r="BE4" s="166"/>
      <c r="BF4" s="166"/>
      <c r="BG4" s="166"/>
      <c r="BH4" s="166"/>
      <c r="BI4" s="166"/>
      <c r="BJ4" s="166"/>
      <c r="BK4" s="166"/>
      <c r="BL4" s="166"/>
    </row>
    <row r="5" spans="1:64" s="7" customFormat="1" ht="18.75" customHeight="1">
      <c r="B5" s="195" t="str">
        <f>IF('Sumário | Summary'!P1=1,"Demonstração de Resultados - IFRS (R$ MM)","Income Statement - IFRS (R$ million)")</f>
        <v>Demonstração de Resultados - IFRS (R$ MM)</v>
      </c>
      <c r="C5" s="196" t="s">
        <v>78</v>
      </c>
      <c r="D5" s="196" t="s">
        <v>79</v>
      </c>
      <c r="E5" s="196" t="s">
        <v>80</v>
      </c>
      <c r="F5" s="196" t="s">
        <v>81</v>
      </c>
      <c r="G5" s="196">
        <v>2012</v>
      </c>
      <c r="H5" s="196" t="s">
        <v>77</v>
      </c>
      <c r="I5" s="196" t="s">
        <v>76</v>
      </c>
      <c r="J5" s="196" t="s">
        <v>75</v>
      </c>
      <c r="K5" s="196" t="s">
        <v>74</v>
      </c>
      <c r="L5" s="196">
        <v>2013</v>
      </c>
      <c r="M5" s="196" t="s">
        <v>73</v>
      </c>
      <c r="N5" s="196" t="s">
        <v>72</v>
      </c>
      <c r="O5" s="196" t="s">
        <v>71</v>
      </c>
      <c r="P5" s="196" t="s">
        <v>70</v>
      </c>
      <c r="Q5" s="196">
        <v>2014</v>
      </c>
      <c r="R5" s="196" t="s">
        <v>69</v>
      </c>
      <c r="S5" s="196" t="s">
        <v>68</v>
      </c>
      <c r="T5" s="196" t="s">
        <v>67</v>
      </c>
      <c r="U5" s="196" t="s">
        <v>66</v>
      </c>
      <c r="V5" s="196">
        <v>2015</v>
      </c>
      <c r="W5" s="196" t="s">
        <v>59</v>
      </c>
      <c r="X5" s="196" t="s">
        <v>60</v>
      </c>
      <c r="Y5" s="196" t="s">
        <v>61</v>
      </c>
      <c r="Z5" s="194" t="s">
        <v>62</v>
      </c>
      <c r="AA5" s="196">
        <v>2016</v>
      </c>
      <c r="AB5" s="194" t="s">
        <v>55</v>
      </c>
      <c r="AC5" s="194" t="s">
        <v>56</v>
      </c>
      <c r="AD5" s="194" t="s">
        <v>57</v>
      </c>
      <c r="AE5" s="194" t="s">
        <v>58</v>
      </c>
      <c r="AF5" s="194">
        <v>2017</v>
      </c>
      <c r="AG5" s="194" t="s">
        <v>54</v>
      </c>
      <c r="AH5" s="194" t="s">
        <v>53</v>
      </c>
      <c r="AI5" s="194" t="s">
        <v>52</v>
      </c>
      <c r="AJ5" s="194" t="s">
        <v>51</v>
      </c>
      <c r="AK5" s="194">
        <v>2018</v>
      </c>
      <c r="AL5" s="194" t="s">
        <v>43</v>
      </c>
      <c r="AM5" s="194" t="s">
        <v>44</v>
      </c>
      <c r="AN5" s="194" t="s">
        <v>46</v>
      </c>
      <c r="AO5" s="194" t="s">
        <v>47</v>
      </c>
      <c r="AP5" s="194">
        <v>2019</v>
      </c>
      <c r="AQ5" s="194" t="s">
        <v>50</v>
      </c>
      <c r="AR5" s="194" t="s">
        <v>63</v>
      </c>
      <c r="AS5" s="194" t="s">
        <v>64</v>
      </c>
      <c r="AT5" s="194" t="s">
        <v>65</v>
      </c>
      <c r="AU5" s="206" t="s">
        <v>283</v>
      </c>
      <c r="AV5" s="194" t="s">
        <v>98</v>
      </c>
      <c r="AW5" s="194" t="s">
        <v>99</v>
      </c>
      <c r="AX5" s="194" t="s">
        <v>114</v>
      </c>
      <c r="AY5" s="197" t="s">
        <v>115</v>
      </c>
      <c r="AZ5" s="194">
        <v>2021</v>
      </c>
      <c r="BA5" s="197" t="s">
        <v>126</v>
      </c>
      <c r="BB5" s="197" t="s">
        <v>267</v>
      </c>
      <c r="BC5" s="197" t="s">
        <v>268</v>
      </c>
      <c r="BD5" s="197" t="s">
        <v>274</v>
      </c>
      <c r="BE5" s="206" t="s">
        <v>275</v>
      </c>
      <c r="BF5" s="206" t="s">
        <v>286</v>
      </c>
      <c r="BG5" s="206" t="s">
        <v>289</v>
      </c>
      <c r="BH5" s="206" t="s">
        <v>291</v>
      </c>
      <c r="BI5" s="206" t="s">
        <v>315</v>
      </c>
      <c r="BJ5" s="206" t="s">
        <v>316</v>
      </c>
      <c r="BK5" s="206" t="s">
        <v>321</v>
      </c>
      <c r="BL5" s="206" t="s">
        <v>323</v>
      </c>
    </row>
    <row r="6" spans="1:64" s="1" customFormat="1" ht="15" customHeight="1">
      <c r="A6" s="94" t="s">
        <v>127</v>
      </c>
      <c r="B6" s="8" t="str">
        <f>IF('Sumário | Summary'!P1=1,"Receita Bruta ","Gross Revenues")</f>
        <v xml:space="preserve">Receita Bruta </v>
      </c>
      <c r="C6" s="3">
        <v>51.412999999999997</v>
      </c>
      <c r="D6" s="3">
        <v>95.260668163717298</v>
      </c>
      <c r="E6" s="3">
        <v>61.805000000000007</v>
      </c>
      <c r="F6" s="3">
        <v>176.71537758555311</v>
      </c>
      <c r="G6" s="3">
        <v>385.1940457492704</v>
      </c>
      <c r="H6" s="3">
        <v>72.182000000000002</v>
      </c>
      <c r="I6" s="3">
        <v>92.830000000000013</v>
      </c>
      <c r="J6" s="3">
        <v>86.338000000000008</v>
      </c>
      <c r="K6" s="3">
        <v>83.233590599999999</v>
      </c>
      <c r="L6" s="3">
        <v>334.58359059999998</v>
      </c>
      <c r="M6" s="3">
        <v>97.687000000000012</v>
      </c>
      <c r="N6" s="3">
        <v>86.736000000000004</v>
      </c>
      <c r="O6" s="3">
        <v>120.82400000000001</v>
      </c>
      <c r="P6" s="3">
        <v>95.582999999999998</v>
      </c>
      <c r="Q6" s="3">
        <v>400.83</v>
      </c>
      <c r="R6" s="3">
        <v>87.722999999999999</v>
      </c>
      <c r="S6" s="3">
        <v>95.331999999999994</v>
      </c>
      <c r="T6" s="3">
        <v>114.43</v>
      </c>
      <c r="U6" s="3">
        <v>111.01270880300001</v>
      </c>
      <c r="V6" s="3">
        <v>408.49770880299997</v>
      </c>
      <c r="W6" s="3">
        <v>99.500907622903796</v>
      </c>
      <c r="X6" s="47">
        <v>96.757999999999981</v>
      </c>
      <c r="Y6" s="47">
        <v>131.274</v>
      </c>
      <c r="Z6" s="47">
        <v>121.82299999999999</v>
      </c>
      <c r="AA6" s="3">
        <v>449.35590762290383</v>
      </c>
      <c r="AB6" s="3">
        <v>103.931</v>
      </c>
      <c r="AC6" s="3">
        <v>114.249</v>
      </c>
      <c r="AD6" s="3">
        <v>138.06</v>
      </c>
      <c r="AE6" s="3">
        <v>118.57066837000002</v>
      </c>
      <c r="AF6" s="3">
        <v>474.81146158220872</v>
      </c>
      <c r="AG6" s="3">
        <v>110.6821831</v>
      </c>
      <c r="AH6" s="3">
        <v>174.34744369999999</v>
      </c>
      <c r="AI6" s="3">
        <v>118.29493011000002</v>
      </c>
      <c r="AJ6" s="3">
        <v>121.24484946000001</v>
      </c>
      <c r="AK6" s="3">
        <v>524.56940637000002</v>
      </c>
      <c r="AL6" s="35">
        <v>117.68633080000001</v>
      </c>
      <c r="AM6" s="35">
        <v>122.07761378000001</v>
      </c>
      <c r="AN6" s="35">
        <v>123.39279361999999</v>
      </c>
      <c r="AO6" s="35">
        <v>136.61400153</v>
      </c>
      <c r="AP6" s="35">
        <v>499.77073973</v>
      </c>
      <c r="AQ6" s="35">
        <v>136.57448825</v>
      </c>
      <c r="AR6" s="35">
        <v>102.82825524157074</v>
      </c>
      <c r="AS6" s="35">
        <v>152.62140886842926</v>
      </c>
      <c r="AT6" s="35">
        <v>137.19940855668673</v>
      </c>
      <c r="AU6" s="35">
        <v>529.22356091668678</v>
      </c>
      <c r="AV6" s="35">
        <v>131.89957053000001</v>
      </c>
      <c r="AW6" s="35">
        <v>132.16204399</v>
      </c>
      <c r="AX6" s="35">
        <v>140.05603486999996</v>
      </c>
      <c r="AY6" s="35">
        <v>2037.2580342724366</v>
      </c>
      <c r="AZ6" s="35">
        <v>2441.3756836624366</v>
      </c>
      <c r="BA6" s="35">
        <v>176.382619934448</v>
      </c>
      <c r="BB6" s="35">
        <v>128.15373717114201</v>
      </c>
      <c r="BC6" s="35">
        <v>128.46111733990995</v>
      </c>
      <c r="BD6" s="35">
        <v>142.79957443843904</v>
      </c>
      <c r="BE6" s="35">
        <v>575.79704888393906</v>
      </c>
      <c r="BF6" s="35">
        <v>118.78759779005199</v>
      </c>
      <c r="BG6" s="35">
        <v>119.25834112362799</v>
      </c>
      <c r="BH6" s="35">
        <v>120.69867275588</v>
      </c>
      <c r="BI6" s="35">
        <v>129.97936749409902</v>
      </c>
      <c r="BJ6" s="138">
        <v>488.72397916365895</v>
      </c>
      <c r="BK6" s="35">
        <v>123.03208470002801</v>
      </c>
      <c r="BL6" s="35">
        <v>1132.5772003320121</v>
      </c>
    </row>
    <row r="7" spans="1:64" s="1" customFormat="1" ht="15" customHeight="1">
      <c r="A7" t="s">
        <v>269</v>
      </c>
      <c r="B7" s="9" t="str">
        <f>IF('Sumário | Summary'!P1=1,"Locação de Edifícios Corporativos","Leases from Corporate Buildings")</f>
        <v>Locação de Edifícios Corporativos</v>
      </c>
      <c r="C7" s="4">
        <v>26.382999999999999</v>
      </c>
      <c r="D7" s="4">
        <v>27.302426239999999</v>
      </c>
      <c r="E7" s="4">
        <v>27.082000000000001</v>
      </c>
      <c r="F7" s="4">
        <v>30.759164299999998</v>
      </c>
      <c r="G7" s="4">
        <v>111.52659053999999</v>
      </c>
      <c r="H7" s="4">
        <v>30.245000000000001</v>
      </c>
      <c r="I7" s="4">
        <v>29.6</v>
      </c>
      <c r="J7" s="4">
        <v>29.902000000000001</v>
      </c>
      <c r="K7" s="4">
        <v>30.084236959999998</v>
      </c>
      <c r="L7" s="4">
        <v>119.83123696</v>
      </c>
      <c r="M7" s="4">
        <v>29.946999999999999</v>
      </c>
      <c r="N7" s="4">
        <v>29.888000000000002</v>
      </c>
      <c r="O7" s="4">
        <v>31.995000000000001</v>
      </c>
      <c r="P7" s="4">
        <v>31.196999999999999</v>
      </c>
      <c r="Q7" s="4">
        <v>123.027</v>
      </c>
      <c r="R7" s="4">
        <v>29.53</v>
      </c>
      <c r="S7" s="4">
        <v>29.846</v>
      </c>
      <c r="T7" s="4">
        <v>29.2</v>
      </c>
      <c r="U7" s="32">
        <v>29.883326649999987</v>
      </c>
      <c r="V7" s="4">
        <v>118.45932664999999</v>
      </c>
      <c r="W7" s="32">
        <v>29.55230955</v>
      </c>
      <c r="X7" s="32">
        <v>26.704999999999998</v>
      </c>
      <c r="Y7" s="52">
        <v>27.02</v>
      </c>
      <c r="Z7" s="36">
        <v>26.108000000000001</v>
      </c>
      <c r="AA7" s="4">
        <v>109.38530955</v>
      </c>
      <c r="AB7" s="32">
        <v>30.535</v>
      </c>
      <c r="AC7" s="32">
        <v>35.770000000000003</v>
      </c>
      <c r="AD7" s="32">
        <v>34.381999999999998</v>
      </c>
      <c r="AE7" s="32">
        <v>34.353082330000007</v>
      </c>
      <c r="AF7" s="32">
        <v>135.04063847292528</v>
      </c>
      <c r="AG7" s="32">
        <v>32.633711990000002</v>
      </c>
      <c r="AH7" s="32">
        <v>34.556175169999996</v>
      </c>
      <c r="AI7" s="32">
        <v>35.079223250000005</v>
      </c>
      <c r="AJ7" s="32">
        <v>34.538882860000001</v>
      </c>
      <c r="AK7" s="32">
        <v>136.80799326999997</v>
      </c>
      <c r="AL7" s="93">
        <v>35.618955540000002</v>
      </c>
      <c r="AM7" s="93">
        <v>35.509907179999992</v>
      </c>
      <c r="AN7" s="93">
        <v>36.923699749999997</v>
      </c>
      <c r="AO7" s="93">
        <v>36.880619779999996</v>
      </c>
      <c r="AP7" s="93">
        <v>144.93318225000002</v>
      </c>
      <c r="AQ7" s="93">
        <v>50.516973110000002</v>
      </c>
      <c r="AR7" s="93">
        <v>52.087722199999995</v>
      </c>
      <c r="AS7" s="93">
        <v>55.036615670000003</v>
      </c>
      <c r="AT7" s="93">
        <v>53.564904319999997</v>
      </c>
      <c r="AU7" s="93">
        <v>211.2062153</v>
      </c>
      <c r="AV7" s="93">
        <v>62.685896440000015</v>
      </c>
      <c r="AW7" s="93">
        <v>55.920591590000008</v>
      </c>
      <c r="AX7" s="93">
        <v>57.158231209999997</v>
      </c>
      <c r="AY7" s="93">
        <v>25.7843824115904</v>
      </c>
      <c r="AZ7" s="93">
        <v>201.54910165159041</v>
      </c>
      <c r="BA7" s="93">
        <v>23.863594190000001</v>
      </c>
      <c r="BB7" s="93">
        <v>24.258934119999999</v>
      </c>
      <c r="BC7" s="93">
        <v>22.849560320000005</v>
      </c>
      <c r="BD7" s="93">
        <v>25.415611590000001</v>
      </c>
      <c r="BE7" s="93">
        <v>96.387700219999999</v>
      </c>
      <c r="BF7" s="93">
        <v>23.63304144</v>
      </c>
      <c r="BG7" s="93">
        <v>24.52196691999999</v>
      </c>
      <c r="BH7" s="93">
        <v>25.144985500000011</v>
      </c>
      <c r="BI7" s="93">
        <v>25.128186539999994</v>
      </c>
      <c r="BJ7" s="93">
        <v>98.428180400000002</v>
      </c>
      <c r="BK7" s="93">
        <v>25.532983339999998</v>
      </c>
      <c r="BL7" s="93">
        <v>24.359518120000001</v>
      </c>
    </row>
    <row r="8" spans="1:64" s="1" customFormat="1" ht="15" customHeight="1">
      <c r="A8" t="s">
        <v>270</v>
      </c>
      <c r="B8" s="9" t="str">
        <f>IF('Sumário | Summary'!P1=1,"Shopping Centers","Leases from Shopping Centers")</f>
        <v>Shopping Centers</v>
      </c>
      <c r="C8" s="4">
        <v>10.435</v>
      </c>
      <c r="D8" s="4">
        <v>10.702166399999999</v>
      </c>
      <c r="E8" s="4">
        <v>10.6</v>
      </c>
      <c r="F8" s="4">
        <v>17.498571519999999</v>
      </c>
      <c r="G8" s="4">
        <v>49.235737919999998</v>
      </c>
      <c r="H8" s="4">
        <v>15.218999999999999</v>
      </c>
      <c r="I8" s="4">
        <v>15.419</v>
      </c>
      <c r="J8" s="4">
        <v>15.569000000000001</v>
      </c>
      <c r="K8" s="4">
        <v>19.220350639999999</v>
      </c>
      <c r="L8" s="4">
        <v>65.42735064</v>
      </c>
      <c r="M8" s="4">
        <v>28.587</v>
      </c>
      <c r="N8" s="4">
        <v>28.565000000000001</v>
      </c>
      <c r="O8" s="4">
        <v>29.74</v>
      </c>
      <c r="P8" s="4">
        <v>38.593000000000004</v>
      </c>
      <c r="Q8" s="4">
        <v>125.485</v>
      </c>
      <c r="R8" s="4">
        <v>31.17</v>
      </c>
      <c r="S8" s="4">
        <v>40.884999999999998</v>
      </c>
      <c r="T8" s="4">
        <v>43.5</v>
      </c>
      <c r="U8" s="32">
        <v>53.060700970000028</v>
      </c>
      <c r="V8" s="4">
        <v>168.61570097000003</v>
      </c>
      <c r="W8" s="32">
        <v>45.858123522903803</v>
      </c>
      <c r="X8" s="32">
        <v>46.692</v>
      </c>
      <c r="Y8" s="52">
        <v>48.517000000000003</v>
      </c>
      <c r="Z8" s="36">
        <v>41.338000000000001</v>
      </c>
      <c r="AA8" s="4">
        <v>182.40512352290381</v>
      </c>
      <c r="AB8" s="32">
        <v>52.322000000000003</v>
      </c>
      <c r="AC8" s="32">
        <v>56.216999999999999</v>
      </c>
      <c r="AD8" s="32">
        <v>51.835000000000001</v>
      </c>
      <c r="AE8" s="32">
        <v>58.730586040000027</v>
      </c>
      <c r="AF8" s="32">
        <v>219.10479174928344</v>
      </c>
      <c r="AG8" s="32">
        <v>55.154471109999996</v>
      </c>
      <c r="AH8" s="32">
        <v>54.810268529999995</v>
      </c>
      <c r="AI8" s="32">
        <v>60.166706860000005</v>
      </c>
      <c r="AJ8" s="32">
        <v>60.758966600000001</v>
      </c>
      <c r="AK8" s="32">
        <v>230.89041310000002</v>
      </c>
      <c r="AL8" s="93">
        <v>57.804375260000008</v>
      </c>
      <c r="AM8" s="93">
        <v>60.858706600000005</v>
      </c>
      <c r="AN8" s="93">
        <v>60.190093869999991</v>
      </c>
      <c r="AO8" s="93">
        <v>62.332381750000003</v>
      </c>
      <c r="AP8" s="93">
        <v>241.18555748</v>
      </c>
      <c r="AQ8" s="93">
        <v>61.143515139999998</v>
      </c>
      <c r="AR8" s="93">
        <v>43.117533041570738</v>
      </c>
      <c r="AS8" s="93">
        <v>46.866793198429264</v>
      </c>
      <c r="AT8" s="93">
        <v>60.236504236686727</v>
      </c>
      <c r="AU8" s="93">
        <v>211.36434561668673</v>
      </c>
      <c r="AV8" s="93">
        <v>53.50367408999999</v>
      </c>
      <c r="AW8" s="93">
        <v>58.534452399999999</v>
      </c>
      <c r="AX8" s="93">
        <v>60.653803659999973</v>
      </c>
      <c r="AY8" s="93">
        <v>77.687804762500022</v>
      </c>
      <c r="AZ8" s="93">
        <v>250.3797349125</v>
      </c>
      <c r="BA8" s="93">
        <v>71.022235190000018</v>
      </c>
      <c r="BB8" s="93">
        <v>73.140213720000006</v>
      </c>
      <c r="BC8" s="93">
        <v>73.866223729999945</v>
      </c>
      <c r="BD8" s="93">
        <v>82.480462169999981</v>
      </c>
      <c r="BE8" s="93">
        <v>300.50913480999998</v>
      </c>
      <c r="BF8" s="93">
        <v>63.972125999999996</v>
      </c>
      <c r="BG8" s="93">
        <v>62.989022099999993</v>
      </c>
      <c r="BH8" s="93">
        <v>62.403244310000012</v>
      </c>
      <c r="BI8" s="93">
        <v>67.262773630000012</v>
      </c>
      <c r="BJ8" s="93">
        <v>256.62716604000002</v>
      </c>
      <c r="BK8" s="93">
        <v>63.540088699999991</v>
      </c>
      <c r="BL8" s="93">
        <v>55.370998499999999</v>
      </c>
    </row>
    <row r="9" spans="1:64" s="1" customFormat="1" ht="15" customHeight="1">
      <c r="A9" t="s">
        <v>271</v>
      </c>
      <c r="B9" s="9" t="str">
        <f>IF('Sumário | Summary'!P1=1,"Locação de Centros de Distribuição","Leases from Distribution Centers")</f>
        <v>Locação de Centros de Distribuição</v>
      </c>
      <c r="C9" s="4">
        <v>2.2149999999999999</v>
      </c>
      <c r="D9" s="4">
        <v>2.3616230200000001</v>
      </c>
      <c r="E9" s="4">
        <v>2.2799999999999998</v>
      </c>
      <c r="F9" s="4">
        <v>2.3496207</v>
      </c>
      <c r="G9" s="4">
        <v>9.2062437199999998</v>
      </c>
      <c r="H9" s="4">
        <v>2.35</v>
      </c>
      <c r="I9" s="4">
        <v>2.3889999999999998</v>
      </c>
      <c r="J9" s="4">
        <v>2.46</v>
      </c>
      <c r="K9" s="4">
        <v>1.9824471400000001</v>
      </c>
      <c r="L9" s="4">
        <v>9.1814471399999995</v>
      </c>
      <c r="M9" s="4">
        <v>2.3210000000000002</v>
      </c>
      <c r="N9" s="4">
        <v>2.6040000000000001</v>
      </c>
      <c r="O9" s="4">
        <v>2.2330000000000001</v>
      </c>
      <c r="P9" s="4">
        <v>2.6930000000000001</v>
      </c>
      <c r="Q9" s="4">
        <v>9.8510000000000009</v>
      </c>
      <c r="R9" s="4">
        <v>2.6739999999999999</v>
      </c>
      <c r="S9" s="4">
        <v>1.6759999999999999</v>
      </c>
      <c r="T9" s="4">
        <v>1.7</v>
      </c>
      <c r="U9" s="32">
        <v>1.7645618100000007</v>
      </c>
      <c r="V9" s="4">
        <v>7.8145618100000007</v>
      </c>
      <c r="W9" s="32">
        <v>2.0792359899999999</v>
      </c>
      <c r="X9" s="32">
        <v>1.4339999999999999</v>
      </c>
      <c r="Y9" s="52">
        <v>0.08</v>
      </c>
      <c r="Z9" s="36">
        <v>0.74099999999999999</v>
      </c>
      <c r="AA9" s="4">
        <v>4.3342359899999998</v>
      </c>
      <c r="AB9" s="32">
        <v>0.755</v>
      </c>
      <c r="AC9" s="32">
        <v>0.78300000000000003</v>
      </c>
      <c r="AD9" s="32">
        <v>-0.80400000000000005</v>
      </c>
      <c r="AE9" s="32">
        <v>0</v>
      </c>
      <c r="AF9" s="32">
        <v>0.73403136000000024</v>
      </c>
      <c r="AG9" s="32">
        <v>0</v>
      </c>
      <c r="AH9" s="32">
        <v>0</v>
      </c>
      <c r="AI9" s="32">
        <v>0</v>
      </c>
      <c r="AJ9" s="32">
        <v>0</v>
      </c>
      <c r="AK9" s="32">
        <v>0</v>
      </c>
      <c r="AL9" s="93">
        <v>0</v>
      </c>
      <c r="AM9" s="93">
        <v>0</v>
      </c>
      <c r="AN9" s="93">
        <v>0</v>
      </c>
      <c r="AO9" s="93">
        <v>0</v>
      </c>
      <c r="AP9" s="93">
        <v>0</v>
      </c>
      <c r="AQ9" s="93">
        <v>0</v>
      </c>
      <c r="AR9" s="93">
        <v>0</v>
      </c>
      <c r="AS9" s="93">
        <v>0</v>
      </c>
      <c r="AT9" s="93">
        <v>0</v>
      </c>
      <c r="AU9" s="93">
        <v>0</v>
      </c>
      <c r="AV9" s="93">
        <v>0</v>
      </c>
      <c r="AW9" s="93">
        <v>0</v>
      </c>
      <c r="AX9" s="93">
        <v>0</v>
      </c>
      <c r="AY9" s="93">
        <v>0</v>
      </c>
      <c r="AZ9" s="93">
        <v>0</v>
      </c>
      <c r="BA9" s="93">
        <v>0</v>
      </c>
      <c r="BB9" s="93">
        <v>0</v>
      </c>
      <c r="BC9" s="93">
        <v>0</v>
      </c>
      <c r="BD9" s="93">
        <v>0</v>
      </c>
      <c r="BE9" s="93">
        <v>0</v>
      </c>
      <c r="BF9" s="93">
        <v>0</v>
      </c>
      <c r="BG9" s="93">
        <v>0</v>
      </c>
      <c r="BH9" s="93">
        <v>0</v>
      </c>
      <c r="BI9" s="93">
        <v>0</v>
      </c>
      <c r="BJ9" s="93">
        <v>0</v>
      </c>
      <c r="BK9" s="93">
        <v>0</v>
      </c>
      <c r="BL9" s="93">
        <v>0</v>
      </c>
    </row>
    <row r="10" spans="1:64" s="1" customFormat="1" ht="15" customHeight="1">
      <c r="A10" t="s">
        <v>272</v>
      </c>
      <c r="B10" s="9" t="str">
        <f>IF('Sumário | Summary'!P1=1,"Locação de outros empreendimentos","Leases of other projects")</f>
        <v>Locação de outros empreendimentos</v>
      </c>
      <c r="C10" s="4">
        <v>2.6080000000000001</v>
      </c>
      <c r="D10" s="4">
        <v>2.6538310093173099</v>
      </c>
      <c r="E10" s="4">
        <v>2.7</v>
      </c>
      <c r="F10" s="4">
        <v>2.8278985055531201</v>
      </c>
      <c r="G10" s="4">
        <v>10.78972951487043</v>
      </c>
      <c r="H10" s="4">
        <v>3.7850000000000001</v>
      </c>
      <c r="I10" s="4">
        <v>3.9849999999999999</v>
      </c>
      <c r="J10" s="4">
        <v>3.927</v>
      </c>
      <c r="K10" s="4">
        <v>3.7645500699999999</v>
      </c>
      <c r="L10" s="4">
        <v>15.461550069999999</v>
      </c>
      <c r="M10" s="4">
        <v>3.9540000000000002</v>
      </c>
      <c r="N10" s="4">
        <v>3.9790000000000001</v>
      </c>
      <c r="O10" s="4">
        <v>4.008</v>
      </c>
      <c r="P10" s="4">
        <v>4.0380000000000003</v>
      </c>
      <c r="Q10" s="4">
        <v>15.978999999999999</v>
      </c>
      <c r="R10" s="4">
        <v>4.1059999999999999</v>
      </c>
      <c r="S10" s="4">
        <v>4.1840000000000002</v>
      </c>
      <c r="T10" s="4">
        <v>4</v>
      </c>
      <c r="U10" s="32">
        <v>3.8624320200000017</v>
      </c>
      <c r="V10" s="4">
        <v>16.152432019999999</v>
      </c>
      <c r="W10" s="32">
        <v>4.3297807800000001</v>
      </c>
      <c r="X10" s="32">
        <v>4.3220000000000001</v>
      </c>
      <c r="Y10" s="52">
        <v>4.2889999999999997</v>
      </c>
      <c r="Z10" s="36">
        <v>4.3220000000000001</v>
      </c>
      <c r="AA10" s="4">
        <v>17.26278078</v>
      </c>
      <c r="AB10" s="32">
        <v>0</v>
      </c>
      <c r="AC10" s="32">
        <v>0</v>
      </c>
      <c r="AD10" s="32">
        <v>0</v>
      </c>
      <c r="AE10" s="32">
        <v>0</v>
      </c>
      <c r="AF10" s="32">
        <v>0</v>
      </c>
      <c r="AG10" s="32">
        <v>0</v>
      </c>
      <c r="AH10" s="32">
        <v>0</v>
      </c>
      <c r="AI10" s="32">
        <v>0</v>
      </c>
      <c r="AJ10" s="32">
        <v>0</v>
      </c>
      <c r="AK10" s="32">
        <v>0</v>
      </c>
      <c r="AL10" s="93">
        <v>0</v>
      </c>
      <c r="AM10" s="93">
        <v>0</v>
      </c>
      <c r="AN10" s="93">
        <v>0</v>
      </c>
      <c r="AO10" s="93">
        <v>0</v>
      </c>
      <c r="AP10" s="93">
        <v>0</v>
      </c>
      <c r="AQ10" s="93">
        <v>0</v>
      </c>
      <c r="AR10" s="93">
        <v>0</v>
      </c>
      <c r="AS10" s="93">
        <v>0</v>
      </c>
      <c r="AT10" s="93">
        <v>0</v>
      </c>
      <c r="AU10" s="93">
        <v>0</v>
      </c>
      <c r="AV10" s="93">
        <v>0</v>
      </c>
      <c r="AW10" s="93">
        <v>0</v>
      </c>
      <c r="AX10" s="93">
        <v>0</v>
      </c>
      <c r="AY10" s="93">
        <v>0</v>
      </c>
      <c r="AZ10" s="93">
        <v>0</v>
      </c>
      <c r="BA10" s="93">
        <v>0</v>
      </c>
      <c r="BB10" s="93">
        <v>0</v>
      </c>
      <c r="BC10" s="93">
        <v>0</v>
      </c>
      <c r="BD10" s="93">
        <v>0</v>
      </c>
      <c r="BE10" s="93">
        <v>0</v>
      </c>
      <c r="BF10" s="93">
        <v>0</v>
      </c>
      <c r="BG10" s="93">
        <v>0</v>
      </c>
      <c r="BH10" s="93">
        <v>0</v>
      </c>
      <c r="BI10" s="93">
        <v>0</v>
      </c>
      <c r="BJ10" s="93">
        <v>0</v>
      </c>
      <c r="BK10" s="93">
        <v>0</v>
      </c>
      <c r="BL10" s="93">
        <v>0</v>
      </c>
    </row>
    <row r="11" spans="1:64" s="1" customFormat="1" ht="15" customHeight="1">
      <c r="A11" s="187" t="s">
        <v>128</v>
      </c>
      <c r="B11" s="13" t="str">
        <f>IF('Sumário | Summary'!P1=1,"Prestação de serviços de Administração","Services Revenues")</f>
        <v>Prestação de serviços de Administração</v>
      </c>
      <c r="C11" s="4">
        <v>4.5250000000000004</v>
      </c>
      <c r="D11" s="4">
        <v>3.4247072994000001</v>
      </c>
      <c r="E11" s="4">
        <v>3.8140000000000001</v>
      </c>
      <c r="F11" s="4">
        <v>4.2584271400000002</v>
      </c>
      <c r="G11" s="4">
        <v>16.022134439399998</v>
      </c>
      <c r="H11" s="4">
        <v>4.7089999999999996</v>
      </c>
      <c r="I11" s="4">
        <v>19.021000000000001</v>
      </c>
      <c r="J11" s="4">
        <v>13.25</v>
      </c>
      <c r="K11" s="4">
        <v>13.157181639999999</v>
      </c>
      <c r="L11" s="4">
        <v>50.137181640000001</v>
      </c>
      <c r="M11" s="4">
        <v>11.412000000000001</v>
      </c>
      <c r="N11" s="4">
        <v>15.69</v>
      </c>
      <c r="O11" s="4">
        <v>15.48</v>
      </c>
      <c r="P11" s="4">
        <v>16.913</v>
      </c>
      <c r="Q11" s="4">
        <v>59.495000000000005</v>
      </c>
      <c r="R11" s="4">
        <v>17.282</v>
      </c>
      <c r="S11" s="4">
        <v>17.11</v>
      </c>
      <c r="T11" s="4">
        <v>18.23</v>
      </c>
      <c r="U11" s="32">
        <v>21.779825692999992</v>
      </c>
      <c r="V11" s="4">
        <v>74.401825692999992</v>
      </c>
      <c r="W11" s="32">
        <v>18.24645778</v>
      </c>
      <c r="X11" s="32">
        <v>18.010999999999999</v>
      </c>
      <c r="Y11" s="32">
        <v>20.215</v>
      </c>
      <c r="Z11" s="36">
        <v>22.329000000000001</v>
      </c>
      <c r="AA11" s="4">
        <v>78.801457779999993</v>
      </c>
      <c r="AB11" s="32">
        <v>20.306999999999999</v>
      </c>
      <c r="AC11" s="32">
        <v>21.405000000000001</v>
      </c>
      <c r="AD11" s="32">
        <v>20.959</v>
      </c>
      <c r="AE11" s="32">
        <v>25.487000000000002</v>
      </c>
      <c r="AF11" s="32">
        <v>88.158000000000001</v>
      </c>
      <c r="AG11" s="32">
        <v>22.893999999999998</v>
      </c>
      <c r="AH11" s="32">
        <v>22.581</v>
      </c>
      <c r="AI11" s="32">
        <v>23.048999999999999</v>
      </c>
      <c r="AJ11" s="32">
        <v>25.946999999999999</v>
      </c>
      <c r="AK11" s="32">
        <v>94.471000000000004</v>
      </c>
      <c r="AL11" s="93">
        <v>24.2634571</v>
      </c>
      <c r="AM11" s="93">
        <v>25.708449660000003</v>
      </c>
      <c r="AN11" s="93">
        <v>26.278680207651998</v>
      </c>
      <c r="AO11" s="93">
        <v>37.401663731394997</v>
      </c>
      <c r="AP11" s="93">
        <v>113.652250699047</v>
      </c>
      <c r="AQ11" s="93">
        <v>24.913685358053005</v>
      </c>
      <c r="AR11" s="93">
        <v>7.6235903819470003</v>
      </c>
      <c r="AS11" s="93">
        <v>14.117867341330003</v>
      </c>
      <c r="AT11" s="93">
        <v>23.398292503408005</v>
      </c>
      <c r="AU11" s="93">
        <v>70.053435584738011</v>
      </c>
      <c r="AV11" s="93">
        <v>15.710153267005001</v>
      </c>
      <c r="AW11" s="93">
        <v>17.706799342275001</v>
      </c>
      <c r="AX11" s="93">
        <v>22.244363728284</v>
      </c>
      <c r="AY11" s="93">
        <v>31.395397948345995</v>
      </c>
      <c r="AZ11" s="93">
        <v>87.056714285910004</v>
      </c>
      <c r="BA11" s="93">
        <v>27.995314644447994</v>
      </c>
      <c r="BB11" s="93">
        <v>30.716807281142003</v>
      </c>
      <c r="BC11" s="93">
        <v>31.745333289910008</v>
      </c>
      <c r="BD11" s="93">
        <v>34.903500678438988</v>
      </c>
      <c r="BE11" s="93">
        <v>125.36095589393898</v>
      </c>
      <c r="BF11" s="93">
        <v>31.182430350051995</v>
      </c>
      <c r="BG11" s="93">
        <v>32.972435073627999</v>
      </c>
      <c r="BH11" s="93">
        <v>33.150442945879988</v>
      </c>
      <c r="BI11" s="93">
        <v>37.588407324098995</v>
      </c>
      <c r="BJ11" s="93">
        <v>134.89371569365898</v>
      </c>
      <c r="BK11" s="93">
        <v>33.959012660028002</v>
      </c>
      <c r="BL11" s="93">
        <v>33.898683712011994</v>
      </c>
    </row>
    <row r="12" spans="1:64" s="1" customFormat="1" ht="15" customHeight="1">
      <c r="A12" s="187" t="s">
        <v>129</v>
      </c>
      <c r="B12" s="9" t="str">
        <f>IF('Sumário | Summary'!P1=1,"Vendas de Propriedades e Incorporação Imobiliária","Revenues from the Sale of Real Estate Properties")</f>
        <v>Vendas de Propriedades e Incorporação Imobiliária</v>
      </c>
      <c r="C12" s="4">
        <v>5.2469999999999999</v>
      </c>
      <c r="D12" s="4">
        <v>48.815914194999998</v>
      </c>
      <c r="E12" s="4">
        <v>15.329000000000001</v>
      </c>
      <c r="F12" s="4">
        <v>119.02169542</v>
      </c>
      <c r="G12" s="4">
        <v>188.41360961499998</v>
      </c>
      <c r="H12" s="4">
        <v>15.874000000000001</v>
      </c>
      <c r="I12" s="4">
        <v>22.416</v>
      </c>
      <c r="J12" s="4">
        <v>21.23</v>
      </c>
      <c r="K12" s="4">
        <v>15.024824150000001</v>
      </c>
      <c r="L12" s="4">
        <v>74.544824149999997</v>
      </c>
      <c r="M12" s="4">
        <v>21.466000000000001</v>
      </c>
      <c r="N12" s="4">
        <v>6.01</v>
      </c>
      <c r="O12" s="4">
        <v>37.368000000000002</v>
      </c>
      <c r="P12" s="4">
        <v>2.149</v>
      </c>
      <c r="Q12" s="4">
        <v>66.992999999999995</v>
      </c>
      <c r="R12" s="4">
        <v>2.9609999999999999</v>
      </c>
      <c r="S12" s="4">
        <v>1.631</v>
      </c>
      <c r="T12" s="4">
        <v>17.8</v>
      </c>
      <c r="U12" s="32">
        <v>0.66186166000000046</v>
      </c>
      <c r="V12" s="4">
        <v>23.053861659999999</v>
      </c>
      <c r="W12" s="32">
        <v>-0.56499999999999995</v>
      </c>
      <c r="X12" s="32">
        <v>-0.40600000000000003</v>
      </c>
      <c r="Y12" s="32">
        <v>31.152999999999999</v>
      </c>
      <c r="Z12" s="36">
        <v>26.984999999999999</v>
      </c>
      <c r="AA12" s="4">
        <v>57.167000000000002</v>
      </c>
      <c r="AB12" s="32">
        <v>1.2E-2</v>
      </c>
      <c r="AC12" s="32">
        <v>7.3999999999999996E-2</v>
      </c>
      <c r="AD12" s="32">
        <v>31.687999999999999</v>
      </c>
      <c r="AE12" s="32">
        <v>0</v>
      </c>
      <c r="AF12" s="32">
        <v>31.774000000000001</v>
      </c>
      <c r="AG12" s="32">
        <v>0</v>
      </c>
      <c r="AH12" s="32">
        <v>62.4</v>
      </c>
      <c r="AI12" s="32">
        <v>0</v>
      </c>
      <c r="AJ12" s="32">
        <v>0</v>
      </c>
      <c r="AK12" s="32">
        <v>62.4</v>
      </c>
      <c r="AL12" s="93">
        <v>0</v>
      </c>
      <c r="AM12" s="93">
        <v>0</v>
      </c>
      <c r="AN12" s="93">
        <v>0</v>
      </c>
      <c r="AO12" s="93">
        <v>0</v>
      </c>
      <c r="AP12" s="93">
        <v>0</v>
      </c>
      <c r="AQ12" s="93">
        <v>0</v>
      </c>
      <c r="AR12" s="93">
        <v>0</v>
      </c>
      <c r="AS12" s="93">
        <v>36.6</v>
      </c>
      <c r="AT12" s="93">
        <v>0</v>
      </c>
      <c r="AU12" s="93">
        <v>36.6</v>
      </c>
      <c r="AV12" s="93">
        <v>0</v>
      </c>
      <c r="AW12" s="93">
        <v>0</v>
      </c>
      <c r="AX12" s="93">
        <v>0</v>
      </c>
      <c r="AY12" s="93">
        <v>1902.3904491500002</v>
      </c>
      <c r="AZ12" s="93">
        <v>1902.3904491500002</v>
      </c>
      <c r="BA12" s="93">
        <v>53.501475910000003</v>
      </c>
      <c r="BB12" s="93">
        <v>3.7782050000000005E-2</v>
      </c>
      <c r="BC12" s="93">
        <v>0</v>
      </c>
      <c r="BD12" s="93">
        <v>0</v>
      </c>
      <c r="BE12" s="93">
        <v>53.53925796</v>
      </c>
      <c r="BF12" s="93">
        <v>0</v>
      </c>
      <c r="BG12" s="93">
        <v>-1.2250829699999999</v>
      </c>
      <c r="BH12" s="93">
        <v>0</v>
      </c>
      <c r="BI12" s="93">
        <v>0</v>
      </c>
      <c r="BJ12" s="93">
        <v>-1.2250829699999999</v>
      </c>
      <c r="BK12" s="93">
        <v>0</v>
      </c>
      <c r="BL12" s="93">
        <v>1018.948</v>
      </c>
    </row>
    <row r="13" spans="1:64" s="1" customFormat="1" ht="15" customHeight="1">
      <c r="A13" t="s">
        <v>130</v>
      </c>
      <c r="B13" s="9" t="str">
        <f>IF('Sumário | Summary'!P1=1,"Deduções da receita bruta","Deductions")</f>
        <v>Deduções da receita bruta</v>
      </c>
      <c r="C13" s="4">
        <v>-1.91</v>
      </c>
      <c r="D13" s="4">
        <v>-3.1405417299999998</v>
      </c>
      <c r="E13" s="4">
        <v>-1.679</v>
      </c>
      <c r="F13" s="4">
        <v>-5.6248449999999997</v>
      </c>
      <c r="G13" s="4">
        <v>-12.35438673</v>
      </c>
      <c r="H13" s="4">
        <v>-2.0009999999999999</v>
      </c>
      <c r="I13" s="4">
        <v>-4.29</v>
      </c>
      <c r="J13" s="4">
        <v>-3.0670000000000002</v>
      </c>
      <c r="K13" s="4">
        <v>-2.9318080000000002</v>
      </c>
      <c r="L13" s="4">
        <v>-12.289808000000001</v>
      </c>
      <c r="M13" s="4">
        <v>-3.3359999999999999</v>
      </c>
      <c r="N13" s="4">
        <v>-3.9940000000000002</v>
      </c>
      <c r="O13" s="4">
        <v>-5.3369999999999997</v>
      </c>
      <c r="P13" s="4">
        <v>-6.3019999999999996</v>
      </c>
      <c r="Q13" s="4">
        <v>-18.969000000000001</v>
      </c>
      <c r="R13" s="4">
        <v>-5.3550000000000004</v>
      </c>
      <c r="S13" s="4">
        <v>-4.4480000000000004</v>
      </c>
      <c r="T13" s="4">
        <v>-9.1</v>
      </c>
      <c r="U13" s="32">
        <v>-5.3129999999999997</v>
      </c>
      <c r="V13" s="4">
        <v>-24.215999999999998</v>
      </c>
      <c r="W13" s="32">
        <v>-6.72</v>
      </c>
      <c r="X13" s="32">
        <v>-6.4859999999999998</v>
      </c>
      <c r="Y13" s="32">
        <v>-7.36</v>
      </c>
      <c r="Z13" s="36">
        <v>-7.5380000000000003</v>
      </c>
      <c r="AA13" s="4">
        <v>-28.103999999999999</v>
      </c>
      <c r="AB13" s="52">
        <v>-5.8529999999999998</v>
      </c>
      <c r="AC13" s="52">
        <v>-7.34</v>
      </c>
      <c r="AD13" s="52">
        <v>-7.4989999999999997</v>
      </c>
      <c r="AE13" s="52">
        <v>-7.8470000000000004</v>
      </c>
      <c r="AF13" s="52">
        <v>-28.539000000000001</v>
      </c>
      <c r="AG13" s="52">
        <v>-6.1479999999999997</v>
      </c>
      <c r="AH13" s="52">
        <v>-8.4160000000000004</v>
      </c>
      <c r="AI13" s="52">
        <v>-10.548999999999999</v>
      </c>
      <c r="AJ13" s="52">
        <v>-9.69</v>
      </c>
      <c r="AK13" s="52">
        <v>-34.802999999999997</v>
      </c>
      <c r="AL13" s="93">
        <v>-5.3689398499999994</v>
      </c>
      <c r="AM13" s="93">
        <v>-7.7260119300000012</v>
      </c>
      <c r="AN13" s="93">
        <v>-7.7095896900000049</v>
      </c>
      <c r="AO13" s="93">
        <v>-8.1408238099999952</v>
      </c>
      <c r="AP13" s="93">
        <v>-28.945365280000001</v>
      </c>
      <c r="AQ13" s="93">
        <v>-6.6730595300000006</v>
      </c>
      <c r="AR13" s="93">
        <v>-9.7709133415707399</v>
      </c>
      <c r="AS13" s="93">
        <v>-12.351300158429268</v>
      </c>
      <c r="AT13" s="93">
        <v>-14.104889679999999</v>
      </c>
      <c r="AU13" s="93">
        <v>-42.900162710000004</v>
      </c>
      <c r="AV13" s="93">
        <v>-13.496971440000001</v>
      </c>
      <c r="AW13" s="93">
        <v>-19.325484747797518</v>
      </c>
      <c r="AX13" s="93">
        <v>-15.435473620000005</v>
      </c>
      <c r="AY13" s="93">
        <v>-87.006070532202443</v>
      </c>
      <c r="AZ13" s="93">
        <v>-73.746829687797543</v>
      </c>
      <c r="BA13" s="93">
        <v>-23.06596343</v>
      </c>
      <c r="BB13" s="93">
        <v>-27.575006349999999</v>
      </c>
      <c r="BC13" s="93">
        <v>-22.999270639999999</v>
      </c>
      <c r="BD13" s="93">
        <v>-27.6582422175508</v>
      </c>
      <c r="BE13" s="93">
        <v>-92.707323677550789</v>
      </c>
      <c r="BF13" s="93">
        <v>-19.537629079999999</v>
      </c>
      <c r="BG13" s="93">
        <v>-15.286338570000003</v>
      </c>
      <c r="BH13" s="93">
        <v>-14.789421790000008</v>
      </c>
      <c r="BI13" s="93">
        <v>-14.40305180999999</v>
      </c>
      <c r="BJ13" s="93">
        <v>-64.01644125</v>
      </c>
      <c r="BK13" s="93">
        <v>-10.62510449</v>
      </c>
      <c r="BL13" s="93">
        <v>-51.148229409999999</v>
      </c>
    </row>
    <row r="14" spans="1:64" s="1" customFormat="1" ht="15" customHeight="1">
      <c r="A14" s="187" t="s">
        <v>100</v>
      </c>
      <c r="B14" s="8" t="str">
        <f>IF('Sumário | Summary'!P1=1,"Receita Líquida","Net Operating Revenues")</f>
        <v>Receita Líquida</v>
      </c>
      <c r="C14" s="3">
        <v>49.503</v>
      </c>
      <c r="D14" s="3">
        <v>92.120126433717303</v>
      </c>
      <c r="E14" s="3">
        <v>60.126000000000005</v>
      </c>
      <c r="F14" s="3">
        <v>171.09053258555312</v>
      </c>
      <c r="G14" s="3">
        <v>372.83965901927041</v>
      </c>
      <c r="H14" s="3">
        <v>70.180999999999997</v>
      </c>
      <c r="I14" s="3">
        <v>88.54</v>
      </c>
      <c r="J14" s="3">
        <v>83.271000000000015</v>
      </c>
      <c r="K14" s="3">
        <v>80.301782599999996</v>
      </c>
      <c r="L14" s="3">
        <v>322.29378259999999</v>
      </c>
      <c r="M14" s="3">
        <v>94.351000000000013</v>
      </c>
      <c r="N14" s="3">
        <v>82.742000000000004</v>
      </c>
      <c r="O14" s="3">
        <v>115.48700000000001</v>
      </c>
      <c r="P14" s="3">
        <v>89.281000000000006</v>
      </c>
      <c r="Q14" s="3">
        <v>381.86099999999999</v>
      </c>
      <c r="R14" s="3">
        <v>82.367999999999995</v>
      </c>
      <c r="S14" s="3">
        <v>90.883999999999986</v>
      </c>
      <c r="T14" s="3">
        <v>105.33000000000001</v>
      </c>
      <c r="U14" s="3">
        <v>105.69970880300001</v>
      </c>
      <c r="V14" s="3">
        <v>384.28170880299996</v>
      </c>
      <c r="W14" s="3">
        <v>92.780907622903797</v>
      </c>
      <c r="X14" s="3">
        <v>90.271999999999977</v>
      </c>
      <c r="Y14" s="3">
        <v>123.914</v>
      </c>
      <c r="Z14" s="3">
        <v>114.285</v>
      </c>
      <c r="AA14" s="3">
        <v>421.24900000000002</v>
      </c>
      <c r="AB14" s="47">
        <v>98.078000000000003</v>
      </c>
      <c r="AC14" s="47">
        <v>106.90899999999999</v>
      </c>
      <c r="AD14" s="47">
        <v>130.56100000000001</v>
      </c>
      <c r="AE14" s="47">
        <v>110.72366837000003</v>
      </c>
      <c r="AF14" s="47">
        <v>446.27246158220873</v>
      </c>
      <c r="AG14" s="47">
        <v>104.53418310000001</v>
      </c>
      <c r="AH14" s="47">
        <v>165.93144369999999</v>
      </c>
      <c r="AI14" s="47">
        <v>107.74593011000002</v>
      </c>
      <c r="AJ14" s="47">
        <v>111.55484946000001</v>
      </c>
      <c r="AK14" s="47">
        <v>489.76640637000003</v>
      </c>
      <c r="AL14" s="138">
        <v>112.31733080000001</v>
      </c>
      <c r="AM14" s="138">
        <v>114.35161378000001</v>
      </c>
      <c r="AN14" s="138">
        <v>115.68279362</v>
      </c>
      <c r="AO14" s="138">
        <v>128.47400153000001</v>
      </c>
      <c r="AP14" s="138">
        <v>470.82573973000001</v>
      </c>
      <c r="AQ14" s="138">
        <v>129.90148825</v>
      </c>
      <c r="AR14" s="138">
        <v>93.057255241570743</v>
      </c>
      <c r="AS14" s="138">
        <v>140.27040886842926</v>
      </c>
      <c r="AT14" s="138">
        <v>123.09440855668673</v>
      </c>
      <c r="AU14" s="138">
        <v>486.32356091668674</v>
      </c>
      <c r="AV14" s="138">
        <v>118.40257053000001</v>
      </c>
      <c r="AW14" s="138">
        <v>112.83704399</v>
      </c>
      <c r="AX14" s="138">
        <v>124.62003486999996</v>
      </c>
      <c r="AY14" s="138">
        <v>1950.2519637402343</v>
      </c>
      <c r="AZ14" s="138">
        <v>2306.1116131302342</v>
      </c>
      <c r="BA14" s="138">
        <v>153.31665650444799</v>
      </c>
      <c r="BB14" s="138">
        <v>100.57873082114202</v>
      </c>
      <c r="BC14" s="138">
        <v>105.46184669991001</v>
      </c>
      <c r="BD14" s="138">
        <v>115.14133222088823</v>
      </c>
      <c r="BE14" s="138">
        <v>474.49856624638824</v>
      </c>
      <c r="BF14" s="138">
        <v>99.249968710052002</v>
      </c>
      <c r="BG14" s="138">
        <v>103.972002553628</v>
      </c>
      <c r="BH14" s="138">
        <v>105.90925096588001</v>
      </c>
      <c r="BI14" s="138">
        <v>115.576315684099</v>
      </c>
      <c r="BJ14" s="138">
        <v>424.70753791365894</v>
      </c>
      <c r="BK14" s="138">
        <v>112.40698021002798</v>
      </c>
      <c r="BL14" s="138">
        <f>SUM(BL7:BL13)</f>
        <v>1081.428970922012</v>
      </c>
    </row>
    <row r="15" spans="1:64" s="1" customFormat="1" ht="15" customHeight="1">
      <c r="A15" s="187" t="s">
        <v>131</v>
      </c>
      <c r="B15" s="9" t="str">
        <f>IF('Sumário | Summary'!P1=1,"Custo de Edifícios Corporativos","Corporate Buildings Cost")</f>
        <v>Custo de Edifícios Corporativos</v>
      </c>
      <c r="C15" s="35">
        <v>0</v>
      </c>
      <c r="D15" s="35">
        <v>0</v>
      </c>
      <c r="E15" s="35">
        <v>0</v>
      </c>
      <c r="F15" s="35">
        <v>0</v>
      </c>
      <c r="G15" s="35">
        <v>0</v>
      </c>
      <c r="H15" s="35">
        <v>0</v>
      </c>
      <c r="I15" s="35">
        <v>0</v>
      </c>
      <c r="J15" s="35">
        <v>0</v>
      </c>
      <c r="K15" s="35">
        <v>0</v>
      </c>
      <c r="L15" s="35">
        <v>0</v>
      </c>
      <c r="M15" s="36">
        <v>0</v>
      </c>
      <c r="N15" s="36">
        <v>0</v>
      </c>
      <c r="O15" s="36">
        <v>0</v>
      </c>
      <c r="P15" s="36">
        <v>0</v>
      </c>
      <c r="Q15" s="36">
        <v>0</v>
      </c>
      <c r="R15" s="36">
        <v>0</v>
      </c>
      <c r="S15" s="36">
        <v>0</v>
      </c>
      <c r="T15" s="36">
        <v>0</v>
      </c>
      <c r="U15" s="36">
        <v>0</v>
      </c>
      <c r="V15" s="36">
        <v>0</v>
      </c>
      <c r="W15" s="36">
        <v>-3.9960036799999998</v>
      </c>
      <c r="X15" s="93">
        <v>-4.0316553500000003</v>
      </c>
      <c r="Y15" s="36">
        <v>-3.7285662800000008</v>
      </c>
      <c r="Z15" s="36">
        <v>-3.3764086999999998</v>
      </c>
      <c r="AA15" s="36">
        <v>-15.752248260000002</v>
      </c>
      <c r="AB15" s="93">
        <v>-4.5593244200000003</v>
      </c>
      <c r="AC15" s="93">
        <v>-4.3566682700000001</v>
      </c>
      <c r="AD15" s="93">
        <v>-5.4784182099999992</v>
      </c>
      <c r="AE15" s="93">
        <v>-5.6691948900000009</v>
      </c>
      <c r="AF15" s="93">
        <v>-18.525959020000002</v>
      </c>
      <c r="AG15" s="93">
        <v>-4.6547677299999997</v>
      </c>
      <c r="AH15" s="93">
        <v>-3.9966535399999983</v>
      </c>
      <c r="AI15" s="93">
        <v>-5.1401033857554781</v>
      </c>
      <c r="AJ15" s="93">
        <v>-4.8413215700000007</v>
      </c>
      <c r="AK15" s="93">
        <v>-18.632846235755473</v>
      </c>
      <c r="AL15" s="93">
        <v>-2.8217688599999997</v>
      </c>
      <c r="AM15" s="93">
        <v>-4.2989959200000003</v>
      </c>
      <c r="AN15" s="93">
        <v>-4.6141236299999999</v>
      </c>
      <c r="AO15" s="93">
        <v>-4.38687834873335</v>
      </c>
      <c r="AP15" s="93">
        <v>-16.121766758733347</v>
      </c>
      <c r="AQ15" s="93">
        <v>-10.79829940304051</v>
      </c>
      <c r="AR15" s="93">
        <v>-10.03083058</v>
      </c>
      <c r="AS15" s="93">
        <v>-10.61788759</v>
      </c>
      <c r="AT15" s="93">
        <v>-12.547120070000004</v>
      </c>
      <c r="AU15" s="93">
        <v>-43.994137643040517</v>
      </c>
      <c r="AV15" s="93">
        <v>-13.384454270000001</v>
      </c>
      <c r="AW15" s="93">
        <v>-13.236872309999999</v>
      </c>
      <c r="AX15" s="93">
        <v>-13.413909779999999</v>
      </c>
      <c r="AY15" s="93">
        <v>-28.024409520000031</v>
      </c>
      <c r="AZ15" s="93">
        <v>-68.059645880000019</v>
      </c>
      <c r="BA15" s="93">
        <v>-9.1498104500000004</v>
      </c>
      <c r="BB15" s="93">
        <v>-9.5861931699999996</v>
      </c>
      <c r="BC15" s="93">
        <v>-8.8952172499999982</v>
      </c>
      <c r="BD15" s="93">
        <v>-11.344783470000014</v>
      </c>
      <c r="BE15" s="93">
        <v>-38.976004340000017</v>
      </c>
      <c r="BF15" s="93">
        <v>-10.695274020000001</v>
      </c>
      <c r="BG15" s="93">
        <v>-10.426523939999999</v>
      </c>
      <c r="BH15" s="93">
        <v>-9.2828264600000008</v>
      </c>
      <c r="BI15" s="93">
        <v>-9.5859067500000013</v>
      </c>
      <c r="BJ15" s="93">
        <v>-39.990531170000004</v>
      </c>
      <c r="BK15" s="93">
        <v>-9.7868032200000012</v>
      </c>
      <c r="BL15" s="93">
        <v>-10.341302920000002</v>
      </c>
    </row>
    <row r="16" spans="1:64" s="1" customFormat="1" ht="15" customHeight="1">
      <c r="A16" s="187" t="s">
        <v>132</v>
      </c>
      <c r="B16" s="9" t="str">
        <f>IF('Sumário | Summary'!P1=1,"Custo de Shopping Centers","Shopping Malls Cost")</f>
        <v>Custo de Shopping Centers</v>
      </c>
      <c r="C16" s="35">
        <v>0</v>
      </c>
      <c r="D16" s="35">
        <v>0</v>
      </c>
      <c r="E16" s="35">
        <v>0</v>
      </c>
      <c r="F16" s="35">
        <v>0</v>
      </c>
      <c r="G16" s="35">
        <v>0</v>
      </c>
      <c r="H16" s="35">
        <v>0</v>
      </c>
      <c r="I16" s="35">
        <v>0</v>
      </c>
      <c r="J16" s="35">
        <v>0</v>
      </c>
      <c r="K16" s="35">
        <v>0</v>
      </c>
      <c r="L16" s="35">
        <v>0</v>
      </c>
      <c r="M16" s="36">
        <v>0</v>
      </c>
      <c r="N16" s="36">
        <v>0</v>
      </c>
      <c r="O16" s="36">
        <v>0</v>
      </c>
      <c r="P16" s="36">
        <v>0</v>
      </c>
      <c r="Q16" s="36">
        <v>0</v>
      </c>
      <c r="R16" s="36">
        <v>0</v>
      </c>
      <c r="S16" s="36">
        <v>0</v>
      </c>
      <c r="T16" s="36">
        <v>0</v>
      </c>
      <c r="U16" s="36">
        <v>0</v>
      </c>
      <c r="V16" s="36">
        <v>0</v>
      </c>
      <c r="W16" s="36">
        <v>-13.012819540000001</v>
      </c>
      <c r="X16" s="93">
        <v>-15.044180460000002</v>
      </c>
      <c r="Y16" s="36">
        <v>-19.276023850000001</v>
      </c>
      <c r="Z16" s="36">
        <v>-20.151266760000002</v>
      </c>
      <c r="AA16" s="36">
        <v>-67.484369960000009</v>
      </c>
      <c r="AB16" s="93">
        <v>-20.469998608450002</v>
      </c>
      <c r="AC16" s="93">
        <v>-20.302652175349994</v>
      </c>
      <c r="AD16" s="93">
        <v>-20.027609605350001</v>
      </c>
      <c r="AE16" s="93">
        <v>-30.288456165350006</v>
      </c>
      <c r="AF16" s="93">
        <v>-92.626363324500005</v>
      </c>
      <c r="AG16" s="93">
        <v>-18.031505790000001</v>
      </c>
      <c r="AH16" s="93">
        <v>-20.413050829999996</v>
      </c>
      <c r="AI16" s="93">
        <v>-27.425717092531215</v>
      </c>
      <c r="AJ16" s="93">
        <v>-18.491329950000001</v>
      </c>
      <c r="AK16" s="93">
        <v>-84.361603662531209</v>
      </c>
      <c r="AL16" s="93">
        <v>-19.864552840000002</v>
      </c>
      <c r="AM16" s="93">
        <v>-17.769771889999998</v>
      </c>
      <c r="AN16" s="93">
        <v>-17.617860014335939</v>
      </c>
      <c r="AO16" s="93">
        <v>-19.021993219999995</v>
      </c>
      <c r="AP16" s="93">
        <v>-74.274177964335919</v>
      </c>
      <c r="AQ16" s="93">
        <v>-18.010454230000004</v>
      </c>
      <c r="AR16" s="93">
        <v>-20.81733504</v>
      </c>
      <c r="AS16" s="93">
        <v>-20.037451239999999</v>
      </c>
      <c r="AT16" s="93">
        <v>-22.22274024</v>
      </c>
      <c r="AU16" s="93">
        <v>-81.08798075</v>
      </c>
      <c r="AV16" s="93">
        <v>-19.121760170000002</v>
      </c>
      <c r="AW16" s="93">
        <v>-18.894014089999999</v>
      </c>
      <c r="AX16" s="93">
        <v>-18.25259522</v>
      </c>
      <c r="AY16" s="93">
        <v>-16.780664449999996</v>
      </c>
      <c r="AZ16" s="93">
        <v>-73.049033930000007</v>
      </c>
      <c r="BA16" s="93">
        <v>-18.6471132</v>
      </c>
      <c r="BB16" s="93">
        <v>-15.62725174</v>
      </c>
      <c r="BC16" s="93">
        <v>-18.554863339999997</v>
      </c>
      <c r="BD16" s="93">
        <v>-17.063552639999994</v>
      </c>
      <c r="BE16" s="93">
        <v>-69.892780919999993</v>
      </c>
      <c r="BF16" s="93">
        <v>-16.66157166</v>
      </c>
      <c r="BG16" s="93">
        <v>-17.295073609999999</v>
      </c>
      <c r="BH16" s="93">
        <v>-14.059595379999992</v>
      </c>
      <c r="BI16" s="93">
        <v>-14.714622129999997</v>
      </c>
      <c r="BJ16" s="93">
        <v>-62.730862779999988</v>
      </c>
      <c r="BK16" s="93">
        <v>-13.723795920000001</v>
      </c>
      <c r="BL16" s="93">
        <v>-132.02054643530388</v>
      </c>
    </row>
    <row r="17" spans="1:64" s="1" customFormat="1" ht="15" customHeight="1">
      <c r="A17" s="187" t="s">
        <v>101</v>
      </c>
      <c r="B17" s="131" t="str">
        <f>IF('Sumário | Summary'!P1=1,"Custo de Galpões Logísticos","Distribution Centers Cost")</f>
        <v>Custo de Galpões Logísticos</v>
      </c>
      <c r="C17" s="35">
        <v>0</v>
      </c>
      <c r="D17" s="35">
        <v>0</v>
      </c>
      <c r="E17" s="35">
        <v>0</v>
      </c>
      <c r="F17" s="35">
        <v>0</v>
      </c>
      <c r="G17" s="35">
        <v>0</v>
      </c>
      <c r="H17" s="35">
        <v>0</v>
      </c>
      <c r="I17" s="35">
        <v>0</v>
      </c>
      <c r="J17" s="35">
        <v>0</v>
      </c>
      <c r="K17" s="35">
        <v>0</v>
      </c>
      <c r="L17" s="35">
        <v>0</v>
      </c>
      <c r="M17" s="36">
        <v>0</v>
      </c>
      <c r="N17" s="36">
        <v>0</v>
      </c>
      <c r="O17" s="36">
        <v>0</v>
      </c>
      <c r="P17" s="36">
        <v>0</v>
      </c>
      <c r="Q17" s="36">
        <v>0</v>
      </c>
      <c r="R17" s="36">
        <v>0</v>
      </c>
      <c r="S17" s="36">
        <v>0</v>
      </c>
      <c r="T17" s="36">
        <v>0</v>
      </c>
      <c r="U17" s="36">
        <v>0</v>
      </c>
      <c r="V17" s="36">
        <v>0</v>
      </c>
      <c r="W17" s="36">
        <v>-1.1934094399999999</v>
      </c>
      <c r="X17" s="93">
        <v>-0.44293153000000002</v>
      </c>
      <c r="Y17" s="36">
        <v>-0.24931998</v>
      </c>
      <c r="Z17" s="36">
        <v>-0.76865866999999988</v>
      </c>
      <c r="AA17" s="36">
        <v>-1.7385870700000001</v>
      </c>
      <c r="AB17" s="93">
        <v>-0.17547455000000003</v>
      </c>
      <c r="AC17" s="93">
        <v>-0.19283342000000017</v>
      </c>
      <c r="AD17" s="93">
        <v>-0.81483243666666705</v>
      </c>
      <c r="AE17" s="93">
        <v>-0.24733496999999996</v>
      </c>
      <c r="AF17" s="93">
        <v>-1.4304753766666671</v>
      </c>
      <c r="AG17" s="93">
        <v>-0.14696628</v>
      </c>
      <c r="AH17" s="93">
        <v>-0.15109148999999999</v>
      </c>
      <c r="AI17" s="93">
        <v>0.29805777</v>
      </c>
      <c r="AJ17" s="32">
        <v>0</v>
      </c>
      <c r="AK17" s="32">
        <v>0</v>
      </c>
      <c r="AL17" s="93">
        <v>0</v>
      </c>
      <c r="AM17" s="93">
        <v>0</v>
      </c>
      <c r="AN17" s="93">
        <v>0</v>
      </c>
      <c r="AO17" s="93">
        <v>0</v>
      </c>
      <c r="AP17" s="93">
        <v>0</v>
      </c>
      <c r="AQ17" s="93">
        <v>0</v>
      </c>
      <c r="AR17" s="93">
        <v>0</v>
      </c>
      <c r="AS17" s="93">
        <v>0</v>
      </c>
      <c r="AT17" s="93">
        <v>0</v>
      </c>
      <c r="AU17" s="93">
        <v>0</v>
      </c>
      <c r="AV17" s="93">
        <v>0</v>
      </c>
      <c r="AW17" s="93">
        <v>0</v>
      </c>
      <c r="AX17" s="93">
        <v>0</v>
      </c>
      <c r="AY17" s="93">
        <v>0</v>
      </c>
      <c r="AZ17" s="93">
        <v>0</v>
      </c>
      <c r="BA17" s="93">
        <v>0</v>
      </c>
      <c r="BB17" s="93">
        <v>0</v>
      </c>
      <c r="BC17" s="93">
        <v>0</v>
      </c>
      <c r="BD17" s="93">
        <v>0</v>
      </c>
      <c r="BE17" s="93">
        <v>0</v>
      </c>
      <c r="BF17" s="93">
        <v>0</v>
      </c>
      <c r="BG17" s="93">
        <v>0</v>
      </c>
      <c r="BH17" s="93">
        <v>0</v>
      </c>
      <c r="BI17" s="93">
        <v>0</v>
      </c>
      <c r="BJ17" s="93">
        <v>0</v>
      </c>
      <c r="BK17" s="93">
        <v>0</v>
      </c>
      <c r="BL17" s="93">
        <v>0</v>
      </c>
    </row>
    <row r="18" spans="1:64" s="1" customFormat="1" ht="15" customHeight="1">
      <c r="A18" t="s">
        <v>285</v>
      </c>
      <c r="B18" s="9" t="str">
        <f>IF('Sumário | Summary'!P1=1,"Prestação de Serviços","Services")</f>
        <v>Prestação de Serviços</v>
      </c>
      <c r="C18" s="35">
        <v>0</v>
      </c>
      <c r="D18" s="35">
        <v>0</v>
      </c>
      <c r="E18" s="35">
        <v>0</v>
      </c>
      <c r="F18" s="35">
        <v>0</v>
      </c>
      <c r="G18" s="35">
        <v>0</v>
      </c>
      <c r="H18" s="35">
        <v>0</v>
      </c>
      <c r="I18" s="35">
        <v>0</v>
      </c>
      <c r="J18" s="35">
        <v>0</v>
      </c>
      <c r="K18" s="35">
        <v>0</v>
      </c>
      <c r="L18" s="35">
        <v>0</v>
      </c>
      <c r="M18" s="36">
        <v>0</v>
      </c>
      <c r="N18" s="36">
        <v>0</v>
      </c>
      <c r="O18" s="36">
        <v>0</v>
      </c>
      <c r="P18" s="36">
        <v>0</v>
      </c>
      <c r="Q18" s="36">
        <v>0</v>
      </c>
      <c r="R18" s="36">
        <v>0</v>
      </c>
      <c r="S18" s="36">
        <v>0</v>
      </c>
      <c r="T18" s="36">
        <v>0</v>
      </c>
      <c r="U18" s="36">
        <v>0</v>
      </c>
      <c r="V18" s="36">
        <v>0</v>
      </c>
      <c r="W18" s="36">
        <v>-2.2245823700000003</v>
      </c>
      <c r="X18" s="93">
        <v>-1.8428726799999993</v>
      </c>
      <c r="Y18" s="36">
        <v>-1.6721688199999998</v>
      </c>
      <c r="Z18" s="36">
        <v>-1.9030197600000001</v>
      </c>
      <c r="AA18" s="36">
        <v>-7.6426436299999994</v>
      </c>
      <c r="AB18" s="93">
        <v>-1.7358887399999998</v>
      </c>
      <c r="AC18" s="93">
        <v>-1.6155970199999998</v>
      </c>
      <c r="AD18" s="93">
        <v>-1.8647017299999999</v>
      </c>
      <c r="AE18" s="93">
        <v>-1.8290177699999997</v>
      </c>
      <c r="AF18" s="93">
        <v>-7.0452052599999995</v>
      </c>
      <c r="AG18" s="93">
        <v>-2.6078126400000006</v>
      </c>
      <c r="AH18" s="93">
        <v>-1.3854131600000006</v>
      </c>
      <c r="AI18" s="93">
        <v>-1.8414797200000004</v>
      </c>
      <c r="AJ18" s="93">
        <v>-2.0438276600000003</v>
      </c>
      <c r="AK18" s="93">
        <v>-7.8785331800000016</v>
      </c>
      <c r="AL18" s="93">
        <v>-16.985086239999983</v>
      </c>
      <c r="AM18" s="93">
        <v>-17.787392089999987</v>
      </c>
      <c r="AN18" s="93">
        <v>-18.380101450000002</v>
      </c>
      <c r="AO18" s="93">
        <v>-1.845</v>
      </c>
      <c r="AP18" s="93">
        <v>57.509325249999996</v>
      </c>
      <c r="AQ18" s="93">
        <v>-1.8926693599999957</v>
      </c>
      <c r="AR18" s="93">
        <v>-3.96457389</v>
      </c>
      <c r="AS18" s="93">
        <v>-2.8319999999999999</v>
      </c>
      <c r="AT18" s="93">
        <v>-6.2112996899999988</v>
      </c>
      <c r="AU18" s="93">
        <v>20.347903829401599</v>
      </c>
      <c r="AV18" s="93">
        <v>-4.1733542999999989</v>
      </c>
      <c r="AW18" s="93">
        <v>-4.9820669500000001</v>
      </c>
      <c r="AX18" s="93">
        <v>-4.9250410599999999</v>
      </c>
      <c r="AY18" s="93">
        <v>-9.3446125900000006</v>
      </c>
      <c r="AZ18" s="93">
        <v>-22.444379260000009</v>
      </c>
      <c r="BA18" s="93">
        <v>-4.2550171999999966</v>
      </c>
      <c r="BB18" s="93">
        <v>-8.3656043199999992</v>
      </c>
      <c r="BC18" s="93">
        <v>-3.7805615200000009</v>
      </c>
      <c r="BD18" s="93">
        <v>-7.3860992300000285</v>
      </c>
      <c r="BE18" s="93">
        <v>-23.787282270000023</v>
      </c>
      <c r="BF18" s="93">
        <v>-6.7401640200000017</v>
      </c>
      <c r="BG18" s="93">
        <v>-3.2357253999999975</v>
      </c>
      <c r="BH18" s="93">
        <v>-3.724139799999997</v>
      </c>
      <c r="BI18" s="93">
        <v>-3.65389794000001</v>
      </c>
      <c r="BJ18" s="93">
        <v>-17.353927160000005</v>
      </c>
      <c r="BK18" s="93">
        <v>-3.2110805699999947</v>
      </c>
      <c r="BL18" s="93">
        <v>-3.5057942900000016</v>
      </c>
    </row>
    <row r="19" spans="1:64" s="1" customFormat="1" ht="15" customHeight="1">
      <c r="A19" t="s">
        <v>133</v>
      </c>
      <c r="B19" s="9" t="str">
        <f>IF('Sumário | Summary'!P1=1,"Estacionamento","Parking Lot")</f>
        <v>Estacionamento</v>
      </c>
      <c r="C19" s="35">
        <v>0</v>
      </c>
      <c r="D19" s="35">
        <v>0</v>
      </c>
      <c r="E19" s="35">
        <v>0</v>
      </c>
      <c r="F19" s="35">
        <v>0</v>
      </c>
      <c r="G19" s="35">
        <v>0</v>
      </c>
      <c r="H19" s="35">
        <v>0</v>
      </c>
      <c r="I19" s="35">
        <v>0</v>
      </c>
      <c r="J19" s="35">
        <v>0</v>
      </c>
      <c r="K19" s="35">
        <v>0</v>
      </c>
      <c r="L19" s="35">
        <v>0</v>
      </c>
      <c r="M19" s="36">
        <v>0</v>
      </c>
      <c r="N19" s="36">
        <v>0</v>
      </c>
      <c r="O19" s="36">
        <v>0</v>
      </c>
      <c r="P19" s="36">
        <v>0</v>
      </c>
      <c r="Q19" s="36">
        <v>0</v>
      </c>
      <c r="R19" s="36">
        <v>0</v>
      </c>
      <c r="S19" s="36">
        <v>0</v>
      </c>
      <c r="T19" s="36">
        <v>0</v>
      </c>
      <c r="U19" s="36">
        <v>0</v>
      </c>
      <c r="V19" s="36">
        <v>0</v>
      </c>
      <c r="W19" s="36">
        <v>-11.0278589855</v>
      </c>
      <c r="X19" s="93">
        <v>-11.684404789999999</v>
      </c>
      <c r="Y19" s="36">
        <v>-10.13201193000001</v>
      </c>
      <c r="Z19" s="36">
        <v>-12.596238319999989</v>
      </c>
      <c r="AA19" s="36">
        <v>-45.440514025500001</v>
      </c>
      <c r="AB19" s="93">
        <v>-11.744310510000005</v>
      </c>
      <c r="AC19" s="93">
        <v>-12.27792769000002</v>
      </c>
      <c r="AD19" s="93">
        <v>-12.057667079999995</v>
      </c>
      <c r="AE19" s="93">
        <v>-13.593656710000012</v>
      </c>
      <c r="AF19" s="93">
        <v>-49.673561990000024</v>
      </c>
      <c r="AG19" s="93">
        <v>-12.899848279999995</v>
      </c>
      <c r="AH19" s="93">
        <v>-13.259218759999987</v>
      </c>
      <c r="AI19" s="93">
        <v>-13.463760979999993</v>
      </c>
      <c r="AJ19" s="93">
        <v>-15.027486749999982</v>
      </c>
      <c r="AK19" s="93">
        <v>-54.650314769999966</v>
      </c>
      <c r="AL19" s="93">
        <v>0</v>
      </c>
      <c r="AM19" s="93">
        <v>0</v>
      </c>
      <c r="AN19" s="93">
        <v>0</v>
      </c>
      <c r="AO19" s="93">
        <v>-17.867999999999999</v>
      </c>
      <c r="AP19" s="93">
        <v>-65.187108129999999</v>
      </c>
      <c r="AQ19" s="93">
        <v>-15.822246450000002</v>
      </c>
      <c r="AR19" s="93">
        <v>-3.7970222200000019</v>
      </c>
      <c r="AS19" s="93">
        <v>-4.3814390600000017</v>
      </c>
      <c r="AT19" s="93">
        <v>-11.247448759999999</v>
      </c>
      <c r="AU19" s="93">
        <v>-35.2481564694016</v>
      </c>
      <c r="AV19" s="93">
        <v>-8.6140358899999949</v>
      </c>
      <c r="AW19" s="93">
        <v>-6.9133859799999993</v>
      </c>
      <c r="AX19" s="93">
        <v>-10.927970349999994</v>
      </c>
      <c r="AY19" s="93">
        <v>-15.236717499999999</v>
      </c>
      <c r="AZ19" s="93">
        <v>-41.692109719999983</v>
      </c>
      <c r="BA19" s="93">
        <v>-14.675811400000001</v>
      </c>
      <c r="BB19" s="93">
        <v>-15.897009429999999</v>
      </c>
      <c r="BC19" s="93">
        <v>-16.794955560000009</v>
      </c>
      <c r="BD19" s="93">
        <v>-20.684325820000005</v>
      </c>
      <c r="BE19" s="93">
        <v>-68.052102210000015</v>
      </c>
      <c r="BF19" s="93">
        <v>-15.794096360000005</v>
      </c>
      <c r="BG19" s="93">
        <v>-17.272593429999986</v>
      </c>
      <c r="BH19" s="93">
        <v>-17.341976940000009</v>
      </c>
      <c r="BI19" s="93">
        <v>-19.458552910000012</v>
      </c>
      <c r="BJ19" s="93">
        <v>-69.867219640000016</v>
      </c>
      <c r="BK19" s="93">
        <v>-19.073463560000015</v>
      </c>
      <c r="BL19" s="93">
        <v>-17.785351450000014</v>
      </c>
    </row>
    <row r="20" spans="1:64" s="1" customFormat="1" ht="15" customHeight="1">
      <c r="A20" t="s">
        <v>134</v>
      </c>
      <c r="B20" s="131" t="str">
        <f>IF('Sumário | Summary'!P1=1,"Vendas de Propriedades","Real Estate Sales and Development")</f>
        <v>Vendas de Propriedades</v>
      </c>
      <c r="C20" s="35">
        <v>0</v>
      </c>
      <c r="D20" s="35">
        <v>0</v>
      </c>
      <c r="E20" s="35">
        <v>0</v>
      </c>
      <c r="F20" s="35">
        <v>0</v>
      </c>
      <c r="G20" s="35">
        <v>0</v>
      </c>
      <c r="H20" s="35">
        <v>0</v>
      </c>
      <c r="I20" s="35">
        <v>0</v>
      </c>
      <c r="J20" s="35">
        <v>0</v>
      </c>
      <c r="K20" s="35">
        <v>0</v>
      </c>
      <c r="L20" s="35">
        <v>0</v>
      </c>
      <c r="M20" s="36">
        <v>0</v>
      </c>
      <c r="N20" s="36">
        <v>0</v>
      </c>
      <c r="O20" s="36">
        <v>0</v>
      </c>
      <c r="P20" s="36">
        <v>0</v>
      </c>
      <c r="Q20" s="36">
        <v>0</v>
      </c>
      <c r="R20" s="36">
        <v>0</v>
      </c>
      <c r="S20" s="36">
        <v>0</v>
      </c>
      <c r="T20" s="36">
        <v>0</v>
      </c>
      <c r="U20" s="36">
        <v>0</v>
      </c>
      <c r="V20" s="36">
        <v>0</v>
      </c>
      <c r="W20" s="132" t="s">
        <v>18</v>
      </c>
      <c r="X20" s="93">
        <v>0.16898404</v>
      </c>
      <c r="Y20" s="36">
        <v>-16.969838720000002</v>
      </c>
      <c r="Z20" s="36">
        <v>-8.3588881799999992</v>
      </c>
      <c r="AA20" s="36">
        <v>-25.626874390000001</v>
      </c>
      <c r="AB20" s="132" t="s">
        <v>18</v>
      </c>
      <c r="AC20" s="93">
        <v>-2.9762489999999999E-2</v>
      </c>
      <c r="AD20" s="93">
        <v>-17.44299526</v>
      </c>
      <c r="AE20" s="93">
        <v>1.999999999679858E-8</v>
      </c>
      <c r="AF20" s="93">
        <v>-17.494390640000002</v>
      </c>
      <c r="AG20" s="93">
        <v>-9.9999999983992899E-9</v>
      </c>
      <c r="AH20" s="93">
        <v>-41.012008459999997</v>
      </c>
      <c r="AI20" s="93">
        <v>1.6</v>
      </c>
      <c r="AJ20" s="32">
        <v>0</v>
      </c>
      <c r="AK20" s="93">
        <v>-39.412008450000002</v>
      </c>
      <c r="AL20" s="93">
        <v>0</v>
      </c>
      <c r="AM20" s="93">
        <v>0</v>
      </c>
      <c r="AN20" s="93">
        <v>0</v>
      </c>
      <c r="AO20" s="93">
        <v>0</v>
      </c>
      <c r="AP20" s="93">
        <v>0</v>
      </c>
      <c r="AQ20" s="93">
        <v>0</v>
      </c>
      <c r="AR20" s="93">
        <v>0</v>
      </c>
      <c r="AS20" s="93">
        <v>-4.49781108</v>
      </c>
      <c r="AT20" s="93">
        <v>0</v>
      </c>
      <c r="AU20" s="93">
        <v>-4.49781108</v>
      </c>
      <c r="AV20" s="93">
        <v>0</v>
      </c>
      <c r="AW20" s="93">
        <v>0</v>
      </c>
      <c r="AX20" s="93">
        <v>0</v>
      </c>
      <c r="AY20" s="93">
        <v>-434.93122892999997</v>
      </c>
      <c r="AZ20" s="93">
        <v>-434.93122892999997</v>
      </c>
      <c r="BA20" s="93">
        <v>-53.53925796</v>
      </c>
      <c r="BB20" s="93">
        <v>0</v>
      </c>
      <c r="BC20" s="93">
        <v>0</v>
      </c>
      <c r="BD20" s="93">
        <v>0</v>
      </c>
      <c r="BE20" s="93">
        <v>-53.53925796</v>
      </c>
      <c r="BF20" s="93">
        <v>0</v>
      </c>
      <c r="BG20" s="93">
        <v>0</v>
      </c>
      <c r="BH20" s="93">
        <v>0</v>
      </c>
      <c r="BI20" s="93">
        <v>0</v>
      </c>
      <c r="BJ20" s="93">
        <v>0</v>
      </c>
      <c r="BK20" s="93">
        <v>0</v>
      </c>
      <c r="BL20" s="93">
        <v>-497.65967388000001</v>
      </c>
    </row>
    <row r="21" spans="1:64" s="1" customFormat="1" ht="15" customHeight="1">
      <c r="A21" s="187" t="s">
        <v>102</v>
      </c>
      <c r="B21" s="8" t="str">
        <f>IF('Sumário | Summary'!P1=1,"Custo de locação, vendas e serviços prestados","Costs of Leases, Sales and Services")</f>
        <v>Custo de locação, vendas e serviços prestados</v>
      </c>
      <c r="C21" s="3">
        <v>-9.9559999999999995</v>
      </c>
      <c r="D21" s="3">
        <v>-29.528749000000001</v>
      </c>
      <c r="E21" s="3">
        <v>-18.638999999999999</v>
      </c>
      <c r="F21" s="3">
        <v>-95.173762999999994</v>
      </c>
      <c r="G21" s="3">
        <v>-153.29751199999998</v>
      </c>
      <c r="H21" s="3">
        <v>-16.895</v>
      </c>
      <c r="I21" s="3">
        <v>-32.146000000000001</v>
      </c>
      <c r="J21" s="3">
        <v>-27.654</v>
      </c>
      <c r="K21" s="3">
        <v>-20.611464000000002</v>
      </c>
      <c r="L21" s="3">
        <v>-97.306463999999991</v>
      </c>
      <c r="M21" s="3">
        <v>-25.983000000000001</v>
      </c>
      <c r="N21" s="3">
        <v>-31.149000000000001</v>
      </c>
      <c r="O21" s="3">
        <v>-46.253</v>
      </c>
      <c r="P21" s="3">
        <v>-25.606999999999999</v>
      </c>
      <c r="Q21" s="3">
        <v>-128.99200000000002</v>
      </c>
      <c r="R21" s="3">
        <v>-29.241</v>
      </c>
      <c r="S21" s="3">
        <v>-29.925000000000001</v>
      </c>
      <c r="T21" s="3">
        <v>-36.4</v>
      </c>
      <c r="U21" s="3">
        <v>-35.226999999999997</v>
      </c>
      <c r="V21" s="3">
        <v>-130.79300000000001</v>
      </c>
      <c r="W21" s="3">
        <v>-31.623999999999999</v>
      </c>
      <c r="X21" s="3">
        <v>-32.880000000000003</v>
      </c>
      <c r="Y21" s="3">
        <v>-52.027000000000001</v>
      </c>
      <c r="Z21" s="35">
        <v>-47.154000000000003</v>
      </c>
      <c r="AA21" s="3">
        <v>-163.685</v>
      </c>
      <c r="AB21" s="47">
        <v>-38.706000000000003</v>
      </c>
      <c r="AC21" s="47">
        <v>-38.777000000000001</v>
      </c>
      <c r="AD21" s="47">
        <v>-57.685000000000002</v>
      </c>
      <c r="AE21" s="47">
        <v>-51.628999999999998</v>
      </c>
      <c r="AF21" s="47">
        <v>-186.797</v>
      </c>
      <c r="AG21" s="47">
        <v>-38.341000000000001</v>
      </c>
      <c r="AH21" s="47">
        <v>-80.216999999999999</v>
      </c>
      <c r="AI21" s="47">
        <v>-45.973999999999997</v>
      </c>
      <c r="AJ21" s="47">
        <v>-40.402999999999999</v>
      </c>
      <c r="AK21" s="47">
        <v>-204.935</v>
      </c>
      <c r="AL21" s="138">
        <v>-39.671407939999973</v>
      </c>
      <c r="AM21" s="138">
        <v>-39.856159899999987</v>
      </c>
      <c r="AN21" s="138">
        <v>-40.612085094335939</v>
      </c>
      <c r="AO21" s="138">
        <v>-43.121182798733365</v>
      </c>
      <c r="AP21" s="138">
        <v>-98.073727603069273</v>
      </c>
      <c r="AQ21" s="138">
        <v>-46.52366945</v>
      </c>
      <c r="AR21" s="138">
        <v>-38.609761729999995</v>
      </c>
      <c r="AS21" s="138">
        <v>-42.366298670000006</v>
      </c>
      <c r="AT21" s="138">
        <v>-52.228608749999999</v>
      </c>
      <c r="AU21" s="138">
        <v>-144.48018211304051</v>
      </c>
      <c r="AV21" s="138">
        <v>-45.293604629999997</v>
      </c>
      <c r="AW21" s="138">
        <v>-44.026339329999999</v>
      </c>
      <c r="AX21" s="138">
        <v>-47.519516409999994</v>
      </c>
      <c r="AY21" s="138">
        <v>-504.31763298999999</v>
      </c>
      <c r="AZ21" s="138">
        <v>-640.17639771999995</v>
      </c>
      <c r="BA21" s="138">
        <v>-100.26701021</v>
      </c>
      <c r="BB21" s="138">
        <v>-49.476058659999993</v>
      </c>
      <c r="BC21" s="138">
        <v>-48.02559767000001</v>
      </c>
      <c r="BD21" s="138">
        <v>-56.47876116000004</v>
      </c>
      <c r="BE21" s="138">
        <v>-254.24742770000006</v>
      </c>
      <c r="BF21" s="138">
        <v>-49.891106060000006</v>
      </c>
      <c r="BG21" s="138">
        <v>-48.229916379999977</v>
      </c>
      <c r="BH21" s="138">
        <v>-44.408538579999998</v>
      </c>
      <c r="BI21" s="138">
        <v>-47.412979730000018</v>
      </c>
      <c r="BJ21" s="138">
        <v>-189.94254075000003</v>
      </c>
      <c r="BK21" s="138">
        <v>-45.795143270000011</v>
      </c>
      <c r="BL21" s="138">
        <f>SUM(BL15:BL20)</f>
        <v>-661.31266897530395</v>
      </c>
    </row>
    <row r="22" spans="1:64" s="1" customFormat="1" ht="15" customHeight="1">
      <c r="A22" s="187" t="s">
        <v>103</v>
      </c>
      <c r="B22" s="8" t="str">
        <f>IF('Sumário | Summary'!P1=1,"Lucro Bruto","Gross Profit")</f>
        <v>Lucro Bruto</v>
      </c>
      <c r="C22" s="3">
        <v>39.546999999999997</v>
      </c>
      <c r="D22" s="3">
        <v>62.591377433717298</v>
      </c>
      <c r="E22" s="3">
        <v>41.487000000000009</v>
      </c>
      <c r="F22" s="3">
        <v>75.916769585553126</v>
      </c>
      <c r="G22" s="3">
        <v>219.54214701927043</v>
      </c>
      <c r="H22" s="3">
        <v>53.286000000000001</v>
      </c>
      <c r="I22" s="3">
        <v>56.394000000000005</v>
      </c>
      <c r="J22" s="3">
        <v>55.617000000000019</v>
      </c>
      <c r="K22" s="3">
        <v>59.690318599999998</v>
      </c>
      <c r="L22" s="3">
        <v>224.98731859999998</v>
      </c>
      <c r="M22" s="3">
        <v>68.368000000000009</v>
      </c>
      <c r="N22" s="3">
        <v>51.593000000000004</v>
      </c>
      <c r="O22" s="3">
        <v>69.234000000000009</v>
      </c>
      <c r="P22" s="3">
        <v>63.674000000000007</v>
      </c>
      <c r="Q22" s="3">
        <v>252.86899999999997</v>
      </c>
      <c r="R22" s="3">
        <v>53.126999999999995</v>
      </c>
      <c r="S22" s="3">
        <v>60.958999999999989</v>
      </c>
      <c r="T22" s="3">
        <v>68.930000000000007</v>
      </c>
      <c r="U22" s="3">
        <v>70.472708803000017</v>
      </c>
      <c r="V22" s="3">
        <v>253.48870880299995</v>
      </c>
      <c r="W22" s="3">
        <v>61.156907622903802</v>
      </c>
      <c r="X22" s="3">
        <v>57.391999999999975</v>
      </c>
      <c r="Y22" s="3">
        <v>71.885999999999996</v>
      </c>
      <c r="Z22" s="35">
        <v>67.131</v>
      </c>
      <c r="AA22" s="3">
        <v>257.56400000000002</v>
      </c>
      <c r="AB22" s="47">
        <v>59.372</v>
      </c>
      <c r="AC22" s="47">
        <v>68.131999999999991</v>
      </c>
      <c r="AD22" s="47">
        <v>72.876000000000005</v>
      </c>
      <c r="AE22" s="47">
        <v>59.094668370000029</v>
      </c>
      <c r="AF22" s="47">
        <v>259.47546158220871</v>
      </c>
      <c r="AG22" s="47">
        <v>66.193183099999999</v>
      </c>
      <c r="AH22" s="47">
        <v>85.71444369999999</v>
      </c>
      <c r="AI22" s="47">
        <v>61.771930110000021</v>
      </c>
      <c r="AJ22" s="47">
        <v>71.151849460000022</v>
      </c>
      <c r="AK22" s="47">
        <v>284.83140637000002</v>
      </c>
      <c r="AL22" s="138">
        <v>72.646440110000029</v>
      </c>
      <c r="AM22" s="138">
        <v>74.494891610000025</v>
      </c>
      <c r="AN22" s="138">
        <v>75.070799043316043</v>
      </c>
      <c r="AO22" s="138">
        <v>85.35265865266166</v>
      </c>
      <c r="AP22" s="138">
        <v>372.75201212693071</v>
      </c>
      <c r="AQ22" s="138">
        <v>83.377444628052984</v>
      </c>
      <c r="AR22" s="138">
        <v>54.448170551947001</v>
      </c>
      <c r="AS22" s="138">
        <v>97.903677381329999</v>
      </c>
      <c r="AT22" s="138">
        <v>70.862156933407988</v>
      </c>
      <c r="AU22" s="138">
        <v>341.84337880364626</v>
      </c>
      <c r="AV22" s="138">
        <v>73.108965900000015</v>
      </c>
      <c r="AW22" s="138">
        <v>68.810019604477475</v>
      </c>
      <c r="AX22" s="138">
        <v>77.100518459999961</v>
      </c>
      <c r="AY22" s="138">
        <v>1445.9343307502343</v>
      </c>
      <c r="AZ22" s="138">
        <v>1665.9352154102344</v>
      </c>
      <c r="BA22" s="138">
        <v>53.049646294447996</v>
      </c>
      <c r="BB22" s="138">
        <v>51.102672161142024</v>
      </c>
      <c r="BC22" s="138">
        <v>57.436249029910002</v>
      </c>
      <c r="BD22" s="138">
        <v>58.66257106088819</v>
      </c>
      <c r="BE22" s="138">
        <v>220.25113854638818</v>
      </c>
      <c r="BF22" s="138">
        <v>49.358862650051996</v>
      </c>
      <c r="BG22" s="138">
        <v>55.742086173628024</v>
      </c>
      <c r="BH22" s="138">
        <v>61.500712385880007</v>
      </c>
      <c r="BI22" s="138">
        <v>68.163335954098983</v>
      </c>
      <c r="BJ22" s="138">
        <v>234.7649971636589</v>
      </c>
      <c r="BK22" s="138">
        <v>66.61183694002797</v>
      </c>
      <c r="BL22" s="138">
        <f>BL14+BL21</f>
        <v>420.11630194670806</v>
      </c>
    </row>
    <row r="23" spans="1:64" s="1" customFormat="1" ht="15" customHeight="1">
      <c r="A23" s="187" t="s">
        <v>104</v>
      </c>
      <c r="B23" s="8" t="str">
        <f>IF('Sumário | Summary'!P1=1,"Margem Bruta","Gross Margin")</f>
        <v>Margem Bruta</v>
      </c>
      <c r="C23" s="17">
        <v>0.79888087590651069</v>
      </c>
      <c r="D23" s="17">
        <v>0.67945388110982818</v>
      </c>
      <c r="E23" s="17">
        <v>0.69000099790440084</v>
      </c>
      <c r="F23" s="17">
        <v>0.44372279657023839</v>
      </c>
      <c r="G23" s="17">
        <v>0.58883796749723794</v>
      </c>
      <c r="H23" s="17">
        <v>0.7592653282227384</v>
      </c>
      <c r="I23" s="17">
        <v>0.63693245990512759</v>
      </c>
      <c r="J23" s="17">
        <v>0.66790359188673143</v>
      </c>
      <c r="K23" s="17">
        <v>0.74332495079629779</v>
      </c>
      <c r="L23" s="17">
        <v>0.69808147332222226</v>
      </c>
      <c r="M23" s="17">
        <v>0.72461341162255832</v>
      </c>
      <c r="N23" s="17">
        <v>0.62354064441275292</v>
      </c>
      <c r="O23" s="17">
        <v>0.59949604717414084</v>
      </c>
      <c r="P23" s="17">
        <v>0.71318645624488974</v>
      </c>
      <c r="Q23" s="17">
        <v>0.66220169119129735</v>
      </c>
      <c r="R23" s="17">
        <v>0.64499562937062938</v>
      </c>
      <c r="S23" s="17">
        <v>0.67073412261784249</v>
      </c>
      <c r="T23" s="17">
        <v>0.6544194436532802</v>
      </c>
      <c r="U23" s="17">
        <v>0.66672566652331056</v>
      </c>
      <c r="V23" s="17">
        <v>0.65964292079524822</v>
      </c>
      <c r="W23" s="17">
        <v>0.65915401336089829</v>
      </c>
      <c r="X23" s="17">
        <v>0.63576745834810344</v>
      </c>
      <c r="Y23" s="17">
        <v>0.58012815339671053</v>
      </c>
      <c r="Z23" s="17">
        <v>0.58739992124950779</v>
      </c>
      <c r="AA23" s="17">
        <v>0.6114293446393938</v>
      </c>
      <c r="AB23" s="46">
        <v>0.60535492159301774</v>
      </c>
      <c r="AC23" s="46">
        <v>0.63728965755923261</v>
      </c>
      <c r="AD23" s="46">
        <v>0.55817587181470729</v>
      </c>
      <c r="AE23" s="46">
        <v>0.53371306460445456</v>
      </c>
      <c r="AF23" s="46">
        <v>0.58142835133108528</v>
      </c>
      <c r="AG23" s="46">
        <v>0.63322045609404098</v>
      </c>
      <c r="AH23" s="46">
        <v>0.51656540670476914</v>
      </c>
      <c r="AI23" s="46">
        <v>0.57331102944617762</v>
      </c>
      <c r="AJ23" s="46">
        <v>0.63781942071028286</v>
      </c>
      <c r="AK23" s="46">
        <v>0.58156582947590052</v>
      </c>
      <c r="AL23" s="84">
        <v>0.64679337586365049</v>
      </c>
      <c r="AM23" s="84">
        <v>0.65145786266325179</v>
      </c>
      <c r="AN23" s="84">
        <v>0.6489360945910434</v>
      </c>
      <c r="AO23" s="84">
        <v>0.66435826693134858</v>
      </c>
      <c r="AP23" s="84">
        <v>0.79169845799146255</v>
      </c>
      <c r="AQ23" s="84">
        <v>0.64185319132793905</v>
      </c>
      <c r="AR23" s="84">
        <f>AR22/AR14</f>
        <v>0.58510398152839338</v>
      </c>
      <c r="AS23" s="84">
        <v>0.72920261717046098</v>
      </c>
      <c r="AT23" s="84">
        <v>0.57569027652055504</v>
      </c>
      <c r="AU23" s="84">
        <v>0.70291346394835319</v>
      </c>
      <c r="AV23" s="84">
        <v>0.61746096873358158</v>
      </c>
      <c r="AW23" s="84">
        <v>0.60982133998523047</v>
      </c>
      <c r="AX23" s="84">
        <v>0.61868477681320677</v>
      </c>
      <c r="AY23" s="84">
        <v>0.74140898593286941</v>
      </c>
      <c r="AZ23" s="84">
        <v>0.7224000806920845</v>
      </c>
      <c r="BA23" s="84">
        <v>0.34601358719891556</v>
      </c>
      <c r="BB23" s="84">
        <v>0.50808626977026894</v>
      </c>
      <c r="BC23" s="84">
        <v>0.54461637859750289</v>
      </c>
      <c r="BD23" s="84">
        <v>0.50948317106796503</v>
      </c>
      <c r="BE23" s="84">
        <v>0.46417661551377698</v>
      </c>
      <c r="BF23" s="84">
        <v>0.49731867215241699</v>
      </c>
      <c r="BG23" s="84">
        <v>0.53612592625477862</v>
      </c>
      <c r="BH23" s="84">
        <v>0.58069254408845961</v>
      </c>
      <c r="BI23" s="84">
        <v>0.58976906774228399</v>
      </c>
      <c r="BJ23" s="84">
        <v>0.55276861417841261</v>
      </c>
      <c r="BK23" s="84">
        <v>0.59259520018744738</v>
      </c>
      <c r="BL23" s="84">
        <f>BL22/BL14</f>
        <v>0.3884825663478596</v>
      </c>
    </row>
    <row r="24" spans="1:64" s="1" customFormat="1" ht="15" customHeight="1">
      <c r="A24" s="187" t="s">
        <v>105</v>
      </c>
      <c r="B24" s="11" t="str">
        <f>IF('Sumário | Summary'!P1=1,"Despesas/ Receitas Operacionais","Operating Expenses/Revenues")</f>
        <v>Despesas/ Receitas Operacionais</v>
      </c>
      <c r="C24" s="3">
        <v>-2.5860000000000003</v>
      </c>
      <c r="D24" s="3">
        <v>30.187919625349998</v>
      </c>
      <c r="E24" s="3">
        <v>-1.3929999999999989</v>
      </c>
      <c r="F24" s="3">
        <v>-5.5133559999999999</v>
      </c>
      <c r="G24" s="3">
        <v>22.156976705350004</v>
      </c>
      <c r="H24" s="3">
        <v>15.301</v>
      </c>
      <c r="I24" s="3">
        <v>-3.3150000000000004</v>
      </c>
      <c r="J24" s="3">
        <v>-2.7030000000000012</v>
      </c>
      <c r="K24" s="3">
        <v>-5.6657344999999983</v>
      </c>
      <c r="L24" s="3">
        <v>3.6172654999999971</v>
      </c>
      <c r="M24" s="3">
        <v>-5.8850000000000007</v>
      </c>
      <c r="N24" s="3">
        <v>-0.72499999999999865</v>
      </c>
      <c r="O24" s="3">
        <v>5.5649999999999995</v>
      </c>
      <c r="P24" s="3">
        <v>-7.6209999999999996</v>
      </c>
      <c r="Q24" s="3">
        <v>-8.6660000000000004</v>
      </c>
      <c r="R24" s="3">
        <v>-9.0539999999999985</v>
      </c>
      <c r="S24" s="3">
        <v>11.234</v>
      </c>
      <c r="T24" s="3">
        <v>1.9000000000000015</v>
      </c>
      <c r="U24" s="3">
        <v>2.378000000000001</v>
      </c>
      <c r="V24" s="3">
        <v>6.458000000000002</v>
      </c>
      <c r="W24" s="3">
        <v>36.484000000000002</v>
      </c>
      <c r="X24" s="3">
        <v>2.3079999999999981</v>
      </c>
      <c r="Y24" s="3">
        <v>-9.5460000000000012</v>
      </c>
      <c r="Z24" s="3">
        <v>1.092000000000001</v>
      </c>
      <c r="AA24" s="3">
        <v>30.338000000000001</v>
      </c>
      <c r="AB24" s="47">
        <v>-10.142999999999999</v>
      </c>
      <c r="AC24" s="47">
        <v>-9.2390000000000025</v>
      </c>
      <c r="AD24" s="47">
        <v>250.56099999999998</v>
      </c>
      <c r="AE24" s="47">
        <v>-19.583999999999996</v>
      </c>
      <c r="AF24" s="47">
        <v>211.595</v>
      </c>
      <c r="AG24" s="47">
        <v>-3.0019999999999989</v>
      </c>
      <c r="AH24" s="47">
        <v>-0.25799999999999912</v>
      </c>
      <c r="AI24" s="47">
        <v>-37.313999999999993</v>
      </c>
      <c r="AJ24" s="47">
        <v>-31.268000000000001</v>
      </c>
      <c r="AK24" s="47">
        <v>-71.842000000000013</v>
      </c>
      <c r="AL24" s="138">
        <v>-8.6419999999999995</v>
      </c>
      <c r="AM24" s="138">
        <v>-30.564999999999998</v>
      </c>
      <c r="AN24" s="138">
        <v>-5.4179999999999993</v>
      </c>
      <c r="AO24" s="138">
        <v>8.1490000000000009</v>
      </c>
      <c r="AP24" s="138">
        <v>-36.475999999999999</v>
      </c>
      <c r="AQ24" s="138">
        <v>-11.173</v>
      </c>
      <c r="AR24" s="138">
        <v>-23.463999999999999</v>
      </c>
      <c r="AS24" s="138">
        <v>-18.097999999999999</v>
      </c>
      <c r="AT24" s="138">
        <v>-9.6280000000000001</v>
      </c>
      <c r="AU24" s="138">
        <v>-62.362999999999992</v>
      </c>
      <c r="AV24" s="138">
        <v>-12.770999999999999</v>
      </c>
      <c r="AW24" s="138">
        <v>-7.9520423084503236</v>
      </c>
      <c r="AX24" s="138">
        <v>-1.1610000000000005</v>
      </c>
      <c r="AY24" s="138">
        <v>-8.8413804211737599</v>
      </c>
      <c r="AZ24" s="138">
        <v>-30.725380421173767</v>
      </c>
      <c r="BA24" s="138">
        <v>-5.4015542673060075</v>
      </c>
      <c r="BB24" s="138">
        <v>-17.620150549950004</v>
      </c>
      <c r="BC24" s="138">
        <v>-9.5799571879392555</v>
      </c>
      <c r="BD24" s="138">
        <v>-44.713755697068208</v>
      </c>
      <c r="BE24" s="138">
        <v>-77.315417702263488</v>
      </c>
      <c r="BF24" s="138">
        <v>-12.315321079180009</v>
      </c>
      <c r="BG24" s="138">
        <v>-17.655102958074973</v>
      </c>
      <c r="BH24" s="138">
        <v>-13.530348432558263</v>
      </c>
      <c r="BI24" s="138">
        <v>-18.900728014097123</v>
      </c>
      <c r="BJ24" s="138">
        <v>-62.401500483910375</v>
      </c>
      <c r="BK24" s="138">
        <v>-14.606920875670017</v>
      </c>
      <c r="BL24" s="138">
        <f>SUM(BL25:BL32)</f>
        <v>284.98291458746229</v>
      </c>
    </row>
    <row r="25" spans="1:64" s="1" customFormat="1" ht="15" customHeight="1">
      <c r="A25" t="s">
        <v>135</v>
      </c>
      <c r="B25" s="95" t="str">
        <f>IF('Sumário | Summary'!P1=1,"Comerciais ","Commercial")</f>
        <v xml:space="preserve">Comerciais </v>
      </c>
      <c r="C25" s="4">
        <v>-1.748</v>
      </c>
      <c r="D25" s="4">
        <v>-5.0394855999999999</v>
      </c>
      <c r="E25" s="4">
        <v>-1.2929999999999999</v>
      </c>
      <c r="F25" s="4">
        <v>-1.918655</v>
      </c>
      <c r="G25" s="4">
        <v>-9.9991405999999987</v>
      </c>
      <c r="H25" s="4">
        <v>-2.0419999999999998</v>
      </c>
      <c r="I25" s="4">
        <v>-2.0259999999999998</v>
      </c>
      <c r="J25" s="4">
        <v>-2.036</v>
      </c>
      <c r="K25" s="4">
        <v>-5.1416785000000003</v>
      </c>
      <c r="L25" s="4">
        <v>-11.2456785</v>
      </c>
      <c r="M25" s="4">
        <v>-3.613</v>
      </c>
      <c r="N25" s="4">
        <v>-2.3809999999999998</v>
      </c>
      <c r="O25" s="4">
        <v>-2.7429999999999999</v>
      </c>
      <c r="P25" s="4">
        <v>-3.1739999999999999</v>
      </c>
      <c r="Q25" s="4">
        <v>-11.911</v>
      </c>
      <c r="R25" s="4">
        <v>-5.3920000000000003</v>
      </c>
      <c r="S25" s="4">
        <v>-2.133</v>
      </c>
      <c r="T25" s="4">
        <v>-1.4</v>
      </c>
      <c r="U25" s="32">
        <v>-0.97</v>
      </c>
      <c r="V25" s="4">
        <v>-9.8950000000000014</v>
      </c>
      <c r="W25" s="32">
        <v>-0.61</v>
      </c>
      <c r="X25" s="32">
        <v>-2.3370000000000002</v>
      </c>
      <c r="Y25" s="32">
        <v>-1.266</v>
      </c>
      <c r="Z25" s="36">
        <v>-7.4450000000000003</v>
      </c>
      <c r="AA25" s="4">
        <v>-11.657999999999999</v>
      </c>
      <c r="AB25" s="52">
        <v>-6.9779999999999998</v>
      </c>
      <c r="AC25" s="52">
        <v>-2.569</v>
      </c>
      <c r="AD25" s="52">
        <v>-3.5950000000000002</v>
      </c>
      <c r="AE25" s="52">
        <v>-3.9039999999999999</v>
      </c>
      <c r="AF25" s="52">
        <v>-17.045999999999999</v>
      </c>
      <c r="AG25" s="52">
        <v>-4.8840000000000003</v>
      </c>
      <c r="AH25" s="52">
        <v>-2.419</v>
      </c>
      <c r="AI25" s="52">
        <v>-3.597</v>
      </c>
      <c r="AJ25" s="52">
        <v>-6.3979999999999997</v>
      </c>
      <c r="AK25" s="52">
        <v>-17.297999999999998</v>
      </c>
      <c r="AL25" s="93">
        <v>-4.2690000000000001</v>
      </c>
      <c r="AM25" s="93">
        <v>-2.8879999999999999</v>
      </c>
      <c r="AN25" s="93">
        <v>-5.9729999999999999</v>
      </c>
      <c r="AO25" s="93">
        <v>-2.1480000000000001</v>
      </c>
      <c r="AP25" s="93">
        <v>-15.278</v>
      </c>
      <c r="AQ25" s="93">
        <v>-4.3040000000000003</v>
      </c>
      <c r="AR25" s="93">
        <v>-12.683999999999999</v>
      </c>
      <c r="AS25" s="93">
        <v>-8.3460000000000001</v>
      </c>
      <c r="AT25" s="93">
        <v>-1.827</v>
      </c>
      <c r="AU25" s="93">
        <v>-27.161000000000001</v>
      </c>
      <c r="AV25" s="93">
        <v>-3.028</v>
      </c>
      <c r="AW25" s="93">
        <v>-2.6819999999999999</v>
      </c>
      <c r="AX25" s="93">
        <v>-2.6259999999999999</v>
      </c>
      <c r="AY25" s="93">
        <v>-47.459807460490168</v>
      </c>
      <c r="AZ25" s="93">
        <v>-55.795807460490167</v>
      </c>
      <c r="BA25" s="93">
        <v>-1.9395536500000001</v>
      </c>
      <c r="BB25" s="93">
        <v>-4.4483282500000003</v>
      </c>
      <c r="BC25" s="93">
        <v>-1.8254472500000012</v>
      </c>
      <c r="BD25" s="93">
        <v>-7.0910759700000021</v>
      </c>
      <c r="BE25" s="93">
        <v>-15.304405120000004</v>
      </c>
      <c r="BF25" s="93">
        <v>-0.59105101000000038</v>
      </c>
      <c r="BG25" s="93">
        <v>-2.9598152900000003</v>
      </c>
      <c r="BH25" s="93">
        <v>-2.2617423199999993</v>
      </c>
      <c r="BI25" s="93">
        <v>-3.0686145000000007</v>
      </c>
      <c r="BJ25" s="93">
        <v>-8.8812231200000014</v>
      </c>
      <c r="BK25" s="93">
        <v>-5.2320314699999999</v>
      </c>
      <c r="BL25" s="93">
        <v>-7.9894616999999979</v>
      </c>
    </row>
    <row r="26" spans="1:64" s="1" customFormat="1" ht="15" customHeight="1">
      <c r="A26" t="s">
        <v>136</v>
      </c>
      <c r="B26" s="90" t="str">
        <f>IF('Sumário | Summary'!P1=1,"Gerais e Administrativas","General and Administrative")</f>
        <v>Gerais e Administrativas</v>
      </c>
      <c r="C26" s="4">
        <v>-3.3220000000000001</v>
      </c>
      <c r="D26" s="4">
        <v>-3.2909303746499998</v>
      </c>
      <c r="E26" s="4">
        <v>-3.7029999999999998</v>
      </c>
      <c r="F26" s="4">
        <v>-6.1768299999999998</v>
      </c>
      <c r="G26" s="4">
        <v>-16.49276037465</v>
      </c>
      <c r="H26" s="4">
        <v>-3.5630000000000002</v>
      </c>
      <c r="I26" s="4">
        <v>-4.915</v>
      </c>
      <c r="J26" s="4">
        <v>-6.4080000000000004</v>
      </c>
      <c r="K26" s="4">
        <v>-3.5858029999999999</v>
      </c>
      <c r="L26" s="4">
        <v>-18.471802999999998</v>
      </c>
      <c r="M26" s="4">
        <v>-5.9080000000000004</v>
      </c>
      <c r="N26" s="4">
        <v>-4.71</v>
      </c>
      <c r="O26" s="4">
        <v>-6.1589999999999998</v>
      </c>
      <c r="P26" s="4">
        <v>-6.7149999999999999</v>
      </c>
      <c r="Q26" s="4">
        <v>-23.492000000000001</v>
      </c>
      <c r="R26" s="4">
        <v>-6.1479999999999997</v>
      </c>
      <c r="S26" s="4">
        <v>-6.5220000000000002</v>
      </c>
      <c r="T26" s="4">
        <v>-4.8</v>
      </c>
      <c r="U26" s="32">
        <v>-6.3609999999999998</v>
      </c>
      <c r="V26" s="4">
        <v>-23.831</v>
      </c>
      <c r="W26" s="32">
        <v>-4.7279999999999998</v>
      </c>
      <c r="X26" s="32">
        <v>-4.9400000000000004</v>
      </c>
      <c r="Y26" s="32">
        <v>-16.367999999999999</v>
      </c>
      <c r="Z26" s="36">
        <v>-5.5549999999999997</v>
      </c>
      <c r="AA26" s="4">
        <v>-31.591000000000001</v>
      </c>
      <c r="AB26" s="52">
        <v>-7.2389999999999999</v>
      </c>
      <c r="AC26" s="52">
        <v>-8.9260000000000002</v>
      </c>
      <c r="AD26" s="52">
        <v>-10.047000000000001</v>
      </c>
      <c r="AE26" s="52">
        <v>-9.1950000000000003</v>
      </c>
      <c r="AF26" s="52">
        <v>-35.406999999999996</v>
      </c>
      <c r="AG26" s="52">
        <v>-5.0730000000000004</v>
      </c>
      <c r="AH26" s="52">
        <v>-6.6909999999999998</v>
      </c>
      <c r="AI26" s="52">
        <v>-8.8829999999999991</v>
      </c>
      <c r="AJ26" s="52">
        <v>-8.3230000000000004</v>
      </c>
      <c r="AK26" s="52">
        <v>-28.97</v>
      </c>
      <c r="AL26" s="93">
        <v>-1.4219999999999999</v>
      </c>
      <c r="AM26" s="93">
        <v>-5.7679999999999998</v>
      </c>
      <c r="AN26" s="93">
        <v>-8.0180000000000007</v>
      </c>
      <c r="AO26" s="93">
        <v>-11.500999999999999</v>
      </c>
      <c r="AP26" s="93">
        <v>-26.709</v>
      </c>
      <c r="AQ26" s="93">
        <v>-6.2130000000000001</v>
      </c>
      <c r="AR26" s="93">
        <v>-4.9626098358399959</v>
      </c>
      <c r="AS26" s="93">
        <v>-5.3609999999999998</v>
      </c>
      <c r="AT26" s="93">
        <v>-8.51</v>
      </c>
      <c r="AU26" s="93">
        <v>-25.015999999999998</v>
      </c>
      <c r="AV26" s="93">
        <v>-7.0350000000000001</v>
      </c>
      <c r="AW26" s="93">
        <v>-8.09</v>
      </c>
      <c r="AX26" s="93">
        <v>-2.2450000000000001</v>
      </c>
      <c r="AY26" s="93">
        <v>-11.95371925000001</v>
      </c>
      <c r="AZ26" s="93">
        <v>-29.323719250000011</v>
      </c>
      <c r="BA26" s="93">
        <v>-6.4426020130000037</v>
      </c>
      <c r="BB26" s="93">
        <v>-6.4516352031199986</v>
      </c>
      <c r="BC26" s="93">
        <v>-10.431337046680003</v>
      </c>
      <c r="BD26" s="93">
        <v>-6.1546340681799991</v>
      </c>
      <c r="BE26" s="93">
        <v>-29.480208330980005</v>
      </c>
      <c r="BF26" s="93">
        <v>-7.5634105599999994</v>
      </c>
      <c r="BG26" s="93">
        <v>-7.4827465295199991</v>
      </c>
      <c r="BH26" s="93">
        <v>-7.0491880998800003</v>
      </c>
      <c r="BI26" s="93">
        <v>-10.882010128407998</v>
      </c>
      <c r="BJ26" s="93">
        <v>-32.977355317807998</v>
      </c>
      <c r="BK26" s="93">
        <v>-6.9695348527480014</v>
      </c>
      <c r="BL26" s="93">
        <v>-12.959601108179999</v>
      </c>
    </row>
    <row r="27" spans="1:64" s="1" customFormat="1" ht="15" customHeight="1">
      <c r="A27" s="187" t="s">
        <v>106</v>
      </c>
      <c r="B27" s="92" t="str">
        <f>IF('Sumário | Summary'!P1=1,"Plano de Opções","Options Plan")</f>
        <v>Plano de Opções</v>
      </c>
      <c r="C27" s="4">
        <v>0</v>
      </c>
      <c r="D27" s="4">
        <v>0</v>
      </c>
      <c r="E27" s="4">
        <v>0</v>
      </c>
      <c r="F27" s="4">
        <v>0</v>
      </c>
      <c r="G27" s="4">
        <v>0</v>
      </c>
      <c r="H27" s="4">
        <v>0</v>
      </c>
      <c r="I27" s="4">
        <v>0</v>
      </c>
      <c r="J27" s="4">
        <v>0</v>
      </c>
      <c r="K27" s="10">
        <v>0</v>
      </c>
      <c r="L27" s="4">
        <v>0</v>
      </c>
      <c r="M27" s="4">
        <v>0</v>
      </c>
      <c r="N27" s="4">
        <v>0</v>
      </c>
      <c r="O27" s="4">
        <v>0</v>
      </c>
      <c r="P27" s="4">
        <v>0</v>
      </c>
      <c r="Q27" s="4">
        <v>0</v>
      </c>
      <c r="R27" s="4">
        <v>0</v>
      </c>
      <c r="S27" s="4">
        <v>0</v>
      </c>
      <c r="T27" s="4">
        <v>0</v>
      </c>
      <c r="U27" s="4">
        <v>0</v>
      </c>
      <c r="V27" s="4">
        <v>0</v>
      </c>
      <c r="W27" s="4">
        <v>0</v>
      </c>
      <c r="X27" s="4">
        <v>0</v>
      </c>
      <c r="Y27" s="4">
        <v>0</v>
      </c>
      <c r="Z27" s="43">
        <v>0</v>
      </c>
      <c r="AA27" s="4">
        <v>0</v>
      </c>
      <c r="AB27" s="10">
        <v>0</v>
      </c>
      <c r="AC27" s="10">
        <v>0</v>
      </c>
      <c r="AD27" s="10">
        <v>0</v>
      </c>
      <c r="AE27" s="10">
        <v>0</v>
      </c>
      <c r="AF27" s="10">
        <v>0</v>
      </c>
      <c r="AG27" s="10">
        <v>0</v>
      </c>
      <c r="AH27" s="10">
        <v>0</v>
      </c>
      <c r="AI27" s="10">
        <v>0</v>
      </c>
      <c r="AJ27" s="10">
        <v>0</v>
      </c>
      <c r="AK27" s="10">
        <v>0</v>
      </c>
      <c r="AL27" s="93">
        <v>0</v>
      </c>
      <c r="AM27" s="93">
        <v>0</v>
      </c>
      <c r="AN27" s="93">
        <v>0</v>
      </c>
      <c r="AO27" s="93">
        <v>0</v>
      </c>
      <c r="AP27" s="93">
        <v>0</v>
      </c>
      <c r="AQ27" s="93">
        <v>0</v>
      </c>
      <c r="AR27" s="93">
        <v>0</v>
      </c>
      <c r="AS27" s="93">
        <v>0</v>
      </c>
      <c r="AT27" s="93">
        <v>0</v>
      </c>
      <c r="AU27" s="93">
        <v>0</v>
      </c>
      <c r="AV27" s="93">
        <v>0</v>
      </c>
      <c r="AW27" s="93">
        <v>0</v>
      </c>
      <c r="AX27" s="93">
        <v>0</v>
      </c>
      <c r="AY27" s="93">
        <v>0</v>
      </c>
      <c r="AZ27" s="93">
        <v>0</v>
      </c>
      <c r="BA27" s="93">
        <v>0</v>
      </c>
      <c r="BB27" s="93">
        <v>0</v>
      </c>
      <c r="BC27" s="93">
        <v>0</v>
      </c>
      <c r="BD27" s="93">
        <v>0</v>
      </c>
      <c r="BE27" s="93">
        <v>0</v>
      </c>
      <c r="BF27" s="93">
        <v>0</v>
      </c>
      <c r="BG27" s="93">
        <v>0</v>
      </c>
      <c r="BH27" s="93">
        <v>0</v>
      </c>
      <c r="BI27" s="93">
        <v>0</v>
      </c>
      <c r="BJ27" s="93">
        <v>0</v>
      </c>
      <c r="BK27" s="93">
        <v>0</v>
      </c>
      <c r="BL27" s="93">
        <v>0</v>
      </c>
    </row>
    <row r="28" spans="1:64" s="1" customFormat="1" ht="15" customHeight="1">
      <c r="A28" t="s">
        <v>137</v>
      </c>
      <c r="B28" s="92" t="str">
        <f>IF('Sumário | Summary'!P1=1,"Remuneração da administração","Management Compensation")</f>
        <v>Remuneração da administração</v>
      </c>
      <c r="C28" s="4">
        <v>-1.085</v>
      </c>
      <c r="D28" s="4">
        <v>-1.1328026</v>
      </c>
      <c r="E28" s="4">
        <v>-1.159</v>
      </c>
      <c r="F28" s="4">
        <v>-1.1584369999999999</v>
      </c>
      <c r="G28" s="4">
        <v>-4.5352395999999997</v>
      </c>
      <c r="H28" s="4">
        <v>-1.008</v>
      </c>
      <c r="I28" s="4">
        <v>-1.0189999999999999</v>
      </c>
      <c r="J28" s="4">
        <v>-1.157</v>
      </c>
      <c r="K28" s="4">
        <v>-1.230642</v>
      </c>
      <c r="L28" s="4">
        <v>-4.4146420000000006</v>
      </c>
      <c r="M28" s="4">
        <v>-1.23</v>
      </c>
      <c r="N28" s="4">
        <v>-1.292</v>
      </c>
      <c r="O28" s="4">
        <v>-1.32</v>
      </c>
      <c r="P28" s="4">
        <v>-1.319</v>
      </c>
      <c r="Q28" s="4">
        <v>-5.1610000000000005</v>
      </c>
      <c r="R28" s="4">
        <v>-1.3180000000000001</v>
      </c>
      <c r="S28" s="4">
        <v>-1.3109999999999999</v>
      </c>
      <c r="T28" s="4">
        <v>-1.5</v>
      </c>
      <c r="U28" s="32">
        <v>-1.857</v>
      </c>
      <c r="V28" s="4">
        <v>-5.9859999999999998</v>
      </c>
      <c r="W28" s="32">
        <v>-1.7669999999999999</v>
      </c>
      <c r="X28" s="32">
        <v>-1.8029999999999999</v>
      </c>
      <c r="Y28" s="32">
        <v>-1.617</v>
      </c>
      <c r="Z28" s="36">
        <v>-3.153</v>
      </c>
      <c r="AA28" s="4">
        <v>-8.34</v>
      </c>
      <c r="AB28" s="10">
        <v>-1.552</v>
      </c>
      <c r="AC28" s="10">
        <v>-1.8979999999999999</v>
      </c>
      <c r="AD28" s="10">
        <v>-1.8939999999999999</v>
      </c>
      <c r="AE28" s="10">
        <v>-1.3660000000000001</v>
      </c>
      <c r="AF28" s="10">
        <v>-6.71</v>
      </c>
      <c r="AG28" s="10">
        <v>-1.3220000000000001</v>
      </c>
      <c r="AH28" s="10">
        <v>-1.3180000000000001</v>
      </c>
      <c r="AI28" s="52">
        <v>-1.331</v>
      </c>
      <c r="AJ28" s="52">
        <v>-1.339</v>
      </c>
      <c r="AK28" s="52">
        <v>-5.31</v>
      </c>
      <c r="AL28" s="93">
        <v>-1.3959999999999999</v>
      </c>
      <c r="AM28" s="93">
        <v>-1.883</v>
      </c>
      <c r="AN28" s="93">
        <v>-1.165</v>
      </c>
      <c r="AO28" s="93">
        <v>-1.179</v>
      </c>
      <c r="AP28" s="93">
        <v>-5.6230000000000002</v>
      </c>
      <c r="AQ28" s="93">
        <v>-1.179</v>
      </c>
      <c r="AR28" s="93">
        <v>-1.1792556000000003</v>
      </c>
      <c r="AS28" s="93">
        <v>-1.179</v>
      </c>
      <c r="AT28" s="93">
        <v>-1.179</v>
      </c>
      <c r="AU28" s="93">
        <v>-5.8570000000000002</v>
      </c>
      <c r="AV28" s="93">
        <v>-3.3119999999999998</v>
      </c>
      <c r="AW28" s="93">
        <v>-1.034</v>
      </c>
      <c r="AX28" s="93">
        <v>-1.002</v>
      </c>
      <c r="AY28" s="93">
        <v>-1.0115999999999998</v>
      </c>
      <c r="AZ28" s="93">
        <v>-6.3595999999999995</v>
      </c>
      <c r="BA28" s="93">
        <v>-1.8455999999999999</v>
      </c>
      <c r="BB28" s="93">
        <v>-2.3469711500000003</v>
      </c>
      <c r="BC28" s="93">
        <v>-1.2275999999999994</v>
      </c>
      <c r="BD28" s="93">
        <v>-1.0835999999999995</v>
      </c>
      <c r="BE28" s="93">
        <v>-6.5037711499999986</v>
      </c>
      <c r="BF28" s="93">
        <v>-2</v>
      </c>
      <c r="BG28" s="93">
        <v>-1.0595999999999994</v>
      </c>
      <c r="BH28" s="93">
        <v>-1.0813118900000001</v>
      </c>
      <c r="BI28" s="93">
        <v>-1.1126057099999989</v>
      </c>
      <c r="BJ28" s="93">
        <v>-5.2535175999999986</v>
      </c>
      <c r="BK28" s="93">
        <v>-2.4001218799999999</v>
      </c>
      <c r="BL28" s="93">
        <v>-1.2800057099999995</v>
      </c>
    </row>
    <row r="29" spans="1:64" s="1" customFormat="1" ht="15" customHeight="1">
      <c r="A29" t="s">
        <v>138</v>
      </c>
      <c r="B29" s="9" t="str">
        <f>IF('Sumário | Summary'!P1=1,"Participação de empregados e administradores","Profit Sharing")</f>
        <v>Participação de empregados e administradores</v>
      </c>
      <c r="C29" s="4">
        <v>-1.44</v>
      </c>
      <c r="D29" s="4">
        <v>-1.3260000000000001</v>
      </c>
      <c r="E29" s="4">
        <v>-1.38</v>
      </c>
      <c r="F29" s="4">
        <v>-4.78</v>
      </c>
      <c r="G29" s="4">
        <v>-8.9260000000000002</v>
      </c>
      <c r="H29" s="4">
        <v>-1.6950000000000001</v>
      </c>
      <c r="I29" s="4">
        <v>-2.633</v>
      </c>
      <c r="J29" s="4">
        <v>-1.6950000000000001</v>
      </c>
      <c r="K29" s="4">
        <v>-1.945397</v>
      </c>
      <c r="L29" s="4">
        <v>-7.9683970000000004</v>
      </c>
      <c r="M29" s="4">
        <v>-4.72</v>
      </c>
      <c r="N29" s="4">
        <v>-2.25</v>
      </c>
      <c r="O29" s="4">
        <v>-2.25</v>
      </c>
      <c r="P29" s="4">
        <v>-3.0179999999999998</v>
      </c>
      <c r="Q29" s="4">
        <v>-12.238</v>
      </c>
      <c r="R29" s="4">
        <v>-1.141</v>
      </c>
      <c r="S29" s="4">
        <v>-1.1160000000000001</v>
      </c>
      <c r="T29" s="4">
        <v>-1.1000000000000001</v>
      </c>
      <c r="U29" s="32">
        <v>-0.2</v>
      </c>
      <c r="V29" s="4">
        <v>-3.5570000000000004</v>
      </c>
      <c r="W29" s="32">
        <v>1.7569999999999999</v>
      </c>
      <c r="X29" s="32">
        <v>-2.0699999999999998</v>
      </c>
      <c r="Y29" s="32">
        <v>-2.0699999999999998</v>
      </c>
      <c r="Z29" s="36">
        <v>1.038</v>
      </c>
      <c r="AA29" s="4">
        <v>-1.345</v>
      </c>
      <c r="AB29" s="52">
        <v>-1.746</v>
      </c>
      <c r="AC29" s="52">
        <v>-1.484</v>
      </c>
      <c r="AD29" s="52">
        <v>-1.286</v>
      </c>
      <c r="AE29" s="10">
        <v>-2.1179999999999999</v>
      </c>
      <c r="AF29" s="52">
        <v>-6.6340000000000003</v>
      </c>
      <c r="AG29" s="52">
        <v>-0.90700000000000003</v>
      </c>
      <c r="AH29" s="52">
        <v>-2.0449999999999999</v>
      </c>
      <c r="AI29" s="52">
        <v>-4.1719999999999997</v>
      </c>
      <c r="AJ29" s="52">
        <v>-1.748</v>
      </c>
      <c r="AK29" s="52">
        <v>-8.8719999999999999</v>
      </c>
      <c r="AL29" s="93">
        <v>-1.5620000000000001</v>
      </c>
      <c r="AM29" s="93">
        <v>-1.7470000000000001</v>
      </c>
      <c r="AN29" s="93">
        <v>-1.5469999999999999</v>
      </c>
      <c r="AO29" s="93">
        <v>-7.3570000000000002</v>
      </c>
      <c r="AP29" s="93">
        <v>-12.212999999999999</v>
      </c>
      <c r="AQ29" s="93">
        <v>4.2999999999999997E-2</v>
      </c>
      <c r="AR29" s="93">
        <v>-1.9846669799999994</v>
      </c>
      <c r="AS29" s="93">
        <v>-2.8639999999999999</v>
      </c>
      <c r="AT29" s="93">
        <v>-2.2770000000000001</v>
      </c>
      <c r="AU29" s="93">
        <v>-5.9429999999999996</v>
      </c>
      <c r="AV29" s="93">
        <v>5.7960000000000003</v>
      </c>
      <c r="AW29" s="93">
        <v>-1.5820000000000001</v>
      </c>
      <c r="AX29" s="93">
        <v>-1.581</v>
      </c>
      <c r="AY29" s="93">
        <v>-8.2839369999999999</v>
      </c>
      <c r="AZ29" s="93">
        <v>-5.6509369999999999</v>
      </c>
      <c r="BA29" s="93">
        <v>3.9534925600000017</v>
      </c>
      <c r="BB29" s="93">
        <v>-1.9423237900000003</v>
      </c>
      <c r="BC29" s="93">
        <v>-1.9055391600000002</v>
      </c>
      <c r="BD29" s="93">
        <v>-2.34466697</v>
      </c>
      <c r="BE29" s="93">
        <v>-2.2390373599999993</v>
      </c>
      <c r="BF29" s="93">
        <v>-2.0994662600000011</v>
      </c>
      <c r="BG29" s="93">
        <v>-2.1906572900000012</v>
      </c>
      <c r="BH29" s="93">
        <v>-2.0333110800000012</v>
      </c>
      <c r="BI29" s="93">
        <v>-3.3533110800000014</v>
      </c>
      <c r="BJ29" s="93">
        <v>-9.6767457100000041</v>
      </c>
      <c r="BK29" s="93">
        <v>-0.91292494000000002</v>
      </c>
      <c r="BL29" s="93">
        <v>-9.6748360900000012</v>
      </c>
    </row>
    <row r="30" spans="1:64" s="1" customFormat="1" ht="15" customHeight="1">
      <c r="A30" t="s">
        <v>139</v>
      </c>
      <c r="B30" s="9" t="str">
        <f>IF('Sumário | Summary'!P1=1,"Equivalência patrimonial","Equity")</f>
        <v>Equivalência patrimonial</v>
      </c>
      <c r="C30" s="10">
        <v>5.0090000000000003</v>
      </c>
      <c r="D30" s="4">
        <v>40.977138199999999</v>
      </c>
      <c r="E30" s="10">
        <v>6.1420000000000003</v>
      </c>
      <c r="F30" s="10">
        <v>8.5205660000000005</v>
      </c>
      <c r="G30" s="4">
        <v>60.648704200000005</v>
      </c>
      <c r="H30" s="10">
        <v>23.452999999999999</v>
      </c>
      <c r="I30" s="10">
        <v>7.1429999999999998</v>
      </c>
      <c r="J30" s="10">
        <v>6.9980000000000002</v>
      </c>
      <c r="K30" s="10">
        <v>5.7957530000000004</v>
      </c>
      <c r="L30" s="4">
        <v>43.389752999999999</v>
      </c>
      <c r="M30" s="10">
        <v>9.5749999999999993</v>
      </c>
      <c r="N30" s="10">
        <v>10.717000000000001</v>
      </c>
      <c r="O30" s="10">
        <v>17.792999999999999</v>
      </c>
      <c r="P30" s="10">
        <v>6.601</v>
      </c>
      <c r="Q30" s="4">
        <v>44.686</v>
      </c>
      <c r="R30" s="4">
        <v>4.9489999999999998</v>
      </c>
      <c r="S30" s="4">
        <v>10.201000000000001</v>
      </c>
      <c r="T30" s="4">
        <v>11.4</v>
      </c>
      <c r="U30" s="32">
        <v>9.9689999999999994</v>
      </c>
      <c r="V30" s="4">
        <v>36.518999999999998</v>
      </c>
      <c r="W30" s="32">
        <v>10.173999999999999</v>
      </c>
      <c r="X30" s="32">
        <v>9.65</v>
      </c>
      <c r="Y30" s="32">
        <v>9.8930000000000007</v>
      </c>
      <c r="Z30" s="36">
        <v>13.673999999999999</v>
      </c>
      <c r="AA30" s="4">
        <v>43.390999999999998</v>
      </c>
      <c r="AB30" s="52">
        <v>7.97</v>
      </c>
      <c r="AC30" s="52">
        <v>4.1369999999999996</v>
      </c>
      <c r="AD30" s="52">
        <v>-15.163</v>
      </c>
      <c r="AE30" s="52">
        <v>-0.65300000000000002</v>
      </c>
      <c r="AF30" s="52">
        <v>-3.7090000000000001</v>
      </c>
      <c r="AG30" s="52">
        <v>-1.427</v>
      </c>
      <c r="AH30" s="52">
        <v>0.98399999999999999</v>
      </c>
      <c r="AI30" s="52">
        <v>0.217</v>
      </c>
      <c r="AJ30" s="52">
        <v>-0.91900000000000004</v>
      </c>
      <c r="AK30" s="52">
        <v>-1.145</v>
      </c>
      <c r="AL30" s="93">
        <v>0.16700000000000001</v>
      </c>
      <c r="AM30" s="93">
        <v>1.6819999999999999</v>
      </c>
      <c r="AN30" s="93">
        <v>2.004</v>
      </c>
      <c r="AO30" s="93">
        <v>-1.113</v>
      </c>
      <c r="AP30" s="93">
        <v>2.74</v>
      </c>
      <c r="AQ30" s="93">
        <v>0.92500000000000004</v>
      </c>
      <c r="AR30" s="93">
        <v>0.64124931499999016</v>
      </c>
      <c r="AS30" s="93">
        <v>-1.4319999999999999</v>
      </c>
      <c r="AT30" s="93">
        <v>6.1639999999999997</v>
      </c>
      <c r="AU30" s="93">
        <v>6.298</v>
      </c>
      <c r="AV30" s="93">
        <v>-0.14799999999999999</v>
      </c>
      <c r="AW30" s="93">
        <v>-0.41299999999999998</v>
      </c>
      <c r="AX30" s="93">
        <v>1.855</v>
      </c>
      <c r="AY30" s="93">
        <v>5.7001714329960258</v>
      </c>
      <c r="AZ30" s="93">
        <v>6.9941714329960263</v>
      </c>
      <c r="BA30" s="93">
        <v>-0.57995973503866427</v>
      </c>
      <c r="BB30" s="93">
        <v>-0.20988924592572636</v>
      </c>
      <c r="BC30" s="93">
        <v>0.24720728067644496</v>
      </c>
      <c r="BD30" s="93">
        <v>-2.2748055622562018</v>
      </c>
      <c r="BE30" s="93">
        <v>-2.8174472625441478</v>
      </c>
      <c r="BF30" s="93">
        <v>-0.59072501500000052</v>
      </c>
      <c r="BG30" s="93">
        <v>-1.1098425050000114</v>
      </c>
      <c r="BH30" s="93">
        <v>-2.0668486113596414</v>
      </c>
      <c r="BI30" s="93">
        <v>1.2349362614753394</v>
      </c>
      <c r="BJ30" s="93">
        <v>-2.5324798698843138</v>
      </c>
      <c r="BK30" s="93">
        <v>0</v>
      </c>
      <c r="BL30" s="93">
        <v>-1.8410178435888287</v>
      </c>
    </row>
    <row r="31" spans="1:64" s="1" customFormat="1" ht="15" customHeight="1">
      <c r="A31" t="s">
        <v>107</v>
      </c>
      <c r="B31" s="9" t="str">
        <f>IF('Sumário | Summary'!P1=1,"Amortização de Ágios e outros resultados em investimentos","Amortization of goodwill and other income from investments ")</f>
        <v>Amortização de Ágios e outros resultados em investimentos</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3">
        <v>0</v>
      </c>
      <c r="AA31" s="4">
        <v>0</v>
      </c>
      <c r="AB31" s="4">
        <v>0</v>
      </c>
      <c r="AC31" s="4">
        <v>0</v>
      </c>
      <c r="AD31" s="4">
        <v>0</v>
      </c>
      <c r="AE31" s="52">
        <v>0</v>
      </c>
      <c r="AF31" s="4">
        <v>0</v>
      </c>
      <c r="AG31" s="4">
        <v>0</v>
      </c>
      <c r="AH31" s="4">
        <v>0</v>
      </c>
      <c r="AI31" s="4">
        <v>0</v>
      </c>
      <c r="AJ31" s="4">
        <v>0</v>
      </c>
      <c r="AK31" s="4">
        <v>0</v>
      </c>
      <c r="AL31" s="93">
        <v>0</v>
      </c>
      <c r="AM31" s="93">
        <v>0</v>
      </c>
      <c r="AN31" s="93">
        <v>0</v>
      </c>
      <c r="AO31" s="93">
        <v>0</v>
      </c>
      <c r="AP31" s="93">
        <v>0</v>
      </c>
      <c r="AQ31" s="93">
        <v>0</v>
      </c>
      <c r="AR31" s="93">
        <v>0</v>
      </c>
      <c r="AS31" s="93">
        <v>0</v>
      </c>
      <c r="AT31" s="93">
        <v>0</v>
      </c>
      <c r="AU31" s="93">
        <v>0</v>
      </c>
      <c r="AV31" s="93">
        <v>0</v>
      </c>
      <c r="AW31" s="93">
        <v>0</v>
      </c>
      <c r="AX31" s="93">
        <v>0</v>
      </c>
      <c r="AY31" s="93">
        <v>0</v>
      </c>
      <c r="AZ31" s="93">
        <v>0</v>
      </c>
      <c r="BA31" s="93">
        <v>0</v>
      </c>
      <c r="BB31" s="93">
        <v>0</v>
      </c>
      <c r="BC31" s="93">
        <v>0</v>
      </c>
      <c r="BD31" s="93">
        <v>0</v>
      </c>
      <c r="BE31" s="93">
        <v>0</v>
      </c>
      <c r="BF31" s="93">
        <v>0</v>
      </c>
      <c r="BG31" s="93">
        <v>0</v>
      </c>
      <c r="BH31" s="93">
        <v>0</v>
      </c>
      <c r="BI31" s="93">
        <v>0</v>
      </c>
      <c r="BJ31" s="93">
        <v>0</v>
      </c>
      <c r="BK31" s="93">
        <v>0</v>
      </c>
      <c r="BL31" s="93">
        <v>0</v>
      </c>
    </row>
    <row r="32" spans="1:64" s="1" customFormat="1" ht="15" customHeight="1">
      <c r="A32" t="s">
        <v>108</v>
      </c>
      <c r="B32" s="96" t="str">
        <f>IF('Sumário | Summary'!P1=1,"Outras receitas (despesas) operacionais líquidas","
Other net operating revenues (expenses)")</f>
        <v>Outras receitas (despesas) operacionais líquidas</v>
      </c>
      <c r="C32" s="4">
        <v>0.06</v>
      </c>
      <c r="D32" s="4">
        <v>1.2592990799999999</v>
      </c>
      <c r="E32" s="4">
        <v>5.0000000000000001E-3</v>
      </c>
      <c r="F32" s="4">
        <v>0.13711400000000001</v>
      </c>
      <c r="G32" s="4">
        <v>1.4614130799999998</v>
      </c>
      <c r="H32" s="4">
        <v>0.156</v>
      </c>
      <c r="I32" s="4">
        <v>0.13500000000000001</v>
      </c>
      <c r="J32" s="4">
        <v>1.595</v>
      </c>
      <c r="K32" s="4">
        <v>0.44203300000000001</v>
      </c>
      <c r="L32" s="4">
        <v>2.328033</v>
      </c>
      <c r="M32" s="4">
        <v>1.0999999999999999E-2</v>
      </c>
      <c r="N32" s="4">
        <v>-0.80900000000000005</v>
      </c>
      <c r="O32" s="4">
        <v>0.24399999999999999</v>
      </c>
      <c r="P32" s="4">
        <v>4.0000000000000001E-3</v>
      </c>
      <c r="Q32" s="4">
        <v>-0.55000000000000004</v>
      </c>
      <c r="R32" s="4">
        <v>-4.0000000000000001E-3</v>
      </c>
      <c r="S32" s="4">
        <v>12.115</v>
      </c>
      <c r="T32" s="4">
        <v>-0.7</v>
      </c>
      <c r="U32" s="32">
        <v>1.7969999999999999</v>
      </c>
      <c r="V32" s="4">
        <v>13.208000000000002</v>
      </c>
      <c r="W32" s="32">
        <v>31.658000000000001</v>
      </c>
      <c r="X32" s="32">
        <v>3.8079999999999998</v>
      </c>
      <c r="Y32" s="32">
        <v>1.8819999999999999</v>
      </c>
      <c r="Z32" s="36">
        <v>2.5329999999999999</v>
      </c>
      <c r="AA32" s="4">
        <v>39.881</v>
      </c>
      <c r="AB32" s="32">
        <v>-0.59799999999999998</v>
      </c>
      <c r="AC32" s="32">
        <v>1.5009999999999999</v>
      </c>
      <c r="AD32" s="32">
        <v>282.54599999999999</v>
      </c>
      <c r="AE32" s="32">
        <v>-2.3479999999999999</v>
      </c>
      <c r="AF32" s="32">
        <v>281.101</v>
      </c>
      <c r="AG32" s="32">
        <v>10.611000000000001</v>
      </c>
      <c r="AH32" s="32">
        <v>11.231</v>
      </c>
      <c r="AI32" s="32">
        <v>-19.547999999999998</v>
      </c>
      <c r="AJ32" s="32">
        <v>-12.541</v>
      </c>
      <c r="AK32" s="32">
        <v>-10.247</v>
      </c>
      <c r="AL32" s="93">
        <v>-0.16</v>
      </c>
      <c r="AM32" s="93">
        <v>-19.960999999999999</v>
      </c>
      <c r="AN32" s="93">
        <v>9.2810000000000006</v>
      </c>
      <c r="AO32" s="93">
        <v>31.446999999999999</v>
      </c>
      <c r="AP32" s="93">
        <v>20.606999999999999</v>
      </c>
      <c r="AQ32" s="93">
        <v>-0.44539842000000013</v>
      </c>
      <c r="AR32" s="93">
        <v>-3.3244265101436494</v>
      </c>
      <c r="AS32" s="93">
        <v>1.0840000000000001</v>
      </c>
      <c r="AT32" s="93">
        <v>-1.9990000000000001</v>
      </c>
      <c r="AU32" s="93">
        <v>-4.6840000000000002</v>
      </c>
      <c r="AV32" s="93">
        <v>-5.0439999999999996</v>
      </c>
      <c r="AW32" s="93">
        <v>5.8490000000000002</v>
      </c>
      <c r="AX32" s="93">
        <v>4.4379999999999997</v>
      </c>
      <c r="AY32" s="93">
        <v>54.167511856320381</v>
      </c>
      <c r="AZ32" s="93">
        <v>59.410511856320383</v>
      </c>
      <c r="BA32" s="93">
        <v>1.452668570732659</v>
      </c>
      <c r="BB32" s="93">
        <v>-2.221002910904279</v>
      </c>
      <c r="BC32" s="93">
        <v>5.5627589880643029</v>
      </c>
      <c r="BD32" s="93">
        <v>-25.764973126632007</v>
      </c>
      <c r="BE32" s="93">
        <v>-20.970548478739325</v>
      </c>
      <c r="BF32" s="93">
        <v>0.52933176581999253</v>
      </c>
      <c r="BG32" s="93">
        <v>-2.8524413435549598</v>
      </c>
      <c r="BH32" s="93">
        <v>0.96205356868138048</v>
      </c>
      <c r="BI32" s="93">
        <v>-1.7191228571644657</v>
      </c>
      <c r="BJ32" s="93">
        <v>-3.0801788662180525</v>
      </c>
      <c r="BK32" s="93">
        <v>0.90769226707798423</v>
      </c>
      <c r="BL32" s="93">
        <v>318.72783703923113</v>
      </c>
    </row>
    <row r="33" spans="1:64" s="1" customFormat="1" ht="15" customHeight="1">
      <c r="A33" s="187" t="s">
        <v>109</v>
      </c>
      <c r="B33" s="11" t="str">
        <f>IF('Sumário | Summary'!P1=1,"Lucro antes do Resultado Financeiro","Profit Before Financial Results")</f>
        <v>Lucro antes do Resultado Financeiro</v>
      </c>
      <c r="C33" s="3">
        <v>36.960999999999999</v>
      </c>
      <c r="D33" s="3">
        <v>92.779297059067289</v>
      </c>
      <c r="E33" s="3">
        <v>40.094000000000008</v>
      </c>
      <c r="F33" s="3">
        <v>70.403413585553125</v>
      </c>
      <c r="G33" s="3">
        <v>241.69912372462045</v>
      </c>
      <c r="H33" s="3">
        <v>68.587000000000003</v>
      </c>
      <c r="I33" s="3">
        <v>53.079000000000008</v>
      </c>
      <c r="J33" s="3">
        <v>52.914000000000016</v>
      </c>
      <c r="K33" s="3">
        <v>54.024584099999998</v>
      </c>
      <c r="L33" s="3">
        <v>228.60458409999998</v>
      </c>
      <c r="M33" s="3">
        <v>62.483000000000011</v>
      </c>
      <c r="N33" s="3">
        <v>50.868000000000002</v>
      </c>
      <c r="O33" s="3">
        <v>74.799000000000007</v>
      </c>
      <c r="P33" s="3">
        <v>56.053000000000004</v>
      </c>
      <c r="Q33" s="3">
        <v>244.20299999999997</v>
      </c>
      <c r="R33" s="3">
        <v>44.072999999999993</v>
      </c>
      <c r="S33" s="3">
        <v>72.192999999999984</v>
      </c>
      <c r="T33" s="3">
        <v>70.830000000000013</v>
      </c>
      <c r="U33" s="3">
        <v>72.850708803000018</v>
      </c>
      <c r="V33" s="3">
        <v>259.97135443629247</v>
      </c>
      <c r="W33" s="3">
        <v>97.640907622903796</v>
      </c>
      <c r="X33" s="3">
        <v>59.699999999999974</v>
      </c>
      <c r="Y33" s="3">
        <v>62.339999999999996</v>
      </c>
      <c r="Z33" s="3">
        <v>68.222999999999999</v>
      </c>
      <c r="AA33" s="3">
        <v>287.90200000000004</v>
      </c>
      <c r="AB33" s="3">
        <v>49.228999999999999</v>
      </c>
      <c r="AC33" s="3">
        <v>58.892999999999986</v>
      </c>
      <c r="AD33" s="3">
        <v>323.43700000000001</v>
      </c>
      <c r="AE33" s="3">
        <v>39.510668370000033</v>
      </c>
      <c r="AF33" s="3">
        <v>471.07046158220874</v>
      </c>
      <c r="AG33" s="3">
        <v>63.191183100000003</v>
      </c>
      <c r="AH33" s="3">
        <v>85.456443699999994</v>
      </c>
      <c r="AI33" s="3">
        <v>24.457930110000028</v>
      </c>
      <c r="AJ33" s="3">
        <v>39.883849460000022</v>
      </c>
      <c r="AK33" s="3">
        <v>212.98940637000001</v>
      </c>
      <c r="AL33" s="35">
        <v>64.004121577993999</v>
      </c>
      <c r="AM33" s="35">
        <v>43.930266291932043</v>
      </c>
      <c r="AN33" s="35">
        <v>69.653000000000006</v>
      </c>
      <c r="AO33" s="138">
        <v>93.501999999999995</v>
      </c>
      <c r="AP33" s="35">
        <v>336.27601212693071</v>
      </c>
      <c r="AQ33" s="35">
        <v>72.204428308052968</v>
      </c>
      <c r="AR33" s="35">
        <v>30.983700060963347</v>
      </c>
      <c r="AS33" s="35">
        <v>79.80650760303898</v>
      </c>
      <c r="AT33" s="35">
        <v>61.234845106483945</v>
      </c>
      <c r="AU33" s="35">
        <v>279.48037880364626</v>
      </c>
      <c r="AV33" s="35">
        <v>60.337965900000015</v>
      </c>
      <c r="AW33" s="35">
        <v>60.857977296027151</v>
      </c>
      <c r="AX33" s="35">
        <v>75.93951845999996</v>
      </c>
      <c r="AY33" s="35">
        <v>1437.0929503290606</v>
      </c>
      <c r="AZ33" s="35">
        <v>1635.2098349890607</v>
      </c>
      <c r="BA33" s="35">
        <v>47.648092027141985</v>
      </c>
      <c r="BB33" s="35">
        <v>33.48252161119202</v>
      </c>
      <c r="BC33" s="35">
        <v>47.856291841970744</v>
      </c>
      <c r="BD33" s="35">
        <v>13.948815363819982</v>
      </c>
      <c r="BE33" s="35">
        <v>142.93572084412469</v>
      </c>
      <c r="BF33" s="35">
        <v>37.04354157087198</v>
      </c>
      <c r="BG33" s="35">
        <v>38.086983215553047</v>
      </c>
      <c r="BH33" s="35">
        <v>47.970363953321744</v>
      </c>
      <c r="BI33" s="35">
        <v>49.262607940001857</v>
      </c>
      <c r="BJ33" s="138">
        <v>172.36349667974852</v>
      </c>
      <c r="BK33" s="35">
        <v>52.004916064357957</v>
      </c>
      <c r="BL33" s="35">
        <f>BL22+BL24</f>
        <v>705.09921653417041</v>
      </c>
    </row>
    <row r="34" spans="1:64" s="1" customFormat="1" ht="15" customHeight="1">
      <c r="A34" t="s">
        <v>140</v>
      </c>
      <c r="B34" s="9" t="str">
        <f>IF('Sumário | Summary'!P1=1,"Despesas financeiras","Financial Expenses")</f>
        <v>Despesas financeiras</v>
      </c>
      <c r="C34" s="4">
        <v>-19.774000000000001</v>
      </c>
      <c r="D34" s="4">
        <v>-16.2891660294</v>
      </c>
      <c r="E34" s="4">
        <v>-15.205</v>
      </c>
      <c r="F34" s="4">
        <v>-10.217374</v>
      </c>
      <c r="G34" s="4">
        <v>-61.485540029399999</v>
      </c>
      <c r="H34" s="4">
        <v>-8.5559999999999992</v>
      </c>
      <c r="I34" s="4">
        <v>-8.5719999999999992</v>
      </c>
      <c r="J34" s="4">
        <v>-6.4329999999999998</v>
      </c>
      <c r="K34" s="4">
        <v>-22.798012</v>
      </c>
      <c r="L34" s="4">
        <v>-46.359012</v>
      </c>
      <c r="M34" s="4">
        <v>-17.643000000000001</v>
      </c>
      <c r="N34" s="4">
        <v>-22.928999999999998</v>
      </c>
      <c r="O34" s="4">
        <v>-29.055</v>
      </c>
      <c r="P34" s="4">
        <v>-35.890999999999998</v>
      </c>
      <c r="Q34" s="4">
        <v>-105.518</v>
      </c>
      <c r="R34" s="4">
        <v>-54.685000000000002</v>
      </c>
      <c r="S34" s="4">
        <v>-52.624000000000002</v>
      </c>
      <c r="T34" s="4">
        <v>-59.145000000000003</v>
      </c>
      <c r="U34" s="32">
        <v>-71.340999999999994</v>
      </c>
      <c r="V34" s="4">
        <v>-237.79500000000002</v>
      </c>
      <c r="W34" s="32">
        <v>-93.76</v>
      </c>
      <c r="X34" s="32">
        <v>-67.674000000000007</v>
      </c>
      <c r="Y34" s="32">
        <v>-74.063000000000002</v>
      </c>
      <c r="Z34" s="36">
        <v>-72.515000000000001</v>
      </c>
      <c r="AA34" s="4">
        <v>-308.012</v>
      </c>
      <c r="AB34" s="32">
        <v>-67.248999999999995</v>
      </c>
      <c r="AC34" s="32">
        <v>-66.08</v>
      </c>
      <c r="AD34" s="32">
        <v>-78.694999999999993</v>
      </c>
      <c r="AE34" s="32">
        <v>-42.204999999999998</v>
      </c>
      <c r="AF34" s="32">
        <v>-254.22900000000001</v>
      </c>
      <c r="AG34" s="32">
        <v>-40.777000000000001</v>
      </c>
      <c r="AH34" s="32">
        <v>-47.963000000000001</v>
      </c>
      <c r="AI34" s="32">
        <v>-30.76</v>
      </c>
      <c r="AJ34" s="32">
        <v>-39.987000000000002</v>
      </c>
      <c r="AK34" s="32">
        <v>-159.48699999999999</v>
      </c>
      <c r="AL34" s="93">
        <v>-37.885540941598421</v>
      </c>
      <c r="AM34" s="93">
        <v>-40.366</v>
      </c>
      <c r="AN34" s="93">
        <v>-39.829000000000001</v>
      </c>
      <c r="AO34" s="93">
        <v>-39.807000000000002</v>
      </c>
      <c r="AP34" s="93">
        <v>-157.88800000000001</v>
      </c>
      <c r="AQ34" s="93">
        <v>-33.908380364798411</v>
      </c>
      <c r="AR34" s="93">
        <v>-21.582000000000001</v>
      </c>
      <c r="AS34" s="93">
        <v>-24.160939972398403</v>
      </c>
      <c r="AT34" s="93">
        <v>-28.690999999999999</v>
      </c>
      <c r="AU34" s="93">
        <v>-108.342</v>
      </c>
      <c r="AV34" s="93">
        <v>-27.02</v>
      </c>
      <c r="AW34" s="93">
        <v>-33.868000000000002</v>
      </c>
      <c r="AX34" s="93">
        <v>-43.719000000000001</v>
      </c>
      <c r="AY34" s="93">
        <v>-67.366198712703451</v>
      </c>
      <c r="AZ34" s="93">
        <v>-171.97319871270346</v>
      </c>
      <c r="BA34" s="93">
        <v>-59.922415459360451</v>
      </c>
      <c r="BB34" s="93">
        <v>-62.348258842091909</v>
      </c>
      <c r="BC34" s="93">
        <v>-49.290030570960432</v>
      </c>
      <c r="BD34" s="93">
        <v>-48.45829481196057</v>
      </c>
      <c r="BE34" s="93">
        <v>-220.01899968437334</v>
      </c>
      <c r="BF34" s="93">
        <v>-53.077782569760451</v>
      </c>
      <c r="BG34" s="93">
        <v>-47.868932290160437</v>
      </c>
      <c r="BH34" s="93">
        <v>-45.871228784960479</v>
      </c>
      <c r="BI34" s="93">
        <v>-43.431762074160389</v>
      </c>
      <c r="BJ34" s="93">
        <v>-190.24970571904174</v>
      </c>
      <c r="BK34" s="93">
        <v>-45.607685884560453</v>
      </c>
      <c r="BL34" s="93">
        <v>-47.709033067221036</v>
      </c>
    </row>
    <row r="35" spans="1:64" s="1" customFormat="1" ht="15" customHeight="1">
      <c r="A35" t="s">
        <v>141</v>
      </c>
      <c r="B35" s="9" t="str">
        <f>IF('Sumário | Summary'!P1=1,"Receitas financeiras","Financial Revenues")</f>
        <v>Receitas financeiras</v>
      </c>
      <c r="C35" s="4">
        <v>9.4540000000000006</v>
      </c>
      <c r="D35" s="4">
        <v>9.9499727153589994</v>
      </c>
      <c r="E35" s="4">
        <v>7.1120000000000001</v>
      </c>
      <c r="F35" s="4">
        <v>5.1839149999999998</v>
      </c>
      <c r="G35" s="4">
        <v>31.699887715358997</v>
      </c>
      <c r="H35" s="4">
        <v>7.4779999999999998</v>
      </c>
      <c r="I35" s="4">
        <v>8.0660000000000007</v>
      </c>
      <c r="J35" s="4">
        <v>7.6260000000000003</v>
      </c>
      <c r="K35" s="4">
        <v>8.4713659999999997</v>
      </c>
      <c r="L35" s="4">
        <v>31.641366000000001</v>
      </c>
      <c r="M35" s="4">
        <v>8.4570000000000007</v>
      </c>
      <c r="N35" s="4">
        <v>10.052</v>
      </c>
      <c r="O35" s="4">
        <v>9.1229999999999993</v>
      </c>
      <c r="P35" s="4">
        <v>9.3140000000000001</v>
      </c>
      <c r="Q35" s="4">
        <v>36.945999999999998</v>
      </c>
      <c r="R35" s="4">
        <v>15.019</v>
      </c>
      <c r="S35" s="4">
        <v>12.268000000000001</v>
      </c>
      <c r="T35" s="4">
        <v>15.718</v>
      </c>
      <c r="U35" s="32">
        <v>18.873999999999999</v>
      </c>
      <c r="V35" s="4">
        <v>61.878999999999991</v>
      </c>
      <c r="W35" s="32">
        <v>16.757000000000001</v>
      </c>
      <c r="X35" s="32">
        <v>15.305999999999999</v>
      </c>
      <c r="Y35" s="32">
        <v>14.225</v>
      </c>
      <c r="Z35" s="36">
        <v>18.692</v>
      </c>
      <c r="AA35" s="4">
        <v>64.98</v>
      </c>
      <c r="AB35" s="32">
        <v>14.29</v>
      </c>
      <c r="AC35" s="32">
        <v>8.2319999999999993</v>
      </c>
      <c r="AD35" s="32">
        <v>9.9890000000000008</v>
      </c>
      <c r="AE35" s="32">
        <v>9.8170000000000002</v>
      </c>
      <c r="AF35" s="32">
        <v>42.328000000000003</v>
      </c>
      <c r="AG35" s="32">
        <v>7.2510000000000003</v>
      </c>
      <c r="AH35" s="32">
        <v>8.8109999999999999</v>
      </c>
      <c r="AI35" s="32">
        <v>8.0459999999999994</v>
      </c>
      <c r="AJ35" s="32">
        <v>8.5489999999999995</v>
      </c>
      <c r="AK35" s="32">
        <v>32.656999999999996</v>
      </c>
      <c r="AL35" s="93">
        <v>5.4219275481630014</v>
      </c>
      <c r="AM35" s="93">
        <v>7.702</v>
      </c>
      <c r="AN35" s="93">
        <v>6.0110000000000001</v>
      </c>
      <c r="AO35" s="93">
        <v>9.9619999999999997</v>
      </c>
      <c r="AP35" s="93">
        <v>29.097000000000001</v>
      </c>
      <c r="AQ35" s="93">
        <v>6.6229928576470005</v>
      </c>
      <c r="AR35" s="93">
        <v>7.7160000000000002</v>
      </c>
      <c r="AS35" s="93">
        <v>4.4249008149450022</v>
      </c>
      <c r="AT35" s="93">
        <v>5.2859999999999996</v>
      </c>
      <c r="AU35" s="93">
        <v>24.05</v>
      </c>
      <c r="AV35" s="93">
        <v>3.5209999999999999</v>
      </c>
      <c r="AW35" s="93">
        <v>7.4459999999999997</v>
      </c>
      <c r="AX35" s="93">
        <v>8.7249999999999996</v>
      </c>
      <c r="AY35" s="93">
        <v>14.354581375903997</v>
      </c>
      <c r="AZ35" s="93">
        <v>34.046581375903997</v>
      </c>
      <c r="BA35" s="93">
        <v>16.494104544856</v>
      </c>
      <c r="BB35" s="93">
        <v>14.777218668603989</v>
      </c>
      <c r="BC35" s="93">
        <v>21.259190672980026</v>
      </c>
      <c r="BD35" s="93">
        <v>18.443179033465981</v>
      </c>
      <c r="BE35" s="93">
        <v>70.973692919906</v>
      </c>
      <c r="BF35" s="93">
        <v>12.284525172677997</v>
      </c>
      <c r="BG35" s="93">
        <v>17.264307342541994</v>
      </c>
      <c r="BH35" s="93">
        <v>15.370873528040015</v>
      </c>
      <c r="BI35" s="93">
        <v>16.066497029947968</v>
      </c>
      <c r="BJ35" s="93">
        <v>60.986203073207975</v>
      </c>
      <c r="BK35" s="93">
        <v>14.742144856995997</v>
      </c>
      <c r="BL35" s="93">
        <v>22.085792105749999</v>
      </c>
    </row>
    <row r="36" spans="1:64" s="1" customFormat="1" ht="15" customHeight="1">
      <c r="A36" t="s">
        <v>142</v>
      </c>
      <c r="B36" s="11" t="str">
        <f>IF('Sumário | Summary'!P1=1,"Lucro antes de IR e CS","Pre Tax Profit")</f>
        <v>Lucro antes de IR e CS</v>
      </c>
      <c r="C36" s="3">
        <v>26.640999999999998</v>
      </c>
      <c r="D36" s="3">
        <v>86.440103745026292</v>
      </c>
      <c r="E36" s="3">
        <v>32.001000000000005</v>
      </c>
      <c r="F36" s="3">
        <v>65.369954585553131</v>
      </c>
      <c r="G36" s="3">
        <v>211.91347141057946</v>
      </c>
      <c r="H36" s="3">
        <v>67.509</v>
      </c>
      <c r="I36" s="3">
        <v>52.573000000000008</v>
      </c>
      <c r="J36" s="3">
        <v>54.107000000000014</v>
      </c>
      <c r="K36" s="3">
        <v>39.697938100000002</v>
      </c>
      <c r="L36" s="3">
        <v>213.88693809999998</v>
      </c>
      <c r="M36" s="3">
        <v>53.297000000000011</v>
      </c>
      <c r="N36" s="3">
        <v>37.991</v>
      </c>
      <c r="O36" s="3">
        <v>54.867000000000004</v>
      </c>
      <c r="P36" s="3">
        <v>29.476000000000006</v>
      </c>
      <c r="Q36" s="3">
        <v>175.63099999999997</v>
      </c>
      <c r="R36" s="3">
        <v>4.4069999999999894</v>
      </c>
      <c r="S36" s="3">
        <v>31.836999999999982</v>
      </c>
      <c r="T36" s="3">
        <v>27.403000000000006</v>
      </c>
      <c r="U36" s="3">
        <v>20.383708803000019</v>
      </c>
      <c r="V36" s="3">
        <v>84.055354436292447</v>
      </c>
      <c r="W36" s="3">
        <v>20.637907622903796</v>
      </c>
      <c r="X36" s="3">
        <v>7.3319999999999652</v>
      </c>
      <c r="Y36" s="3">
        <v>2.5019999999999953</v>
      </c>
      <c r="Z36" s="3">
        <v>14.399999999999999</v>
      </c>
      <c r="AA36" s="3">
        <v>44.870000000000061</v>
      </c>
      <c r="AB36" s="3">
        <v>-3.7299999999999969</v>
      </c>
      <c r="AC36" s="3">
        <v>1.0449999999999875</v>
      </c>
      <c r="AD36" s="3">
        <v>254.73100000000002</v>
      </c>
      <c r="AE36" s="3">
        <v>7.1226683700000351</v>
      </c>
      <c r="AF36" s="3">
        <v>259.16946158220873</v>
      </c>
      <c r="AG36" s="3">
        <v>29.6651831</v>
      </c>
      <c r="AH36" s="3">
        <v>46.304443699999993</v>
      </c>
      <c r="AI36" s="3">
        <v>1.7439301100000257</v>
      </c>
      <c r="AJ36" s="3">
        <v>8.4458494600000193</v>
      </c>
      <c r="AK36" s="3">
        <v>86.159406370000013</v>
      </c>
      <c r="AL36" s="35">
        <v>31.540508184558579</v>
      </c>
      <c r="AM36" s="35">
        <v>11.265409283406655</v>
      </c>
      <c r="AN36" s="35">
        <v>35.835000000000001</v>
      </c>
      <c r="AO36" s="138">
        <v>63.656999999999996</v>
      </c>
      <c r="AP36" s="35">
        <v>207.48501212693071</v>
      </c>
      <c r="AQ36" s="35">
        <v>44.91904080090157</v>
      </c>
      <c r="AR36" s="35">
        <v>17.117621691757947</v>
      </c>
      <c r="AS36" s="35">
        <v>60.070468445585576</v>
      </c>
      <c r="AT36" s="35">
        <v>37.829989477900554</v>
      </c>
      <c r="AU36" s="35">
        <v>195.18837880364629</v>
      </c>
      <c r="AV36" s="35">
        <v>36.838965900000019</v>
      </c>
      <c r="AW36" s="35">
        <v>34.436999999999998</v>
      </c>
      <c r="AX36" s="35">
        <v>40.94551845999996</v>
      </c>
      <c r="AY36" s="35">
        <v>1384.0813329922612</v>
      </c>
      <c r="AZ36" s="35">
        <v>1497.2832176522613</v>
      </c>
      <c r="BA36" s="35">
        <v>4.2197811126375342</v>
      </c>
      <c r="BB36" s="35">
        <v>-14.088518562295899</v>
      </c>
      <c r="BC36" s="35">
        <v>19.825451943990338</v>
      </c>
      <c r="BD36" s="35">
        <v>-16.066300414674608</v>
      </c>
      <c r="BE36" s="35">
        <v>-6.1095859203426528</v>
      </c>
      <c r="BF36" s="35">
        <f>SUM(BF33:BF35)</f>
        <v>-3.7497158262104744</v>
      </c>
      <c r="BG36" s="35">
        <v>7.4823582679346039</v>
      </c>
      <c r="BH36" s="35">
        <v>17.47000869640128</v>
      </c>
      <c r="BI36" s="35">
        <v>21.897342895789436</v>
      </c>
      <c r="BJ36" s="138">
        <v>43.099994033914754</v>
      </c>
      <c r="BK36" s="35">
        <v>21.139375036793503</v>
      </c>
      <c r="BL36" s="35">
        <f>SUM(BL33:BL35)</f>
        <v>679.47597557269933</v>
      </c>
    </row>
    <row r="37" spans="1:64" s="1" customFormat="1" ht="15" customHeight="1">
      <c r="A37" t="s">
        <v>143</v>
      </c>
      <c r="B37" s="11" t="str">
        <f>IF('Sumário | Summary'!P1=1,"Imposto de Renda e Contribuição Social","Income and Social Contribution Taxes")</f>
        <v>Imposto de Renda e Contribuição Social</v>
      </c>
      <c r="C37" s="3">
        <v>-3.7450000000000001</v>
      </c>
      <c r="D37" s="3">
        <v>-6.0661030700000005</v>
      </c>
      <c r="E37" s="3">
        <v>-2.7869999999999999</v>
      </c>
      <c r="F37" s="3">
        <v>-7.2870430000000006</v>
      </c>
      <c r="G37" s="35">
        <f t="shared" ref="G37:AX37" si="0">SUM(G38:G39)</f>
        <v>-19.885146070000001</v>
      </c>
      <c r="H37" s="35">
        <f t="shared" si="0"/>
        <v>-4.9240000000000004</v>
      </c>
      <c r="I37" s="35">
        <f t="shared" si="0"/>
        <v>-5.1989999999999998</v>
      </c>
      <c r="J37" s="35">
        <f t="shared" si="0"/>
        <v>-5.3919999999999995</v>
      </c>
      <c r="K37" s="35">
        <f t="shared" si="0"/>
        <v>-7.3718149999999998</v>
      </c>
      <c r="L37" s="35">
        <f t="shared" si="0"/>
        <v>-22.886814999999999</v>
      </c>
      <c r="M37" s="35">
        <f t="shared" si="0"/>
        <v>-4.3570000000000002</v>
      </c>
      <c r="N37" s="35">
        <f t="shared" si="0"/>
        <v>-7.1379999999999999</v>
      </c>
      <c r="O37" s="35">
        <f t="shared" si="0"/>
        <v>-7.5780000000000003</v>
      </c>
      <c r="P37" s="35">
        <f t="shared" si="0"/>
        <v>-7.7389999999999999</v>
      </c>
      <c r="Q37" s="35">
        <f t="shared" si="0"/>
        <v>-26.812000000000001</v>
      </c>
      <c r="R37" s="35">
        <f t="shared" si="0"/>
        <v>-7.1349999999999998</v>
      </c>
      <c r="S37" s="35">
        <f t="shared" si="0"/>
        <v>-7.3209999999999997</v>
      </c>
      <c r="T37" s="35">
        <f t="shared" si="0"/>
        <v>-8.5259999999999998</v>
      </c>
      <c r="U37" s="35">
        <f t="shared" si="0"/>
        <v>-8.8019999999999996</v>
      </c>
      <c r="V37" s="35">
        <f t="shared" si="0"/>
        <v>-31.784000000000002</v>
      </c>
      <c r="W37" s="35">
        <f t="shared" si="0"/>
        <v>-6.4319999999999995</v>
      </c>
      <c r="X37" s="35">
        <f t="shared" si="0"/>
        <v>-6.8</v>
      </c>
      <c r="Y37" s="35">
        <f t="shared" si="0"/>
        <v>-9.2040000000000006</v>
      </c>
      <c r="Z37" s="35">
        <f t="shared" si="0"/>
        <v>-7.6710000000000003</v>
      </c>
      <c r="AA37" s="35">
        <f t="shared" si="0"/>
        <v>-30.512</v>
      </c>
      <c r="AB37" s="35">
        <f t="shared" si="0"/>
        <v>-8.234</v>
      </c>
      <c r="AC37" s="35">
        <f t="shared" si="0"/>
        <v>-7.4569999999999999</v>
      </c>
      <c r="AD37" s="35">
        <f t="shared" si="0"/>
        <v>-18.041</v>
      </c>
      <c r="AE37" s="35">
        <f t="shared" si="0"/>
        <v>-2.984</v>
      </c>
      <c r="AF37" s="35">
        <f t="shared" si="0"/>
        <v>-36.716000000000001</v>
      </c>
      <c r="AG37" s="35">
        <f t="shared" si="0"/>
        <v>-8.3680000000000003</v>
      </c>
      <c r="AH37" s="35">
        <f t="shared" si="0"/>
        <v>-10.093999999999999</v>
      </c>
      <c r="AI37" s="35">
        <f t="shared" si="0"/>
        <v>-8.9809999999999999</v>
      </c>
      <c r="AJ37" s="35">
        <f t="shared" si="0"/>
        <v>-9.0150000000000006</v>
      </c>
      <c r="AK37" s="35">
        <f t="shared" si="0"/>
        <v>-36.457999999999998</v>
      </c>
      <c r="AL37" s="35">
        <v>-13.779078840000002</v>
      </c>
      <c r="AM37" s="35">
        <f t="shared" si="0"/>
        <v>-10.959257060000001</v>
      </c>
      <c r="AN37" s="35">
        <v>-10.53</v>
      </c>
      <c r="AO37" s="35">
        <f t="shared" si="0"/>
        <v>-10.256</v>
      </c>
      <c r="AP37" s="35">
        <f t="shared" si="0"/>
        <v>-45.524000000000001</v>
      </c>
      <c r="AQ37" s="35">
        <v>-9.1598614699999992</v>
      </c>
      <c r="AR37" s="35">
        <v>-6.6763110800000005</v>
      </c>
      <c r="AS37" s="35">
        <v>-8.0425179899999986</v>
      </c>
      <c r="AT37" s="35">
        <f t="shared" si="0"/>
        <v>-8.072000000000001</v>
      </c>
      <c r="AU37" s="35">
        <f t="shared" si="0"/>
        <v>-31.950000000000003</v>
      </c>
      <c r="AV37" s="35">
        <f t="shared" si="0"/>
        <v>-7.7670000000000003</v>
      </c>
      <c r="AW37" s="35">
        <f t="shared" si="0"/>
        <v>-8.2759999999999998</v>
      </c>
      <c r="AX37" s="35">
        <f t="shared" si="0"/>
        <v>-8.94</v>
      </c>
      <c r="AY37" s="35">
        <f>SUM(AY38:AY39)</f>
        <v>-67.135263189999975</v>
      </c>
      <c r="AZ37" s="35">
        <f>SUM(AZ38:AZ39)</f>
        <v>-92.118263189999979</v>
      </c>
      <c r="BA37" s="35">
        <v>-7.2310501899999977</v>
      </c>
      <c r="BB37" s="35">
        <v>-7.1269345100000008</v>
      </c>
      <c r="BC37" s="35">
        <v>-7.0820731700000019</v>
      </c>
      <c r="BD37" s="35">
        <v>-5.3900176199999947</v>
      </c>
      <c r="BE37" s="35">
        <v>-26.830075489999995</v>
      </c>
      <c r="BF37" s="35">
        <f>SUM(BF38:BF39)</f>
        <v>-8.5647349999999989</v>
      </c>
      <c r="BG37" s="35">
        <v>-9.1009362800000044</v>
      </c>
      <c r="BH37" s="35">
        <v>-9.0328208899999964</v>
      </c>
      <c r="BI37" s="35">
        <v>-10.854782900000004</v>
      </c>
      <c r="BJ37" s="138">
        <v>-37.553275070000005</v>
      </c>
      <c r="BK37" s="35">
        <v>-8.274086040000002</v>
      </c>
      <c r="BL37" s="35">
        <f>SUM(BL38:BL39)</f>
        <v>-113.03173105999998</v>
      </c>
    </row>
    <row r="38" spans="1:64" s="1" customFormat="1" ht="15" customHeight="1">
      <c r="A38" t="s">
        <v>110</v>
      </c>
      <c r="B38" s="13" t="str">
        <f>IF('Sumário | Summary'!P1=1,"Diferidos","Deferred")</f>
        <v>Diferidos</v>
      </c>
      <c r="C38" s="4">
        <v>0.59</v>
      </c>
      <c r="D38" s="4">
        <v>-2.0874259300000002</v>
      </c>
      <c r="E38" s="4">
        <v>1.8380000000000001</v>
      </c>
      <c r="F38" s="4">
        <v>2.2769569999999999</v>
      </c>
      <c r="G38" s="4">
        <v>2.6175310699999996</v>
      </c>
      <c r="H38" s="4">
        <v>0.27900000000000003</v>
      </c>
      <c r="I38" s="4">
        <v>-0.10299999999999999</v>
      </c>
      <c r="J38" s="4">
        <v>-0.379</v>
      </c>
      <c r="K38" s="4">
        <v>-2.3784700000000001</v>
      </c>
      <c r="L38" s="4">
        <v>-2.5814699999999999</v>
      </c>
      <c r="M38" s="4">
        <v>2.2770000000000001</v>
      </c>
      <c r="N38" s="4">
        <v>-6.0999999999999999E-2</v>
      </c>
      <c r="O38" s="4">
        <v>-0.45700000000000002</v>
      </c>
      <c r="P38" s="4">
        <v>-0.245</v>
      </c>
      <c r="Q38" s="4">
        <v>1.5140000000000002</v>
      </c>
      <c r="R38" s="4">
        <v>0.25800000000000001</v>
      </c>
      <c r="S38" s="4">
        <v>0.19400000000000001</v>
      </c>
      <c r="T38" s="4">
        <v>-0.126</v>
      </c>
      <c r="U38" s="32">
        <v>-0.129</v>
      </c>
      <c r="V38" s="4">
        <v>0.19700000000000001</v>
      </c>
      <c r="W38" s="32">
        <v>-2.9000000000000001E-2</v>
      </c>
      <c r="X38" s="32">
        <v>0.45</v>
      </c>
      <c r="Y38" s="32">
        <v>-0.78700000000000003</v>
      </c>
      <c r="Z38" s="36">
        <v>0.20399999999999999</v>
      </c>
      <c r="AA38" s="4">
        <v>-0.56699999999999995</v>
      </c>
      <c r="AB38" s="32">
        <v>0.11899999999999999</v>
      </c>
      <c r="AC38" s="32">
        <v>0.127</v>
      </c>
      <c r="AD38" s="32">
        <v>0.29699999999999999</v>
      </c>
      <c r="AE38" s="32">
        <v>0.121</v>
      </c>
      <c r="AF38" s="32">
        <v>0.66400000000000003</v>
      </c>
      <c r="AG38" s="32">
        <v>-0.122</v>
      </c>
      <c r="AH38" s="32">
        <v>1.7999999999999999E-2</v>
      </c>
      <c r="AI38" s="32">
        <v>-0.17399999999999999</v>
      </c>
      <c r="AJ38" s="32">
        <v>2.1999999999999999E-2</v>
      </c>
      <c r="AK38" s="32">
        <v>-0.25600000000000001</v>
      </c>
      <c r="AL38" s="93">
        <v>6.5065620000000005E-2</v>
      </c>
      <c r="AM38" s="93">
        <v>7.0000000000000001E-3</v>
      </c>
      <c r="AN38" s="93">
        <v>7.0000000000000001E-3</v>
      </c>
      <c r="AO38" s="93">
        <v>7.0000000000000001E-3</v>
      </c>
      <c r="AP38" s="93">
        <v>8.5999999999999993E-2</v>
      </c>
      <c r="AQ38" s="93">
        <v>1.142599E-2</v>
      </c>
      <c r="AR38" s="93">
        <v>2.0227619999999998E-2</v>
      </c>
      <c r="AS38" s="93">
        <v>9.9590299999999989E-3</v>
      </c>
      <c r="AT38" s="93">
        <v>0.01</v>
      </c>
      <c r="AU38" s="93">
        <v>5.1999999999999998E-2</v>
      </c>
      <c r="AV38" s="93">
        <v>6.6000000000000003E-2</v>
      </c>
      <c r="AW38" s="93">
        <v>4.0000000000000001E-3</v>
      </c>
      <c r="AX38" s="93">
        <v>-1.4E-2</v>
      </c>
      <c r="AY38" s="93">
        <v>7.5508500000000013E-3</v>
      </c>
      <c r="AZ38" s="93">
        <v>6.3550850000000006E-2</v>
      </c>
      <c r="BA38" s="93">
        <v>-1.7517560000000001E-2</v>
      </c>
      <c r="BB38" s="93">
        <v>-1.0060610000000001E-2</v>
      </c>
      <c r="BC38" s="93">
        <v>2.0724970000000002E-2</v>
      </c>
      <c r="BD38" s="93">
        <v>-5.2454600000000004E-3</v>
      </c>
      <c r="BE38" s="93">
        <v>-1.2098660000000002E-2</v>
      </c>
      <c r="BF38" s="93">
        <v>2.078054E-2</v>
      </c>
      <c r="BG38" s="93">
        <v>-2.9681099999999995E-3</v>
      </c>
      <c r="BH38" s="93">
        <v>1.0138099999999995E-3</v>
      </c>
      <c r="BI38" s="93">
        <v>6.0319999999997268E-5</v>
      </c>
      <c r="BJ38" s="93">
        <v>1.8886559999999997E-2</v>
      </c>
      <c r="BK38" s="93">
        <v>2.06514E-3</v>
      </c>
      <c r="BL38" s="93">
        <v>2.1873700000000001E-3</v>
      </c>
    </row>
    <row r="39" spans="1:64" s="1" customFormat="1" ht="15" customHeight="1">
      <c r="A39" t="s">
        <v>111</v>
      </c>
      <c r="B39" s="13" t="str">
        <f>IF('Sumário | Summary'!P1=1,"Correntes","Current")</f>
        <v>Correntes</v>
      </c>
      <c r="C39" s="4">
        <v>-4.335</v>
      </c>
      <c r="D39" s="4">
        <v>-3.9786771399999998</v>
      </c>
      <c r="E39" s="4">
        <v>-4.625</v>
      </c>
      <c r="F39" s="4">
        <v>-9.5640000000000001</v>
      </c>
      <c r="G39" s="4">
        <v>-22.502677139999999</v>
      </c>
      <c r="H39" s="4">
        <v>-5.2030000000000003</v>
      </c>
      <c r="I39" s="4">
        <v>-5.0960000000000001</v>
      </c>
      <c r="J39" s="4">
        <v>-5.0129999999999999</v>
      </c>
      <c r="K39" s="4">
        <v>-4.9933449999999997</v>
      </c>
      <c r="L39" s="4">
        <v>-20.305344999999999</v>
      </c>
      <c r="M39" s="4">
        <v>-6.6340000000000003</v>
      </c>
      <c r="N39" s="4">
        <v>-7.077</v>
      </c>
      <c r="O39" s="4">
        <v>-7.1210000000000004</v>
      </c>
      <c r="P39" s="4">
        <v>-7.4939999999999998</v>
      </c>
      <c r="Q39" s="4">
        <v>-28.326000000000001</v>
      </c>
      <c r="R39" s="4">
        <v>-7.3929999999999998</v>
      </c>
      <c r="S39" s="4">
        <v>-7.5149999999999997</v>
      </c>
      <c r="T39" s="4">
        <v>-8.4</v>
      </c>
      <c r="U39" s="32">
        <v>-8.673</v>
      </c>
      <c r="V39" s="4">
        <v>-31.981000000000002</v>
      </c>
      <c r="W39" s="32">
        <v>-6.4029999999999996</v>
      </c>
      <c r="X39" s="32">
        <v>-7.25</v>
      </c>
      <c r="Y39" s="32">
        <v>-8.4169999999999998</v>
      </c>
      <c r="Z39" s="36">
        <v>-7.875</v>
      </c>
      <c r="AA39" s="4">
        <v>-29.945</v>
      </c>
      <c r="AB39" s="32">
        <v>-8.3529999999999998</v>
      </c>
      <c r="AC39" s="32">
        <v>-7.5839999999999996</v>
      </c>
      <c r="AD39" s="32">
        <v>-18.338000000000001</v>
      </c>
      <c r="AE39" s="32">
        <v>-3.105</v>
      </c>
      <c r="AF39" s="32">
        <v>-37.380000000000003</v>
      </c>
      <c r="AG39" s="32">
        <v>-8.2460000000000004</v>
      </c>
      <c r="AH39" s="32">
        <v>-10.112</v>
      </c>
      <c r="AI39" s="32">
        <v>-8.8070000000000004</v>
      </c>
      <c r="AJ39" s="32">
        <v>-9.0370000000000008</v>
      </c>
      <c r="AK39" s="32">
        <v>-36.201999999999998</v>
      </c>
      <c r="AL39" s="93">
        <v>-13.844144460000001</v>
      </c>
      <c r="AM39" s="93">
        <v>-10.96625706</v>
      </c>
      <c r="AN39" s="93">
        <v>-10.537000000000001</v>
      </c>
      <c r="AO39" s="93">
        <v>-10.263</v>
      </c>
      <c r="AP39" s="93">
        <v>-45.61</v>
      </c>
      <c r="AQ39" s="93">
        <v>-9.1712874600000003</v>
      </c>
      <c r="AR39" s="93">
        <v>-6.6965386999999996</v>
      </c>
      <c r="AS39" s="93">
        <v>-8.0524770199999978</v>
      </c>
      <c r="AT39" s="93">
        <v>-8.0820000000000007</v>
      </c>
      <c r="AU39" s="93">
        <v>-32.002000000000002</v>
      </c>
      <c r="AV39" s="93">
        <v>-7.8330000000000002</v>
      </c>
      <c r="AW39" s="93">
        <v>-8.2799999999999994</v>
      </c>
      <c r="AX39" s="93">
        <v>-8.9260000000000002</v>
      </c>
      <c r="AY39" s="93">
        <v>-67.142814039999976</v>
      </c>
      <c r="AZ39" s="93">
        <v>-92.181814039999978</v>
      </c>
      <c r="BA39" s="93">
        <v>-7.2135326299999978</v>
      </c>
      <c r="BB39" s="93">
        <v>-7.1168739000000008</v>
      </c>
      <c r="BC39" s="93">
        <v>-7.1027981400000009</v>
      </c>
      <c r="BD39" s="93">
        <v>-5.3847721599999936</v>
      </c>
      <c r="BE39" s="93">
        <v>-26.817976829999992</v>
      </c>
      <c r="BF39" s="93">
        <v>-8.5855155399999994</v>
      </c>
      <c r="BG39" s="93">
        <v>-9.097968170000005</v>
      </c>
      <c r="BH39" s="93">
        <v>-9.0338346999999963</v>
      </c>
      <c r="BI39" s="93">
        <v>-10.854843220000003</v>
      </c>
      <c r="BJ39" s="93">
        <v>-37.572161630000004</v>
      </c>
      <c r="BK39" s="93">
        <v>-8.2761511800000012</v>
      </c>
      <c r="BL39" s="93">
        <v>-113.03391842999999</v>
      </c>
    </row>
    <row r="40" spans="1:64" s="91" customFormat="1" ht="15" customHeight="1">
      <c r="A40" t="s">
        <v>280</v>
      </c>
      <c r="B40" s="11" t="str">
        <f>IF('Sumário | Summary'!P1=1,"Lucro antes da participação dos minoritários","Profit before minority
interest")</f>
        <v>Lucro antes da participação dos minoritários</v>
      </c>
      <c r="C40" s="117">
        <v>6.5030000000000001</v>
      </c>
      <c r="D40" s="117">
        <v>5.5459429105779998</v>
      </c>
      <c r="E40" s="117">
        <v>5.7039999999999997</v>
      </c>
      <c r="F40" s="117">
        <v>21.239153999999999</v>
      </c>
      <c r="G40" s="138">
        <v>192.02832534057947</v>
      </c>
      <c r="H40" s="138">
        <v>62.585000000000001</v>
      </c>
      <c r="I40" s="138">
        <v>47.374000000000009</v>
      </c>
      <c r="J40" s="138">
        <v>48.715000000000018</v>
      </c>
      <c r="K40" s="138">
        <v>32.326123100000004</v>
      </c>
      <c r="L40" s="138">
        <v>191.0001231</v>
      </c>
      <c r="M40" s="138">
        <v>48.940000000000012</v>
      </c>
      <c r="N40" s="138">
        <v>30.853000000000002</v>
      </c>
      <c r="O40" s="138">
        <v>47.289000000000001</v>
      </c>
      <c r="P40" s="138">
        <v>21.737000000000005</v>
      </c>
      <c r="Q40" s="138">
        <v>148.81899999999996</v>
      </c>
      <c r="R40" s="138">
        <v>-2.7280000000000104</v>
      </c>
      <c r="S40" s="138">
        <v>24.515999999999984</v>
      </c>
      <c r="T40" s="138">
        <v>18.877000000000006</v>
      </c>
      <c r="U40" s="138">
        <v>11.581708803000019</v>
      </c>
      <c r="V40" s="138">
        <v>52.271354436292441</v>
      </c>
      <c r="W40" s="138">
        <v>14.205907622903798</v>
      </c>
      <c r="X40" s="138">
        <v>0.53199999999996539</v>
      </c>
      <c r="Y40" s="138">
        <v>-6.7020000000000053</v>
      </c>
      <c r="Z40" s="138">
        <v>6.7289999999999983</v>
      </c>
      <c r="AA40" s="138">
        <v>14.358000000000061</v>
      </c>
      <c r="AB40" s="138">
        <f t="shared" ref="AB40:BD40" si="1">AB36+AB37</f>
        <v>-11.963999999999997</v>
      </c>
      <c r="AC40" s="138">
        <f t="shared" si="1"/>
        <v>-6.4120000000000124</v>
      </c>
      <c r="AD40" s="138">
        <f t="shared" si="1"/>
        <v>236.69000000000003</v>
      </c>
      <c r="AE40" s="138">
        <f t="shared" si="1"/>
        <v>4.1386683700000351</v>
      </c>
      <c r="AF40" s="138">
        <f t="shared" si="1"/>
        <v>222.45346158220872</v>
      </c>
      <c r="AG40" s="138">
        <f t="shared" si="1"/>
        <v>21.297183099999998</v>
      </c>
      <c r="AH40" s="138">
        <f t="shared" si="1"/>
        <v>36.210443699999992</v>
      </c>
      <c r="AI40" s="138">
        <f t="shared" si="1"/>
        <v>-7.2370698899999741</v>
      </c>
      <c r="AJ40" s="138">
        <f t="shared" si="1"/>
        <v>-0.56915053999998122</v>
      </c>
      <c r="AK40" s="138">
        <f t="shared" si="1"/>
        <v>49.701406370000015</v>
      </c>
      <c r="AL40" s="138">
        <v>17.761429344558575</v>
      </c>
      <c r="AM40" s="138">
        <v>0.30617739340665684</v>
      </c>
      <c r="AN40" s="138">
        <v>25.305</v>
      </c>
      <c r="AO40" s="138">
        <v>53.401000000000003</v>
      </c>
      <c r="AP40" s="138">
        <f t="shared" si="1"/>
        <v>161.96101212693071</v>
      </c>
      <c r="AQ40" s="138">
        <v>35.75917933090156</v>
      </c>
      <c r="AR40" s="138">
        <v>10.441310611757947</v>
      </c>
      <c r="AS40" s="138">
        <v>52.027950455585582</v>
      </c>
      <c r="AT40" s="138">
        <v>29.758468307900554</v>
      </c>
      <c r="AU40" s="138">
        <f t="shared" si="1"/>
        <v>163.2383788036463</v>
      </c>
      <c r="AV40" s="138">
        <f t="shared" si="1"/>
        <v>29.07196590000002</v>
      </c>
      <c r="AW40" s="138">
        <v>26.161000000000001</v>
      </c>
      <c r="AX40" s="138">
        <f t="shared" si="1"/>
        <v>32.005518459999962</v>
      </c>
      <c r="AY40" s="138">
        <f t="shared" si="1"/>
        <v>1316.9460698022613</v>
      </c>
      <c r="AZ40" s="138">
        <f t="shared" si="1"/>
        <v>1405.1649544622614</v>
      </c>
      <c r="BA40" s="138">
        <f t="shared" si="1"/>
        <v>-3.0112690773624635</v>
      </c>
      <c r="BB40" s="138">
        <f t="shared" si="1"/>
        <v>-21.215453072295901</v>
      </c>
      <c r="BC40" s="138">
        <f t="shared" si="1"/>
        <v>12.743378773990337</v>
      </c>
      <c r="BD40" s="138">
        <f t="shared" si="1"/>
        <v>-21.456318034674602</v>
      </c>
      <c r="BE40" s="138">
        <v>-32.939661410342637</v>
      </c>
      <c r="BF40" s="138">
        <v>-12.314450826210475</v>
      </c>
      <c r="BG40" s="138">
        <v>-1.618578012065399</v>
      </c>
      <c r="BH40" s="138">
        <v>8.4371878064012833</v>
      </c>
      <c r="BI40" s="138">
        <v>11.042559995789432</v>
      </c>
      <c r="BJ40" s="138">
        <v>5.5467189639147492</v>
      </c>
      <c r="BK40" s="138">
        <v>12.865288996793501</v>
      </c>
      <c r="BL40" s="138">
        <f>BL36+BL37</f>
        <v>566.44424451269936</v>
      </c>
    </row>
    <row r="41" spans="1:64" s="91" customFormat="1" ht="15" customHeight="1">
      <c r="A41" t="s">
        <v>281</v>
      </c>
      <c r="B41" s="119" t="str">
        <f>IF('Sumário | Summary'!P1=1,"Participação dos minoritários","Minority interest")</f>
        <v>Participação dos minoritários</v>
      </c>
      <c r="C41" s="118">
        <v>16.392999999999997</v>
      </c>
      <c r="D41" s="118">
        <v>74.828057764448289</v>
      </c>
      <c r="E41" s="118">
        <v>23.510000000000005</v>
      </c>
      <c r="F41" s="118">
        <v>36.843757585553135</v>
      </c>
      <c r="G41" s="118">
        <v>153.03622843000147</v>
      </c>
      <c r="H41" s="118">
        <v>45.41</v>
      </c>
      <c r="I41" s="118">
        <v>38.106000000000009</v>
      </c>
      <c r="J41" s="118">
        <v>40.686000000000021</v>
      </c>
      <c r="K41" s="118">
        <v>24.701076100000002</v>
      </c>
      <c r="L41" s="118">
        <v>148.90307609999999</v>
      </c>
      <c r="M41" s="118">
        <v>38.663000000000011</v>
      </c>
      <c r="N41" s="118">
        <v>19.884</v>
      </c>
      <c r="O41" s="118">
        <v>29.619</v>
      </c>
      <c r="P41" s="118">
        <v>9.7950000000000053</v>
      </c>
      <c r="Q41" s="118">
        <v>97.960999999999956</v>
      </c>
      <c r="R41" s="118">
        <v>-3.3650000000000104</v>
      </c>
      <c r="S41" s="118">
        <v>18.320999999999984</v>
      </c>
      <c r="T41" s="118">
        <v>9.4770000000000056</v>
      </c>
      <c r="U41" s="118">
        <v>-1.1012911969999806</v>
      </c>
      <c r="V41" s="118">
        <v>23.32335443629249</v>
      </c>
      <c r="W41" s="118">
        <v>4.3979076229037979</v>
      </c>
      <c r="X41" s="118">
        <v>-10.957000000000034</v>
      </c>
      <c r="Y41" s="118">
        <v>-17.142000000000003</v>
      </c>
      <c r="Z41" s="118">
        <v>2.3749999999999982</v>
      </c>
      <c r="AA41" s="117">
        <v>35.686</v>
      </c>
      <c r="AB41" s="93">
        <v>-7.7219047390223601</v>
      </c>
      <c r="AC41" s="93">
        <v>-10.635687708305719</v>
      </c>
      <c r="AD41" s="93">
        <v>-17.834636962671915</v>
      </c>
      <c r="AE41" s="93">
        <v>-12.056752870000004</v>
      </c>
      <c r="AF41" s="93">
        <v>-48.248982280000007</v>
      </c>
      <c r="AG41" s="93">
        <v>21.296202674981952</v>
      </c>
      <c r="AH41" s="93">
        <v>36.211792788443312</v>
      </c>
      <c r="AI41" s="93">
        <v>-7.2365596369716894</v>
      </c>
      <c r="AJ41" s="93">
        <v>-0.56958190822070442</v>
      </c>
      <c r="AK41" s="93">
        <v>49.701853918232878</v>
      </c>
      <c r="AL41" s="93">
        <v>-14.604088756440001</v>
      </c>
      <c r="AM41" s="93">
        <v>-17.450733490661001</v>
      </c>
      <c r="AN41" s="93">
        <v>-16.544</v>
      </c>
      <c r="AO41" s="93">
        <v>-15.326024028190174</v>
      </c>
      <c r="AP41" s="93">
        <v>-63.963927194454932</v>
      </c>
      <c r="AQ41" s="93">
        <v>-19.344578009999999</v>
      </c>
      <c r="AR41" s="93">
        <v>-9.5514214438365759</v>
      </c>
      <c r="AS41" s="93">
        <v>-25.324612485263025</v>
      </c>
      <c r="AT41" s="93">
        <v>-23.112776838004983</v>
      </c>
      <c r="AU41" s="93">
        <v>-77.333388777104588</v>
      </c>
      <c r="AV41" s="93">
        <v>-21.947210782660587</v>
      </c>
      <c r="AW41" s="93">
        <v>-19.030755437339408</v>
      </c>
      <c r="AX41" s="93">
        <v>-22.98725177554854</v>
      </c>
      <c r="AY41" s="93">
        <v>-53.54178200445147</v>
      </c>
      <c r="AZ41" s="93">
        <v>-117.50700000000001</v>
      </c>
      <c r="BA41" s="93">
        <v>-7.908734407059999</v>
      </c>
      <c r="BB41" s="217">
        <v>-7.943363426737001</v>
      </c>
      <c r="BC41" s="93">
        <v>-5.8903645829480098</v>
      </c>
      <c r="BD41" s="93">
        <v>-2.3186961499091483</v>
      </c>
      <c r="BE41" s="93">
        <v>-24.061158566654157</v>
      </c>
      <c r="BF41" s="93">
        <v>-2.5662340270160056</v>
      </c>
      <c r="BG41" s="93">
        <v>-2.515455481631014</v>
      </c>
      <c r="BH41" s="93">
        <v>-4.878454732359347</v>
      </c>
      <c r="BI41" s="93">
        <v>-5.6282346767505329</v>
      </c>
      <c r="BJ41" s="93">
        <v>-15.5883789177569</v>
      </c>
      <c r="BK41" s="93">
        <v>-6.1790683206660031</v>
      </c>
      <c r="BL41" s="93">
        <v>-109.33635782691211</v>
      </c>
    </row>
    <row r="42" spans="1:64" s="91" customFormat="1" ht="15" customHeight="1">
      <c r="A42" t="s">
        <v>273</v>
      </c>
      <c r="B42" s="11" t="str">
        <f>IF('Sumário | Summary'!P1=1,"Lucro/Prejuízo do Período","Profit / Loss for the Period")</f>
        <v>Lucro/Prejuízo do Período</v>
      </c>
      <c r="C42" s="117">
        <v>22.895999999999997</v>
      </c>
      <c r="D42" s="117">
        <v>80.374000675026295</v>
      </c>
      <c r="E42" s="117">
        <v>29.214000000000006</v>
      </c>
      <c r="F42" s="117">
        <v>58.082911585553134</v>
      </c>
      <c r="G42" s="218">
        <v>192.02832534057947</v>
      </c>
      <c r="H42" s="218">
        <v>62.584999999999994</v>
      </c>
      <c r="I42" s="218">
        <v>47.374000000000009</v>
      </c>
      <c r="J42" s="218">
        <v>48.715000000000018</v>
      </c>
      <c r="K42" s="218">
        <v>32.326123100000004</v>
      </c>
      <c r="L42" s="218">
        <v>191.0001231</v>
      </c>
      <c r="M42" s="218">
        <v>48.940000000000012</v>
      </c>
      <c r="N42" s="218">
        <v>30.853000000000002</v>
      </c>
      <c r="O42" s="218">
        <v>47.289000000000001</v>
      </c>
      <c r="P42" s="218">
        <v>21.737000000000005</v>
      </c>
      <c r="Q42" s="218">
        <v>148.81899999999996</v>
      </c>
      <c r="R42" s="218">
        <v>-2.7280000000000104</v>
      </c>
      <c r="S42" s="218">
        <v>24.515999999999984</v>
      </c>
      <c r="T42" s="218">
        <v>18.877000000000006</v>
      </c>
      <c r="U42" s="3">
        <v>11.581708803000019</v>
      </c>
      <c r="V42" s="218">
        <v>52.238354436292489</v>
      </c>
      <c r="W42" s="3">
        <v>14.205907622903798</v>
      </c>
      <c r="X42" s="3">
        <v>0.12699999999996514</v>
      </c>
      <c r="Y42" s="3">
        <v>-6.7020000000000035</v>
      </c>
      <c r="Z42" s="35">
        <v>6.7289999999999983</v>
      </c>
      <c r="AA42" s="138">
        <f>SUM(AA40:AA41)</f>
        <v>50.044000000000061</v>
      </c>
      <c r="AB42" s="138">
        <f t="shared" ref="AB42:BF42" si="2">AB40+AB41</f>
        <v>-19.685904739022355</v>
      </c>
      <c r="AC42" s="138">
        <f t="shared" si="2"/>
        <v>-17.04768770830573</v>
      </c>
      <c r="AD42" s="138">
        <f t="shared" si="2"/>
        <v>218.85536303732812</v>
      </c>
      <c r="AE42" s="138">
        <f t="shared" si="2"/>
        <v>-7.9180844999999689</v>
      </c>
      <c r="AF42" s="138">
        <f t="shared" si="2"/>
        <v>174.20447930220871</v>
      </c>
      <c r="AG42" s="138">
        <f t="shared" si="2"/>
        <v>42.593385774981954</v>
      </c>
      <c r="AH42" s="138">
        <f t="shared" si="2"/>
        <v>72.422236488443303</v>
      </c>
      <c r="AI42" s="138">
        <f t="shared" si="2"/>
        <v>-14.473629526971663</v>
      </c>
      <c r="AJ42" s="138">
        <f t="shared" si="2"/>
        <v>-1.1387324482206855</v>
      </c>
      <c r="AK42" s="138">
        <f t="shared" si="2"/>
        <v>99.4032602882329</v>
      </c>
      <c r="AL42" s="138">
        <v>3.1573405881185739</v>
      </c>
      <c r="AM42" s="138">
        <v>-17.144556097254341</v>
      </c>
      <c r="AN42" s="138">
        <v>8.7609999999999992</v>
      </c>
      <c r="AO42" s="138">
        <v>38.074975971809828</v>
      </c>
      <c r="AP42" s="138">
        <f t="shared" si="2"/>
        <v>97.997084932475786</v>
      </c>
      <c r="AQ42" s="138">
        <v>16.414601320901564</v>
      </c>
      <c r="AR42" s="138">
        <v>0.88988916792137029</v>
      </c>
      <c r="AS42" s="138">
        <v>26.703337970322558</v>
      </c>
      <c r="AT42" s="138">
        <v>6.6456914698955698</v>
      </c>
      <c r="AU42" s="138">
        <f t="shared" si="2"/>
        <v>85.904990026541711</v>
      </c>
      <c r="AV42" s="138">
        <f t="shared" si="2"/>
        <v>7.1247551173394328</v>
      </c>
      <c r="AW42" s="138">
        <v>7.13</v>
      </c>
      <c r="AX42" s="138">
        <f t="shared" si="2"/>
        <v>9.0182666844514223</v>
      </c>
      <c r="AY42" s="138">
        <f t="shared" si="2"/>
        <v>1263.4042877978097</v>
      </c>
      <c r="AZ42" s="138">
        <f t="shared" si="2"/>
        <v>1287.6579544622614</v>
      </c>
      <c r="BA42" s="138">
        <f t="shared" si="2"/>
        <v>-10.920003484422462</v>
      </c>
      <c r="BB42" s="138">
        <f t="shared" si="2"/>
        <v>-29.158816499032902</v>
      </c>
      <c r="BC42" s="138">
        <f t="shared" si="2"/>
        <v>6.8530141910423268</v>
      </c>
      <c r="BD42" s="138">
        <f t="shared" si="2"/>
        <v>-23.77501418458375</v>
      </c>
      <c r="BE42" s="138">
        <f t="shared" si="2"/>
        <v>-57.000819976996794</v>
      </c>
      <c r="BF42" s="138">
        <f t="shared" si="2"/>
        <v>-14.88068485322648</v>
      </c>
      <c r="BG42" s="138">
        <v>-4.1340334936964132</v>
      </c>
      <c r="BH42" s="138">
        <v>3.5587330740419363</v>
      </c>
      <c r="BI42" s="138">
        <v>5.4143253190388991</v>
      </c>
      <c r="BJ42" s="228">
        <v>-10.041659953842151</v>
      </c>
      <c r="BK42" s="138">
        <v>6.6862206761274976</v>
      </c>
      <c r="BL42" s="138">
        <f>BL40+BL41</f>
        <v>457.10788668578726</v>
      </c>
    </row>
    <row r="43" spans="1:64" s="1" customFormat="1">
      <c r="A43" s="187" t="s">
        <v>112</v>
      </c>
      <c r="B43" s="11" t="str">
        <f>IF('Sumário | Summary'!P1=1,"Margem Líquida","Net Margin")</f>
        <v>Margem Líquida</v>
      </c>
      <c r="C43" s="27">
        <v>0.46251742318647349</v>
      </c>
      <c r="D43" s="27">
        <v>0.87249121105861016</v>
      </c>
      <c r="E43" s="27">
        <v>0.48587965272926859</v>
      </c>
      <c r="F43" s="27">
        <v>0.33948641522001816</v>
      </c>
      <c r="G43" s="169">
        <f t="shared" ref="G43:BJ43" si="3">G42/G14</f>
        <v>0.51504264821424051</v>
      </c>
      <c r="H43" s="169">
        <f t="shared" si="3"/>
        <v>0.89176557757797692</v>
      </c>
      <c r="I43" s="169">
        <f t="shared" si="3"/>
        <v>0.53505760108425582</v>
      </c>
      <c r="J43" s="169">
        <f t="shared" si="3"/>
        <v>0.5850175931596836</v>
      </c>
      <c r="K43" s="169">
        <f t="shared" si="3"/>
        <v>0.40255797634061496</v>
      </c>
      <c r="L43" s="169">
        <f t="shared" si="3"/>
        <v>0.59262738970379381</v>
      </c>
      <c r="M43" s="169">
        <f t="shared" si="3"/>
        <v>0.5187014446057806</v>
      </c>
      <c r="N43" s="169">
        <f t="shared" si="3"/>
        <v>0.37288197046240118</v>
      </c>
      <c r="O43" s="169">
        <f t="shared" si="3"/>
        <v>0.40947465948548317</v>
      </c>
      <c r="P43" s="169">
        <f t="shared" si="3"/>
        <v>0.24346725507106778</v>
      </c>
      <c r="Q43" s="169">
        <f t="shared" si="3"/>
        <v>0.38972034326626698</v>
      </c>
      <c r="R43" s="169">
        <f t="shared" si="3"/>
        <v>-3.3119658119658245E-2</v>
      </c>
      <c r="S43" s="169">
        <f t="shared" si="3"/>
        <v>0.26975045112451024</v>
      </c>
      <c r="T43" s="169">
        <f t="shared" si="3"/>
        <v>0.17921769676255581</v>
      </c>
      <c r="U43" s="169">
        <f t="shared" si="3"/>
        <v>0.10957181371791351</v>
      </c>
      <c r="V43" s="169">
        <f t="shared" si="3"/>
        <v>0.13593765521395715</v>
      </c>
      <c r="W43" s="169">
        <f t="shared" si="3"/>
        <v>0.15311240196789089</v>
      </c>
      <c r="X43" s="169">
        <f t="shared" si="3"/>
        <v>1.4068592697621097E-3</v>
      </c>
      <c r="Y43" s="169">
        <f t="shared" si="3"/>
        <v>-5.4085898284293971E-2</v>
      </c>
      <c r="Z43" s="169">
        <f t="shared" si="3"/>
        <v>5.8879117994487452E-2</v>
      </c>
      <c r="AA43" s="169">
        <f t="shared" si="3"/>
        <v>0.11879909507203591</v>
      </c>
      <c r="AB43" s="169">
        <f t="shared" si="3"/>
        <v>-0.20071682476215211</v>
      </c>
      <c r="AC43" s="169">
        <f t="shared" si="3"/>
        <v>-0.15945979953330153</v>
      </c>
      <c r="AD43" s="169">
        <f t="shared" si="3"/>
        <v>1.676269046938428</v>
      </c>
      <c r="AE43" s="169">
        <f t="shared" si="3"/>
        <v>-7.1512122173738701E-2</v>
      </c>
      <c r="AF43" s="169">
        <f t="shared" si="3"/>
        <v>0.39035453517473689</v>
      </c>
      <c r="AG43" s="169">
        <f t="shared" si="3"/>
        <v>0.40745892407497036</v>
      </c>
      <c r="AH43" s="169">
        <f t="shared" si="3"/>
        <v>0.4364587860718005</v>
      </c>
      <c r="AI43" s="169">
        <f t="shared" si="3"/>
        <v>-0.13433110199332113</v>
      </c>
      <c r="AJ43" s="169">
        <f t="shared" si="3"/>
        <v>-1.0207825600885225E-2</v>
      </c>
      <c r="AK43" s="169">
        <f t="shared" si="3"/>
        <v>0.20296055220483517</v>
      </c>
      <c r="AL43" s="169">
        <f t="shared" si="3"/>
        <v>2.811089406799341E-2</v>
      </c>
      <c r="AM43" s="169">
        <f t="shared" si="3"/>
        <v>-0.14992841404266136</v>
      </c>
      <c r="AN43" s="169">
        <f t="shared" si="3"/>
        <v>7.5732956698629894E-2</v>
      </c>
      <c r="AO43" s="169">
        <f t="shared" si="3"/>
        <v>0.2963632759809301</v>
      </c>
      <c r="AP43" s="169">
        <f t="shared" si="3"/>
        <v>0.20813875848986771</v>
      </c>
      <c r="AQ43" s="169">
        <f t="shared" si="3"/>
        <v>0.12636191888203069</v>
      </c>
      <c r="AR43" s="169">
        <f t="shared" si="3"/>
        <v>9.5628134056960339E-3</v>
      </c>
      <c r="AS43" s="169">
        <f t="shared" si="3"/>
        <v>0.19037042941373142</v>
      </c>
      <c r="AT43" s="169">
        <f t="shared" si="3"/>
        <v>5.3988573062074822E-2</v>
      </c>
      <c r="AU43" s="169">
        <f t="shared" si="3"/>
        <v>0.17664163723554061</v>
      </c>
      <c r="AV43" s="169">
        <f t="shared" si="3"/>
        <v>6.0173990188280693E-2</v>
      </c>
      <c r="AW43" s="169">
        <f t="shared" si="3"/>
        <v>6.3188468501814754E-2</v>
      </c>
      <c r="AX43" s="169">
        <f t="shared" si="3"/>
        <v>7.2366106251366552E-2</v>
      </c>
      <c r="AY43" s="169">
        <f t="shared" si="3"/>
        <v>0.64781592906325114</v>
      </c>
      <c r="AZ43" s="169">
        <f t="shared" si="3"/>
        <v>0.55836757732399611</v>
      </c>
      <c r="BA43" s="169">
        <f t="shared" si="3"/>
        <v>-7.1225160614598021E-2</v>
      </c>
      <c r="BB43" s="169">
        <f t="shared" si="3"/>
        <v>-0.28991036435810358</v>
      </c>
      <c r="BC43" s="169">
        <f t="shared" si="3"/>
        <v>6.4980980378074246E-2</v>
      </c>
      <c r="BD43" s="169">
        <f t="shared" si="3"/>
        <v>-0.2064854881040766</v>
      </c>
      <c r="BE43" s="169">
        <f t="shared" si="3"/>
        <v>-0.12012853996148544</v>
      </c>
      <c r="BF43" s="169">
        <f t="shared" si="3"/>
        <v>-0.14993138080172885</v>
      </c>
      <c r="BG43" s="169">
        <f t="shared" si="3"/>
        <v>-3.9761025970083713E-2</v>
      </c>
      <c r="BH43" s="169">
        <f t="shared" si="3"/>
        <v>3.3601720733427022E-2</v>
      </c>
      <c r="BI43" s="169">
        <f t="shared" si="3"/>
        <v>4.6846322163770118E-2</v>
      </c>
      <c r="BJ43" s="169">
        <f t="shared" si="3"/>
        <v>-2.3643705508903809E-2</v>
      </c>
      <c r="BK43" s="169">
        <v>5.9482255137844282E-2</v>
      </c>
      <c r="BL43" s="169">
        <f>BL42/BL14</f>
        <v>0.42268877473854166</v>
      </c>
    </row>
    <row r="44" spans="1:64" s="1" customFormat="1">
      <c r="A44" s="187" t="s">
        <v>113</v>
      </c>
      <c r="B44" s="24" t="str">
        <f>IF('Sumário | Summary'!P1=1,"Lucro Líquido por ação","Profit Per Share")</f>
        <v>Lucro Líquido por ação</v>
      </c>
      <c r="C44" s="25">
        <v>0.19900000000000001</v>
      </c>
      <c r="D44" s="25">
        <v>0.92100000000000004</v>
      </c>
      <c r="E44" s="25">
        <v>0.28499999999999998</v>
      </c>
      <c r="F44" s="25">
        <v>0.44700000000000001</v>
      </c>
      <c r="G44" s="25">
        <v>1.8520000000000001</v>
      </c>
      <c r="H44" s="25">
        <v>0.54900000000000004</v>
      </c>
      <c r="I44" s="25">
        <v>0.46</v>
      </c>
      <c r="J44" s="25">
        <v>0.49199999999999999</v>
      </c>
      <c r="K44" s="25">
        <v>0.29799999999999999</v>
      </c>
      <c r="L44" s="25">
        <v>1.7989999999999999</v>
      </c>
      <c r="M44" s="25">
        <v>0.46700000000000003</v>
      </c>
      <c r="N44" s="25">
        <v>0.24</v>
      </c>
      <c r="O44" s="25">
        <v>0.35799999999999998</v>
      </c>
      <c r="P44" s="25">
        <v>0.11799999999999999</v>
      </c>
      <c r="Q44" s="25">
        <v>1.1839999999999999</v>
      </c>
      <c r="R44" s="25">
        <v>-4.1000000000000002E-2</v>
      </c>
      <c r="S44" s="25">
        <v>0.221</v>
      </c>
      <c r="T44" s="25">
        <v>7.9000000000000001E-2</v>
      </c>
      <c r="U44" s="25">
        <v>-8.8355280216679301E-3</v>
      </c>
      <c r="V44" s="25">
        <v>0.19478230722546205</v>
      </c>
      <c r="W44" s="25">
        <v>3.6750909816292664E-2</v>
      </c>
      <c r="X44" s="42">
        <v>-9.1999999999999998E-2</v>
      </c>
      <c r="Y44" s="42">
        <v>-0.14299999999999999</v>
      </c>
      <c r="Z44" s="44">
        <v>1.9848383910089577E-2</v>
      </c>
      <c r="AA44" s="25">
        <v>-0.17821723600962525</v>
      </c>
      <c r="AB44" s="45">
        <v>-0.16500000000000001</v>
      </c>
      <c r="AC44" s="45">
        <v>-0.14199999999999999</v>
      </c>
      <c r="AD44" s="45">
        <v>1.8289329229645859</v>
      </c>
      <c r="AE44" s="45">
        <v>-6.6171591327194537E-2</v>
      </c>
      <c r="AF44" s="45">
        <v>1.4557847508581703</v>
      </c>
      <c r="AG44" s="45">
        <v>7.5145509563926544E-2</v>
      </c>
      <c r="AH44" s="45">
        <v>0.19220917132269086</v>
      </c>
      <c r="AI44" s="45">
        <v>-0.15962304305171721</v>
      </c>
      <c r="AJ44" s="45">
        <v>-0.11514068737955196</v>
      </c>
      <c r="AK44" s="45">
        <v>-7.4090495446520336E-3</v>
      </c>
      <c r="AL44" s="170">
        <v>2.6385135258315404E-2</v>
      </c>
      <c r="AM44" s="170">
        <v>-0.14327292825871196</v>
      </c>
      <c r="AN44" s="170">
        <v>7.3754687056099819E-2</v>
      </c>
      <c r="AO44" s="170">
        <v>0.31731654668877579</v>
      </c>
      <c r="AP44" s="170">
        <v>0.27418344074447903</v>
      </c>
      <c r="AQ44" s="170">
        <v>0.10753487505491317</v>
      </c>
      <c r="AR44" s="170">
        <v>5.8298169181418315E-3</v>
      </c>
      <c r="AS44" s="170">
        <v>0.1749381575616627</v>
      </c>
      <c r="AT44" s="170">
        <v>4.3537067266978299E-2</v>
      </c>
      <c r="AU44" s="170">
        <v>0.33183991680169606</v>
      </c>
      <c r="AV44" s="170">
        <v>4.6679066897274378E-2</v>
      </c>
      <c r="AW44" s="170">
        <v>4.6708404575147314E-2</v>
      </c>
      <c r="AX44" s="170">
        <v>5.9135027477285995E-2</v>
      </c>
      <c r="AY44" s="170">
        <v>8.2767786786987845</v>
      </c>
      <c r="AZ44" s="170">
        <v>8.4293011776484921</v>
      </c>
      <c r="BA44" s="170">
        <v>-7.1538820062678615E-2</v>
      </c>
      <c r="BB44" s="170">
        <v>-0.19102441951970756</v>
      </c>
      <c r="BC44" s="170">
        <v>4.4895274053650319E-2</v>
      </c>
      <c r="BD44" s="170">
        <v>-0.15575420503893075</v>
      </c>
      <c r="BE44" s="170">
        <v>-0.37342217056766658</v>
      </c>
      <c r="BF44" s="170">
        <v>-9.7485924582623895E-2</v>
      </c>
      <c r="BG44" s="170">
        <v>3.0526358534066433E-2</v>
      </c>
      <c r="BH44" s="170">
        <v>-3.4295250481981746E-2</v>
      </c>
      <c r="BI44" s="170">
        <v>3.5470175930993664E-2</v>
      </c>
      <c r="BJ44" s="170">
        <v>-6.5784640599545544E-2</v>
      </c>
      <c r="BK44" s="170">
        <v>4.3802581064299538E-2</v>
      </c>
      <c r="BL44" s="170">
        <v>2.9945923461924036</v>
      </c>
    </row>
    <row r="46" spans="1:64">
      <c r="BJ46" s="227"/>
    </row>
    <row r="47" spans="1:64">
      <c r="BJ47" s="227"/>
    </row>
    <row r="48" spans="1:64">
      <c r="BJ48" s="227"/>
    </row>
    <row r="72" spans="29:64" s="2" customFormat="1">
      <c r="AC72" s="59"/>
      <c r="AD72" s="59"/>
      <c r="AE72" s="59"/>
      <c r="AF72" s="59"/>
      <c r="AG72" s="59"/>
      <c r="AH72" s="58"/>
      <c r="AI72" s="58"/>
      <c r="AJ72" s="58"/>
      <c r="AK72" s="58"/>
      <c r="AL72" s="58"/>
      <c r="AQ72" s="58"/>
      <c r="AR72" s="58"/>
      <c r="AS72" s="58"/>
      <c r="AT72" s="58"/>
      <c r="AV72" s="58"/>
      <c r="AW72" s="58"/>
      <c r="AX72" s="58"/>
      <c r="AY72" s="167"/>
      <c r="AZ72" s="58"/>
      <c r="BA72" s="165"/>
      <c r="BB72" s="165"/>
      <c r="BC72" s="165"/>
      <c r="BD72" s="165"/>
      <c r="BE72" s="167"/>
      <c r="BF72" s="167"/>
      <c r="BG72" s="167"/>
      <c r="BH72" s="167"/>
      <c r="BI72" s="167"/>
      <c r="BJ72" s="165"/>
      <c r="BK72" s="167"/>
      <c r="BL72" s="167"/>
    </row>
    <row r="73" spans="29:64">
      <c r="BA73" s="167"/>
      <c r="BB73" s="167"/>
      <c r="BC73" s="167"/>
      <c r="BD73" s="167"/>
      <c r="BJ73" s="167"/>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7C6B-9441-4F33-AB99-74DC780F8868}">
  <dimension ref="A1:AR73"/>
  <sheetViews>
    <sheetView showGridLines="0" showRowColHeaders="0" zoomScaleNormal="100" workbookViewId="0">
      <pane xSplit="2" ySplit="5" topLeftCell="AD6" activePane="bottomRight" state="frozen"/>
      <selection activeCell="P1" sqref="P1"/>
      <selection pane="topRight" activeCell="P1" sqref="P1"/>
      <selection pane="bottomLeft" activeCell="P1" sqref="P1"/>
      <selection pane="bottomRight" activeCell="AR5" sqref="AR5"/>
    </sheetView>
  </sheetViews>
  <sheetFormatPr defaultRowHeight="14.4"/>
  <cols>
    <col min="1" max="1" width="13.5546875" hidden="1" customWidth="1"/>
    <col min="2" max="2" width="58.44140625" bestFit="1" customWidth="1"/>
    <col min="3" max="22" width="11.5546875" style="165" bestFit="1" customWidth="1"/>
    <col min="23" max="24" width="7.21875" bestFit="1" customWidth="1"/>
    <col min="25" max="25" width="9.88671875" customWidth="1"/>
    <col min="26" max="26" width="7.21875" bestFit="1" customWidth="1"/>
    <col min="27" max="30" width="9.33203125" style="163" customWidth="1"/>
    <col min="31" max="31" width="9.33203125" customWidth="1"/>
    <col min="32" max="34" width="9.33203125" style="163" customWidth="1"/>
    <col min="35" max="35" width="9.33203125" style="165" customWidth="1"/>
    <col min="36" max="36" width="9.33203125" style="163" customWidth="1"/>
    <col min="37" max="44" width="9.33203125" style="165" customWidth="1"/>
  </cols>
  <sheetData>
    <row r="1" spans="1:44">
      <c r="B1" s="115" t="s">
        <v>42</v>
      </c>
      <c r="W1" s="237"/>
      <c r="X1" s="237"/>
      <c r="Y1" s="237"/>
      <c r="Z1" s="237"/>
      <c r="AA1" s="237"/>
      <c r="AB1" s="237"/>
      <c r="AC1" s="237"/>
      <c r="AD1" s="237"/>
      <c r="AE1" s="237"/>
      <c r="AF1" s="237"/>
      <c r="AG1" s="237"/>
      <c r="AH1" s="237"/>
      <c r="AI1" s="237"/>
      <c r="AJ1" s="237"/>
      <c r="AK1" s="237"/>
      <c r="AL1" s="237"/>
      <c r="AM1" s="237"/>
      <c r="AN1" s="237"/>
      <c r="AO1" s="237"/>
      <c r="AP1" s="237"/>
      <c r="AQ1" s="237"/>
      <c r="AR1" s="237"/>
    </row>
    <row r="2" spans="1:44">
      <c r="B2" s="115" t="s">
        <v>41</v>
      </c>
      <c r="W2" s="237"/>
      <c r="X2" s="237"/>
      <c r="Y2" s="237"/>
      <c r="Z2" s="237"/>
      <c r="AA2" s="237"/>
      <c r="AB2" s="237"/>
      <c r="AC2" s="237"/>
      <c r="AD2" s="237"/>
      <c r="AE2" s="237"/>
      <c r="AF2" s="237"/>
      <c r="AG2" s="237"/>
      <c r="AH2" s="237"/>
      <c r="AI2" s="237"/>
      <c r="AJ2" s="237"/>
      <c r="AK2" s="237"/>
      <c r="AL2" s="237"/>
      <c r="AM2" s="237"/>
      <c r="AN2" s="237"/>
      <c r="AO2" s="237"/>
      <c r="AP2" s="237"/>
      <c r="AQ2" s="237"/>
      <c r="AR2" s="237"/>
    </row>
    <row r="3" spans="1:44" s="239" customFormat="1">
      <c r="B3" s="240">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row>
    <row r="4" spans="1:44" ht="3" customHeight="1">
      <c r="B4" s="12"/>
      <c r="C4" s="166"/>
      <c r="D4" s="166"/>
      <c r="E4" s="166"/>
      <c r="F4" s="166"/>
      <c r="G4" s="166"/>
      <c r="H4" s="166"/>
      <c r="I4" s="166"/>
      <c r="J4" s="166"/>
      <c r="K4" s="166"/>
      <c r="L4" s="166"/>
      <c r="M4" s="166"/>
      <c r="N4" s="166"/>
      <c r="O4" s="166"/>
      <c r="P4" s="166"/>
      <c r="Q4" s="166"/>
      <c r="R4" s="166"/>
      <c r="S4" s="166"/>
      <c r="T4" s="166"/>
      <c r="U4" s="166"/>
      <c r="V4" s="166"/>
      <c r="W4" s="12"/>
      <c r="X4" s="12"/>
      <c r="Y4" s="12"/>
      <c r="Z4" s="12"/>
      <c r="AA4" s="164"/>
      <c r="AB4" s="164"/>
      <c r="AC4" s="164"/>
      <c r="AD4" s="164"/>
      <c r="AE4" s="12"/>
      <c r="AF4" s="164"/>
      <c r="AG4" s="164"/>
      <c r="AH4" s="164"/>
      <c r="AI4" s="166"/>
      <c r="AJ4" s="164"/>
      <c r="AK4" s="166"/>
      <c r="AL4" s="166"/>
      <c r="AM4" s="166"/>
      <c r="AN4" s="166"/>
      <c r="AO4" s="166"/>
      <c r="AP4" s="166"/>
      <c r="AQ4" s="166"/>
      <c r="AR4" s="166"/>
    </row>
    <row r="5" spans="1:44" s="7" customFormat="1" ht="18.75" customHeight="1">
      <c r="B5" s="195" t="str">
        <f>IF('Sumário | Summary'!P1=1,"Demonstração de Resultados - Proforma (R$ MM)","Income Statement - Proforma (R$ million)")</f>
        <v>Demonstração de Resultados - Proforma (R$ MM)</v>
      </c>
      <c r="C5" s="194" t="s">
        <v>59</v>
      </c>
      <c r="D5" s="194" t="s">
        <v>60</v>
      </c>
      <c r="E5" s="194" t="s">
        <v>61</v>
      </c>
      <c r="F5" s="194" t="s">
        <v>62</v>
      </c>
      <c r="G5" s="194">
        <v>2016</v>
      </c>
      <c r="H5" s="194" t="s">
        <v>55</v>
      </c>
      <c r="I5" s="194" t="s">
        <v>56</v>
      </c>
      <c r="J5" s="194" t="s">
        <v>57</v>
      </c>
      <c r="K5" s="194" t="s">
        <v>58</v>
      </c>
      <c r="L5" s="194">
        <v>2017</v>
      </c>
      <c r="M5" s="194" t="s">
        <v>54</v>
      </c>
      <c r="N5" s="194" t="s">
        <v>53</v>
      </c>
      <c r="O5" s="194" t="s">
        <v>52</v>
      </c>
      <c r="P5" s="194" t="s">
        <v>51</v>
      </c>
      <c r="Q5" s="194">
        <v>2018</v>
      </c>
      <c r="R5" s="194" t="s">
        <v>43</v>
      </c>
      <c r="S5" s="194" t="s">
        <v>44</v>
      </c>
      <c r="T5" s="194" t="s">
        <v>46</v>
      </c>
      <c r="U5" s="194" t="s">
        <v>47</v>
      </c>
      <c r="V5" s="194" t="s">
        <v>284</v>
      </c>
      <c r="W5" s="194" t="s">
        <v>50</v>
      </c>
      <c r="X5" s="194" t="s">
        <v>63</v>
      </c>
      <c r="Y5" s="194" t="s">
        <v>64</v>
      </c>
      <c r="Z5" s="194" t="s">
        <v>65</v>
      </c>
      <c r="AA5" s="213" t="s">
        <v>283</v>
      </c>
      <c r="AB5" s="213" t="s">
        <v>98</v>
      </c>
      <c r="AC5" s="213" t="s">
        <v>99</v>
      </c>
      <c r="AD5" s="213" t="s">
        <v>114</v>
      </c>
      <c r="AE5" s="212" t="s">
        <v>115</v>
      </c>
      <c r="AF5" s="210" t="s">
        <v>282</v>
      </c>
      <c r="AG5" s="210" t="s">
        <v>126</v>
      </c>
      <c r="AH5" s="210" t="s">
        <v>267</v>
      </c>
      <c r="AI5" s="197" t="s">
        <v>268</v>
      </c>
      <c r="AJ5" s="210" t="s">
        <v>274</v>
      </c>
      <c r="AK5" s="206" t="s">
        <v>275</v>
      </c>
      <c r="AL5" s="206" t="s">
        <v>286</v>
      </c>
      <c r="AM5" s="206" t="s">
        <v>289</v>
      </c>
      <c r="AN5" s="206" t="s">
        <v>291</v>
      </c>
      <c r="AO5" s="206" t="s">
        <v>315</v>
      </c>
      <c r="AP5" s="206" t="s">
        <v>316</v>
      </c>
      <c r="AQ5" s="206" t="s">
        <v>321</v>
      </c>
      <c r="AR5" s="206" t="s">
        <v>323</v>
      </c>
    </row>
    <row r="6" spans="1:44" s="1" customFormat="1" ht="15" customHeight="1">
      <c r="A6" s="94" t="s">
        <v>127</v>
      </c>
      <c r="B6" s="8" t="str">
        <f>IF('Sumário | Summary'!P1=1,"Receita Bruta ","Gross Revenues")</f>
        <v xml:space="preserve">Receita Bruta </v>
      </c>
      <c r="C6" s="138">
        <v>107.78657109577887</v>
      </c>
      <c r="D6" s="138">
        <v>104.72299185141043</v>
      </c>
      <c r="E6" s="138">
        <v>139.72333832627226</v>
      </c>
      <c r="F6" s="138">
        <v>137.16453984149422</v>
      </c>
      <c r="G6" s="138">
        <v>489.39744111495577</v>
      </c>
      <c r="H6" s="138">
        <v>100.13205042850235</v>
      </c>
      <c r="I6" s="138">
        <v>109.37366391263639</v>
      </c>
      <c r="J6" s="138">
        <v>99.060342620004576</v>
      </c>
      <c r="K6" s="138">
        <v>92.322893939813383</v>
      </c>
      <c r="L6" s="138">
        <v>400.88895090095667</v>
      </c>
      <c r="M6" s="138">
        <v>84.684947715066713</v>
      </c>
      <c r="N6" s="138">
        <v>148.31577850850931</v>
      </c>
      <c r="O6" s="138">
        <v>89.978452663096022</v>
      </c>
      <c r="P6" s="138">
        <v>92.669049752549114</v>
      </c>
      <c r="Q6" s="138">
        <v>415.64822863922114</v>
      </c>
      <c r="R6" s="138">
        <v>88.862895242019874</v>
      </c>
      <c r="S6" s="138">
        <v>93.948435277672246</v>
      </c>
      <c r="T6" s="138">
        <v>95.812148827870104</v>
      </c>
      <c r="U6" s="138">
        <v>105.63246540481022</v>
      </c>
      <c r="V6" s="138">
        <v>384.25594475237244</v>
      </c>
      <c r="W6" s="138">
        <v>98.065788149118063</v>
      </c>
      <c r="X6" s="138">
        <v>70.395051241492411</v>
      </c>
      <c r="Y6" s="138">
        <v>102.51926202915354</v>
      </c>
      <c r="Z6" s="138">
        <v>98.69683150410458</v>
      </c>
      <c r="AA6" s="138">
        <v>369.67693292386861</v>
      </c>
      <c r="AB6" s="138">
        <v>87.978137416420537</v>
      </c>
      <c r="AC6" s="138">
        <v>90.322766462377132</v>
      </c>
      <c r="AD6" s="138">
        <v>99.596478611576686</v>
      </c>
      <c r="AE6" s="138">
        <v>1459.6954731797966</v>
      </c>
      <c r="AF6" s="138">
        <v>1737.592855670171</v>
      </c>
      <c r="AG6" s="138">
        <v>140.22337064717632</v>
      </c>
      <c r="AH6" s="138">
        <v>89.719215064606558</v>
      </c>
      <c r="AI6" s="138">
        <v>91.328593142645673</v>
      </c>
      <c r="AJ6" s="138">
        <v>101.17836327324942</v>
      </c>
      <c r="AK6" s="138">
        <v>422.449542127678</v>
      </c>
      <c r="AL6" s="138">
        <v>90.14264248012951</v>
      </c>
      <c r="AM6" s="138">
        <v>90.222286146336515</v>
      </c>
      <c r="AN6" s="138">
        <v>92.430039516420052</v>
      </c>
      <c r="AO6" s="138">
        <v>100.46642029968754</v>
      </c>
      <c r="AP6" s="138">
        <v>373.26138844257366</v>
      </c>
      <c r="AQ6" s="138">
        <v>95.322818750022122</v>
      </c>
      <c r="AR6" s="138">
        <v>834.44044518934277</v>
      </c>
    </row>
    <row r="7" spans="1:44" s="1" customFormat="1" ht="15" customHeight="1">
      <c r="A7" t="s">
        <v>269</v>
      </c>
      <c r="B7" s="9" t="str">
        <f>IF('Sumário | Summary'!P1=1,"Locação de Edifícios Corporativos","Leases from Corporate Buildings")</f>
        <v>Locação de Edifícios Corporativos</v>
      </c>
      <c r="C7" s="93">
        <v>34.450375902500006</v>
      </c>
      <c r="D7" s="93">
        <v>31.3216119175</v>
      </c>
      <c r="E7" s="93">
        <v>31.282233159999997</v>
      </c>
      <c r="F7" s="93">
        <v>31.579513554999998</v>
      </c>
      <c r="G7" s="93">
        <v>128.633734535</v>
      </c>
      <c r="H7" s="93">
        <v>27.671425219073619</v>
      </c>
      <c r="I7" s="93">
        <v>32.917181450438662</v>
      </c>
      <c r="J7" s="93">
        <v>31.6397098773962</v>
      </c>
      <c r="K7" s="93">
        <v>22.155350793442</v>
      </c>
      <c r="L7" s="93">
        <v>114.38366734035047</v>
      </c>
      <c r="M7" s="93">
        <v>20.804024668757997</v>
      </c>
      <c r="N7" s="93">
        <v>22.406576637468</v>
      </c>
      <c r="O7" s="93">
        <v>22.763985100260001</v>
      </c>
      <c r="P7" s="93">
        <v>22.551721361794996</v>
      </c>
      <c r="Q7" s="93">
        <v>88.526307768281001</v>
      </c>
      <c r="R7" s="93">
        <v>23.686218063026001</v>
      </c>
      <c r="S7" s="93">
        <v>23.678885767141999</v>
      </c>
      <c r="T7" s="93">
        <v>24.361632405595994</v>
      </c>
      <c r="U7" s="93">
        <v>24.395796424194995</v>
      </c>
      <c r="V7" s="93">
        <v>96.122532659958992</v>
      </c>
      <c r="W7" s="93">
        <v>29.054118513422996</v>
      </c>
      <c r="X7" s="93">
        <v>30.869952835605996</v>
      </c>
      <c r="Y7" s="93">
        <v>31.652321039729003</v>
      </c>
      <c r="Z7" s="93">
        <v>30.989794432553001</v>
      </c>
      <c r="AA7" s="93">
        <v>122.56618682131099</v>
      </c>
      <c r="AB7" s="93">
        <v>33.879318628904997</v>
      </c>
      <c r="AC7" s="93">
        <v>31.925060844444989</v>
      </c>
      <c r="AD7" s="93">
        <v>32.809627475188009</v>
      </c>
      <c r="AE7" s="93">
        <v>24.932202273973573</v>
      </c>
      <c r="AF7" s="93">
        <v>123.54620922251156</v>
      </c>
      <c r="AG7" s="93">
        <v>11.119382647066999</v>
      </c>
      <c r="AH7" s="93">
        <v>10.231840490687</v>
      </c>
      <c r="AI7" s="93">
        <v>9.9806121877820004</v>
      </c>
      <c r="AJ7" s="93">
        <v>10.997646555162003</v>
      </c>
      <c r="AK7" s="93">
        <v>42.329481880697998</v>
      </c>
      <c r="AL7" s="93">
        <v>10.380508579689998</v>
      </c>
      <c r="AM7" s="93">
        <v>10.6525417670883</v>
      </c>
      <c r="AN7" s="93">
        <v>10.805836499112607</v>
      </c>
      <c r="AO7" s="93">
        <v>10.767157711682666</v>
      </c>
      <c r="AP7" s="93">
        <v>42.606044557573568</v>
      </c>
      <c r="AQ7" s="93">
        <v>10.753043451085</v>
      </c>
      <c r="AR7" s="93">
        <v>8.0075223553253174</v>
      </c>
    </row>
    <row r="8" spans="1:44" s="1" customFormat="1" ht="15" customHeight="1">
      <c r="A8" t="s">
        <v>270</v>
      </c>
      <c r="B8" s="9" t="str">
        <f>IF('Sumário | Summary'!P1=1,"Shopping Centers","Leases from Shopping Centers")</f>
        <v>Shopping Centers</v>
      </c>
      <c r="C8" s="93">
        <v>42.91633775322596</v>
      </c>
      <c r="D8" s="93">
        <v>43.998295932937509</v>
      </c>
      <c r="E8" s="93">
        <v>44.905669315999994</v>
      </c>
      <c r="F8" s="93">
        <v>43.31882025312499</v>
      </c>
      <c r="G8" s="93">
        <v>175.13912325528847</v>
      </c>
      <c r="H8" s="93">
        <v>40.764059612298681</v>
      </c>
      <c r="I8" s="93">
        <v>43.404407227668081</v>
      </c>
      <c r="J8" s="93">
        <v>39.878234733807311</v>
      </c>
      <c r="K8" s="93">
        <v>45.019543146371383</v>
      </c>
      <c r="L8" s="93">
        <v>169.06624472014545</v>
      </c>
      <c r="M8" s="93">
        <v>41.153923046308705</v>
      </c>
      <c r="N8" s="93">
        <v>40.627201871041301</v>
      </c>
      <c r="O8" s="93">
        <v>44.857467562836021</v>
      </c>
      <c r="P8" s="93">
        <v>44.853328390754115</v>
      </c>
      <c r="Q8" s="93">
        <v>171.49192087094013</v>
      </c>
      <c r="R8" s="93">
        <v>41.215442058791218</v>
      </c>
      <c r="S8" s="93">
        <v>44.504618223333701</v>
      </c>
      <c r="T8" s="93">
        <v>45.733125347253853</v>
      </c>
      <c r="U8" s="93">
        <v>43.714000504853495</v>
      </c>
      <c r="V8" s="93">
        <v>175.16718613423225</v>
      </c>
      <c r="W8" s="52">
        <v>44.049979540695055</v>
      </c>
      <c r="X8" s="52">
        <v>31.900098410886418</v>
      </c>
      <c r="Y8" s="52">
        <v>32.371940989424537</v>
      </c>
      <c r="Z8" s="52">
        <v>43.634037071551589</v>
      </c>
      <c r="AA8" s="93">
        <v>151.95605601255761</v>
      </c>
      <c r="AB8" s="93">
        <v>37.261818787515537</v>
      </c>
      <c r="AC8" s="93">
        <v>39.883705617932129</v>
      </c>
      <c r="AD8" s="93">
        <v>43.774851136388676</v>
      </c>
      <c r="AE8" s="93">
        <v>55.310514547151058</v>
      </c>
      <c r="AF8" s="93">
        <v>176.23089008898739</v>
      </c>
      <c r="AG8" s="93">
        <v>47.653197818387035</v>
      </c>
      <c r="AH8" s="93">
        <v>48.680994859059467</v>
      </c>
      <c r="AI8" s="93">
        <v>49.580825439239852</v>
      </c>
      <c r="AJ8" s="93">
        <v>55.19740876314652</v>
      </c>
      <c r="AK8" s="93">
        <v>201.11242687983287</v>
      </c>
      <c r="AL8" s="93">
        <v>48.344055370249997</v>
      </c>
      <c r="AM8" s="93">
        <v>47.823014723250012</v>
      </c>
      <c r="AN8" s="93">
        <v>47.622709407500004</v>
      </c>
      <c r="AO8" s="93">
        <v>52.118740069125025</v>
      </c>
      <c r="AP8" s="93">
        <v>195.90851957012501</v>
      </c>
      <c r="AQ8" s="93">
        <v>50.307908018749991</v>
      </c>
      <c r="AR8" s="93">
        <v>40.980434856645516</v>
      </c>
    </row>
    <row r="9" spans="1:44" s="1" customFormat="1" ht="15" customHeight="1">
      <c r="A9" t="s">
        <v>271</v>
      </c>
      <c r="B9" s="9" t="str">
        <f>IF('Sumário | Summary'!P1=1,"Locação de Centros de Distribuição","Leases from Distribution Centers")</f>
        <v>Locação de Centros de Distribuição</v>
      </c>
      <c r="C9" s="93">
        <v>8.8731043802860068</v>
      </c>
      <c r="D9" s="93">
        <v>10.906685054400743</v>
      </c>
      <c r="E9" s="93">
        <v>9.8168456985025987</v>
      </c>
      <c r="F9" s="93">
        <v>11.045548057415184</v>
      </c>
      <c r="G9" s="93">
        <v>40.642183190604527</v>
      </c>
      <c r="H9" s="93">
        <v>10.175746642990068</v>
      </c>
      <c r="I9" s="93">
        <v>10.032614416702925</v>
      </c>
      <c r="J9" s="93">
        <v>2.2774166704243615</v>
      </c>
      <c r="K9" s="93">
        <v>0</v>
      </c>
      <c r="L9" s="93">
        <v>22.485777730117356</v>
      </c>
      <c r="M9" s="93">
        <v>0</v>
      </c>
      <c r="N9" s="93">
        <v>0</v>
      </c>
      <c r="O9" s="93">
        <v>0</v>
      </c>
      <c r="P9" s="93" t="s">
        <v>18</v>
      </c>
      <c r="Q9" s="93" t="s">
        <v>18</v>
      </c>
      <c r="R9" s="93">
        <v>0</v>
      </c>
      <c r="S9" s="93">
        <v>0</v>
      </c>
      <c r="T9" s="93">
        <v>0</v>
      </c>
      <c r="U9" s="93">
        <v>0</v>
      </c>
      <c r="V9" s="93">
        <v>0</v>
      </c>
      <c r="W9" s="52">
        <v>0</v>
      </c>
      <c r="X9" s="52">
        <v>0</v>
      </c>
      <c r="Y9" s="52">
        <v>0</v>
      </c>
      <c r="Z9" s="52">
        <v>0</v>
      </c>
      <c r="AA9" s="209">
        <v>0</v>
      </c>
      <c r="AB9" s="209">
        <v>0</v>
      </c>
      <c r="AC9" s="209">
        <v>0</v>
      </c>
      <c r="AD9" s="209">
        <v>0</v>
      </c>
      <c r="AE9" s="93">
        <v>0</v>
      </c>
      <c r="AF9" s="209">
        <v>0</v>
      </c>
      <c r="AG9" s="209">
        <v>0</v>
      </c>
      <c r="AH9" s="209">
        <v>0</v>
      </c>
      <c r="AI9" s="93">
        <v>0</v>
      </c>
      <c r="AJ9" s="209">
        <v>0</v>
      </c>
      <c r="AK9" s="93">
        <v>0</v>
      </c>
      <c r="AL9" s="93">
        <v>0</v>
      </c>
      <c r="AM9" s="93">
        <v>0</v>
      </c>
      <c r="AN9" s="93">
        <v>0</v>
      </c>
      <c r="AO9" s="93">
        <v>0</v>
      </c>
      <c r="AP9" s="93">
        <v>0</v>
      </c>
      <c r="AQ9" s="93">
        <v>0.25316895600000006</v>
      </c>
      <c r="AR9" s="93">
        <v>0.46801955200000001</v>
      </c>
    </row>
    <row r="10" spans="1:44" s="1" customFormat="1" ht="15" customHeight="1">
      <c r="A10" t="s">
        <v>272</v>
      </c>
      <c r="B10" s="9" t="str">
        <f>IF('Sumário | Summary'!P1=1,"Locação de outros empreendimentos","Leases of other projects")</f>
        <v>Locação de outros empreendimentos</v>
      </c>
      <c r="C10" s="93" t="s">
        <v>18</v>
      </c>
      <c r="D10" s="93" t="s">
        <v>18</v>
      </c>
      <c r="E10" s="93" t="s">
        <v>18</v>
      </c>
      <c r="F10" s="93" t="s">
        <v>18</v>
      </c>
      <c r="G10" s="93" t="s">
        <v>18</v>
      </c>
      <c r="H10" s="93" t="s">
        <v>18</v>
      </c>
      <c r="I10" s="93" t="s">
        <v>18</v>
      </c>
      <c r="J10" s="93" t="s">
        <v>18</v>
      </c>
      <c r="K10" s="93" t="s">
        <v>18</v>
      </c>
      <c r="L10" s="93" t="s">
        <v>18</v>
      </c>
      <c r="M10" s="93" t="s">
        <v>18</v>
      </c>
      <c r="N10" s="93" t="s">
        <v>18</v>
      </c>
      <c r="O10" s="93" t="s">
        <v>18</v>
      </c>
      <c r="P10" s="93" t="s">
        <v>18</v>
      </c>
      <c r="Q10" s="93" t="s">
        <v>18</v>
      </c>
      <c r="R10" s="93">
        <v>0</v>
      </c>
      <c r="S10" s="93">
        <v>0</v>
      </c>
      <c r="T10" s="93">
        <v>0</v>
      </c>
      <c r="U10" s="93">
        <v>0</v>
      </c>
      <c r="V10" s="93">
        <v>0</v>
      </c>
      <c r="W10" s="52">
        <v>0</v>
      </c>
      <c r="X10" s="52">
        <v>0</v>
      </c>
      <c r="Y10" s="52">
        <v>0</v>
      </c>
      <c r="Z10" s="52">
        <v>0</v>
      </c>
      <c r="AA10" s="209">
        <v>0</v>
      </c>
      <c r="AB10" s="209">
        <v>0</v>
      </c>
      <c r="AC10" s="209">
        <v>0</v>
      </c>
      <c r="AD10" s="209">
        <v>0</v>
      </c>
      <c r="AE10" s="93">
        <v>0</v>
      </c>
      <c r="AF10" s="209">
        <v>0</v>
      </c>
      <c r="AG10" s="209">
        <v>0</v>
      </c>
      <c r="AH10" s="209">
        <v>0</v>
      </c>
      <c r="AI10" s="93">
        <v>0</v>
      </c>
      <c r="AJ10" s="209">
        <v>0</v>
      </c>
      <c r="AK10" s="93">
        <v>0</v>
      </c>
      <c r="AL10" s="93">
        <v>0</v>
      </c>
      <c r="AM10" s="93">
        <v>0</v>
      </c>
      <c r="AN10" s="93">
        <v>0</v>
      </c>
      <c r="AO10" s="93">
        <v>0</v>
      </c>
      <c r="AP10" s="93">
        <v>0</v>
      </c>
      <c r="AQ10" s="93">
        <v>0</v>
      </c>
      <c r="AR10" s="93">
        <v>0</v>
      </c>
    </row>
    <row r="11" spans="1:44" s="1" customFormat="1" ht="15" customHeight="1">
      <c r="A11" s="187" t="s">
        <v>128</v>
      </c>
      <c r="B11" s="13" t="str">
        <f>IF('Sumário | Summary'!P1=1,"Prestação de serviços de Administração","Services Revenues")</f>
        <v>Prestação de serviços de Administração</v>
      </c>
      <c r="C11" s="93">
        <v>20.855732640229444</v>
      </c>
      <c r="D11" s="93">
        <v>20.327403694074892</v>
      </c>
      <c r="E11" s="93">
        <v>21.877481986676138</v>
      </c>
      <c r="F11" s="93">
        <v>23.730477450427898</v>
      </c>
      <c r="G11" s="93">
        <v>86.791095771408379</v>
      </c>
      <c r="H11" s="93">
        <v>21.509670337134583</v>
      </c>
      <c r="I11" s="93">
        <v>22.393788408016579</v>
      </c>
      <c r="J11" s="93">
        <v>21.272541254848836</v>
      </c>
      <c r="K11" s="93">
        <v>25.473000000000003</v>
      </c>
      <c r="L11" s="93">
        <v>90.649000000000001</v>
      </c>
      <c r="M11" s="93">
        <v>22.881</v>
      </c>
      <c r="N11" s="93">
        <v>22.565999999999999</v>
      </c>
      <c r="O11" s="93">
        <v>23.035</v>
      </c>
      <c r="P11" s="93">
        <v>25.934000000000001</v>
      </c>
      <c r="Q11" s="93">
        <v>94.415999999999997</v>
      </c>
      <c r="R11" s="93">
        <v>24.248999999999999</v>
      </c>
      <c r="S11" s="93">
        <v>25.693999999999999</v>
      </c>
      <c r="T11" s="93">
        <v>26.263999999999999</v>
      </c>
      <c r="U11" s="93">
        <v>37.399000000000001</v>
      </c>
      <c r="V11" s="93">
        <v>113.60599999999999</v>
      </c>
      <c r="W11" s="93">
        <v>24.898</v>
      </c>
      <c r="X11" s="93">
        <v>7.6079999999999997</v>
      </c>
      <c r="Y11" s="93">
        <v>14.102</v>
      </c>
      <c r="Z11" s="93">
        <v>23.382000000000001</v>
      </c>
      <c r="AA11" s="93">
        <v>69.990000000000009</v>
      </c>
      <c r="AB11" s="93">
        <v>15.692</v>
      </c>
      <c r="AC11" s="93">
        <v>17.687000000000001</v>
      </c>
      <c r="AD11" s="93">
        <v>22.238</v>
      </c>
      <c r="AE11" s="93">
        <v>31.395397948345995</v>
      </c>
      <c r="AF11" s="93">
        <v>87.012397948346006</v>
      </c>
      <c r="AG11" s="93">
        <v>27.995314644447994</v>
      </c>
      <c r="AH11" s="93">
        <v>30.716807281142003</v>
      </c>
      <c r="AI11" s="93">
        <v>31.745333289910008</v>
      </c>
      <c r="AJ11" s="93">
        <v>34.903500678438988</v>
      </c>
      <c r="AK11" s="93">
        <v>125.36095589393899</v>
      </c>
      <c r="AL11" s="93">
        <v>31.182430350051995</v>
      </c>
      <c r="AM11" s="93">
        <v>32.972435073627999</v>
      </c>
      <c r="AN11" s="93">
        <v>33.150442945879988</v>
      </c>
      <c r="AO11" s="93">
        <v>37.588407324098995</v>
      </c>
      <c r="AP11" s="93">
        <v>134.89371569365898</v>
      </c>
      <c r="AQ11" s="93">
        <v>33.959012660028002</v>
      </c>
      <c r="AR11" s="93">
        <v>33.889864595761999</v>
      </c>
    </row>
    <row r="12" spans="1:44" s="1" customFormat="1" ht="15" customHeight="1">
      <c r="A12" s="187" t="s">
        <v>129</v>
      </c>
      <c r="B12" s="9" t="str">
        <f>IF('Sumário | Summary'!P1=1,"Vendas de Propriedades e Incorporação Imobiliária","Revenues from the Sale of Real Estate Properties")</f>
        <v>Vendas de Propriedades e Incorporação Imobiliária</v>
      </c>
      <c r="C12" s="93">
        <v>0.69102041953745208</v>
      </c>
      <c r="D12" s="93">
        <v>-1.8310047475027202</v>
      </c>
      <c r="E12" s="93">
        <v>31.841108165093534</v>
      </c>
      <c r="F12" s="93">
        <v>27.490180525526153</v>
      </c>
      <c r="G12" s="93">
        <v>58.191304362654414</v>
      </c>
      <c r="H12" s="93">
        <v>1.1148617005400032E-2</v>
      </c>
      <c r="I12" s="93">
        <v>0.62567240981012995</v>
      </c>
      <c r="J12" s="93">
        <v>32.468178973184472</v>
      </c>
      <c r="K12" s="93">
        <v>-0.32499999999999635</v>
      </c>
      <c r="L12" s="93">
        <v>32.78</v>
      </c>
      <c r="M12" s="93">
        <v>-0.154</v>
      </c>
      <c r="N12" s="93">
        <v>62.716000000000001</v>
      </c>
      <c r="O12" s="93">
        <v>-0.67800000000000005</v>
      </c>
      <c r="P12" s="93">
        <v>-0.67</v>
      </c>
      <c r="Q12" s="93">
        <v>61.213999999999999</v>
      </c>
      <c r="R12" s="93">
        <v>-0.28799999999999998</v>
      </c>
      <c r="S12" s="93">
        <v>7.0999999999999994E-2</v>
      </c>
      <c r="T12" s="93">
        <v>-0.54600000000000004</v>
      </c>
      <c r="U12" s="93">
        <v>0.107</v>
      </c>
      <c r="V12" s="93">
        <v>-0.65600000000000003</v>
      </c>
      <c r="W12" s="93">
        <v>2.5999999999999999E-2</v>
      </c>
      <c r="X12" s="93">
        <v>1.7000000000000001E-2</v>
      </c>
      <c r="Y12" s="93">
        <v>24.393000000000001</v>
      </c>
      <c r="Z12" s="93">
        <v>0.69099999999999995</v>
      </c>
      <c r="AA12" s="93">
        <v>25.126999999999999</v>
      </c>
      <c r="AB12" s="93">
        <v>1.145</v>
      </c>
      <c r="AC12" s="93">
        <v>0.82699999999999996</v>
      </c>
      <c r="AD12" s="93">
        <v>0.77400000000000002</v>
      </c>
      <c r="AE12" s="93">
        <v>1348.0573584103261</v>
      </c>
      <c r="AF12" s="93">
        <v>1350.8033584103262</v>
      </c>
      <c r="AG12" s="93">
        <v>53.455475537274289</v>
      </c>
      <c r="AH12" s="93">
        <v>8.9572433718096214E-2</v>
      </c>
      <c r="AI12" s="93">
        <v>2.1822225713782246E-2</v>
      </c>
      <c r="AJ12" s="93">
        <v>7.9807276501931479E-2</v>
      </c>
      <c r="AK12" s="93">
        <v>53.646677473208101</v>
      </c>
      <c r="AL12" s="93">
        <v>0.23564818013751812</v>
      </c>
      <c r="AM12" s="93">
        <v>-1.2257054176297755</v>
      </c>
      <c r="AN12" s="93">
        <v>0.85105066392749351</v>
      </c>
      <c r="AO12" s="93">
        <v>-7.8848052191519569E-3</v>
      </c>
      <c r="AP12" s="93">
        <v>-0.14689137878391584</v>
      </c>
      <c r="AQ12" s="93">
        <v>4.9685664159143356E-2</v>
      </c>
      <c r="AR12" s="93">
        <v>751.09460382960992</v>
      </c>
    </row>
    <row r="13" spans="1:44" s="1" customFormat="1" ht="15" customHeight="1">
      <c r="A13" t="s">
        <v>130</v>
      </c>
      <c r="B13" s="9" t="str">
        <f>IF('Sumário | Summary'!P1=1,"Deduções da receita bruta","Deductions")</f>
        <v>Deduções da receita bruta</v>
      </c>
      <c r="C13" s="93">
        <v>-7.1189999999999998</v>
      </c>
      <c r="D13" s="93">
        <v>-7.3040000000000003</v>
      </c>
      <c r="E13" s="93">
        <v>-8.0749999999999993</v>
      </c>
      <c r="F13" s="93">
        <v>-8.4329999999999998</v>
      </c>
      <c r="G13" s="93">
        <v>-30.931000000000001</v>
      </c>
      <c r="H13" s="93">
        <v>-6.8819999999999997</v>
      </c>
      <c r="I13" s="93">
        <v>-8.0939999999999994</v>
      </c>
      <c r="J13" s="93">
        <v>-6.1779999999999999</v>
      </c>
      <c r="K13" s="93">
        <v>-6.657</v>
      </c>
      <c r="L13" s="93">
        <v>-27.811</v>
      </c>
      <c r="M13" s="93">
        <v>-4.976</v>
      </c>
      <c r="N13" s="93">
        <v>-7.2930000000000001</v>
      </c>
      <c r="O13" s="93">
        <v>-7.0359999999999996</v>
      </c>
      <c r="P13" s="93">
        <v>-6.6779999999999999</v>
      </c>
      <c r="Q13" s="93">
        <v>-25.983000000000001</v>
      </c>
      <c r="R13" s="93">
        <v>-3.66</v>
      </c>
      <c r="S13" s="93">
        <v>-6.3019999999999996</v>
      </c>
      <c r="T13" s="93">
        <v>-6.5129999999999999</v>
      </c>
      <c r="U13" s="93">
        <v>-7.2539999999999996</v>
      </c>
      <c r="V13" s="93">
        <v>-23.728999999999999</v>
      </c>
      <c r="W13" s="93">
        <v>-5.4379999999999997</v>
      </c>
      <c r="X13" s="93">
        <v>-7.0090000000000003</v>
      </c>
      <c r="Y13" s="93">
        <v>-8.6579999999999995</v>
      </c>
      <c r="Z13" s="93">
        <v>-10.33</v>
      </c>
      <c r="AA13" s="93">
        <v>-31.434999999999995</v>
      </c>
      <c r="AB13" s="93">
        <v>-9.7266767181180871</v>
      </c>
      <c r="AC13" s="93">
        <v>-13.397468425181462</v>
      </c>
      <c r="AD13" s="93">
        <v>-10.570212046111733</v>
      </c>
      <c r="AE13" s="93">
        <v>-62.263312670478086</v>
      </c>
      <c r="AF13" s="93">
        <v>-95.957669859889364</v>
      </c>
      <c r="AG13" s="93">
        <v>-18.051883293232528</v>
      </c>
      <c r="AH13" s="93">
        <v>-20.564949639154136</v>
      </c>
      <c r="AI13" s="93">
        <v>-17.063072758618379</v>
      </c>
      <c r="AJ13" s="93">
        <v>-21.461537255111121</v>
      </c>
      <c r="AK13" s="93">
        <v>-77.141442946116172</v>
      </c>
      <c r="AL13" s="93">
        <v>-15.944512706488091</v>
      </c>
      <c r="AM13" s="93">
        <v>-12.467776066102193</v>
      </c>
      <c r="AN13" s="93">
        <v>-11.909364723598031</v>
      </c>
      <c r="AO13" s="93">
        <v>-11.722549665218066</v>
      </c>
      <c r="AP13" s="93">
        <v>-52.044203161406386</v>
      </c>
      <c r="AQ13" s="93">
        <v>-9.3930087808304989</v>
      </c>
      <c r="AR13" s="93">
        <v>-39.446896475797502</v>
      </c>
    </row>
    <row r="14" spans="1:44" s="1" customFormat="1" ht="15" customHeight="1">
      <c r="A14" s="187" t="s">
        <v>100</v>
      </c>
      <c r="B14" s="8" t="str">
        <f>IF('Sumário | Summary'!P1=1,"Receita Líquida","Net Operating Revenues")</f>
        <v>Receita Líquida</v>
      </c>
      <c r="C14" s="138">
        <v>100.66757109577887</v>
      </c>
      <c r="D14" s="138">
        <v>97.418991851410425</v>
      </c>
      <c r="E14" s="138">
        <v>131.64833832627227</v>
      </c>
      <c r="F14" s="138">
        <v>128.73153984149423</v>
      </c>
      <c r="G14" s="138">
        <v>458.46644111495578</v>
      </c>
      <c r="H14" s="138">
        <v>93.250050428502348</v>
      </c>
      <c r="I14" s="138">
        <v>101.27966391263639</v>
      </c>
      <c r="J14" s="138">
        <v>92.882342620004579</v>
      </c>
      <c r="K14" s="138">
        <v>85.665893939813387</v>
      </c>
      <c r="L14" s="138">
        <v>373.07795090095669</v>
      </c>
      <c r="M14" s="138">
        <v>79.708947715066714</v>
      </c>
      <c r="N14" s="138">
        <v>141.0227785085093</v>
      </c>
      <c r="O14" s="138">
        <v>82.94245266309602</v>
      </c>
      <c r="P14" s="138">
        <v>85.991049752549117</v>
      </c>
      <c r="Q14" s="138">
        <v>389.66522863922114</v>
      </c>
      <c r="R14" s="138">
        <v>85.202660121817217</v>
      </c>
      <c r="S14" s="138">
        <v>87.646503990475708</v>
      </c>
      <c r="T14" s="138">
        <v>89.299757752849843</v>
      </c>
      <c r="U14" s="138">
        <v>98.378412210000491</v>
      </c>
      <c r="V14" s="138">
        <v>360.52733407514324</v>
      </c>
      <c r="W14" s="138">
        <v>92.627788149118061</v>
      </c>
      <c r="X14" s="138">
        <v>63.38605124149241</v>
      </c>
      <c r="Y14" s="138">
        <v>93.861262029153536</v>
      </c>
      <c r="Z14" s="138">
        <v>88.366831504104596</v>
      </c>
      <c r="AA14" s="138">
        <v>338.2419329238686</v>
      </c>
      <c r="AB14" s="138">
        <v>78.251137416420519</v>
      </c>
      <c r="AC14" s="138">
        <v>76.925766462377112</v>
      </c>
      <c r="AD14" s="138">
        <v>89.026478611576692</v>
      </c>
      <c r="AE14" s="138">
        <v>1397.4321605093187</v>
      </c>
      <c r="AF14" s="138">
        <v>1641.6355429996929</v>
      </c>
      <c r="AG14" s="138">
        <v>122.17148735394379</v>
      </c>
      <c r="AH14" s="138">
        <v>69.154265425452422</v>
      </c>
      <c r="AI14" s="138">
        <v>74.265520384027269</v>
      </c>
      <c r="AJ14" s="138">
        <v>79.71682601813832</v>
      </c>
      <c r="AK14" s="138">
        <v>345.30809918156177</v>
      </c>
      <c r="AL14" s="138">
        <v>74.198129773641426</v>
      </c>
      <c r="AM14" s="138">
        <v>77.75451008023434</v>
      </c>
      <c r="AN14" s="138">
        <v>80.520674792822064</v>
      </c>
      <c r="AO14" s="138">
        <f>SUM(AO7:AO13)</f>
        <v>88.743870634469459</v>
      </c>
      <c r="AP14" s="138">
        <v>321.2171852811673</v>
      </c>
      <c r="AQ14" s="138">
        <v>85.929809969191638</v>
      </c>
      <c r="AR14" s="138">
        <f>SUM(AR7:AR13)</f>
        <v>794.99354871354524</v>
      </c>
    </row>
    <row r="15" spans="1:44" s="1" customFormat="1" ht="15" customHeight="1">
      <c r="A15" s="187" t="s">
        <v>131</v>
      </c>
      <c r="B15" s="9" t="str">
        <f>IF('Sumário | Summary'!P1=1,"Custo de Edifícios Corporativos","Corporate Buildings Cost")</f>
        <v>Custo de Edifícios Corporativos</v>
      </c>
      <c r="C15" s="93">
        <v>-4.1142359250000009</v>
      </c>
      <c r="D15" s="93">
        <v>-3.1394746625000005</v>
      </c>
      <c r="E15" s="93">
        <v>-3.3253373024999999</v>
      </c>
      <c r="F15" s="93">
        <v>-2.9815796650000004</v>
      </c>
      <c r="G15" s="93">
        <v>-13.560627555</v>
      </c>
      <c r="H15" s="93">
        <v>-3.8129329193559998</v>
      </c>
      <c r="I15" s="93">
        <v>-3.3357924184839995</v>
      </c>
      <c r="J15" s="93">
        <v>-3.9674193911369988</v>
      </c>
      <c r="K15" s="93">
        <v>-3.9176099495089995</v>
      </c>
      <c r="L15" s="93">
        <v>-13.496107908485998</v>
      </c>
      <c r="M15" s="93">
        <v>-3.2420478019049996</v>
      </c>
      <c r="N15" s="93">
        <v>-3.0207626581029983</v>
      </c>
      <c r="O15" s="93">
        <v>-3.6808996518664792</v>
      </c>
      <c r="P15" s="93">
        <v>-3.4904786332430002</v>
      </c>
      <c r="Q15" s="93">
        <v>-13.434188745117476</v>
      </c>
      <c r="R15" s="93">
        <v>-2.9375678472429998</v>
      </c>
      <c r="S15" s="93">
        <v>-3.2818079141200007</v>
      </c>
      <c r="T15" s="93">
        <v>-3.3935698962479997</v>
      </c>
      <c r="U15" s="93">
        <v>-3.0441916093074886</v>
      </c>
      <c r="V15" s="93">
        <v>-12.65713726691849</v>
      </c>
      <c r="W15" s="93">
        <v>-5.0999999999999996</v>
      </c>
      <c r="X15" s="93">
        <v>-4.9082134507757447</v>
      </c>
      <c r="Y15" s="217">
        <v>-5.3349346877089996</v>
      </c>
      <c r="Z15" s="93">
        <v>-6.4664273357910007</v>
      </c>
      <c r="AA15" s="93">
        <v>-21.809575474275746</v>
      </c>
      <c r="AB15" s="93">
        <v>-7.0988959655299988</v>
      </c>
      <c r="AC15" s="93">
        <v>-6.8746555326100003</v>
      </c>
      <c r="AD15" s="93">
        <v>-6.8481055917040008</v>
      </c>
      <c r="AE15" s="93">
        <v>-21.964787867125999</v>
      </c>
      <c r="AF15" s="93">
        <v>-42.786444956970001</v>
      </c>
      <c r="AG15" s="93">
        <v>-3.7825591021600005</v>
      </c>
      <c r="AH15" s="93">
        <v>-3.8302491108080003</v>
      </c>
      <c r="AI15" s="93">
        <v>-3.5782995626759986</v>
      </c>
      <c r="AJ15" s="93">
        <v>-5.443602802081001</v>
      </c>
      <c r="AK15" s="93">
        <v>-16.634710577725002</v>
      </c>
      <c r="AL15" s="93">
        <v>-4.6230276007399995</v>
      </c>
      <c r="AM15" s="93">
        <v>-4.6512421890268607</v>
      </c>
      <c r="AN15" s="93">
        <v>-4.2545383464550088</v>
      </c>
      <c r="AO15" s="93">
        <v>-4.2836842271384121</v>
      </c>
      <c r="AP15" s="93">
        <v>-17.812492363360281</v>
      </c>
      <c r="AQ15" s="93">
        <v>-4.2259300573100003</v>
      </c>
      <c r="AR15" s="93">
        <v>-3.8008217824110409</v>
      </c>
    </row>
    <row r="16" spans="1:44" s="1" customFormat="1" ht="15" customHeight="1">
      <c r="A16" s="187" t="s">
        <v>132</v>
      </c>
      <c r="B16" s="9" t="str">
        <f>IF('Sumário | Summary'!P1=1,"Custo de Shopping Centers","Shopping Malls Cost")</f>
        <v>Custo de Shopping Centers</v>
      </c>
      <c r="C16" s="93">
        <v>-12.450989949499998</v>
      </c>
      <c r="D16" s="93">
        <v>-13.559971436249999</v>
      </c>
      <c r="E16" s="93">
        <v>-17.364844185875</v>
      </c>
      <c r="F16" s="93">
        <v>-17.800957047499999</v>
      </c>
      <c r="G16" s="93">
        <v>-61.176762619125014</v>
      </c>
      <c r="H16" s="93">
        <v>-15.440065475062088</v>
      </c>
      <c r="I16" s="93">
        <v>-15.243474169750765</v>
      </c>
      <c r="J16" s="93">
        <v>-15.16457666140848</v>
      </c>
      <c r="K16" s="93">
        <v>-23.720548604790434</v>
      </c>
      <c r="L16" s="93">
        <v>-71.106311681011775</v>
      </c>
      <c r="M16" s="93">
        <v>-13.574511467919285</v>
      </c>
      <c r="N16" s="93">
        <v>-15.542517100696402</v>
      </c>
      <c r="O16" s="93">
        <v>-22.949977526270352</v>
      </c>
      <c r="P16" s="93">
        <v>-14.898824110735356</v>
      </c>
      <c r="Q16" s="93">
        <v>-66.965830205621401</v>
      </c>
      <c r="R16" s="93">
        <v>-14.567151320251964</v>
      </c>
      <c r="S16" s="93">
        <v>-13.825794170540112</v>
      </c>
      <c r="T16" s="93">
        <v>-13.823389802640817</v>
      </c>
      <c r="U16" s="93">
        <v>-14.793911912244589</v>
      </c>
      <c r="V16" s="93">
        <v>-57.01024720567748</v>
      </c>
      <c r="W16" s="93">
        <v>-13.5</v>
      </c>
      <c r="X16" s="93">
        <v>-15.527322633904443</v>
      </c>
      <c r="Y16" s="93">
        <v>-14.938989996888109</v>
      </c>
      <c r="Z16" s="93">
        <v>-17.168650157406621</v>
      </c>
      <c r="AA16" s="93">
        <v>-61.134962788199175</v>
      </c>
      <c r="AB16" s="93">
        <v>-13.719624277471164</v>
      </c>
      <c r="AC16" s="93">
        <v>-13.661572208353045</v>
      </c>
      <c r="AD16" s="93">
        <v>-14.512561575879587</v>
      </c>
      <c r="AE16" s="93">
        <v>-19.294857792776689</v>
      </c>
      <c r="AF16" s="93">
        <v>-61.188615854480481</v>
      </c>
      <c r="AG16" s="93">
        <v>-12.813144516870784</v>
      </c>
      <c r="AH16" s="93">
        <v>-10.667741001506345</v>
      </c>
      <c r="AI16" s="93">
        <v>-12.431317666965864</v>
      </c>
      <c r="AJ16" s="93">
        <v>-12.049122931086494</v>
      </c>
      <c r="AK16" s="93">
        <v>-47.961326116429483</v>
      </c>
      <c r="AL16" s="93">
        <v>-12.6519015941787</v>
      </c>
      <c r="AM16" s="93">
        <v>-12.356542504552163</v>
      </c>
      <c r="AN16" s="93">
        <v>-10.338328238715061</v>
      </c>
      <c r="AO16" s="93">
        <v>-10.726923754644879</v>
      </c>
      <c r="AP16" s="93">
        <v>-46.073696092090806</v>
      </c>
      <c r="AQ16" s="93">
        <v>-11.024068886250001</v>
      </c>
      <c r="AR16" s="93">
        <v>-129.37703785461991</v>
      </c>
    </row>
    <row r="17" spans="1:44" s="1" customFormat="1" ht="15" customHeight="1">
      <c r="A17" s="187" t="s">
        <v>101</v>
      </c>
      <c r="B17" s="9" t="str">
        <f>IF('Sumário | Summary'!P1=1,"Custo de Galpões Logísticos","Distribution Centers Cost")</f>
        <v>Custo de Galpões Logísticos</v>
      </c>
      <c r="C17" s="93">
        <v>-0.55642530689529102</v>
      </c>
      <c r="D17" s="93">
        <v>-1.4635574889188292</v>
      </c>
      <c r="E17" s="93">
        <v>-1.8761553394419079</v>
      </c>
      <c r="F17" s="93">
        <v>-3.3990053025901559</v>
      </c>
      <c r="G17" s="93">
        <v>-7.2951434378461846</v>
      </c>
      <c r="H17" s="93">
        <v>-3.6764977335122397</v>
      </c>
      <c r="I17" s="93">
        <v>-4.0767843090194535</v>
      </c>
      <c r="J17" s="93">
        <v>-2.0114130398937506</v>
      </c>
      <c r="K17" s="93">
        <v>-0.24733496999999996</v>
      </c>
      <c r="L17" s="93">
        <v>-10.012030052425445</v>
      </c>
      <c r="M17" s="93">
        <v>-0.14696628</v>
      </c>
      <c r="N17" s="93">
        <v>-0.15109148999999999</v>
      </c>
      <c r="O17" s="93">
        <v>-0.60479850000000002</v>
      </c>
      <c r="P17" s="93">
        <v>0</v>
      </c>
      <c r="Q17" s="93">
        <v>-0.90285627000000002</v>
      </c>
      <c r="R17" s="93">
        <v>0</v>
      </c>
      <c r="S17" s="93">
        <v>0</v>
      </c>
      <c r="T17" s="93">
        <v>0</v>
      </c>
      <c r="U17" s="93">
        <v>0</v>
      </c>
      <c r="V17" s="93">
        <v>0</v>
      </c>
      <c r="W17" s="93">
        <v>0</v>
      </c>
      <c r="X17" s="93">
        <v>0</v>
      </c>
      <c r="Y17" s="93">
        <v>0</v>
      </c>
      <c r="Z17" s="93">
        <v>0</v>
      </c>
      <c r="AA17" s="93">
        <v>0</v>
      </c>
      <c r="AB17" s="93">
        <v>0</v>
      </c>
      <c r="AC17" s="93">
        <v>0</v>
      </c>
      <c r="AD17" s="93">
        <v>0</v>
      </c>
      <c r="AE17" s="93">
        <v>0</v>
      </c>
      <c r="AF17" s="93">
        <v>0</v>
      </c>
      <c r="AG17" s="93">
        <v>0</v>
      </c>
      <c r="AH17" s="93">
        <v>0</v>
      </c>
      <c r="AI17" s="93">
        <v>0</v>
      </c>
      <c r="AJ17" s="93">
        <v>0</v>
      </c>
      <c r="AK17" s="93">
        <v>0</v>
      </c>
      <c r="AL17" s="93">
        <v>0</v>
      </c>
      <c r="AM17" s="93">
        <v>0</v>
      </c>
      <c r="AN17" s="93">
        <v>0</v>
      </c>
      <c r="AO17" s="93">
        <v>0</v>
      </c>
      <c r="AP17" s="93">
        <v>0</v>
      </c>
      <c r="AQ17" s="93">
        <v>0</v>
      </c>
      <c r="AR17" s="93">
        <v>0</v>
      </c>
    </row>
    <row r="18" spans="1:44" s="1" customFormat="1" ht="15" customHeight="1">
      <c r="A18" t="s">
        <v>285</v>
      </c>
      <c r="B18" s="9" t="str">
        <f>IF('Sumário | Summary'!P1=1,"Prestação de Serviços","Services")</f>
        <v>Prestação de Serviços</v>
      </c>
      <c r="C18" s="93">
        <v>-2.9175824599999989</v>
      </c>
      <c r="D18" s="93">
        <v>-2.4918884649999997</v>
      </c>
      <c r="E18" s="93">
        <v>-2.4220923049999996</v>
      </c>
      <c r="F18" s="93">
        <v>-2.5486728349999996</v>
      </c>
      <c r="G18" s="93">
        <v>-10.380236064999998</v>
      </c>
      <c r="H18" s="93">
        <v>-2.3477433549999995</v>
      </c>
      <c r="I18" s="93">
        <v>-2.292063835</v>
      </c>
      <c r="J18" s="93">
        <v>-2.0840349850000002</v>
      </c>
      <c r="K18" s="93">
        <v>-1.8290177699999997</v>
      </c>
      <c r="L18" s="93">
        <v>-8.552859944999998</v>
      </c>
      <c r="M18" s="93">
        <v>-2.6220372100000002</v>
      </c>
      <c r="N18" s="93">
        <v>-1.3854131600000006</v>
      </c>
      <c r="O18" s="93">
        <v>-1.8414797200000004</v>
      </c>
      <c r="P18" s="93">
        <v>-2.0438276600000003</v>
      </c>
      <c r="Q18" s="93">
        <v>-7.8785331800000016</v>
      </c>
      <c r="R18" s="93">
        <v>-1.9776935600000005</v>
      </c>
      <c r="S18" s="93">
        <v>-1.93255091</v>
      </c>
      <c r="T18" s="93">
        <v>-1.9230373300000001</v>
      </c>
      <c r="U18" s="93">
        <v>-1.852355064216</v>
      </c>
      <c r="V18" s="93">
        <v>-7.6856368642159998</v>
      </c>
      <c r="W18" s="93">
        <v>-1.9</v>
      </c>
      <c r="X18" s="93">
        <v>-3.9645738899999996</v>
      </c>
      <c r="Y18" s="93">
        <v>-2.8317097000000007</v>
      </c>
      <c r="Z18" s="93">
        <v>-6.2112996899999997</v>
      </c>
      <c r="AA18" s="93">
        <v>-14.907583280000001</v>
      </c>
      <c r="AB18" s="93">
        <v>-4.1733542999999989</v>
      </c>
      <c r="AC18" s="93">
        <v>-4.9820669500000001</v>
      </c>
      <c r="AD18" s="93">
        <v>-4.9159477199999984</v>
      </c>
      <c r="AE18" s="93">
        <v>-9.3446125900000006</v>
      </c>
      <c r="AF18" s="93">
        <v>-23.415981559999999</v>
      </c>
      <c r="AG18" s="93">
        <v>-4.2550171999999975</v>
      </c>
      <c r="AH18" s="93">
        <v>-8.3656043199999974</v>
      </c>
      <c r="AI18" s="93">
        <v>-3.7805615200000031</v>
      </c>
      <c r="AJ18" s="93">
        <v>-7.3860992300000285</v>
      </c>
      <c r="AK18" s="93">
        <v>-23.787282270000027</v>
      </c>
      <c r="AL18" s="93">
        <v>-6.7401593000000011</v>
      </c>
      <c r="AM18" s="93">
        <v>-3.2357254000000011</v>
      </c>
      <c r="AN18" s="93">
        <v>-3.724139799999997</v>
      </c>
      <c r="AO18" s="93">
        <v>-3.65389794000001</v>
      </c>
      <c r="AP18" s="93">
        <v>-17.353922440000009</v>
      </c>
      <c r="AQ18" s="93">
        <v>-3.2110805699999947</v>
      </c>
      <c r="AR18" s="93">
        <v>-3.5057942900000016</v>
      </c>
    </row>
    <row r="19" spans="1:44" s="1" customFormat="1" ht="15" customHeight="1">
      <c r="A19" t="s">
        <v>133</v>
      </c>
      <c r="B19" s="9" t="str">
        <f>IF('Sumário | Summary'!P1=1,"Estacionamento","Parking Lot")</f>
        <v>Estacionamento</v>
      </c>
      <c r="C19" s="93">
        <v>-11.0278589855</v>
      </c>
      <c r="D19" s="93">
        <v>-11.684404789999999</v>
      </c>
      <c r="E19" s="93">
        <v>-10.13201193000001</v>
      </c>
      <c r="F19" s="93">
        <v>-12.596238319999989</v>
      </c>
      <c r="G19" s="93">
        <v>-45.440514025500001</v>
      </c>
      <c r="H19" s="93">
        <v>-11.744310510000005</v>
      </c>
      <c r="I19" s="93">
        <v>-12.27792769000002</v>
      </c>
      <c r="J19" s="93">
        <v>-12.057667079999995</v>
      </c>
      <c r="K19" s="93">
        <v>-13.593656710000012</v>
      </c>
      <c r="L19" s="93">
        <v>-49.673561990000024</v>
      </c>
      <c r="M19" s="93">
        <v>-12.899848279999995</v>
      </c>
      <c r="N19" s="93">
        <v>-13.259218759999987</v>
      </c>
      <c r="O19" s="93">
        <v>-13.463760979999993</v>
      </c>
      <c r="P19" s="93">
        <v>-15.027486749999982</v>
      </c>
      <c r="Q19" s="93">
        <v>-54.650314769999966</v>
      </c>
      <c r="R19" s="93">
        <v>-15.007392269999965</v>
      </c>
      <c r="S19" s="93">
        <v>-15.854841179999987</v>
      </c>
      <c r="T19" s="93">
        <v>-16.457064119999998</v>
      </c>
      <c r="U19" s="93">
        <v>-17.867810630000019</v>
      </c>
      <c r="V19" s="93">
        <v>-65.187108199999969</v>
      </c>
      <c r="W19" s="93">
        <v>-15.8</v>
      </c>
      <c r="X19" s="93">
        <v>-3.7970222200000019</v>
      </c>
      <c r="Y19" s="93">
        <v>-4.3814390600000017</v>
      </c>
      <c r="Z19" s="93">
        <v>-11.247448759999999</v>
      </c>
      <c r="AA19" s="93">
        <v>-35.225910040000002</v>
      </c>
      <c r="AB19" s="93">
        <v>-8.6140358899999949</v>
      </c>
      <c r="AC19" s="93">
        <v>-6.9133859799999993</v>
      </c>
      <c r="AD19" s="93">
        <v>-10.927970349999994</v>
      </c>
      <c r="AE19" s="93">
        <v>-15.236717499999999</v>
      </c>
      <c r="AF19" s="93">
        <v>-41.692109719999983</v>
      </c>
      <c r="AG19" s="93">
        <v>-14.675811400000001</v>
      </c>
      <c r="AH19" s="93">
        <v>-15.897009429999999</v>
      </c>
      <c r="AI19" s="93">
        <v>-16.794955560000009</v>
      </c>
      <c r="AJ19" s="93">
        <v>-20.684325820000005</v>
      </c>
      <c r="AK19" s="93">
        <v>-68.052102210000015</v>
      </c>
      <c r="AL19" s="93">
        <v>-15.794096360000005</v>
      </c>
      <c r="AM19" s="93">
        <v>-17.272593429999986</v>
      </c>
      <c r="AN19" s="93">
        <v>-17.341976940000009</v>
      </c>
      <c r="AO19" s="93">
        <v>-19.458552910000012</v>
      </c>
      <c r="AP19" s="93">
        <v>-69.867219640000016</v>
      </c>
      <c r="AQ19" s="93">
        <v>-19.073463560000015</v>
      </c>
      <c r="AR19" s="93">
        <v>-17.785351450000014</v>
      </c>
    </row>
    <row r="20" spans="1:44" s="1" customFormat="1" ht="15" customHeight="1">
      <c r="A20" t="s">
        <v>134</v>
      </c>
      <c r="B20" s="9" t="str">
        <f>IF('Sumário | Summary'!P1=1,"Vendas de Propriedades","Real Estate Sales and Development")</f>
        <v>Vendas de Propriedades</v>
      </c>
      <c r="C20" s="93">
        <v>-1.0724271953889595</v>
      </c>
      <c r="D20" s="93">
        <v>-2.1886189829520677</v>
      </c>
      <c r="E20" s="93">
        <v>-17.175078055352941</v>
      </c>
      <c r="F20" s="93">
        <v>-8.1713546034667139</v>
      </c>
      <c r="G20" s="93">
        <v>-28.607478837160681</v>
      </c>
      <c r="H20" s="93">
        <v>-9.2617843705810263E-2</v>
      </c>
      <c r="I20" s="93">
        <v>-0.51881041330610966</v>
      </c>
      <c r="J20" s="93">
        <v>-15.413590837179148</v>
      </c>
      <c r="K20" s="93">
        <v>0</v>
      </c>
      <c r="L20" s="93">
        <v>-16.261206367458925</v>
      </c>
      <c r="M20" s="93">
        <v>-1.5208936036413802E-2</v>
      </c>
      <c r="N20" s="93">
        <v>-40.840342304330996</v>
      </c>
      <c r="O20" s="93">
        <v>1.8167465300199581</v>
      </c>
      <c r="P20" s="93">
        <v>7.7245152319548538E-2</v>
      </c>
      <c r="Q20" s="93">
        <v>-38.9615595480279</v>
      </c>
      <c r="R20" s="93">
        <v>9.8154258596457392E-2</v>
      </c>
      <c r="S20" s="93">
        <v>-6.4071325119286716E-3</v>
      </c>
      <c r="T20" s="93">
        <v>0.33031382357486178</v>
      </c>
      <c r="U20" s="93">
        <v>-1.6775907544502873E-2</v>
      </c>
      <c r="V20" s="93">
        <v>0.40528504211488764</v>
      </c>
      <c r="W20" s="93">
        <v>2.1000000000000001E-2</v>
      </c>
      <c r="X20" s="93">
        <v>-2.1999999999999999E-2</v>
      </c>
      <c r="Y20" s="93">
        <v>-2.9750000000000001</v>
      </c>
      <c r="Z20" s="93">
        <v>-0.92100000000000004</v>
      </c>
      <c r="AA20" s="93">
        <v>-3.8970000000000002</v>
      </c>
      <c r="AB20" s="93">
        <v>-1.4660686055373138</v>
      </c>
      <c r="AC20" s="93">
        <v>-1.0018598767034015</v>
      </c>
      <c r="AD20" s="93">
        <v>-1.049240576371594</v>
      </c>
      <c r="AE20" s="93">
        <v>-304.67654159814936</v>
      </c>
      <c r="AF20" s="93">
        <v>-308.19371065676165</v>
      </c>
      <c r="AG20" s="93">
        <v>-53.477343170381154</v>
      </c>
      <c r="AH20" s="93">
        <v>-1.4882127133178713E-2</v>
      </c>
      <c r="AI20" s="93">
        <v>-3.1682355129174541E-2</v>
      </c>
      <c r="AJ20" s="93">
        <v>-9.3522543310777112E-2</v>
      </c>
      <c r="AK20" s="93">
        <v>-53.617430195954284</v>
      </c>
      <c r="AL20" s="93">
        <v>-0.66136280448852969</v>
      </c>
      <c r="AM20" s="93">
        <v>0</v>
      </c>
      <c r="AN20" s="93">
        <v>-1.3058666062153341</v>
      </c>
      <c r="AO20" s="93">
        <v>-2.4823661307763131E-2</v>
      </c>
      <c r="AP20" s="93">
        <v>-1.992053072011627</v>
      </c>
      <c r="AQ20" s="93">
        <v>0</v>
      </c>
      <c r="AR20" s="93">
        <v>-353.09503202217149</v>
      </c>
    </row>
    <row r="21" spans="1:44" s="1" customFormat="1" ht="15" customHeight="1">
      <c r="A21" s="187" t="s">
        <v>102</v>
      </c>
      <c r="B21" s="8" t="str">
        <f>IF('Sumário | Summary'!P1=1,"Custo de locação, vendas e serviços prestados","Costs of Leases, Sales and Services")</f>
        <v>Custo de locação, vendas e serviços prestados</v>
      </c>
      <c r="C21" s="138">
        <v>-32.139000000000003</v>
      </c>
      <c r="D21" s="138">
        <v>-34.527999999999999</v>
      </c>
      <c r="E21" s="138">
        <v>-52.295000000000002</v>
      </c>
      <c r="F21" s="138">
        <v>-47.499000000000002</v>
      </c>
      <c r="G21" s="138">
        <v>-166.46076253963184</v>
      </c>
      <c r="H21" s="138">
        <v>-37.113999999999997</v>
      </c>
      <c r="I21" s="138">
        <v>-37.744999999999997</v>
      </c>
      <c r="J21" s="138">
        <v>-50.698999999999998</v>
      </c>
      <c r="K21" s="138">
        <v>-43.308168004299446</v>
      </c>
      <c r="L21" s="138">
        <v>-169.102</v>
      </c>
      <c r="M21" s="138">
        <v>-32.487000000000002</v>
      </c>
      <c r="N21" s="138">
        <v>-74.198999999999998</v>
      </c>
      <c r="O21" s="138">
        <v>-40.725000000000001</v>
      </c>
      <c r="P21" s="138">
        <v>-35.381999999999998</v>
      </c>
      <c r="Q21" s="138">
        <v>-182.79300000000001</v>
      </c>
      <c r="R21" s="138">
        <v>-34.391650738898477</v>
      </c>
      <c r="S21" s="138">
        <v>-34.90140130717203</v>
      </c>
      <c r="T21" s="138">
        <v>-35.266747325313965</v>
      </c>
      <c r="U21" s="138">
        <v>-37.575045123312599</v>
      </c>
      <c r="V21" s="138">
        <v>-142.13484449469706</v>
      </c>
      <c r="W21" s="138">
        <v>-36.278999999999996</v>
      </c>
      <c r="X21" s="138">
        <v>-28.219132194680189</v>
      </c>
      <c r="Y21" s="138">
        <v>-30.462073444597113</v>
      </c>
      <c r="Z21" s="138">
        <v>-42.014825943197621</v>
      </c>
      <c r="AA21" s="138">
        <v>-136.97503158247491</v>
      </c>
      <c r="AB21" s="138">
        <v>-35.071979038538473</v>
      </c>
      <c r="AC21" s="138">
        <v>-33.433540547666446</v>
      </c>
      <c r="AD21" s="138">
        <v>-38.253825813955174</v>
      </c>
      <c r="AE21" s="138">
        <v>-370.51751734805202</v>
      </c>
      <c r="AF21" s="138">
        <v>-477.27686274821212</v>
      </c>
      <c r="AG21" s="138">
        <v>-89.003875389411945</v>
      </c>
      <c r="AH21" s="138">
        <v>-38.775485989447517</v>
      </c>
      <c r="AI21" s="138">
        <v>-36.616816664771051</v>
      </c>
      <c r="AJ21" s="138">
        <v>-45.656673326478305</v>
      </c>
      <c r="AK21" s="138">
        <f>SUM(AK15:AK20)</f>
        <v>-210.05285137010881</v>
      </c>
      <c r="AL21" s="138">
        <v>-40.470547659407238</v>
      </c>
      <c r="AM21" s="138">
        <v>-37.516103523579005</v>
      </c>
      <c r="AN21" s="138">
        <v>-36.964849931385409</v>
      </c>
      <c r="AO21" s="138">
        <f>SUM(AO15:AO20)</f>
        <v>-38.147882493091075</v>
      </c>
      <c r="AP21" s="138">
        <v>-153.0993836074627</v>
      </c>
      <c r="AQ21" s="138">
        <v>-37.534543073560009</v>
      </c>
      <c r="AR21" s="138">
        <f>SUM(AR15:AR20)</f>
        <v>-507.56403739920245</v>
      </c>
    </row>
    <row r="22" spans="1:44" s="1" customFormat="1" ht="15" customHeight="1">
      <c r="A22" s="187" t="s">
        <v>103</v>
      </c>
      <c r="B22" s="8" t="str">
        <f>IF('Sumário | Summary'!P1=1,"Lucro Bruto","Gross Profit")</f>
        <v>Lucro Bruto</v>
      </c>
      <c r="C22" s="138">
        <v>68.528571095778872</v>
      </c>
      <c r="D22" s="138">
        <v>62.890991851410419</v>
      </c>
      <c r="E22" s="138">
        <v>79.353338326272265</v>
      </c>
      <c r="F22" s="138">
        <v>81.23253984149423</v>
      </c>
      <c r="G22" s="138">
        <v>292.00544111495577</v>
      </c>
      <c r="H22" s="138">
        <v>56.136050428502351</v>
      </c>
      <c r="I22" s="138">
        <v>63.53466391263639</v>
      </c>
      <c r="J22" s="138">
        <v>42.183342620004581</v>
      </c>
      <c r="K22" s="138">
        <v>42.35772593551394</v>
      </c>
      <c r="L22" s="138">
        <v>203.97595090095669</v>
      </c>
      <c r="M22" s="138">
        <v>47.221947715066705</v>
      </c>
      <c r="N22" s="138">
        <v>66.823778508509307</v>
      </c>
      <c r="O22" s="138">
        <v>42.217452663096019</v>
      </c>
      <c r="P22" s="138">
        <v>50.609049752549112</v>
      </c>
      <c r="Q22" s="138">
        <v>206.87222863922116</v>
      </c>
      <c r="R22" s="138">
        <v>50.811634945132397</v>
      </c>
      <c r="S22" s="138">
        <v>52.745102683303678</v>
      </c>
      <c r="T22" s="138">
        <v>54.033087851261143</v>
      </c>
      <c r="U22" s="138">
        <v>60.803367086687892</v>
      </c>
      <c r="V22" s="138">
        <v>218.39319256638512</v>
      </c>
      <c r="W22" s="138">
        <v>56.348788149118064</v>
      </c>
      <c r="X22" s="138">
        <v>35.166919046812225</v>
      </c>
      <c r="Y22" s="138">
        <v>63.399188584556427</v>
      </c>
      <c r="Z22" s="138">
        <v>46.352005560906974</v>
      </c>
      <c r="AA22" s="138">
        <v>201.26690134139369</v>
      </c>
      <c r="AB22" s="138">
        <v>43.179158377882047</v>
      </c>
      <c r="AC22" s="138">
        <v>43.492225914710666</v>
      </c>
      <c r="AD22" s="138">
        <v>50.772652797621518</v>
      </c>
      <c r="AE22" s="138">
        <v>1026.9146431612667</v>
      </c>
      <c r="AF22" s="138">
        <v>1164.358680251481</v>
      </c>
      <c r="AG22" s="138">
        <v>33.167611964531844</v>
      </c>
      <c r="AH22" s="138">
        <v>30.378779436004905</v>
      </c>
      <c r="AI22" s="138">
        <v>37.648703719256218</v>
      </c>
      <c r="AJ22" s="138">
        <v>34.060152691660015</v>
      </c>
      <c r="AK22" s="138">
        <f>AK14+AK21</f>
        <v>135.25524781145296</v>
      </c>
      <c r="AL22" s="138">
        <v>33.727582114234188</v>
      </c>
      <c r="AM22" s="138">
        <v>40.238406556655335</v>
      </c>
      <c r="AN22" s="138">
        <v>43.555824861436655</v>
      </c>
      <c r="AO22" s="138">
        <f>AO14+AO21</f>
        <v>50.595988141378385</v>
      </c>
      <c r="AP22" s="138">
        <v>168.11780167370455</v>
      </c>
      <c r="AQ22" s="138">
        <v>48.395266895631629</v>
      </c>
      <c r="AR22" s="138">
        <f>AR14+AR21</f>
        <v>287.42951131434279</v>
      </c>
    </row>
    <row r="23" spans="1:44" s="1" customFormat="1" ht="15" customHeight="1">
      <c r="A23" s="187" t="s">
        <v>104</v>
      </c>
      <c r="B23" s="8" t="str">
        <f>IF('Sumário | Summary'!P1=1,"Margem Bruta","Gross Margin")</f>
        <v>Margem Bruta</v>
      </c>
      <c r="C23" s="84">
        <v>0.68074127894253289</v>
      </c>
      <c r="D23" s="84">
        <v>0.64557218932562677</v>
      </c>
      <c r="E23" s="84">
        <v>0.60276748901764299</v>
      </c>
      <c r="F23" s="84">
        <v>0.63102282425515133</v>
      </c>
      <c r="G23" s="84">
        <v>0.63691780886910843</v>
      </c>
      <c r="H23" s="84">
        <v>0.6019948533062035</v>
      </c>
      <c r="I23" s="84">
        <v>0.62731906345425126</v>
      </c>
      <c r="J23" s="84">
        <v>0.45415890071359294</v>
      </c>
      <c r="K23" s="84">
        <v>0.49169969520667262</v>
      </c>
      <c r="L23" s="84">
        <v>0.5467381559493647</v>
      </c>
      <c r="M23" s="84">
        <v>0.59242969664923506</v>
      </c>
      <c r="N23" s="84">
        <v>0.47385095666993371</v>
      </c>
      <c r="O23" s="84">
        <v>0.50899691662819646</v>
      </c>
      <c r="P23" s="84">
        <v>0.5885385734699542</v>
      </c>
      <c r="Q23" s="84">
        <v>0.53089732784640553</v>
      </c>
      <c r="R23" s="84">
        <v>0.59635769368757685</v>
      </c>
      <c r="S23" s="84">
        <v>0.60179357169836845</v>
      </c>
      <c r="T23" s="84">
        <v>0.60507488893366912</v>
      </c>
      <c r="U23" s="84">
        <v>0.6180559913581023</v>
      </c>
      <c r="V23" s="84">
        <v>0.64522714478068866</v>
      </c>
      <c r="W23" s="84">
        <v>0.60833567631350782</v>
      </c>
      <c r="X23" s="84">
        <v>0.55480532953269091</v>
      </c>
      <c r="Y23" s="84">
        <v>0.67545638332525815</v>
      </c>
      <c r="Z23" s="84">
        <v>0.52454076684591711</v>
      </c>
      <c r="AA23" s="84">
        <v>0.59503828990563035</v>
      </c>
      <c r="AB23" s="84">
        <v>0.55180230988976231</v>
      </c>
      <c r="AC23" s="84">
        <v>0.56537916896781082</v>
      </c>
      <c r="AD23" s="84">
        <v>0.57030957069686028</v>
      </c>
      <c r="AE23" s="84">
        <v>0.73485831525946099</v>
      </c>
      <c r="AF23" s="84">
        <v>0.70926746513047356</v>
      </c>
      <c r="AG23" s="84">
        <v>0.27148406459554464</v>
      </c>
      <c r="AH23" s="84">
        <v>0.43929003148407253</v>
      </c>
      <c r="AI23" s="84">
        <v>0.50694728219198681</v>
      </c>
      <c r="AJ23" s="84">
        <v>0.42726428525779686</v>
      </c>
      <c r="AK23" s="84">
        <f>AK22/AK14</f>
        <v>0.39169439735711564</v>
      </c>
      <c r="AL23" s="84">
        <v>0.4545610814872017</v>
      </c>
      <c r="AM23" s="84">
        <v>0.51750575645237307</v>
      </c>
      <c r="AN23" s="84">
        <v>0.54092722115785596</v>
      </c>
      <c r="AO23" s="84">
        <f>AO22/AO14</f>
        <v>0.57013501642023423</v>
      </c>
      <c r="AP23" s="84">
        <v>0.52337735767950277</v>
      </c>
      <c r="AQ23" s="84">
        <v>0.56319532084363688</v>
      </c>
      <c r="AR23" s="84">
        <f>AR22/AR14</f>
        <v>0.36154948902347678</v>
      </c>
    </row>
    <row r="24" spans="1:44" s="1" customFormat="1" ht="15" customHeight="1">
      <c r="A24" s="187" t="s">
        <v>105</v>
      </c>
      <c r="B24" s="11" t="str">
        <f>IF('Sumário | Summary'!P1=1,"Despesas/ Receitas Operacionais","Operating Expenses/Revenues")</f>
        <v>Despesas/ Receitas Operacionais</v>
      </c>
      <c r="C24" s="138">
        <v>24.664000000000001</v>
      </c>
      <c r="D24" s="138">
        <v>-8.3650000000000002</v>
      </c>
      <c r="E24" s="138">
        <v>-22.123999999999999</v>
      </c>
      <c r="F24" s="138">
        <v>-11.808999999999999</v>
      </c>
      <c r="G24" s="138">
        <v>-17.634</v>
      </c>
      <c r="H24" s="138">
        <v>-16.253</v>
      </c>
      <c r="I24" s="138">
        <v>-16.544</v>
      </c>
      <c r="J24" s="138">
        <v>256.56900000000002</v>
      </c>
      <c r="K24" s="138">
        <v>-18.423999999999999</v>
      </c>
      <c r="L24" s="138">
        <v>205.34800000000001</v>
      </c>
      <c r="M24" s="138">
        <v>-0.70599999999999996</v>
      </c>
      <c r="N24" s="138">
        <v>2.8000000000000001E-2</v>
      </c>
      <c r="O24" s="138">
        <v>-36.424999999999997</v>
      </c>
      <c r="P24" s="138">
        <v>-28.687000000000001</v>
      </c>
      <c r="Q24" s="138">
        <v>-65.790000000000006</v>
      </c>
      <c r="R24" s="138">
        <v>-7.4300000000000006</v>
      </c>
      <c r="S24" s="138">
        <v>-30.759</v>
      </c>
      <c r="T24" s="138">
        <v>-5.7423023286300134</v>
      </c>
      <c r="U24" s="138">
        <v>11.947000000000003</v>
      </c>
      <c r="V24" s="138">
        <v>-31.984302328630008</v>
      </c>
      <c r="W24" s="138">
        <v>-9.9400000000000013</v>
      </c>
      <c r="X24" s="138">
        <v>-19.084</v>
      </c>
      <c r="Y24" s="138">
        <v>-14.744999999999999</v>
      </c>
      <c r="Z24" s="138">
        <v>-13.392000000000001</v>
      </c>
      <c r="AA24" s="138">
        <v>-57.161000000000001</v>
      </c>
      <c r="AB24" s="138">
        <v>-9.6381739930610006</v>
      </c>
      <c r="AC24" s="138">
        <v>-7.6935084345932214</v>
      </c>
      <c r="AD24" s="138">
        <v>-5.3881379561069727</v>
      </c>
      <c r="AE24" s="138">
        <v>321.35823668092956</v>
      </c>
      <c r="AF24" s="138">
        <v>298.63841629716836</v>
      </c>
      <c r="AG24" s="138">
        <v>-3.3321703540830074</v>
      </c>
      <c r="AH24" s="138">
        <v>-16.027586769973752</v>
      </c>
      <c r="AI24" s="138">
        <v>-8.4124065593763611</v>
      </c>
      <c r="AJ24" s="138">
        <v>-34.35243102454001</v>
      </c>
      <c r="AK24" s="138">
        <f>SUM(AK25:AK32)</f>
        <v>-62.12479325133517</v>
      </c>
      <c r="AL24" s="138">
        <v>-10.822134959613127</v>
      </c>
      <c r="AM24" s="138">
        <v>-15.849162826106982</v>
      </c>
      <c r="AN24" s="138">
        <v>-13.432768507193298</v>
      </c>
      <c r="AO24" s="138">
        <f>SUM(AO25:AO32)</f>
        <v>-18.128696300014603</v>
      </c>
      <c r="AP24" s="138">
        <v>-58.232762592928005</v>
      </c>
      <c r="AQ24" s="138">
        <v>-13.048668319769675</v>
      </c>
      <c r="AR24" s="138">
        <f>SUM(AR25:AR32)</f>
        <v>292.60670388049101</v>
      </c>
    </row>
    <row r="25" spans="1:44" s="1" customFormat="1" ht="15" customHeight="1">
      <c r="A25" t="s">
        <v>135</v>
      </c>
      <c r="B25" s="95" t="str">
        <f>IF('Sumário | Summary'!P1=1,"Comerciais ","Commercial")</f>
        <v xml:space="preserve">Comerciais </v>
      </c>
      <c r="C25" s="93">
        <v>-1.5229999999999999</v>
      </c>
      <c r="D25" s="93">
        <v>-2.4060000000000001</v>
      </c>
      <c r="E25" s="93">
        <v>-3.0249999999999999</v>
      </c>
      <c r="F25" s="93">
        <v>-6.7080000000000002</v>
      </c>
      <c r="G25" s="93">
        <v>-13.662000000000001</v>
      </c>
      <c r="H25" s="93">
        <v>-6.65</v>
      </c>
      <c r="I25" s="93">
        <v>-2.492</v>
      </c>
      <c r="J25" s="93">
        <v>-4.4800000000000004</v>
      </c>
      <c r="K25" s="93">
        <v>-4.0579999999999998</v>
      </c>
      <c r="L25" s="93">
        <v>-17.68</v>
      </c>
      <c r="M25" s="93">
        <v>-2.9630000000000001</v>
      </c>
      <c r="N25" s="93">
        <v>-2.4529999999999998</v>
      </c>
      <c r="O25" s="93">
        <v>-2.9769999999999999</v>
      </c>
      <c r="P25" s="93">
        <v>-4.83</v>
      </c>
      <c r="Q25" s="93">
        <v>-13.223000000000001</v>
      </c>
      <c r="R25" s="93">
        <v>-3.2280000000000002</v>
      </c>
      <c r="S25" s="93">
        <v>-1.9810000000000001</v>
      </c>
      <c r="T25" s="93">
        <v>-4.5969168986675006</v>
      </c>
      <c r="U25" s="93">
        <v>-1.2729999999999999</v>
      </c>
      <c r="V25" s="93">
        <v>-11.078916898667501</v>
      </c>
      <c r="W25" s="93">
        <v>-3.004</v>
      </c>
      <c r="X25" s="93">
        <v>-8.4749999999999996</v>
      </c>
      <c r="Y25" s="93">
        <v>-6.1390000000000002</v>
      </c>
      <c r="Z25" s="93">
        <v>-1.115</v>
      </c>
      <c r="AA25" s="93">
        <v>-18.732999999999997</v>
      </c>
      <c r="AB25" s="93">
        <v>-5.700333736316999</v>
      </c>
      <c r="AC25" s="93">
        <v>2.1873111368674998</v>
      </c>
      <c r="AD25" s="93">
        <v>-0.76932741494848511</v>
      </c>
      <c r="AE25" s="93">
        <v>-45.06200045983352</v>
      </c>
      <c r="AF25" s="93">
        <v>-49.344350474231504</v>
      </c>
      <c r="AG25" s="93">
        <v>-0.74327468314749967</v>
      </c>
      <c r="AH25" s="93">
        <v>-3.7192542866382872</v>
      </c>
      <c r="AI25" s="93">
        <v>-1.3913861330931314</v>
      </c>
      <c r="AJ25" s="93">
        <v>-3.8388589700267239</v>
      </c>
      <c r="AK25" s="93">
        <v>-9.6927740729056424</v>
      </c>
      <c r="AL25" s="93">
        <v>-3.289297240994847E-2</v>
      </c>
      <c r="AM25" s="93">
        <v>-1.6273192763139963</v>
      </c>
      <c r="AN25" s="93">
        <v>-2.5688398959654668</v>
      </c>
      <c r="AO25" s="93">
        <v>-1.6331938598407996</v>
      </c>
      <c r="AP25" s="93">
        <v>-5.8622460045302116</v>
      </c>
      <c r="AQ25" s="93">
        <v>-4.3149235097944993</v>
      </c>
      <c r="AR25" s="93">
        <v>-5.4164097460141667</v>
      </c>
    </row>
    <row r="26" spans="1:44" s="1" customFormat="1" ht="15" customHeight="1">
      <c r="A26" t="s">
        <v>136</v>
      </c>
      <c r="B26" s="90" t="str">
        <f>IF('Sumário | Summary'!P1=1,"Gerais e Administrativas","General and Administrative")</f>
        <v>Gerais e Administrativas</v>
      </c>
      <c r="C26" s="93">
        <v>-5.6</v>
      </c>
      <c r="D26" s="93">
        <v>-6.3250000000000002</v>
      </c>
      <c r="E26" s="93">
        <v>-17.844000000000001</v>
      </c>
      <c r="F26" s="93">
        <v>-6.6929999999999996</v>
      </c>
      <c r="G26" s="93">
        <v>-36.462000000000003</v>
      </c>
      <c r="H26" s="93">
        <v>-8.298</v>
      </c>
      <c r="I26" s="93">
        <v>-10.923999999999999</v>
      </c>
      <c r="J26" s="93">
        <v>-10.419</v>
      </c>
      <c r="K26" s="93">
        <v>-8.8710000000000004</v>
      </c>
      <c r="L26" s="93">
        <v>-38.512</v>
      </c>
      <c r="M26" s="93">
        <v>-5.617</v>
      </c>
      <c r="N26" s="93">
        <v>-6.7030000000000003</v>
      </c>
      <c r="O26" s="93">
        <v>-8.2319999999999993</v>
      </c>
      <c r="P26" s="93">
        <v>-8.6630000000000003</v>
      </c>
      <c r="Q26" s="93">
        <v>-29.215</v>
      </c>
      <c r="R26" s="93">
        <v>-0.96399999999999997</v>
      </c>
      <c r="S26" s="93">
        <v>-5.4029999999999996</v>
      </c>
      <c r="T26" s="93">
        <v>-7.896166802444502</v>
      </c>
      <c r="U26" s="93">
        <v>-9.8940000000000001</v>
      </c>
      <c r="V26" s="93">
        <v>-24.1571668024445</v>
      </c>
      <c r="W26" s="93">
        <v>-5.6079999999999997</v>
      </c>
      <c r="X26" s="93">
        <v>-4.2960000000000003</v>
      </c>
      <c r="Y26" s="93">
        <v>-5.117</v>
      </c>
      <c r="Z26" s="93">
        <v>-7.548</v>
      </c>
      <c r="AA26" s="93">
        <v>-22.569000000000003</v>
      </c>
      <c r="AB26" s="93">
        <v>-6.4649939467440012</v>
      </c>
      <c r="AC26" s="93">
        <v>-7.0930693199824999</v>
      </c>
      <c r="AD26" s="93">
        <v>-3.9381532735114977</v>
      </c>
      <c r="AE26" s="93">
        <v>-12.873819682208506</v>
      </c>
      <c r="AF26" s="93">
        <v>-30.370036222446505</v>
      </c>
      <c r="AG26" s="93">
        <v>-6.4120837892831677</v>
      </c>
      <c r="AH26" s="93">
        <v>-5.8049279990127998</v>
      </c>
      <c r="AI26" s="93">
        <v>-9.3571505146761993</v>
      </c>
      <c r="AJ26" s="93">
        <v>-4.9059999999999997</v>
      </c>
      <c r="AK26" s="93">
        <v>-26.480162302972165</v>
      </c>
      <c r="AL26" s="93">
        <v>-7.2392057075854988</v>
      </c>
      <c r="AM26" s="93">
        <v>-7.7504898690107913</v>
      </c>
      <c r="AN26" s="93">
        <v>-7.305537088252799</v>
      </c>
      <c r="AO26" s="93">
        <v>-10.510357505051132</v>
      </c>
      <c r="AP26" s="93">
        <v>-32.805590169900221</v>
      </c>
      <c r="AQ26" s="93">
        <v>-6.7490537696498416</v>
      </c>
      <c r="AR26" s="93">
        <v>-12.869714041153186</v>
      </c>
    </row>
    <row r="27" spans="1:44" s="1" customFormat="1" ht="15" customHeight="1">
      <c r="A27" s="187" t="s">
        <v>106</v>
      </c>
      <c r="B27" s="92" t="str">
        <f>IF('Sumário | Summary'!P1=1,"Plano de Opções","Options Plan")</f>
        <v>Plano de Opções</v>
      </c>
      <c r="C27" s="93" t="s">
        <v>18</v>
      </c>
      <c r="D27" s="93" t="s">
        <v>18</v>
      </c>
      <c r="E27" s="93" t="s">
        <v>18</v>
      </c>
      <c r="F27" s="93" t="s">
        <v>18</v>
      </c>
      <c r="G27" s="93" t="s">
        <v>18</v>
      </c>
      <c r="H27" s="93" t="s">
        <v>18</v>
      </c>
      <c r="I27" s="93" t="s">
        <v>18</v>
      </c>
      <c r="J27" s="93" t="s">
        <v>18</v>
      </c>
      <c r="K27" s="93" t="s">
        <v>18</v>
      </c>
      <c r="L27" s="93" t="s">
        <v>18</v>
      </c>
      <c r="M27" s="93" t="s">
        <v>18</v>
      </c>
      <c r="N27" s="93" t="s">
        <v>18</v>
      </c>
      <c r="O27" s="93" t="s">
        <v>18</v>
      </c>
      <c r="P27" s="93">
        <v>0</v>
      </c>
      <c r="Q27" s="93">
        <v>0</v>
      </c>
      <c r="R27" s="93">
        <v>0</v>
      </c>
      <c r="S27" s="93">
        <v>0</v>
      </c>
      <c r="T27" s="93">
        <v>0</v>
      </c>
      <c r="U27" s="93">
        <v>0</v>
      </c>
      <c r="V27" s="93">
        <v>0</v>
      </c>
      <c r="W27" s="93">
        <v>0</v>
      </c>
      <c r="X27" s="93">
        <v>0</v>
      </c>
      <c r="Y27" s="93">
        <v>0</v>
      </c>
      <c r="Z27" s="93">
        <v>0</v>
      </c>
      <c r="AA27" s="93">
        <v>0</v>
      </c>
      <c r="AB27" s="93">
        <v>0</v>
      </c>
      <c r="AC27" s="93">
        <v>0</v>
      </c>
      <c r="AD27" s="93">
        <v>0</v>
      </c>
      <c r="AE27" s="93">
        <v>0</v>
      </c>
      <c r="AF27" s="93">
        <v>0</v>
      </c>
      <c r="AG27" s="93">
        <v>0</v>
      </c>
      <c r="AH27" s="93">
        <v>0</v>
      </c>
      <c r="AI27" s="93">
        <v>0</v>
      </c>
      <c r="AJ27" s="93">
        <v>0</v>
      </c>
      <c r="AK27" s="93">
        <v>0</v>
      </c>
      <c r="AL27" s="93">
        <v>0</v>
      </c>
      <c r="AM27" s="93">
        <v>0</v>
      </c>
      <c r="AN27" s="93">
        <v>0</v>
      </c>
      <c r="AO27" s="93">
        <v>0</v>
      </c>
      <c r="AP27" s="93">
        <v>0</v>
      </c>
      <c r="AQ27" s="93">
        <v>0</v>
      </c>
      <c r="AR27" s="93">
        <v>0</v>
      </c>
    </row>
    <row r="28" spans="1:44" s="1" customFormat="1" ht="15" customHeight="1">
      <c r="A28" t="s">
        <v>137</v>
      </c>
      <c r="B28" s="92" t="str">
        <f>IF('Sumário | Summary'!P1=1,"Remuneração da administração","Management Compensation")</f>
        <v>Remuneração da administração</v>
      </c>
      <c r="C28" s="93">
        <v>-1.7669999999999999</v>
      </c>
      <c r="D28" s="93">
        <v>-1.8029999999999999</v>
      </c>
      <c r="E28" s="93">
        <v>-1.617</v>
      </c>
      <c r="F28" s="93">
        <v>-3.153</v>
      </c>
      <c r="G28" s="93">
        <v>-8.34</v>
      </c>
      <c r="H28" s="93">
        <v>-1.5509999999999999</v>
      </c>
      <c r="I28" s="93">
        <v>-1.8979999999999999</v>
      </c>
      <c r="J28" s="93">
        <v>-1.893</v>
      </c>
      <c r="K28" s="93">
        <v>-1.3660000000000001</v>
      </c>
      <c r="L28" s="93">
        <v>-6.7080000000000002</v>
      </c>
      <c r="M28" s="93">
        <v>-1.3169999999999999</v>
      </c>
      <c r="N28" s="93">
        <v>-1.323</v>
      </c>
      <c r="O28" s="93">
        <v>-1.331</v>
      </c>
      <c r="P28" s="93">
        <v>-1.339</v>
      </c>
      <c r="Q28" s="93">
        <v>-5.31</v>
      </c>
      <c r="R28" s="93">
        <v>-1.3959999999999999</v>
      </c>
      <c r="S28" s="93">
        <v>-1.883</v>
      </c>
      <c r="T28" s="93">
        <v>-1.1648207436840001</v>
      </c>
      <c r="U28" s="93">
        <v>-1.222</v>
      </c>
      <c r="V28" s="93">
        <v>-5.6658207436839998</v>
      </c>
      <c r="W28" s="93">
        <v>-2.319</v>
      </c>
      <c r="X28" s="93">
        <v>-1.18</v>
      </c>
      <c r="Y28" s="93">
        <v>-1.179</v>
      </c>
      <c r="Z28" s="93">
        <v>-1.179</v>
      </c>
      <c r="AA28" s="93">
        <v>-5.8570000000000002</v>
      </c>
      <c r="AB28" s="93">
        <v>-3.3119999999999998</v>
      </c>
      <c r="AC28" s="93">
        <v>-1.034</v>
      </c>
      <c r="AD28" s="93">
        <v>-1.002</v>
      </c>
      <c r="AE28" s="93">
        <v>-1.0109999999999999</v>
      </c>
      <c r="AF28" s="93">
        <v>-6.359</v>
      </c>
      <c r="AG28" s="93">
        <v>-1.8455999999999999</v>
      </c>
      <c r="AH28" s="93">
        <v>-2.3469711500000003</v>
      </c>
      <c r="AI28" s="93">
        <v>-1.2275999999999994</v>
      </c>
      <c r="AJ28" s="93">
        <v>-1.0835999999999995</v>
      </c>
      <c r="AK28" s="93">
        <v>-6.5037711499999995</v>
      </c>
      <c r="AL28" s="93">
        <v>-2</v>
      </c>
      <c r="AM28" s="93">
        <v>-1.0595999999999994</v>
      </c>
      <c r="AN28" s="93">
        <v>-1.0813118900000001</v>
      </c>
      <c r="AO28" s="93">
        <v>-1.1126057099999989</v>
      </c>
      <c r="AP28" s="93">
        <v>-5.2535175999999986</v>
      </c>
      <c r="AQ28" s="93">
        <v>-2.4001218799999999</v>
      </c>
      <c r="AR28" s="93">
        <v>-1.2800057099999995</v>
      </c>
    </row>
    <row r="29" spans="1:44" s="1" customFormat="1" ht="15" customHeight="1">
      <c r="A29" t="s">
        <v>138</v>
      </c>
      <c r="B29" s="9" t="str">
        <f>IF('Sumário | Summary'!P1=1,"Participação de empregados e administradores","Profit Sharing")</f>
        <v>Participação de empregados e administradores</v>
      </c>
      <c r="C29" s="93">
        <v>1.43</v>
      </c>
      <c r="D29" s="93">
        <v>-2.27</v>
      </c>
      <c r="E29" s="93">
        <v>-2.27</v>
      </c>
      <c r="F29" s="93">
        <v>0.83799999999999997</v>
      </c>
      <c r="G29" s="93">
        <v>-2.2719999999999998</v>
      </c>
      <c r="H29" s="93">
        <v>-1.831</v>
      </c>
      <c r="I29" s="93">
        <v>-0.92900000000000005</v>
      </c>
      <c r="J29" s="93">
        <v>-1.3460000000000001</v>
      </c>
      <c r="K29" s="93">
        <v>-2.1179999999999999</v>
      </c>
      <c r="L29" s="93">
        <v>-6.2240000000000002</v>
      </c>
      <c r="M29" s="93">
        <v>-0.90700000000000003</v>
      </c>
      <c r="N29" s="93">
        <v>-2.0449999999999999</v>
      </c>
      <c r="O29" s="93">
        <v>-4.1719999999999997</v>
      </c>
      <c r="P29" s="93">
        <v>-1.7470000000000001</v>
      </c>
      <c r="Q29" s="93">
        <v>-8.8710000000000004</v>
      </c>
      <c r="R29" s="93">
        <v>-1.5620000000000001</v>
      </c>
      <c r="S29" s="93">
        <v>-1.7470000000000001</v>
      </c>
      <c r="T29" s="93">
        <v>-1.5477710099999999</v>
      </c>
      <c r="U29" s="93">
        <v>-7.3570000000000002</v>
      </c>
      <c r="V29" s="93">
        <v>-12.21377101</v>
      </c>
      <c r="W29" s="93">
        <v>1.1830000000000001</v>
      </c>
      <c r="X29" s="93">
        <v>-1.968</v>
      </c>
      <c r="Y29" s="93">
        <v>-2.8639999999999999</v>
      </c>
      <c r="Z29" s="93">
        <v>-2.278</v>
      </c>
      <c r="AA29" s="93">
        <v>-5.9269999999999996</v>
      </c>
      <c r="AB29" s="93">
        <v>5.7960000000000003</v>
      </c>
      <c r="AC29" s="93">
        <v>-1.5820000000000001</v>
      </c>
      <c r="AD29" s="93">
        <v>-1.581</v>
      </c>
      <c r="AE29" s="93">
        <v>-8.2840000000000007</v>
      </c>
      <c r="AF29" s="93">
        <v>-5.6509999999999998</v>
      </c>
      <c r="AG29" s="93">
        <v>3.9534925600000017</v>
      </c>
      <c r="AH29" s="93">
        <v>-1.9423237900000003</v>
      </c>
      <c r="AI29" s="93">
        <v>-1.9055391600000002</v>
      </c>
      <c r="AJ29" s="93">
        <v>-2.34466697</v>
      </c>
      <c r="AK29" s="93">
        <v>-2.2390373599999993</v>
      </c>
      <c r="AL29" s="93">
        <v>-2.0994662600000011</v>
      </c>
      <c r="AM29" s="93">
        <v>-2.1906572900000012</v>
      </c>
      <c r="AN29" s="93">
        <v>-2.0333110800000012</v>
      </c>
      <c r="AO29" s="93">
        <v>-3.3533110800000014</v>
      </c>
      <c r="AP29" s="93">
        <v>-9.6767457100000041</v>
      </c>
      <c r="AQ29" s="93">
        <v>-0.91292494000000002</v>
      </c>
      <c r="AR29" s="93">
        <v>-9.6748360900000012</v>
      </c>
    </row>
    <row r="30" spans="1:44" s="1" customFormat="1" ht="15" customHeight="1">
      <c r="A30" t="s">
        <v>139</v>
      </c>
      <c r="B30" s="9" t="str">
        <f>IF('Sumário | Summary'!P1=1,"Equivalência patrimonial","Equity")</f>
        <v>Equivalência patrimonial</v>
      </c>
      <c r="C30" s="93">
        <v>0</v>
      </c>
      <c r="D30" s="93">
        <v>0</v>
      </c>
      <c r="E30" s="93">
        <v>-0.29299999999999998</v>
      </c>
      <c r="F30" s="93">
        <v>0.23699999999999999</v>
      </c>
      <c r="G30" s="93">
        <v>-5.6000000000000001E-2</v>
      </c>
      <c r="H30" s="93">
        <v>2.3159999999999998</v>
      </c>
      <c r="I30" s="93">
        <v>-1.4570000000000001</v>
      </c>
      <c r="J30" s="93">
        <v>-0.501</v>
      </c>
      <c r="K30" s="93">
        <v>0.33700000000000002</v>
      </c>
      <c r="L30" s="93">
        <v>0.69499999999999995</v>
      </c>
      <c r="M30" s="93">
        <v>-0.31900000000000001</v>
      </c>
      <c r="N30" s="93">
        <v>0.503</v>
      </c>
      <c r="O30" s="93">
        <v>3.9E-2</v>
      </c>
      <c r="P30" s="93">
        <v>0.74399999999999999</v>
      </c>
      <c r="Q30" s="93">
        <v>0.96699999999999997</v>
      </c>
      <c r="R30" s="93">
        <v>0.30526678364199772</v>
      </c>
      <c r="S30" s="93">
        <v>0.29699999999999999</v>
      </c>
      <c r="T30" s="93">
        <v>0.19028876999998837</v>
      </c>
      <c r="U30" s="93">
        <v>0.29699999999999999</v>
      </c>
      <c r="V30" s="93">
        <v>1.0895555536419861</v>
      </c>
      <c r="W30" s="93">
        <v>0.26400000000000001</v>
      </c>
      <c r="X30" s="93">
        <v>0.154</v>
      </c>
      <c r="Y30" s="93">
        <v>-0.52900000000000003</v>
      </c>
      <c r="Z30" s="93">
        <v>1.1359999999999999</v>
      </c>
      <c r="AA30" s="93">
        <v>1.0249999999999999</v>
      </c>
      <c r="AB30" s="93">
        <v>-9.8000000000000004E-2</v>
      </c>
      <c r="AC30" s="93">
        <v>2.5999999999999999E-2</v>
      </c>
      <c r="AD30" s="93">
        <v>0.79</v>
      </c>
      <c r="AE30" s="93">
        <v>0.18123650862855323</v>
      </c>
      <c r="AF30" s="93">
        <v>0.8992365086285532</v>
      </c>
      <c r="AG30" s="93">
        <v>5.6785118725988994E-2</v>
      </c>
      <c r="AH30" s="93">
        <v>2.996851843994483E-2</v>
      </c>
      <c r="AI30" s="93">
        <v>0.16330127224488933</v>
      </c>
      <c r="AJ30" s="93">
        <v>-1.8275036278753245</v>
      </c>
      <c r="AK30" s="93">
        <v>-1.5774487184645014</v>
      </c>
      <c r="AL30" s="93">
        <v>2.009821413232386E-2</v>
      </c>
      <c r="AM30" s="93">
        <v>-0.53728662574221198</v>
      </c>
      <c r="AN30" s="93">
        <v>-0.2919620161310138</v>
      </c>
      <c r="AO30" s="93">
        <v>-0.97250746846011293</v>
      </c>
      <c r="AP30" s="93">
        <v>-1.7816578962010148</v>
      </c>
      <c r="AQ30" s="93">
        <v>-9.3826401213333008E-2</v>
      </c>
      <c r="AR30" s="93">
        <v>-0.82112372199310368</v>
      </c>
    </row>
    <row r="31" spans="1:44" s="1" customFormat="1" ht="15" customHeight="1">
      <c r="A31" t="s">
        <v>107</v>
      </c>
      <c r="B31" s="9" t="str">
        <f>IF('Sumário | Summary'!P1=1,"Amortização de Ágios e outros resultados em investimentos","Amortization of goodwill and other income from investments ")</f>
        <v>Amortização de Ágios e outros resultados em investimentos</v>
      </c>
      <c r="C31" s="93">
        <v>0</v>
      </c>
      <c r="D31" s="93">
        <v>0</v>
      </c>
      <c r="E31" s="93">
        <v>0</v>
      </c>
      <c r="F31" s="93">
        <v>0</v>
      </c>
      <c r="G31" s="93">
        <v>0</v>
      </c>
      <c r="H31" s="93">
        <v>0</v>
      </c>
      <c r="I31" s="93">
        <v>0</v>
      </c>
      <c r="J31" s="93">
        <v>0</v>
      </c>
      <c r="K31" s="93">
        <v>0</v>
      </c>
      <c r="L31" s="93">
        <v>0</v>
      </c>
      <c r="M31" s="93">
        <v>0</v>
      </c>
      <c r="N31" s="93">
        <v>0</v>
      </c>
      <c r="O31" s="93">
        <v>0</v>
      </c>
      <c r="P31" s="93">
        <v>0</v>
      </c>
      <c r="Q31" s="93">
        <v>0</v>
      </c>
      <c r="R31" s="93">
        <v>0</v>
      </c>
      <c r="S31" s="93">
        <v>0</v>
      </c>
      <c r="T31" s="93">
        <v>0</v>
      </c>
      <c r="U31" s="93">
        <v>0</v>
      </c>
      <c r="V31" s="93">
        <v>0</v>
      </c>
      <c r="W31" s="93">
        <v>0</v>
      </c>
      <c r="X31" s="93">
        <v>0</v>
      </c>
      <c r="Y31" s="93">
        <v>0</v>
      </c>
      <c r="Z31" s="93">
        <v>0</v>
      </c>
      <c r="AA31" s="93">
        <v>0</v>
      </c>
      <c r="AB31" s="93">
        <v>0</v>
      </c>
      <c r="AC31" s="93">
        <v>0</v>
      </c>
      <c r="AD31" s="93">
        <v>0</v>
      </c>
      <c r="AE31" s="93">
        <v>0</v>
      </c>
      <c r="AF31" s="93">
        <v>0</v>
      </c>
      <c r="AG31" s="93">
        <v>0</v>
      </c>
      <c r="AH31" s="93">
        <v>0</v>
      </c>
      <c r="AI31" s="93">
        <v>0</v>
      </c>
      <c r="AJ31" s="93">
        <v>0</v>
      </c>
      <c r="AK31" s="93">
        <v>0</v>
      </c>
      <c r="AL31" s="93">
        <v>0</v>
      </c>
      <c r="AM31" s="93">
        <v>0</v>
      </c>
      <c r="AN31" s="93">
        <v>0</v>
      </c>
      <c r="AO31" s="93">
        <v>0</v>
      </c>
      <c r="AP31" s="93">
        <v>0</v>
      </c>
      <c r="AQ31" s="93">
        <v>0</v>
      </c>
      <c r="AR31" s="93">
        <v>0</v>
      </c>
    </row>
    <row r="32" spans="1:44" s="1" customFormat="1" ht="15" customHeight="1">
      <c r="A32" t="s">
        <v>108</v>
      </c>
      <c r="B32" s="96" t="str">
        <f>IF('Sumário | Summary'!P1=1,"Outras receitas (despesas) operacionais líquidas","
Other net operating revenues (expenses)")</f>
        <v>Outras receitas (despesas) operacionais líquidas</v>
      </c>
      <c r="C32" s="93">
        <v>32.124000000000002</v>
      </c>
      <c r="D32" s="93">
        <v>4.4390000000000001</v>
      </c>
      <c r="E32" s="93">
        <v>2.9249999999999998</v>
      </c>
      <c r="F32" s="93">
        <v>3.67</v>
      </c>
      <c r="G32" s="93">
        <v>43.158000000000001</v>
      </c>
      <c r="H32" s="93">
        <v>-0.23899999999999999</v>
      </c>
      <c r="I32" s="93">
        <v>1.1559999999999999</v>
      </c>
      <c r="J32" s="93">
        <v>275.20800000000003</v>
      </c>
      <c r="K32" s="93">
        <v>-2.3479999999999999</v>
      </c>
      <c r="L32" s="93">
        <v>273.77699999999999</v>
      </c>
      <c r="M32" s="93">
        <v>10.417</v>
      </c>
      <c r="N32" s="93">
        <v>12.048999999999999</v>
      </c>
      <c r="O32" s="93">
        <v>-19.751999999999999</v>
      </c>
      <c r="P32" s="93">
        <v>-12.852</v>
      </c>
      <c r="Q32" s="93">
        <v>-10.138</v>
      </c>
      <c r="R32" s="93">
        <v>-0.5844211306749999</v>
      </c>
      <c r="S32" s="93">
        <v>-20.042000000000002</v>
      </c>
      <c r="T32" s="93">
        <v>9.2730843561660006</v>
      </c>
      <c r="U32" s="93">
        <v>31.396000000000001</v>
      </c>
      <c r="V32" s="93">
        <v>20.042663225490998</v>
      </c>
      <c r="W32" s="93">
        <v>-0.45600000000000002</v>
      </c>
      <c r="X32" s="93">
        <v>-3.319</v>
      </c>
      <c r="Y32" s="93">
        <v>1.083</v>
      </c>
      <c r="Z32" s="93">
        <v>-2.4079999999999999</v>
      </c>
      <c r="AA32" s="93">
        <v>-5.0999999999999996</v>
      </c>
      <c r="AB32" s="93">
        <v>0.14115368999999994</v>
      </c>
      <c r="AC32" s="93">
        <v>-0.19775025147822123</v>
      </c>
      <c r="AD32" s="93">
        <v>1.1123427323530102</v>
      </c>
      <c r="AE32" s="93">
        <v>388.40782031434304</v>
      </c>
      <c r="AF32" s="93">
        <v>389.46356648521783</v>
      </c>
      <c r="AG32" s="93">
        <v>1.6585104396216699</v>
      </c>
      <c r="AH32" s="93">
        <v>-2.2440780627626102</v>
      </c>
      <c r="AI32" s="93">
        <v>5.3059679761480805</v>
      </c>
      <c r="AJ32" s="93">
        <v>-20.352</v>
      </c>
      <c r="AK32" s="93">
        <v>-15.631599646992861</v>
      </c>
      <c r="AL32" s="93">
        <v>0.52933176624999911</v>
      </c>
      <c r="AM32" s="93">
        <v>-2.6838097650399817</v>
      </c>
      <c r="AN32" s="93">
        <v>-0.15180653684401751</v>
      </c>
      <c r="AO32" s="93">
        <v>-0.54672067666256041</v>
      </c>
      <c r="AP32" s="93">
        <v>-2.8530052122965603</v>
      </c>
      <c r="AQ32" s="93">
        <v>1.4221821808879982</v>
      </c>
      <c r="AR32" s="93">
        <v>322.66879318965147</v>
      </c>
    </row>
    <row r="33" spans="1:44" s="1" customFormat="1" ht="15" customHeight="1">
      <c r="A33" s="187" t="s">
        <v>109</v>
      </c>
      <c r="B33" s="11" t="str">
        <f>IF('Sumário | Summary'!P1=1,"Lucro antes do Resultado Financeiro","Profit Before Financial Results")</f>
        <v>Lucro antes do Resultado Financeiro</v>
      </c>
      <c r="C33" s="138">
        <v>93.192571095778874</v>
      </c>
      <c r="D33" s="138">
        <v>54.525991851410424</v>
      </c>
      <c r="E33" s="138">
        <v>57.229338326272263</v>
      </c>
      <c r="F33" s="138">
        <v>69.423539841494232</v>
      </c>
      <c r="G33" s="138">
        <v>274.37144111495576</v>
      </c>
      <c r="H33" s="138">
        <v>39.883050428502351</v>
      </c>
      <c r="I33" s="138">
        <v>46.990663912636386</v>
      </c>
      <c r="J33" s="138">
        <v>298.75234262000453</v>
      </c>
      <c r="K33" s="138">
        <v>23.69789393981338</v>
      </c>
      <c r="L33" s="138">
        <v>409.32395090095667</v>
      </c>
      <c r="M33" s="138">
        <v>46.515947715066709</v>
      </c>
      <c r="N33" s="138">
        <v>66.851778508509312</v>
      </c>
      <c r="O33" s="138">
        <v>5.7924526630960171</v>
      </c>
      <c r="P33" s="138">
        <v>21.922049752549107</v>
      </c>
      <c r="Q33" s="138">
        <v>141.08222863922117</v>
      </c>
      <c r="R33" s="138">
        <v>43.381623130290393</v>
      </c>
      <c r="S33" s="138">
        <v>21.986102683303677</v>
      </c>
      <c r="T33" s="138">
        <v>48.290785522631133</v>
      </c>
      <c r="U33" s="138">
        <v>72.750367086687902</v>
      </c>
      <c r="V33" s="138">
        <v>186.40887842291309</v>
      </c>
      <c r="W33" s="138">
        <v>46.408788149118067</v>
      </c>
      <c r="X33" s="138">
        <v>16.082919046812226</v>
      </c>
      <c r="Y33" s="138">
        <v>48.654188584556429</v>
      </c>
      <c r="Z33" s="138">
        <v>32.960005560906971</v>
      </c>
      <c r="AA33" s="138">
        <v>144.10590134139369</v>
      </c>
      <c r="AB33" s="138">
        <v>33.540984384821044</v>
      </c>
      <c r="AC33" s="138">
        <v>35.798717480117446</v>
      </c>
      <c r="AD33" s="138">
        <v>45.384514841514545</v>
      </c>
      <c r="AE33" s="138">
        <v>1348.2728798421963</v>
      </c>
      <c r="AF33" s="138">
        <v>1462.9970965486493</v>
      </c>
      <c r="AG33" s="138">
        <v>29.835441610448836</v>
      </c>
      <c r="AH33" s="138">
        <v>14.351192666031153</v>
      </c>
      <c r="AI33" s="138">
        <v>29.236297159879857</v>
      </c>
      <c r="AJ33" s="138">
        <v>-0.29227833287999516</v>
      </c>
      <c r="AK33" s="138">
        <v>73.130653103479858</v>
      </c>
      <c r="AL33" s="138">
        <v>22.905447154621061</v>
      </c>
      <c r="AM33" s="138">
        <v>24.389243730548351</v>
      </c>
      <c r="AN33" s="138">
        <v>30.123056354243356</v>
      </c>
      <c r="AO33" s="138">
        <f>AO22+AO24</f>
        <v>32.467291841363782</v>
      </c>
      <c r="AP33" s="138">
        <v>109.88503908077655</v>
      </c>
      <c r="AQ33" s="138">
        <v>35.346598575861954</v>
      </c>
      <c r="AR33" s="138">
        <f>AR22+AR24</f>
        <v>580.03621519483386</v>
      </c>
    </row>
    <row r="34" spans="1:44" s="1" customFormat="1" ht="15" customHeight="1">
      <c r="A34" t="s">
        <v>140</v>
      </c>
      <c r="B34" s="9" t="str">
        <f>IF('Sumário | Summary'!P1=1,"Despesas financeiras","Financial Expenses")</f>
        <v>Despesas financeiras</v>
      </c>
      <c r="C34" s="93">
        <v>-91.603999999999999</v>
      </c>
      <c r="D34" s="93">
        <v>-65.691999999999993</v>
      </c>
      <c r="E34" s="93">
        <v>-71.986999999999995</v>
      </c>
      <c r="F34" s="93">
        <v>-70.42</v>
      </c>
      <c r="G34" s="93">
        <v>-299.70299999999997</v>
      </c>
      <c r="H34" s="93">
        <v>-65.165999999999997</v>
      </c>
      <c r="I34" s="93">
        <v>-64.251000000000005</v>
      </c>
      <c r="J34" s="93">
        <v>-73.944000000000003</v>
      </c>
      <c r="K34" s="93">
        <v>-39.345999999999997</v>
      </c>
      <c r="L34" s="93">
        <v>-242.70699999999999</v>
      </c>
      <c r="M34" s="93">
        <v>-38.274000000000001</v>
      </c>
      <c r="N34" s="93">
        <v>-44.040999999999997</v>
      </c>
      <c r="O34" s="93">
        <v>-26.975000000000001</v>
      </c>
      <c r="P34" s="93">
        <v>-36.726999999999997</v>
      </c>
      <c r="Q34" s="93">
        <v>-146.017</v>
      </c>
      <c r="R34" s="93">
        <v>-34.468667505993551</v>
      </c>
      <c r="S34" s="93">
        <v>-36.994999999999997</v>
      </c>
      <c r="T34" s="93">
        <v>-36.259553186967914</v>
      </c>
      <c r="U34" s="93">
        <v>-35.886000000000003</v>
      </c>
      <c r="V34" s="93">
        <v>-143.60922069296146</v>
      </c>
      <c r="W34" s="93">
        <v>-28.257000000000001</v>
      </c>
      <c r="X34" s="93">
        <v>-16.97</v>
      </c>
      <c r="Y34" s="93">
        <v>-20.422999999999998</v>
      </c>
      <c r="Z34" s="93">
        <v>-24.968</v>
      </c>
      <c r="AA34" s="93">
        <v>-90.618000000000009</v>
      </c>
      <c r="AB34" s="93">
        <v>-23.428999999999998</v>
      </c>
      <c r="AC34" s="93">
        <v>-29.280999999999999</v>
      </c>
      <c r="AD34" s="93">
        <v>-37.64</v>
      </c>
      <c r="AE34" s="93">
        <v>-48.988652842270426</v>
      </c>
      <c r="AF34" s="93">
        <v>-139.33865284227042</v>
      </c>
      <c r="AG34" s="93">
        <v>-50.593527983567462</v>
      </c>
      <c r="AH34" s="93">
        <v>-51.484774535347405</v>
      </c>
      <c r="AI34" s="93">
        <v>-37.122601641386424</v>
      </c>
      <c r="AJ34" s="93">
        <v>-36.766009231092056</v>
      </c>
      <c r="AK34" s="93">
        <v>-175.96691339139335</v>
      </c>
      <c r="AL34" s="93">
        <v>-41.203511667332954</v>
      </c>
      <c r="AM34" s="93">
        <v>-39.120648844036602</v>
      </c>
      <c r="AN34" s="93">
        <v>-34.340069407438641</v>
      </c>
      <c r="AO34" s="93">
        <v>-33.220223423031548</v>
      </c>
      <c r="AP34" s="93">
        <v>-147.88445334183973</v>
      </c>
      <c r="AQ34" s="93">
        <v>-36.179262103229433</v>
      </c>
      <c r="AR34" s="93">
        <v>-34.452704506700343</v>
      </c>
    </row>
    <row r="35" spans="1:44" s="1" customFormat="1" ht="15" customHeight="1">
      <c r="A35" t="s">
        <v>141</v>
      </c>
      <c r="B35" s="9" t="str">
        <f>IF('Sumário | Summary'!P1=1,"Receitas financeiras","Financial Revenues")</f>
        <v>Receitas financeiras</v>
      </c>
      <c r="C35" s="93">
        <v>16.885999999999999</v>
      </c>
      <c r="D35" s="93">
        <v>14.74</v>
      </c>
      <c r="E35" s="93">
        <v>14.255000000000001</v>
      </c>
      <c r="F35" s="93">
        <v>18.132000000000001</v>
      </c>
      <c r="G35" s="93">
        <v>64.013000000000005</v>
      </c>
      <c r="H35" s="93">
        <v>14.135999999999999</v>
      </c>
      <c r="I35" s="93">
        <v>7.8789999999999996</v>
      </c>
      <c r="J35" s="93">
        <v>10.311999999999999</v>
      </c>
      <c r="K35" s="93">
        <v>8.8219999999999992</v>
      </c>
      <c r="L35" s="93">
        <v>41.149000000000001</v>
      </c>
      <c r="M35" s="93">
        <v>6.9130000000000003</v>
      </c>
      <c r="N35" s="93">
        <v>8.5120000000000005</v>
      </c>
      <c r="O35" s="93">
        <v>9.0150000000000006</v>
      </c>
      <c r="P35" s="93">
        <v>8.1869999999999994</v>
      </c>
      <c r="Q35" s="93">
        <v>32.627000000000002</v>
      </c>
      <c r="R35" s="93">
        <v>5.0015921854664995</v>
      </c>
      <c r="S35" s="93">
        <v>6.9059999999999997</v>
      </c>
      <c r="T35" s="93">
        <v>5.5310510005804989</v>
      </c>
      <c r="U35" s="93">
        <v>9.6620000000000008</v>
      </c>
      <c r="V35" s="93">
        <v>27.100643186046995</v>
      </c>
      <c r="W35" s="93">
        <v>5.4249999999999998</v>
      </c>
      <c r="X35" s="93">
        <v>6.75</v>
      </c>
      <c r="Y35" s="93">
        <v>4.0789999999999997</v>
      </c>
      <c r="Z35" s="93">
        <v>4.7460000000000004</v>
      </c>
      <c r="AA35" s="93">
        <v>21</v>
      </c>
      <c r="AB35" s="93">
        <v>2.68</v>
      </c>
      <c r="AC35" s="93">
        <v>6.3970000000000002</v>
      </c>
      <c r="AD35" s="93">
        <v>8.0960000000000001</v>
      </c>
      <c r="AE35" s="93">
        <v>12.035965664525985</v>
      </c>
      <c r="AF35" s="93">
        <v>29.208965664525987</v>
      </c>
      <c r="AG35" s="93">
        <v>15.594044398662495</v>
      </c>
      <c r="AH35" s="93">
        <v>13.587636536524998</v>
      </c>
      <c r="AI35" s="93">
        <v>20.255905045539524</v>
      </c>
      <c r="AJ35" s="93">
        <v>17.185877792403975</v>
      </c>
      <c r="AK35" s="93">
        <v>66.623463773130993</v>
      </c>
      <c r="AL35" s="93">
        <v>10.455316772238996</v>
      </c>
      <c r="AM35" s="93">
        <v>18.097257413212834</v>
      </c>
      <c r="AN35" s="93">
        <v>15.20874436712802</v>
      </c>
      <c r="AO35" s="93">
        <v>15.409501923401505</v>
      </c>
      <c r="AP35" s="93">
        <v>59.170820475981358</v>
      </c>
      <c r="AQ35" s="93">
        <v>14.299461850928497</v>
      </c>
      <c r="AR35" s="93">
        <v>17.709231223475662</v>
      </c>
    </row>
    <row r="36" spans="1:44" s="1" customFormat="1" ht="15" customHeight="1">
      <c r="A36" t="s">
        <v>142</v>
      </c>
      <c r="B36" s="11" t="str">
        <f>IF('Sumário | Summary'!P1=1,"Lucro antes de IR e CS","Pre Tax Profit")</f>
        <v>Lucro antes de IR e CS</v>
      </c>
      <c r="C36" s="138">
        <v>18.47457109577887</v>
      </c>
      <c r="D36" s="138">
        <v>3.5739918514104212</v>
      </c>
      <c r="E36" s="138">
        <v>-0.50266167372773629</v>
      </c>
      <c r="F36" s="138">
        <v>17.135539841494232</v>
      </c>
      <c r="G36" s="138">
        <v>38.681441114955753</v>
      </c>
      <c r="H36" s="138">
        <v>-11.14694957149765</v>
      </c>
      <c r="I36" s="138">
        <v>-9.3813360873636125</v>
      </c>
      <c r="J36" s="138">
        <v>235.12034262000455</v>
      </c>
      <c r="K36" s="138">
        <v>-6.8261060601866195</v>
      </c>
      <c r="L36" s="138">
        <v>207.76595090095671</v>
      </c>
      <c r="M36" s="138">
        <v>15.154947715066708</v>
      </c>
      <c r="N36" s="138">
        <v>31.322778508509305</v>
      </c>
      <c r="O36" s="138">
        <v>-12.167547336903983</v>
      </c>
      <c r="P36" s="138">
        <v>-6.6179502474508913</v>
      </c>
      <c r="Q36" s="138">
        <v>27.692228639221167</v>
      </c>
      <c r="R36" s="138">
        <v>13.914547809763341</v>
      </c>
      <c r="S36" s="138">
        <v>-8.1028973166963212</v>
      </c>
      <c r="T36" s="138">
        <v>17.562283336243723</v>
      </c>
      <c r="U36" s="138">
        <v>46.526367086687898</v>
      </c>
      <c r="V36" s="138">
        <v>69.900300915998642</v>
      </c>
      <c r="W36" s="138">
        <v>23.576788149118066</v>
      </c>
      <c r="X36" s="138">
        <v>5.8629190468122268</v>
      </c>
      <c r="Y36" s="138">
        <v>32.310188584556428</v>
      </c>
      <c r="Z36" s="138">
        <v>12.738005560906972</v>
      </c>
      <c r="AA36" s="138">
        <v>74.487901341393695</v>
      </c>
      <c r="AB36" s="138">
        <v>12.791984384821045</v>
      </c>
      <c r="AC36" s="138">
        <v>12.914717480117448</v>
      </c>
      <c r="AD36" s="138">
        <v>15.840514841514544</v>
      </c>
      <c r="AE36" s="138">
        <v>1311.320192664452</v>
      </c>
      <c r="AF36" s="138">
        <v>1352.8674093709051</v>
      </c>
      <c r="AG36" s="138">
        <v>-5.164041974456131</v>
      </c>
      <c r="AH36" s="138">
        <v>-23.545945332791256</v>
      </c>
      <c r="AI36" s="138">
        <v>12.369600564032957</v>
      </c>
      <c r="AJ36" s="138">
        <v>-19.872409771568076</v>
      </c>
      <c r="AK36" s="138">
        <v>-36.212796514782511</v>
      </c>
      <c r="AL36" s="138">
        <v>-7.8427477404728965</v>
      </c>
      <c r="AM36" s="138">
        <v>3.3658522997245832</v>
      </c>
      <c r="AN36" s="138">
        <v>10.991731313932736</v>
      </c>
      <c r="AO36" s="138">
        <f>SUM(AO33:AO35)</f>
        <v>14.656570341733739</v>
      </c>
      <c r="AP36" s="138">
        <v>21.171406214918161</v>
      </c>
      <c r="AQ36" s="138">
        <v>13.466798323561017</v>
      </c>
      <c r="AR36" s="138">
        <f>SUM(AR33:AR35)</f>
        <v>563.29274191160914</v>
      </c>
    </row>
    <row r="37" spans="1:44" s="1" customFormat="1" ht="15" customHeight="1">
      <c r="A37" t="s">
        <v>143</v>
      </c>
      <c r="B37" s="11" t="str">
        <f>IF('Sumário | Summary'!P1=1,"Imposto de Renda e Contribuição Social","Income and Social Contribution Taxes")</f>
        <v>Imposto de Renda e Contribuição Social</v>
      </c>
      <c r="C37" s="138">
        <v>-7.5129999999999999</v>
      </c>
      <c r="D37" s="138">
        <v>-8.1110000000000007</v>
      </c>
      <c r="E37" s="138">
        <v>-10.096</v>
      </c>
      <c r="F37" s="138">
        <v>-8.5619999999999994</v>
      </c>
      <c r="G37" s="138">
        <f t="shared" ref="G37:AI37" si="0">SUM(G38:G39)</f>
        <v>-34.282000000000004</v>
      </c>
      <c r="H37" s="138">
        <f t="shared" si="0"/>
        <v>-8.5380000000000003</v>
      </c>
      <c r="I37" s="138">
        <f t="shared" si="0"/>
        <v>-7.6629999999999994</v>
      </c>
      <c r="J37" s="138">
        <f t="shared" si="0"/>
        <v>-16.253</v>
      </c>
      <c r="K37" s="138">
        <f t="shared" si="0"/>
        <v>-1.0840000000000001</v>
      </c>
      <c r="L37" s="138">
        <f t="shared" si="0"/>
        <v>-33.538000000000004</v>
      </c>
      <c r="M37" s="138">
        <f t="shared" si="0"/>
        <v>-6.1550000000000002</v>
      </c>
      <c r="N37" s="138">
        <f t="shared" si="0"/>
        <v>-8.3130000000000006</v>
      </c>
      <c r="O37" s="138">
        <f t="shared" si="0"/>
        <v>-6.9279999999999999</v>
      </c>
      <c r="P37" s="138">
        <f t="shared" si="0"/>
        <v>-7.157</v>
      </c>
      <c r="Q37" s="138">
        <f t="shared" si="0"/>
        <v>-28.552999999999997</v>
      </c>
      <c r="R37" s="138">
        <v>-10.752141377127998</v>
      </c>
      <c r="S37" s="138">
        <f t="shared" si="0"/>
        <v>-9.0329999999999995</v>
      </c>
      <c r="T37" s="138">
        <v>-8.7310666341100021</v>
      </c>
      <c r="U37" s="138">
        <f t="shared" si="0"/>
        <v>-8.4849999999999994</v>
      </c>
      <c r="V37" s="138">
        <v>-37.001208011237999</v>
      </c>
      <c r="W37" s="138">
        <f t="shared" si="0"/>
        <v>-7.008</v>
      </c>
      <c r="X37" s="138">
        <f t="shared" si="0"/>
        <v>-4.9669999999999996</v>
      </c>
      <c r="Y37" s="138">
        <f t="shared" si="0"/>
        <v>-5.6020000000000003</v>
      </c>
      <c r="Z37" s="138">
        <f t="shared" si="0"/>
        <v>-6.0829999999999993</v>
      </c>
      <c r="AA37" s="138">
        <v>-23.659999999999997</v>
      </c>
      <c r="AB37" s="138">
        <f t="shared" si="0"/>
        <v>-5.6609999999999996</v>
      </c>
      <c r="AC37" s="138">
        <f t="shared" si="0"/>
        <v>-5.7809999999999997</v>
      </c>
      <c r="AD37" s="138">
        <f t="shared" si="0"/>
        <v>-6.8070000000000004</v>
      </c>
      <c r="AE37" s="138">
        <f t="shared" si="0"/>
        <v>-47.909702201879483</v>
      </c>
      <c r="AF37" s="138">
        <v>-66.158702201879493</v>
      </c>
      <c r="AG37" s="138">
        <f t="shared" si="0"/>
        <v>-5.7486972707369999</v>
      </c>
      <c r="AH37" s="138">
        <f t="shared" si="0"/>
        <v>-5.6062316623249995</v>
      </c>
      <c r="AI37" s="138">
        <f t="shared" si="0"/>
        <v>-5.5091119353080016</v>
      </c>
      <c r="AJ37" s="138">
        <v>-3.8948220796159951</v>
      </c>
      <c r="AK37" s="138">
        <v>-20.758862947985996</v>
      </c>
      <c r="AL37" s="138">
        <f>SUM(AL38:AL39)</f>
        <v>-7.0297088088569994</v>
      </c>
      <c r="AM37" s="138">
        <f>SUM(AM38:AM39)</f>
        <v>-7.4916093259529974</v>
      </c>
      <c r="AN37" s="138">
        <v>-7.423517620891003</v>
      </c>
      <c r="AO37" s="138">
        <f>SUM(AO38:AO39)</f>
        <v>-9.1799844637309977</v>
      </c>
      <c r="AP37" s="138">
        <v>-31.124820219431996</v>
      </c>
      <c r="AQ37" s="138">
        <v>-6.6816161431189984</v>
      </c>
      <c r="AR37" s="138">
        <f>SUM(AR38:AR39)</f>
        <v>-104.59473908840897</v>
      </c>
    </row>
    <row r="38" spans="1:44" s="1" customFormat="1" ht="15" customHeight="1">
      <c r="A38" t="s">
        <v>110</v>
      </c>
      <c r="B38" s="13" t="str">
        <f>IF('Sumário | Summary'!P1=1,"Diferidos","Deferred")</f>
        <v>Diferidos</v>
      </c>
      <c r="C38" s="93">
        <v>-0.13900000000000001</v>
      </c>
      <c r="D38" s="93">
        <v>-3.6999999999999998E-2</v>
      </c>
      <c r="E38" s="93">
        <v>-0.96299999999999997</v>
      </c>
      <c r="F38" s="93">
        <v>0.13300000000000001</v>
      </c>
      <c r="G38" s="93">
        <v>-1.006</v>
      </c>
      <c r="H38" s="93">
        <v>0.121</v>
      </c>
      <c r="I38" s="93">
        <v>0.34399999999999997</v>
      </c>
      <c r="J38" s="93">
        <v>0.315</v>
      </c>
      <c r="K38" s="93">
        <v>6.5000000000000002E-2</v>
      </c>
      <c r="L38" s="93">
        <v>0.84499999999999997</v>
      </c>
      <c r="M38" s="93">
        <v>0.189</v>
      </c>
      <c r="N38" s="93">
        <v>-8.5999999999999993E-2</v>
      </c>
      <c r="O38" s="93">
        <v>-0.01</v>
      </c>
      <c r="P38" s="93">
        <v>2.7E-2</v>
      </c>
      <c r="Q38" s="93">
        <v>0.12</v>
      </c>
      <c r="R38" s="93">
        <v>6.580552134800001E-2</v>
      </c>
      <c r="S38" s="93">
        <v>6.0000000000000001E-3</v>
      </c>
      <c r="T38" s="93">
        <v>1.4755873380000001E-2</v>
      </c>
      <c r="U38" s="93">
        <v>5.0000000000000001E-3</v>
      </c>
      <c r="V38" s="93">
        <v>9.1561394728000026E-2</v>
      </c>
      <c r="W38" s="93">
        <v>7.0000000000000001E-3</v>
      </c>
      <c r="X38" s="93">
        <v>6.0000000000000001E-3</v>
      </c>
      <c r="Y38" s="93">
        <v>3.0000000000000001E-3</v>
      </c>
      <c r="Z38" s="93">
        <v>-4.0000000000000001E-3</v>
      </c>
      <c r="AA38" s="93">
        <v>1.2E-2</v>
      </c>
      <c r="AB38" s="93">
        <v>8.9999999999999993E-3</v>
      </c>
      <c r="AC38" s="93">
        <v>-8.0000000000000002E-3</v>
      </c>
      <c r="AD38" s="93">
        <v>-6.2E-2</v>
      </c>
      <c r="AE38" s="93">
        <v>6.6000000000000003E-2</v>
      </c>
      <c r="AF38" s="93">
        <v>5.0000000000000044E-3</v>
      </c>
      <c r="AG38" s="93">
        <v>-8.7701669020000001E-3</v>
      </c>
      <c r="AH38" s="93">
        <v>-2.951697097E-2</v>
      </c>
      <c r="AI38" s="93">
        <v>1.2201730739999945E-3</v>
      </c>
      <c r="AJ38" s="93">
        <v>-3.7150159889999992E-2</v>
      </c>
      <c r="AK38" s="93">
        <v>-7.4217124688E-2</v>
      </c>
      <c r="AL38" s="93">
        <v>-2.5543798106E-2</v>
      </c>
      <c r="AM38" s="93">
        <v>-2.3338059273999998E-2</v>
      </c>
      <c r="AN38" s="93">
        <v>-5.3879662773999998E-2</v>
      </c>
      <c r="AO38" s="93">
        <v>-4.9650565380000133E-3</v>
      </c>
      <c r="AP38" s="93">
        <v>-0.10772657669200002</v>
      </c>
      <c r="AQ38" s="93">
        <v>-4.2090305936000008E-2</v>
      </c>
      <c r="AR38" s="93">
        <v>-6.2558092768000007E-2</v>
      </c>
    </row>
    <row r="39" spans="1:44" s="1" customFormat="1" ht="15" customHeight="1">
      <c r="A39" t="s">
        <v>111</v>
      </c>
      <c r="B39" s="13" t="str">
        <f>IF('Sumário | Summary'!P1=1,"Correntes","Current")</f>
        <v>Correntes</v>
      </c>
      <c r="C39" s="93">
        <v>-7.3739999999999997</v>
      </c>
      <c r="D39" s="93">
        <v>-8.0739999999999998</v>
      </c>
      <c r="E39" s="93">
        <v>-9.1329999999999991</v>
      </c>
      <c r="F39" s="93">
        <v>-8.6950000000000003</v>
      </c>
      <c r="G39" s="93">
        <v>-33.276000000000003</v>
      </c>
      <c r="H39" s="93">
        <v>-8.6590000000000007</v>
      </c>
      <c r="I39" s="93">
        <v>-8.0069999999999997</v>
      </c>
      <c r="J39" s="93">
        <v>-16.568000000000001</v>
      </c>
      <c r="K39" s="93">
        <v>-1.149</v>
      </c>
      <c r="L39" s="93">
        <v>-34.383000000000003</v>
      </c>
      <c r="M39" s="93">
        <v>-6.3440000000000003</v>
      </c>
      <c r="N39" s="93">
        <v>-8.2270000000000003</v>
      </c>
      <c r="O39" s="93">
        <v>-6.9180000000000001</v>
      </c>
      <c r="P39" s="93">
        <v>-7.1840000000000002</v>
      </c>
      <c r="Q39" s="93">
        <v>-28.672999999999998</v>
      </c>
      <c r="R39" s="93">
        <v>-10.817946898475999</v>
      </c>
      <c r="S39" s="93">
        <v>-9.0389999999999997</v>
      </c>
      <c r="T39" s="93">
        <v>-8.7458225074900042</v>
      </c>
      <c r="U39" s="93">
        <v>-8.49</v>
      </c>
      <c r="V39" s="93">
        <v>-37.092769405966003</v>
      </c>
      <c r="W39" s="93">
        <v>-7.0149999999999997</v>
      </c>
      <c r="X39" s="93">
        <v>-4.9729999999999999</v>
      </c>
      <c r="Y39" s="93">
        <v>-5.6050000000000004</v>
      </c>
      <c r="Z39" s="93">
        <v>-6.0789999999999997</v>
      </c>
      <c r="AA39" s="93">
        <v>-23.672000000000001</v>
      </c>
      <c r="AB39" s="93">
        <v>-5.67</v>
      </c>
      <c r="AC39" s="93">
        <v>-5.7729999999999997</v>
      </c>
      <c r="AD39" s="93">
        <v>-6.7450000000000001</v>
      </c>
      <c r="AE39" s="93">
        <v>-47.975702201879486</v>
      </c>
      <c r="AF39" s="93">
        <v>-66.163702201879488</v>
      </c>
      <c r="AG39" s="93">
        <v>-5.7399271038349999</v>
      </c>
      <c r="AH39" s="93">
        <v>-5.5767146913549999</v>
      </c>
      <c r="AI39" s="93">
        <v>-5.5103321083820012</v>
      </c>
      <c r="AJ39" s="93">
        <v>-3.8576719197259952</v>
      </c>
      <c r="AK39" s="93">
        <v>-20.684645823297995</v>
      </c>
      <c r="AL39" s="93">
        <v>-7.0041650107509996</v>
      </c>
      <c r="AM39" s="93">
        <v>-7.4682712666789977</v>
      </c>
      <c r="AN39" s="93">
        <v>-7.3696379581170026</v>
      </c>
      <c r="AO39" s="93">
        <v>-9.1750194071929982</v>
      </c>
      <c r="AP39" s="93">
        <v>-31.017093642739997</v>
      </c>
      <c r="AQ39" s="93">
        <v>-6.6395258371829984</v>
      </c>
      <c r="AR39" s="93">
        <v>-104.53218099564097</v>
      </c>
    </row>
    <row r="40" spans="1:44" s="91" customFormat="1" ht="15" customHeight="1">
      <c r="A40" t="s">
        <v>280</v>
      </c>
      <c r="B40" s="11" t="str">
        <f>IF('Sumário | Summary'!P1=1,"Lucro antes da participação dos minoritários","Profit before minority
interest")</f>
        <v>Lucro antes da participação dos minoritários</v>
      </c>
      <c r="C40" s="138">
        <v>4.3965710957788691</v>
      </c>
      <c r="D40" s="138">
        <v>-10.957008148589578</v>
      </c>
      <c r="E40" s="138">
        <v>-17.142661673727737</v>
      </c>
      <c r="F40" s="138">
        <v>2.3755398414942319</v>
      </c>
      <c r="G40" s="138">
        <f t="shared" ref="G40:AG40" si="1">SUM(G36:G37)</f>
        <v>4.3994411149557493</v>
      </c>
      <c r="H40" s="138">
        <f t="shared" si="1"/>
        <v>-19.684949571497651</v>
      </c>
      <c r="I40" s="138">
        <f t="shared" si="1"/>
        <v>-17.044336087363611</v>
      </c>
      <c r="J40" s="138">
        <f t="shared" si="1"/>
        <v>218.86734262000454</v>
      </c>
      <c r="K40" s="138">
        <f t="shared" si="1"/>
        <v>-7.9101060601866191</v>
      </c>
      <c r="L40" s="138">
        <f t="shared" si="1"/>
        <v>174.2279509009567</v>
      </c>
      <c r="M40" s="138">
        <f t="shared" si="1"/>
        <v>8.9999477150667069</v>
      </c>
      <c r="N40" s="138">
        <f t="shared" si="1"/>
        <v>23.009778508509307</v>
      </c>
      <c r="O40" s="138">
        <f t="shared" si="1"/>
        <v>-19.095547336903984</v>
      </c>
      <c r="P40" s="138">
        <f t="shared" si="1"/>
        <v>-13.774950247450892</v>
      </c>
      <c r="Q40" s="138">
        <f t="shared" si="1"/>
        <v>-0.86077136077883054</v>
      </c>
      <c r="R40" s="138">
        <v>3.1624064326353443</v>
      </c>
      <c r="S40" s="138">
        <f t="shared" si="1"/>
        <v>-17.135897316696322</v>
      </c>
      <c r="T40" s="138">
        <v>8.8312167021337213</v>
      </c>
      <c r="U40" s="138">
        <f t="shared" si="1"/>
        <v>38.041367086687899</v>
      </c>
      <c r="V40" s="138">
        <v>32.899092904760643</v>
      </c>
      <c r="W40" s="138">
        <f t="shared" si="1"/>
        <v>16.568788149118067</v>
      </c>
      <c r="X40" s="138">
        <f t="shared" si="1"/>
        <v>0.89591904681222712</v>
      </c>
      <c r="Y40" s="138">
        <f t="shared" si="1"/>
        <v>26.708188584556428</v>
      </c>
      <c r="Z40" s="138">
        <f t="shared" si="1"/>
        <v>6.6550055609069725</v>
      </c>
      <c r="AA40" s="138">
        <v>50.827901341393698</v>
      </c>
      <c r="AB40" s="138">
        <f t="shared" si="1"/>
        <v>7.1309843848210459</v>
      </c>
      <c r="AC40" s="138">
        <f t="shared" si="1"/>
        <v>7.1337174801174479</v>
      </c>
      <c r="AD40" s="138">
        <f t="shared" si="1"/>
        <v>9.0335148415145436</v>
      </c>
      <c r="AE40" s="138">
        <f t="shared" si="1"/>
        <v>1263.4104904625724</v>
      </c>
      <c r="AF40" s="138">
        <v>1286.7087071690255</v>
      </c>
      <c r="AG40" s="138">
        <f t="shared" si="1"/>
        <v>-10.91273924519313</v>
      </c>
      <c r="AH40" s="138">
        <f>SUM(AH36:AH37)</f>
        <v>-29.152176995116257</v>
      </c>
      <c r="AI40" s="138">
        <f>SUM(AI36:AI37)</f>
        <v>6.8604886287249558</v>
      </c>
      <c r="AJ40" s="138">
        <v>-23.767301853184044</v>
      </c>
      <c r="AK40" s="138">
        <v>-56.9716594627685</v>
      </c>
      <c r="AL40" s="138">
        <f>SUM(AL36:AL37)</f>
        <v>-14.872456549329897</v>
      </c>
      <c r="AM40" s="138">
        <f>SUM(AM36:AM37)</f>
        <v>-4.1257570262284142</v>
      </c>
      <c r="AN40" s="138">
        <v>3.5682136930417325</v>
      </c>
      <c r="AO40" s="138">
        <v>5.4229069720027452</v>
      </c>
      <c r="AP40" s="138">
        <v>-10.007092910513833</v>
      </c>
      <c r="AQ40" s="138">
        <v>6.6946138004419975</v>
      </c>
      <c r="AR40" s="138">
        <v>458.66910094920013</v>
      </c>
    </row>
    <row r="41" spans="1:44" s="91" customFormat="1" ht="15" customHeight="1">
      <c r="A41" t="s">
        <v>281</v>
      </c>
      <c r="B41" s="119" t="str">
        <f>IF('Sumário | Summary'!P1=1,"Participação dos minoritários","Minority interest")</f>
        <v>Participação dos minoritários</v>
      </c>
      <c r="C41" s="93">
        <v>6.5640000000000001</v>
      </c>
      <c r="D41" s="93">
        <v>6.4189999999999996</v>
      </c>
      <c r="E41" s="93">
        <v>6.5439999999999996</v>
      </c>
      <c r="F41" s="93">
        <v>6.1980000000000004</v>
      </c>
      <c r="G41" s="93">
        <v>25.725000000000001</v>
      </c>
      <c r="H41" s="93">
        <v>2E-3</v>
      </c>
      <c r="I41" s="93">
        <v>2E-3</v>
      </c>
      <c r="J41" s="93">
        <v>1.0999999999999999E-2</v>
      </c>
      <c r="K41" s="93">
        <v>8.9999999999999993E-3</v>
      </c>
      <c r="L41" s="93">
        <v>2.4E-2</v>
      </c>
      <c r="M41" s="93">
        <v>8.0000000000000002E-3</v>
      </c>
      <c r="N41" s="93">
        <v>8.9999999999999993E-3</v>
      </c>
      <c r="O41" s="93">
        <v>5.0000000000000001E-3</v>
      </c>
      <c r="P41" s="93">
        <v>4.0000000000000001E-3</v>
      </c>
      <c r="Q41" s="93">
        <v>2.5999999999999999E-2</v>
      </c>
      <c r="R41" s="93">
        <v>-5.0656458847500004E-3</v>
      </c>
      <c r="S41" s="93">
        <v>6.0000000000000001E-3</v>
      </c>
      <c r="T41" s="93">
        <v>-6.3634360927499979E-3</v>
      </c>
      <c r="U41" s="93">
        <v>-5.0000000000000001E-3</v>
      </c>
      <c r="V41" s="93">
        <v>-1.0429081977499997E-2</v>
      </c>
      <c r="W41" s="93">
        <v>6.0000000000000001E-3</v>
      </c>
      <c r="X41" s="93">
        <v>5.0000000000000001E-3</v>
      </c>
      <c r="Y41" s="93">
        <v>-5.0000000000000001E-3</v>
      </c>
      <c r="Z41" s="93">
        <v>6.0000000000000001E-3</v>
      </c>
      <c r="AA41" s="93">
        <v>1.2E-2</v>
      </c>
      <c r="AB41" s="93">
        <v>-5.2765735398799998E-3</v>
      </c>
      <c r="AC41" s="93">
        <v>-5.4324716985000004E-3</v>
      </c>
      <c r="AD41" s="93">
        <v>-5.5367712675000007E-3</v>
      </c>
      <c r="AE41" s="93">
        <v>-6.1970202360000001E-3</v>
      </c>
      <c r="AF41" s="93">
        <v>-2.2442836741880003E-2</v>
      </c>
      <c r="AG41" s="93">
        <v>-6.8031771142500006E-3</v>
      </c>
      <c r="AH41" s="93">
        <v>-6.559818952500001E-3</v>
      </c>
      <c r="AI41" s="93">
        <v>-7.4044744784999995E-3</v>
      </c>
      <c r="AJ41" s="93">
        <v>-7.7120432047400062E-3</v>
      </c>
      <c r="AK41" s="93">
        <v>-2.8479513749990006E-2</v>
      </c>
      <c r="AL41" s="93">
        <v>-8.1535162499999994E-3</v>
      </c>
      <c r="AM41" s="93">
        <v>-8.206406250000001E-3</v>
      </c>
      <c r="AN41" s="93">
        <v>-9.4105574999999997E-3</v>
      </c>
      <c r="AO41" s="93">
        <v>-8.5819687500000089E-3</v>
      </c>
      <c r="AP41" s="93">
        <v>-3.4352448750000007E-2</v>
      </c>
      <c r="AQ41" s="93">
        <v>-8.3931187500000011E-3</v>
      </c>
      <c r="AR41" s="93">
        <v>-1.5612141666028321</v>
      </c>
    </row>
    <row r="42" spans="1:44" s="1" customFormat="1" ht="15" customHeight="1">
      <c r="A42" t="s">
        <v>273</v>
      </c>
      <c r="B42" s="11" t="str">
        <f>IF('Sumário | Summary'!P1=1,"Lucro/Prejuízo do Período","Profit / Loss for the Period")</f>
        <v>Lucro/Prejuízo do Período</v>
      </c>
      <c r="C42" s="228">
        <v>10.960571095778869</v>
      </c>
      <c r="D42" s="228">
        <v>-4.5380081485895785</v>
      </c>
      <c r="E42" s="228">
        <v>-10.598661673727737</v>
      </c>
      <c r="F42" s="228">
        <v>8.5735398414942328</v>
      </c>
      <c r="G42" s="228">
        <f t="shared" ref="G42:AI42" si="2">SUM(G40:G41)</f>
        <v>30.124441114955751</v>
      </c>
      <c r="H42" s="228">
        <f t="shared" si="2"/>
        <v>-19.682949571497652</v>
      </c>
      <c r="I42" s="228">
        <f t="shared" si="2"/>
        <v>-17.042336087363612</v>
      </c>
      <c r="J42" s="228">
        <f t="shared" si="2"/>
        <v>218.87834262000453</v>
      </c>
      <c r="K42" s="228">
        <f t="shared" si="2"/>
        <v>-7.9011060601866188</v>
      </c>
      <c r="L42" s="228">
        <f t="shared" si="2"/>
        <v>174.2519509009567</v>
      </c>
      <c r="M42" s="228">
        <f t="shared" si="2"/>
        <v>9.007947715066706</v>
      </c>
      <c r="N42" s="228">
        <f t="shared" si="2"/>
        <v>23.018778508509307</v>
      </c>
      <c r="O42" s="228">
        <f t="shared" si="2"/>
        <v>-19.090547336903985</v>
      </c>
      <c r="P42" s="228">
        <f t="shared" si="2"/>
        <v>-13.770950247450893</v>
      </c>
      <c r="Q42" s="228">
        <f t="shared" si="2"/>
        <v>-0.83477136077883052</v>
      </c>
      <c r="R42" s="228">
        <v>3.157340786750594</v>
      </c>
      <c r="S42" s="228">
        <f t="shared" si="2"/>
        <v>-17.129897316696322</v>
      </c>
      <c r="T42" s="228">
        <v>8.8248532660409698</v>
      </c>
      <c r="U42" s="228">
        <f t="shared" si="2"/>
        <v>38.036367086687896</v>
      </c>
      <c r="V42" s="228">
        <v>32.888663822783137</v>
      </c>
      <c r="W42" s="228">
        <f t="shared" si="2"/>
        <v>16.574788149118067</v>
      </c>
      <c r="X42" s="228">
        <f t="shared" si="2"/>
        <v>0.90091904681222712</v>
      </c>
      <c r="Y42" s="244">
        <f t="shared" si="2"/>
        <v>26.703188584556429</v>
      </c>
      <c r="Z42" s="228">
        <f t="shared" si="2"/>
        <v>6.6610055609069727</v>
      </c>
      <c r="AA42" s="228">
        <v>50.839901341393698</v>
      </c>
      <c r="AB42" s="228">
        <f t="shared" si="2"/>
        <v>7.125707811281166</v>
      </c>
      <c r="AC42" s="228">
        <f t="shared" si="2"/>
        <v>7.1282850084189482</v>
      </c>
      <c r="AD42" s="228">
        <f t="shared" si="2"/>
        <v>9.0279780702470429</v>
      </c>
      <c r="AE42" s="228">
        <f t="shared" si="2"/>
        <v>1263.4042934423364</v>
      </c>
      <c r="AF42" s="228">
        <v>1286.6862643322836</v>
      </c>
      <c r="AG42" s="228">
        <f t="shared" si="2"/>
        <v>-10.91954242230738</v>
      </c>
      <c r="AH42" s="228">
        <f t="shared" si="2"/>
        <v>-29.158736814068757</v>
      </c>
      <c r="AI42" s="228">
        <f t="shared" si="2"/>
        <v>6.8530841542464556</v>
      </c>
      <c r="AJ42" s="138">
        <v>-23.775013896388785</v>
      </c>
      <c r="AK42" s="228">
        <v>-57.000138976518492</v>
      </c>
      <c r="AL42" s="228">
        <f>SUM(AL40:AL41)</f>
        <v>-14.880610065579896</v>
      </c>
      <c r="AM42" s="138">
        <v>-4.1340334344784306</v>
      </c>
      <c r="AN42" s="138">
        <v>3.5588031355417327</v>
      </c>
      <c r="AO42" s="138">
        <v>5.4143250032527455</v>
      </c>
      <c r="AP42" s="138">
        <v>-10.041445359263834</v>
      </c>
      <c r="AQ42" s="138">
        <v>6.6862206816919976</v>
      </c>
      <c r="AR42" s="138">
        <f>SUM(AR40:AR41)</f>
        <v>457.10788678259729</v>
      </c>
    </row>
    <row r="43" spans="1:44" s="1" customFormat="1">
      <c r="A43" s="187" t="s">
        <v>112</v>
      </c>
      <c r="B43" s="11" t="str">
        <f>IF('Sumário | Summary'!P1=1,"Margem Líquida","Net Margin")</f>
        <v>Margem Líquida</v>
      </c>
      <c r="C43" s="229">
        <f t="shared" ref="C43:AN43" si="3">C42/C14</f>
        <v>0.10887886711154056</v>
      </c>
      <c r="D43" s="229">
        <f t="shared" si="3"/>
        <v>-4.6582376417025895E-2</v>
      </c>
      <c r="E43" s="229">
        <f t="shared" si="3"/>
        <v>-8.0507371444829126E-2</v>
      </c>
      <c r="F43" s="229">
        <f t="shared" si="3"/>
        <v>6.6600149831585492E-2</v>
      </c>
      <c r="G43" s="229">
        <f t="shared" si="3"/>
        <v>6.5706970921787386E-2</v>
      </c>
      <c r="H43" s="229">
        <f t="shared" si="3"/>
        <v>-0.21107709305303987</v>
      </c>
      <c r="I43" s="229">
        <f t="shared" si="3"/>
        <v>-0.168270069518243</v>
      </c>
      <c r="J43" s="229">
        <f t="shared" si="3"/>
        <v>2.3565118670129612</v>
      </c>
      <c r="K43" s="229">
        <f t="shared" si="3"/>
        <v>-9.2231641985055679E-2</v>
      </c>
      <c r="L43" s="229">
        <f t="shared" si="3"/>
        <v>0.46706579812650584</v>
      </c>
      <c r="M43" s="229">
        <f t="shared" si="3"/>
        <v>0.11301049597677738</v>
      </c>
      <c r="N43" s="229">
        <f t="shared" si="3"/>
        <v>0.16322737895226164</v>
      </c>
      <c r="O43" s="229">
        <f t="shared" si="3"/>
        <v>-0.23016617816268209</v>
      </c>
      <c r="P43" s="229">
        <f t="shared" si="3"/>
        <v>-0.1601439950678433</v>
      </c>
      <c r="Q43" s="229">
        <f t="shared" si="3"/>
        <v>-2.1422782928155987E-3</v>
      </c>
      <c r="R43" s="229">
        <f t="shared" si="3"/>
        <v>3.7056833463138754E-2</v>
      </c>
      <c r="S43" s="229">
        <f t="shared" si="3"/>
        <v>-0.19544301868056002</v>
      </c>
      <c r="T43" s="229">
        <f t="shared" si="3"/>
        <v>9.8822813052472591E-2</v>
      </c>
      <c r="U43" s="229">
        <f t="shared" si="3"/>
        <v>0.3866332687449226</v>
      </c>
      <c r="V43" s="229">
        <v>9.122377338503905E-2</v>
      </c>
      <c r="W43" s="229">
        <f t="shared" si="3"/>
        <v>0.17893969488329925</v>
      </c>
      <c r="X43" s="229">
        <f t="shared" si="3"/>
        <v>1.4213206678230287E-2</v>
      </c>
      <c r="Y43" s="229">
        <f t="shared" si="3"/>
        <v>0.28449637270232264</v>
      </c>
      <c r="Z43" s="229">
        <f t="shared" si="3"/>
        <v>7.5379024544945605E-2</v>
      </c>
      <c r="AA43" s="229">
        <v>0.15030632335239383</v>
      </c>
      <c r="AB43" s="229">
        <f t="shared" si="3"/>
        <v>9.1062034962649377E-2</v>
      </c>
      <c r="AC43" s="229">
        <f t="shared" si="3"/>
        <v>9.2664465188075223E-2</v>
      </c>
      <c r="AD43" s="229">
        <f t="shared" si="3"/>
        <v>0.10140778576266271</v>
      </c>
      <c r="AE43" s="229">
        <f t="shared" si="3"/>
        <v>0.90408989369606796</v>
      </c>
      <c r="AF43" s="229">
        <v>0.78378314225651746</v>
      </c>
      <c r="AG43" s="229">
        <f t="shared" si="3"/>
        <v>-8.9378812182848391E-2</v>
      </c>
      <c r="AH43" s="229">
        <f t="shared" si="3"/>
        <v>-0.42164769786328754</v>
      </c>
      <c r="AI43" s="229">
        <f t="shared" si="3"/>
        <v>9.2278140903196165E-2</v>
      </c>
      <c r="AJ43" s="229">
        <v>-0.29824335819616238</v>
      </c>
      <c r="AK43" s="229">
        <v>-0.16507037950056314</v>
      </c>
      <c r="AL43" s="229">
        <f t="shared" si="3"/>
        <v>-0.20055236042979308</v>
      </c>
      <c r="AM43" s="229">
        <f t="shared" si="3"/>
        <v>-5.3167763904788931E-2</v>
      </c>
      <c r="AN43" s="229">
        <f t="shared" si="3"/>
        <v>4.4197383401200441E-2</v>
      </c>
      <c r="AO43" s="229">
        <v>6.1010692508038297E-2</v>
      </c>
      <c r="AP43" s="229">
        <v>-3.126061063785978E-2</v>
      </c>
      <c r="AQ43" s="229">
        <v>7.7810257977868266E-2</v>
      </c>
      <c r="AR43" s="229">
        <f>AR42/AR14</f>
        <v>0.57498313982835092</v>
      </c>
    </row>
    <row r="44" spans="1:44" s="1" customFormat="1">
      <c r="A44" s="187" t="s">
        <v>113</v>
      </c>
      <c r="B44" s="24" t="str">
        <f>IF('Sumário | Summary'!P1=1,"Lucro Líquido por ação","Profit Per Share")</f>
        <v>Lucro Líquido por ação</v>
      </c>
      <c r="C44" s="170">
        <v>3.6750909816292664E-2</v>
      </c>
      <c r="D44" s="170">
        <v>-9.1565079521330001E-2</v>
      </c>
      <c r="E44" s="170">
        <v>-0.14325709701732667</v>
      </c>
      <c r="F44" s="170">
        <v>1.9851814614239054E-2</v>
      </c>
      <c r="G44" s="170">
        <v>-0.17821256210320849</v>
      </c>
      <c r="H44" s="170">
        <v>-0.16451909851674587</v>
      </c>
      <c r="I44" s="170">
        <v>-0.14245212727962459</v>
      </c>
      <c r="J44" s="170">
        <v>1.8289297720680917</v>
      </c>
      <c r="K44" s="170">
        <v>-6.6178063053843134E-2</v>
      </c>
      <c r="L44" s="170">
        <v>1.4557804832178785</v>
      </c>
      <c r="M44" s="170">
        <v>7.5143542508701047E-2</v>
      </c>
      <c r="N44" s="170">
        <v>0.19221196923680781</v>
      </c>
      <c r="O44" s="170">
        <v>-0.15961867620128317</v>
      </c>
      <c r="P44" s="170">
        <v>-0.11514737034221308</v>
      </c>
      <c r="Q44" s="170">
        <v>-7.4105347979871432E-3</v>
      </c>
      <c r="R44" s="170">
        <v>2.6500504531685475E-2</v>
      </c>
      <c r="S44" s="170">
        <v>-0.1432729279278315</v>
      </c>
      <c r="T44" s="170">
        <v>7.4069630034729453E-2</v>
      </c>
      <c r="U44" s="170">
        <v>0.24051746847709043</v>
      </c>
      <c r="V44" s="170">
        <v>0.19781467511567385</v>
      </c>
      <c r="W44" s="170">
        <v>0.10753695958315501</v>
      </c>
      <c r="X44" s="170">
        <v>5.8339134030301549E-3</v>
      </c>
      <c r="Y44" s="170">
        <v>0.17490384759609479</v>
      </c>
      <c r="Z44" s="170">
        <v>4.3566919715912054E-2</v>
      </c>
      <c r="AA44" s="170">
        <v>0.33184164029819202</v>
      </c>
      <c r="AB44" s="170">
        <v>4.6679056527871847E-2</v>
      </c>
      <c r="AC44" s="170">
        <v>4.6708404258523246E-2</v>
      </c>
      <c r="AD44" s="170">
        <v>5.9135027035655298E-2</v>
      </c>
      <c r="AE44" s="170">
        <v>8.2767786898264397</v>
      </c>
      <c r="AF44" s="170">
        <v>8.4293011776484903</v>
      </c>
      <c r="AG44" s="170">
        <v>-7.1536105295593094E-2</v>
      </c>
      <c r="AH44" s="170">
        <v>-0.19102435608494467</v>
      </c>
      <c r="AI44" s="170">
        <v>4.4895273799491459E-2</v>
      </c>
      <c r="AJ44" s="170">
        <v>-0.15575420315091579</v>
      </c>
      <c r="AK44" s="170">
        <v>-0.37341939073196212</v>
      </c>
      <c r="AL44" s="170">
        <v>-9.7485893231030421E-2</v>
      </c>
      <c r="AM44" s="170">
        <v>-2.7082763702789364E-2</v>
      </c>
      <c r="AN44" s="170">
        <v>2.3313872532614757E-2</v>
      </c>
      <c r="AO44" s="170">
        <v>3.5470173862224383E-2</v>
      </c>
      <c r="AP44" s="170">
        <v>-6.5784610538980645E-2</v>
      </c>
      <c r="AQ44" s="170">
        <v>4.380258110075344E-2</v>
      </c>
      <c r="AR44" s="170">
        <v>2.9945923468266225</v>
      </c>
    </row>
    <row r="45" spans="1:44">
      <c r="Y45" s="243"/>
    </row>
    <row r="46" spans="1:44">
      <c r="C46" s="227"/>
      <c r="D46" s="227"/>
      <c r="E46" s="227"/>
      <c r="F46" s="227"/>
      <c r="G46" s="227"/>
      <c r="H46" s="227"/>
      <c r="I46" s="227"/>
      <c r="J46" s="227"/>
      <c r="K46" s="227"/>
      <c r="L46" s="227"/>
      <c r="M46" s="227"/>
      <c r="N46" s="227"/>
      <c r="O46" s="227"/>
      <c r="P46" s="227"/>
      <c r="Q46" s="227"/>
      <c r="R46" s="227"/>
      <c r="S46" s="227"/>
      <c r="T46" s="227"/>
      <c r="U46" s="227"/>
      <c r="V46" s="227"/>
      <c r="AM46" s="227"/>
      <c r="AN46" s="227"/>
      <c r="AO46" s="227"/>
      <c r="AP46" s="227"/>
      <c r="AQ46" s="227"/>
      <c r="AR46" s="227"/>
    </row>
    <row r="47" spans="1:44">
      <c r="C47" s="227"/>
      <c r="D47" s="227"/>
      <c r="E47" s="227"/>
      <c r="F47" s="227"/>
      <c r="G47" s="227"/>
      <c r="H47" s="227"/>
      <c r="I47" s="227"/>
      <c r="J47" s="227"/>
      <c r="K47" s="227"/>
      <c r="L47" s="227"/>
      <c r="M47" s="227"/>
      <c r="N47" s="227"/>
      <c r="O47" s="227"/>
      <c r="P47" s="227"/>
      <c r="Q47" s="227"/>
      <c r="R47" s="227"/>
      <c r="S47" s="227"/>
      <c r="T47" s="227"/>
      <c r="U47" s="227"/>
      <c r="V47" s="227"/>
      <c r="AM47" s="227"/>
      <c r="AN47" s="227"/>
      <c r="AO47" s="227"/>
      <c r="AP47" s="227"/>
      <c r="AQ47" s="227"/>
      <c r="AR47" s="227"/>
    </row>
    <row r="48" spans="1:44">
      <c r="C48" s="227"/>
      <c r="D48" s="227"/>
      <c r="E48" s="227"/>
      <c r="F48" s="227"/>
      <c r="G48" s="227"/>
      <c r="H48" s="227"/>
      <c r="I48" s="227"/>
      <c r="J48" s="227"/>
      <c r="K48" s="227"/>
      <c r="L48" s="227"/>
      <c r="M48" s="227"/>
      <c r="N48" s="227"/>
      <c r="O48" s="227"/>
      <c r="P48" s="227"/>
      <c r="Q48" s="227"/>
      <c r="R48" s="227"/>
      <c r="S48" s="227"/>
      <c r="T48" s="227"/>
      <c r="U48" s="227"/>
      <c r="V48" s="227"/>
      <c r="AM48" s="227"/>
      <c r="AN48" s="227"/>
      <c r="AO48" s="227"/>
      <c r="AP48" s="227"/>
      <c r="AQ48" s="227"/>
      <c r="AR48" s="227"/>
    </row>
    <row r="73" spans="3:44" s="2" customFormat="1">
      <c r="C73" s="167"/>
      <c r="D73" s="167"/>
      <c r="E73" s="167"/>
      <c r="F73" s="167"/>
      <c r="G73" s="167"/>
      <c r="H73" s="167"/>
      <c r="I73" s="167"/>
      <c r="J73" s="167"/>
      <c r="K73" s="167"/>
      <c r="L73" s="167"/>
      <c r="M73" s="167"/>
      <c r="N73" s="167"/>
      <c r="O73" s="167"/>
      <c r="P73" s="167"/>
      <c r="Q73" s="167"/>
      <c r="R73" s="167"/>
      <c r="S73" s="167"/>
      <c r="T73" s="167"/>
      <c r="U73" s="167"/>
      <c r="V73" s="167"/>
      <c r="W73" s="58"/>
      <c r="X73" s="58"/>
      <c r="Y73" s="58"/>
      <c r="Z73" s="58"/>
      <c r="AA73" s="211"/>
      <c r="AB73" s="211"/>
      <c r="AC73" s="211"/>
      <c r="AD73" s="211"/>
      <c r="AE73" s="58"/>
      <c r="AF73" s="211"/>
      <c r="AG73" s="211"/>
      <c r="AH73" s="211"/>
      <c r="AI73" s="167"/>
      <c r="AJ73" s="211"/>
      <c r="AK73" s="167"/>
      <c r="AL73" s="167"/>
      <c r="AM73" s="167"/>
      <c r="AN73" s="167"/>
      <c r="AO73" s="167"/>
      <c r="AP73" s="167"/>
      <c r="AQ73" s="167"/>
      <c r="AR73" s="167"/>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BL82"/>
  <sheetViews>
    <sheetView showGridLines="0" showRowColHeaders="0" zoomScaleNormal="100" workbookViewId="0">
      <pane xSplit="2" ySplit="5" topLeftCell="AP6" activePane="bottomRight" state="frozen"/>
      <selection activeCell="P1" sqref="P1"/>
      <selection pane="topRight" activeCell="P1" sqref="P1"/>
      <selection pane="bottomLeft" activeCell="P1" sqref="P1"/>
      <selection pane="bottomRight" activeCell="BL5" sqref="BL5"/>
    </sheetView>
  </sheetViews>
  <sheetFormatPr defaultRowHeight="14.4" outlineLevelCol="1"/>
  <cols>
    <col min="1" max="1" width="32.88671875" hidden="1" customWidth="1"/>
    <col min="2" max="2" width="42.77734375" customWidth="1"/>
    <col min="3" max="6" width="15.109375" hidden="1" customWidth="1" outlineLevel="1"/>
    <col min="7" max="7" width="15.109375" customWidth="1" collapsed="1"/>
    <col min="8" max="11" width="15.109375" hidden="1" customWidth="1" outlineLevel="1"/>
    <col min="12" max="12" width="15.109375" customWidth="1" collapsed="1"/>
    <col min="13" max="16" width="15.109375" hidden="1" customWidth="1" outlineLevel="1"/>
    <col min="17" max="17" width="15.109375" customWidth="1" collapsed="1"/>
    <col min="18" max="21" width="15.109375" hidden="1" customWidth="1" outlineLevel="1"/>
    <col min="22" max="22" width="15.109375" customWidth="1" collapsed="1"/>
    <col min="23" max="26" width="15.109375" hidden="1" customWidth="1" outlineLevel="1"/>
    <col min="27" max="27" width="10.5546875" bestFit="1" customWidth="1" collapsed="1"/>
    <col min="28" max="28" width="15.109375" hidden="1" customWidth="1" outlineLevel="1" collapsed="1"/>
    <col min="29" max="31" width="15.109375"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style="7" customWidth="1" collapsed="1"/>
    <col min="48" max="48" width="15.109375" style="7" hidden="1" customWidth="1" outlineLevel="1"/>
    <col min="49" max="49" width="11.5546875" style="165" bestFit="1" customWidth="1" collapsed="1"/>
    <col min="50" max="51" width="15.109375" style="7" hidden="1" customWidth="1" outlineLevel="1"/>
    <col min="52" max="52" width="15.109375" style="7" customWidth="1" collapsed="1"/>
    <col min="53" max="57" width="15.109375" style="7" hidden="1" customWidth="1" outlineLevel="1"/>
    <col min="58" max="58" width="15.109375" style="7" customWidth="1" collapsed="1"/>
    <col min="59" max="64" width="15.109375" style="7" customWidth="1"/>
  </cols>
  <sheetData>
    <row r="1" spans="1:64">
      <c r="B1" s="115" t="s">
        <v>42</v>
      </c>
      <c r="AL1" s="237"/>
      <c r="AM1" s="237"/>
      <c r="AN1" s="237"/>
      <c r="AO1" s="237"/>
      <c r="AQ1" s="237"/>
      <c r="AR1" s="237"/>
      <c r="AS1" s="237"/>
      <c r="AT1" s="237"/>
      <c r="AU1" s="237"/>
      <c r="AV1" s="237"/>
      <c r="AX1" s="237"/>
      <c r="AY1" s="237"/>
      <c r="BA1" s="237"/>
      <c r="BB1" s="237"/>
      <c r="BC1" s="237"/>
      <c r="BD1" s="237"/>
      <c r="BE1" s="237"/>
      <c r="BF1" s="237"/>
      <c r="BG1" s="237"/>
      <c r="BH1" s="237"/>
      <c r="BI1" s="237"/>
      <c r="BJ1" s="237"/>
      <c r="BK1" s="237"/>
      <c r="BL1" s="237"/>
    </row>
    <row r="2" spans="1:64">
      <c r="B2" s="115" t="s">
        <v>41</v>
      </c>
      <c r="AL2" s="237"/>
      <c r="AM2" s="237"/>
      <c r="AN2" s="237"/>
      <c r="AO2" s="237"/>
      <c r="AQ2" s="237"/>
      <c r="AR2" s="237"/>
      <c r="AS2" s="237"/>
      <c r="AT2" s="237"/>
      <c r="AU2" s="237"/>
      <c r="AV2" s="237"/>
      <c r="AX2" s="237"/>
      <c r="AY2" s="237"/>
      <c r="BA2" s="237"/>
      <c r="BB2" s="237"/>
      <c r="BC2" s="237"/>
      <c r="BD2" s="237"/>
      <c r="BE2" s="237"/>
      <c r="BF2" s="237"/>
      <c r="BG2" s="237"/>
      <c r="BH2" s="237"/>
      <c r="BI2" s="237"/>
      <c r="BJ2" s="237"/>
      <c r="BK2" s="237"/>
      <c r="BL2" s="237"/>
    </row>
    <row r="3" spans="1:64" s="239" customFormat="1">
      <c r="A3"/>
      <c r="B3" s="240">
        <v>1</v>
      </c>
      <c r="AL3" s="238"/>
      <c r="AM3" s="238"/>
      <c r="AN3" s="238"/>
      <c r="AO3" s="238"/>
      <c r="AQ3" s="238"/>
      <c r="AR3" s="238"/>
      <c r="AS3" s="238"/>
      <c r="AT3" s="238"/>
      <c r="AU3" s="238"/>
      <c r="AV3" s="238"/>
      <c r="AW3" s="238"/>
      <c r="AX3" s="238"/>
      <c r="AY3" s="238"/>
      <c r="AZ3" s="241"/>
      <c r="BA3" s="238"/>
      <c r="BB3" s="238"/>
      <c r="BC3" s="238"/>
      <c r="BD3" s="238"/>
      <c r="BE3" s="238"/>
      <c r="BF3" s="238"/>
      <c r="BG3" s="238"/>
      <c r="BH3" s="238"/>
      <c r="BI3" s="238"/>
      <c r="BJ3" s="238"/>
      <c r="BK3" s="238"/>
      <c r="BL3" s="238"/>
    </row>
    <row r="4" spans="1:64" ht="7.2"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0"/>
      <c r="AW4" s="166"/>
      <c r="BE4" s="7">
        <v>2022</v>
      </c>
      <c r="BF4" s="208" t="s">
        <v>286</v>
      </c>
      <c r="BG4" s="208" t="s">
        <v>289</v>
      </c>
      <c r="BH4" s="208" t="s">
        <v>291</v>
      </c>
      <c r="BI4" s="208" t="s">
        <v>315</v>
      </c>
      <c r="BJ4" s="208">
        <v>2023</v>
      </c>
      <c r="BK4" s="208" t="s">
        <v>321</v>
      </c>
      <c r="BL4" s="208" t="s">
        <v>323</v>
      </c>
    </row>
    <row r="5" spans="1:64" s="183" customFormat="1" ht="18.75" customHeight="1">
      <c r="A5"/>
      <c r="B5" s="198" t="str">
        <f>IF('Sumário | Summary'!P1=1,"Principais Indicadores","Main indicators")</f>
        <v>Principais Indicadores</v>
      </c>
      <c r="C5" s="198" t="s">
        <v>78</v>
      </c>
      <c r="D5" s="198" t="s">
        <v>79</v>
      </c>
      <c r="E5" s="198" t="s">
        <v>80</v>
      </c>
      <c r="F5" s="198" t="s">
        <v>81</v>
      </c>
      <c r="G5" s="198">
        <v>2012</v>
      </c>
      <c r="H5" s="198" t="s">
        <v>77</v>
      </c>
      <c r="I5" s="198" t="s">
        <v>76</v>
      </c>
      <c r="J5" s="198" t="s">
        <v>75</v>
      </c>
      <c r="K5" s="198" t="s">
        <v>74</v>
      </c>
      <c r="L5" s="198">
        <v>2013</v>
      </c>
      <c r="M5" s="198" t="s">
        <v>73</v>
      </c>
      <c r="N5" s="198" t="s">
        <v>72</v>
      </c>
      <c r="O5" s="198" t="s">
        <v>71</v>
      </c>
      <c r="P5" s="198" t="s">
        <v>70</v>
      </c>
      <c r="Q5" s="198">
        <v>2014</v>
      </c>
      <c r="R5" s="198" t="s">
        <v>69</v>
      </c>
      <c r="S5" s="198" t="s">
        <v>68</v>
      </c>
      <c r="T5" s="198" t="s">
        <v>67</v>
      </c>
      <c r="U5" s="198" t="s">
        <v>66</v>
      </c>
      <c r="V5" s="198">
        <v>2015</v>
      </c>
      <c r="W5" s="198" t="s">
        <v>59</v>
      </c>
      <c r="X5" s="198" t="s">
        <v>60</v>
      </c>
      <c r="Y5" s="198" t="s">
        <v>61</v>
      </c>
      <c r="Z5" s="199" t="s">
        <v>62</v>
      </c>
      <c r="AA5" s="198">
        <v>2016</v>
      </c>
      <c r="AB5" s="199" t="s">
        <v>55</v>
      </c>
      <c r="AC5" s="199" t="s">
        <v>56</v>
      </c>
      <c r="AD5" s="199" t="s">
        <v>57</v>
      </c>
      <c r="AE5" s="199" t="s">
        <v>58</v>
      </c>
      <c r="AF5" s="199">
        <v>2017</v>
      </c>
      <c r="AG5" s="199" t="s">
        <v>54</v>
      </c>
      <c r="AH5" s="199" t="s">
        <v>53</v>
      </c>
      <c r="AI5" s="199" t="s">
        <v>52</v>
      </c>
      <c r="AJ5" s="199" t="s">
        <v>51</v>
      </c>
      <c r="AK5" s="199">
        <v>2018</v>
      </c>
      <c r="AL5" s="199" t="s">
        <v>43</v>
      </c>
      <c r="AM5" s="199" t="s">
        <v>44</v>
      </c>
      <c r="AN5" s="199" t="s">
        <v>46</v>
      </c>
      <c r="AO5" s="199" t="s">
        <v>47</v>
      </c>
      <c r="AP5" s="207" t="s">
        <v>284</v>
      </c>
      <c r="AQ5" s="199" t="s">
        <v>50</v>
      </c>
      <c r="AR5" s="199" t="s">
        <v>63</v>
      </c>
      <c r="AS5" s="199" t="s">
        <v>64</v>
      </c>
      <c r="AT5" s="199" t="s">
        <v>65</v>
      </c>
      <c r="AU5" s="207" t="s">
        <v>283</v>
      </c>
      <c r="AV5" s="199" t="s">
        <v>98</v>
      </c>
      <c r="AW5" s="199" t="s">
        <v>99</v>
      </c>
      <c r="AX5" s="199" t="s">
        <v>114</v>
      </c>
      <c r="AY5" s="199" t="s">
        <v>115</v>
      </c>
      <c r="AZ5" s="207" t="s">
        <v>282</v>
      </c>
      <c r="BA5" s="199" t="s">
        <v>126</v>
      </c>
      <c r="BB5" s="199" t="s">
        <v>267</v>
      </c>
      <c r="BC5" s="199" t="s">
        <v>268</v>
      </c>
      <c r="BD5" s="207" t="s">
        <v>274</v>
      </c>
      <c r="BE5" s="207" t="s">
        <v>275</v>
      </c>
      <c r="BF5" s="207" t="s">
        <v>286</v>
      </c>
      <c r="BG5" s="207" t="s">
        <v>289</v>
      </c>
      <c r="BH5" s="207" t="s">
        <v>291</v>
      </c>
      <c r="BI5" s="207" t="s">
        <v>315</v>
      </c>
      <c r="BJ5" s="207" t="s">
        <v>316</v>
      </c>
      <c r="BK5" s="207" t="s">
        <v>321</v>
      </c>
      <c r="BL5" s="207" t="s">
        <v>323</v>
      </c>
    </row>
    <row r="6" spans="1:64" s="1" customFormat="1" ht="18.75" customHeight="1">
      <c r="A6"/>
      <c r="B6" s="60" t="str">
        <f>IF('Sumário | Summary'!P1=1,"Indicadores Financeiros IFRS","IFRS Financial Indicators")</f>
        <v>Indicadores Financeiros IFRS</v>
      </c>
      <c r="C6" s="26"/>
      <c r="D6" s="60"/>
      <c r="E6" s="26"/>
      <c r="F6" s="60"/>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121"/>
      <c r="AM6" s="26"/>
      <c r="AN6" s="61"/>
      <c r="AO6" s="61"/>
      <c r="AP6" s="61"/>
      <c r="AQ6" s="61"/>
      <c r="AR6" s="61"/>
      <c r="AS6" s="61"/>
      <c r="AT6" s="61"/>
      <c r="AU6" s="147"/>
      <c r="AV6" s="147"/>
      <c r="AW6" s="147"/>
      <c r="AX6" s="147"/>
      <c r="AY6" s="147"/>
      <c r="AZ6" s="147"/>
      <c r="BA6" s="147"/>
      <c r="BB6" s="147"/>
      <c r="BC6" s="147"/>
      <c r="BD6" s="147"/>
      <c r="BE6" s="147"/>
      <c r="BF6" s="147"/>
      <c r="BG6" s="147"/>
      <c r="BH6" s="147"/>
      <c r="BI6" s="147"/>
      <c r="BJ6" s="147"/>
      <c r="BK6" s="147"/>
      <c r="BL6" s="147"/>
    </row>
    <row r="7" spans="1:64" s="1" customFormat="1" ht="15" customHeight="1">
      <c r="A7" t="s">
        <v>127</v>
      </c>
      <c r="B7" s="9" t="str">
        <f>IF('Sumário | Summary'!P1=1,"Receita Bruta (R mil)","Gross Revenue (R 000')")</f>
        <v>Receita Bruta (R mil)</v>
      </c>
      <c r="C7" s="76">
        <v>51413</v>
      </c>
      <c r="D7" s="76">
        <v>95260.668163717302</v>
      </c>
      <c r="E7" s="76">
        <v>61805.000000000007</v>
      </c>
      <c r="F7" s="76">
        <v>176715.37758555313</v>
      </c>
      <c r="G7" s="76">
        <v>385194.04574927042</v>
      </c>
      <c r="H7" s="76">
        <v>72182</v>
      </c>
      <c r="I7" s="76">
        <v>92830.000000000015</v>
      </c>
      <c r="J7" s="76">
        <v>86338.000000000015</v>
      </c>
      <c r="K7" s="76">
        <v>83233.590599999996</v>
      </c>
      <c r="L7" s="76">
        <v>334583.5906</v>
      </c>
      <c r="M7" s="76">
        <v>97687.000000000015</v>
      </c>
      <c r="N7" s="76">
        <v>86736</v>
      </c>
      <c r="O7" s="76">
        <v>120824.00000000001</v>
      </c>
      <c r="P7" s="76">
        <v>95583</v>
      </c>
      <c r="Q7" s="76">
        <v>400830</v>
      </c>
      <c r="R7" s="76">
        <v>87723</v>
      </c>
      <c r="S7" s="76">
        <v>95332</v>
      </c>
      <c r="T7" s="76">
        <v>114430</v>
      </c>
      <c r="U7" s="76">
        <v>111012.70880300002</v>
      </c>
      <c r="V7" s="76">
        <v>408497.70880299999</v>
      </c>
      <c r="W7" s="76">
        <v>99500.907622903789</v>
      </c>
      <c r="X7" s="76">
        <v>96757.999999999985</v>
      </c>
      <c r="Y7" s="76">
        <v>131274</v>
      </c>
      <c r="Z7" s="76">
        <v>121823</v>
      </c>
      <c r="AA7" s="76">
        <v>449355.90762290382</v>
      </c>
      <c r="AB7" s="76">
        <v>103931</v>
      </c>
      <c r="AC7" s="76">
        <v>114249</v>
      </c>
      <c r="AD7" s="76">
        <v>138060</v>
      </c>
      <c r="AE7" s="76">
        <v>118570.66837000003</v>
      </c>
      <c r="AF7" s="76">
        <v>474811.46158220875</v>
      </c>
      <c r="AG7" s="76">
        <v>110682.18310000001</v>
      </c>
      <c r="AH7" s="76">
        <v>174347.44369999997</v>
      </c>
      <c r="AI7" s="76">
        <v>118294.93011000002</v>
      </c>
      <c r="AJ7" s="76">
        <v>121244.84946</v>
      </c>
      <c r="AK7" s="76">
        <v>524569.40636999998</v>
      </c>
      <c r="AL7" s="122">
        <v>117686.33080000001</v>
      </c>
      <c r="AM7" s="76">
        <v>122077.61378</v>
      </c>
      <c r="AN7" s="79">
        <v>123392.79361999998</v>
      </c>
      <c r="AO7" s="79">
        <v>136614.00153000001</v>
      </c>
      <c r="AP7" s="171">
        <v>499770.73973000003</v>
      </c>
      <c r="AQ7" s="79">
        <v>136574.48824999999</v>
      </c>
      <c r="AR7" s="79">
        <v>102828.25524157073</v>
      </c>
      <c r="AS7" s="79">
        <v>152621.40886842928</v>
      </c>
      <c r="AT7" s="79">
        <v>137199.40855668671</v>
      </c>
      <c r="AU7" s="171">
        <v>529223.56091668666</v>
      </c>
      <c r="AV7" s="171">
        <v>131899.57053</v>
      </c>
      <c r="AW7" s="171">
        <v>132161.84333227499</v>
      </c>
      <c r="AX7" s="171">
        <v>140056.03486999997</v>
      </c>
      <c r="AY7" s="172">
        <v>2037258.0342724368</v>
      </c>
      <c r="AZ7" s="171">
        <v>2441375.4830047116</v>
      </c>
      <c r="BA7" s="171">
        <v>176382.61993444801</v>
      </c>
      <c r="BB7" s="172">
        <v>128153.737171142</v>
      </c>
      <c r="BC7" s="171">
        <v>128461.11733990995</v>
      </c>
      <c r="BD7" s="171">
        <v>142799.57443843904</v>
      </c>
      <c r="BE7" s="171">
        <v>575797.04888393893</v>
      </c>
      <c r="BF7" s="171">
        <v>118787.59779005199</v>
      </c>
      <c r="BG7" s="171">
        <v>119258.34112362798</v>
      </c>
      <c r="BH7" s="171">
        <v>120698.67275587999</v>
      </c>
      <c r="BI7" s="171">
        <v>129979.36749409902</v>
      </c>
      <c r="BJ7" s="171">
        <v>488723.97916365898</v>
      </c>
      <c r="BK7" s="171">
        <v>123032.084700028</v>
      </c>
      <c r="BL7" s="171">
        <v>1132577.200332012</v>
      </c>
    </row>
    <row r="8" spans="1:64" s="1" customFormat="1" ht="15" customHeight="1">
      <c r="A8" t="s">
        <v>100</v>
      </c>
      <c r="B8" s="9" t="str">
        <f>IF('Sumário | Summary'!P1=1,"Receita Líquida (R mil)","Net Revenue (R 000')")</f>
        <v>Receita Líquida (R mil)</v>
      </c>
      <c r="C8" s="76">
        <v>49503</v>
      </c>
      <c r="D8" s="76">
        <v>92120.126433717305</v>
      </c>
      <c r="E8" s="76">
        <v>60126.000000000007</v>
      </c>
      <c r="F8" s="76">
        <v>171090.53258555313</v>
      </c>
      <c r="G8" s="76">
        <v>372839.65901927039</v>
      </c>
      <c r="H8" s="76">
        <v>70181</v>
      </c>
      <c r="I8" s="76">
        <v>88540</v>
      </c>
      <c r="J8" s="76">
        <v>83271.000000000015</v>
      </c>
      <c r="K8" s="76">
        <v>80301.782599999991</v>
      </c>
      <c r="L8" s="76">
        <v>322293.78259999998</v>
      </c>
      <c r="M8" s="76">
        <v>94351.000000000015</v>
      </c>
      <c r="N8" s="76">
        <v>82742</v>
      </c>
      <c r="O8" s="76">
        <v>115487.00000000001</v>
      </c>
      <c r="P8" s="76">
        <v>89281</v>
      </c>
      <c r="Q8" s="76">
        <v>381861</v>
      </c>
      <c r="R8" s="76">
        <v>82368</v>
      </c>
      <c r="S8" s="76">
        <v>90883.999999999985</v>
      </c>
      <c r="T8" s="76">
        <v>105330.00000000001</v>
      </c>
      <c r="U8" s="76">
        <v>105699.708803</v>
      </c>
      <c r="V8" s="76">
        <v>384281.70880299999</v>
      </c>
      <c r="W8" s="76">
        <v>92780.907622903804</v>
      </c>
      <c r="X8" s="76">
        <v>90271.999999999971</v>
      </c>
      <c r="Y8" s="76">
        <v>123914</v>
      </c>
      <c r="Z8" s="76">
        <v>114285</v>
      </c>
      <c r="AA8" s="76">
        <v>421249</v>
      </c>
      <c r="AB8" s="76">
        <v>98078</v>
      </c>
      <c r="AC8" s="76">
        <v>106908.99999999999</v>
      </c>
      <c r="AD8" s="76">
        <v>130561</v>
      </c>
      <c r="AE8" s="76">
        <v>110723.66837000003</v>
      </c>
      <c r="AF8" s="76">
        <v>446272.46158220875</v>
      </c>
      <c r="AG8" s="76">
        <v>104534.18310000001</v>
      </c>
      <c r="AH8" s="76">
        <v>165931.44369999997</v>
      </c>
      <c r="AI8" s="76">
        <v>107745.93011000002</v>
      </c>
      <c r="AJ8" s="76">
        <v>111555.84946</v>
      </c>
      <c r="AK8" s="76">
        <v>489767.40636999998</v>
      </c>
      <c r="AL8" s="122">
        <v>112317.33080000001</v>
      </c>
      <c r="AM8" s="76">
        <v>114351.61378</v>
      </c>
      <c r="AN8" s="79">
        <v>115682.79361999998</v>
      </c>
      <c r="AO8" s="79">
        <v>128474.00153000001</v>
      </c>
      <c r="AP8" s="171">
        <v>470825.73973000003</v>
      </c>
      <c r="AQ8" s="79">
        <v>129901.48824999999</v>
      </c>
      <c r="AR8" s="79">
        <v>93057.255241570732</v>
      </c>
      <c r="AS8" s="79">
        <v>140270.40886842928</v>
      </c>
      <c r="AT8" s="171">
        <v>123095</v>
      </c>
      <c r="AU8" s="171">
        <v>486324.15236000001</v>
      </c>
      <c r="AV8" s="171">
        <v>118402.57053</v>
      </c>
      <c r="AW8" s="171">
        <v>112836.35893447747</v>
      </c>
      <c r="AX8" s="171">
        <v>124620.92497828401</v>
      </c>
      <c r="AY8" s="172">
        <v>1950251.9637402343</v>
      </c>
      <c r="AZ8" s="171">
        <v>2306111.8181829955</v>
      </c>
      <c r="BA8" s="171">
        <v>153316.65650444801</v>
      </c>
      <c r="BB8" s="172">
        <v>100578.730821142</v>
      </c>
      <c r="BC8" s="171">
        <v>105461.84669991001</v>
      </c>
      <c r="BD8" s="171">
        <v>115141.33222088823</v>
      </c>
      <c r="BE8" s="171">
        <v>474498.56624638825</v>
      </c>
      <c r="BF8" s="171">
        <v>99249.968710051995</v>
      </c>
      <c r="BG8" s="171">
        <v>103972.002553628</v>
      </c>
      <c r="BH8" s="171">
        <v>105909.25096588003</v>
      </c>
      <c r="BI8" s="171">
        <v>115576.31568409898</v>
      </c>
      <c r="BJ8" s="171">
        <v>424707.53791365901</v>
      </c>
      <c r="BK8" s="171">
        <v>112406.98021002801</v>
      </c>
      <c r="BL8" s="171">
        <v>1081428.9709220119</v>
      </c>
    </row>
    <row r="9" spans="1:64" s="72" customFormat="1" ht="15" customHeight="1">
      <c r="A9" t="s">
        <v>290</v>
      </c>
      <c r="B9" s="8" t="str">
        <f>IF('Sumário | Summary'!P1=1,"NOI (R mil)","NOI (R 000')")</f>
        <v>NOI (R mil)</v>
      </c>
      <c r="C9" s="73">
        <v>45900</v>
      </c>
      <c r="D9" s="73">
        <v>45600</v>
      </c>
      <c r="E9" s="73">
        <v>40900</v>
      </c>
      <c r="F9" s="73">
        <v>50900</v>
      </c>
      <c r="G9" s="73">
        <v>171600</v>
      </c>
      <c r="H9" s="73">
        <v>49272.870370000004</v>
      </c>
      <c r="I9" s="73">
        <v>49062.832999999999</v>
      </c>
      <c r="J9" s="73">
        <v>49746</v>
      </c>
      <c r="K9" s="73">
        <v>53041.78480999999</v>
      </c>
      <c r="L9" s="73">
        <v>201124</v>
      </c>
      <c r="M9" s="73">
        <v>56102.782200000009</v>
      </c>
      <c r="N9" s="73">
        <v>54193.425809999993</v>
      </c>
      <c r="O9" s="73">
        <v>58473.716220000002</v>
      </c>
      <c r="P9" s="73">
        <v>58124.35482000003</v>
      </c>
      <c r="Q9" s="73">
        <v>227541.74601999999</v>
      </c>
      <c r="R9" s="73">
        <v>57146.002190000014</v>
      </c>
      <c r="S9" s="73">
        <v>65243.15187999999</v>
      </c>
      <c r="T9" s="73">
        <v>65743.381359999999</v>
      </c>
      <c r="U9" s="73">
        <v>74943.499300000025</v>
      </c>
      <c r="V9" s="73">
        <v>263075.89814999996</v>
      </c>
      <c r="W9" s="73">
        <v>66029.006682903841</v>
      </c>
      <c r="X9" s="73">
        <v>63315.112810000006</v>
      </c>
      <c r="Y9" s="73">
        <v>72943.689599999983</v>
      </c>
      <c r="Z9" s="73">
        <v>58625.444700000007</v>
      </c>
      <c r="AA9" s="73">
        <v>260913.15574290379</v>
      </c>
      <c r="AB9" s="73">
        <v>68415.653960492025</v>
      </c>
      <c r="AC9" s="73">
        <v>79858.232385516661</v>
      </c>
      <c r="AD9" s="73">
        <v>72220.861395349988</v>
      </c>
      <c r="AE9" s="73">
        <v>76708.697625350032</v>
      </c>
      <c r="AF9" s="73">
        <v>297134.45413670875</v>
      </c>
      <c r="AG9" s="73">
        <v>75852.541129999998</v>
      </c>
      <c r="AH9" s="73">
        <v>77643.212779999987</v>
      </c>
      <c r="AI9" s="73">
        <v>83170.547835070931</v>
      </c>
      <c r="AJ9" s="73">
        <v>84864.160279999996</v>
      </c>
      <c r="AK9" s="73">
        <v>321530.46202507091</v>
      </c>
      <c r="AL9" s="75">
        <v>83670.249850000007</v>
      </c>
      <c r="AM9" s="73">
        <v>84647.447060000006</v>
      </c>
      <c r="AN9" s="75">
        <v>86742.566104335914</v>
      </c>
      <c r="AO9" s="75">
        <v>88266.953598733351</v>
      </c>
      <c r="AP9" s="173">
        <v>343327.21661306929</v>
      </c>
      <c r="AQ9" s="75">
        <v>100728.64113304051</v>
      </c>
      <c r="AR9" s="75">
        <v>75653.375726959493</v>
      </c>
      <c r="AS9" s="75">
        <v>82236.661300000007</v>
      </c>
      <c r="AT9" s="75">
        <v>88181.99259668673</v>
      </c>
      <c r="AU9" s="173">
        <v>346800.67075668671</v>
      </c>
      <c r="AV9" s="173">
        <v>92688.039829999994</v>
      </c>
      <c r="AW9" s="173">
        <v>85895.953782202487</v>
      </c>
      <c r="AX9" s="173">
        <v>94245.327209999989</v>
      </c>
      <c r="AY9" s="173">
        <v>101109.2607440904</v>
      </c>
      <c r="AZ9" s="173">
        <v>373938.58156629291</v>
      </c>
      <c r="BA9" s="173">
        <v>69514.800140000007</v>
      </c>
      <c r="BB9" s="176">
        <v>66684.929789999995</v>
      </c>
      <c r="BC9" s="173">
        <v>66980.070300000021</v>
      </c>
      <c r="BD9" s="173">
        <v>75312.396942449181</v>
      </c>
      <c r="BE9" s="173">
        <v>278492.1971724492</v>
      </c>
      <c r="BF9" s="173">
        <v>62164.474389999996</v>
      </c>
      <c r="BG9" s="173">
        <v>66585.400049999997</v>
      </c>
      <c r="BH9" s="173">
        <v>71877.737870000012</v>
      </c>
      <c r="BI9" s="173">
        <v>76843.342780000006</v>
      </c>
      <c r="BJ9" s="173">
        <v>277470.95509</v>
      </c>
      <c r="BK9" s="173">
        <v>75230.586329999991</v>
      </c>
      <c r="BL9" s="173">
        <v>62652.973809999996</v>
      </c>
    </row>
    <row r="10" spans="1:64" s="97" customFormat="1" ht="15" customHeight="1">
      <c r="A10" t="s">
        <v>292</v>
      </c>
      <c r="B10" s="9" t="str">
        <f>IF('Sumário | Summary'!P1=1,"Margem NOI (%)","NOI Margin (%)")</f>
        <v>Margem NOI (%)</v>
      </c>
      <c r="C10" s="174">
        <v>1.1022790038663819</v>
      </c>
      <c r="D10" s="174">
        <v>1.0599709561106256</v>
      </c>
      <c r="E10" s="174">
        <v>0.95869860766021275</v>
      </c>
      <c r="F10" s="174">
        <v>0.95255463786332184</v>
      </c>
      <c r="G10" s="174">
        <v>0.94933399125241769</v>
      </c>
      <c r="H10" s="174">
        <v>0.95491909474989822</v>
      </c>
      <c r="I10" s="174">
        <v>0.95465983694277423</v>
      </c>
      <c r="J10" s="174">
        <v>0.95927340043966203</v>
      </c>
      <c r="K10" s="174">
        <v>0.96349242248090683</v>
      </c>
      <c r="L10" s="174">
        <v>0.95818237952826646</v>
      </c>
      <c r="M10" s="174">
        <v>0.86566344489191327</v>
      </c>
      <c r="N10" s="174">
        <v>0.83328350159911413</v>
      </c>
      <c r="O10" s="174">
        <v>0.86021119542191371</v>
      </c>
      <c r="P10" s="174">
        <v>0.7595869737719062</v>
      </c>
      <c r="Q10" s="174">
        <v>0.82940908070947938</v>
      </c>
      <c r="R10" s="174">
        <v>0.84685836084765864</v>
      </c>
      <c r="S10" s="174">
        <v>0.85183836064289531</v>
      </c>
      <c r="T10" s="174">
        <v>0.83856353775510195</v>
      </c>
      <c r="U10" s="174">
        <v>0.84614017172994915</v>
      </c>
      <c r="V10" s="174">
        <v>0.84578892885149737</v>
      </c>
      <c r="W10" s="174">
        <v>0.80700868570592743</v>
      </c>
      <c r="X10" s="174">
        <v>0.79990793539095184</v>
      </c>
      <c r="Y10" s="174">
        <v>0.91286874077040503</v>
      </c>
      <c r="Z10" s="174">
        <v>0.80852645464700945</v>
      </c>
      <c r="AA10" s="174">
        <v>0.83255776794410696</v>
      </c>
      <c r="AB10" s="174">
        <v>0.81825161412825942</v>
      </c>
      <c r="AC10" s="174">
        <v>0.86081957944935505</v>
      </c>
      <c r="AD10" s="174">
        <v>0.84554882038272849</v>
      </c>
      <c r="AE10" s="174">
        <v>0.82408331094601017</v>
      </c>
      <c r="AF10" s="174">
        <v>0.83728275739585678</v>
      </c>
      <c r="AG10" s="174">
        <v>0.8640404488562653</v>
      </c>
      <c r="AH10" s="174">
        <v>0.86881842406804866</v>
      </c>
      <c r="AI10" s="174">
        <v>0.87321891590555978</v>
      </c>
      <c r="AJ10" s="174">
        <v>0.89051495664254821</v>
      </c>
      <c r="AK10" s="174">
        <v>0.87444072765854708</v>
      </c>
      <c r="AL10" s="174">
        <v>0.89560336945297614</v>
      </c>
      <c r="AM10" s="174">
        <v>0.87837153342520558</v>
      </c>
      <c r="AN10" s="174">
        <v>0.89320541264976194</v>
      </c>
      <c r="AO10" s="174">
        <v>0.88967123499477252</v>
      </c>
      <c r="AP10" s="174">
        <v>0.88917522328273058</v>
      </c>
      <c r="AQ10" s="174">
        <v>0.90209744477846232</v>
      </c>
      <c r="AR10" s="174">
        <v>0.79463445095545482</v>
      </c>
      <c r="AS10" s="174">
        <v>0.80701507577807874</v>
      </c>
      <c r="AT10" s="174">
        <v>0.77487610843376808</v>
      </c>
      <c r="AU10" s="174">
        <v>0.82069511878528967</v>
      </c>
      <c r="AV10" s="174">
        <v>0.79773115097338321</v>
      </c>
      <c r="AW10" s="174">
        <v>0.75047766168966101</v>
      </c>
      <c r="AX10" s="174">
        <v>0.7999634953593262</v>
      </c>
      <c r="AY10" s="174">
        <v>0.97716365629708368</v>
      </c>
      <c r="AZ10" s="174">
        <v>0.82742801811289757</v>
      </c>
      <c r="BA10" s="174">
        <v>0.73261519232346306</v>
      </c>
      <c r="BB10" s="174">
        <v>0.68465619329180361</v>
      </c>
      <c r="BC10" s="174">
        <v>0.69254538913082464</v>
      </c>
      <c r="BD10" s="174">
        <v>0.69800868852717735</v>
      </c>
      <c r="BE10" s="174">
        <v>0.70167401851768108</v>
      </c>
      <c r="BF10" s="174">
        <v>0.70959826008638005</v>
      </c>
      <c r="BG10" s="174">
        <v>0.76088044250971043</v>
      </c>
      <c r="BH10" s="174">
        <v>0.82100732391724407</v>
      </c>
      <c r="BI10" s="174">
        <v>0.83171927901396125</v>
      </c>
      <c r="BJ10" s="174">
        <v>0.78148648618332861</v>
      </c>
      <c r="BK10" s="174">
        <v>0.84459404629287105</v>
      </c>
      <c r="BL10" s="174">
        <f>BL9/(INDEX('DRE - IFRS'!$1:$1048576,7,MATCH(BL$5,'DRE - IFRS'!$5:$5,0))+INDEX('DRE - IFRS'!$1:$1048576,8,MATCH(BL$5,'DRE - IFRS'!$5:$5,0))+INDEX('DRE - IFRS'!$1:$1048576,9,MATCH(BL$5,'DRE - IFRS'!$5:$5,0))+INDEX('DRE - IFRS'!$1:$1048576,10,MATCH(BL$5,'DRE - IFRS'!$5:$5,0)))/1000</f>
        <v>0.78580920412954913</v>
      </c>
    </row>
    <row r="11" spans="1:64" s="106" customFormat="1" ht="15" customHeight="1">
      <c r="A11" t="s">
        <v>144</v>
      </c>
      <c r="B11" s="8" t="str">
        <f>IF('Sumário | Summary'!P1=1,"EBITDA (R mil)","EBITDA (R 000')")</f>
        <v>EBITDA (R mil)</v>
      </c>
      <c r="C11" s="74">
        <v>38543</v>
      </c>
      <c r="D11" s="74">
        <v>95530.942910578</v>
      </c>
      <c r="E11" s="74">
        <v>45104</v>
      </c>
      <c r="F11" s="74">
        <v>70762.153999999995</v>
      </c>
      <c r="G11" s="74">
        <v>249940.096910578</v>
      </c>
      <c r="H11" s="74">
        <v>70665</v>
      </c>
      <c r="I11" s="74">
        <v>55160</v>
      </c>
      <c r="J11" s="74">
        <v>55022</v>
      </c>
      <c r="K11" s="74">
        <v>56125.046999999999</v>
      </c>
      <c r="L11" s="74">
        <v>236972.04700000002</v>
      </c>
      <c r="M11" s="74">
        <v>64587</v>
      </c>
      <c r="N11" s="74">
        <v>52973.868369999997</v>
      </c>
      <c r="O11" s="74">
        <v>76925.47895955501</v>
      </c>
      <c r="P11" s="74">
        <v>58139</v>
      </c>
      <c r="Q11" s="74">
        <v>252625.34732955499</v>
      </c>
      <c r="R11" s="74">
        <v>50511</v>
      </c>
      <c r="S11" s="74">
        <v>78606.633955279991</v>
      </c>
      <c r="T11" s="74">
        <v>77249.646920000014</v>
      </c>
      <c r="U11" s="74">
        <v>79539.186653000012</v>
      </c>
      <c r="V11" s="74">
        <v>285906.46752827999</v>
      </c>
      <c r="W11" s="74">
        <v>104474.30345290384</v>
      </c>
      <c r="X11" s="74">
        <v>66534.275289690995</v>
      </c>
      <c r="Y11" s="74">
        <v>71452.066524792972</v>
      </c>
      <c r="Z11" s="74">
        <v>77893.519621044004</v>
      </c>
      <c r="AA11" s="74">
        <v>320354.16488843178</v>
      </c>
      <c r="AB11" s="133">
        <v>58900.032124704005</v>
      </c>
      <c r="AC11" s="74">
        <v>70156.061523644603</v>
      </c>
      <c r="AD11" s="74">
        <v>336072.87250301009</v>
      </c>
      <c r="AE11" s="74">
        <v>59507.97020535003</v>
      </c>
      <c r="AF11" s="74">
        <v>524636.93635670876</v>
      </c>
      <c r="AG11" s="74">
        <v>74931.864249999999</v>
      </c>
      <c r="AH11" s="74">
        <v>97606.565220000004</v>
      </c>
      <c r="AI11" s="74">
        <v>35545.096720000023</v>
      </c>
      <c r="AJ11" s="74">
        <v>51809.351539999989</v>
      </c>
      <c r="AK11" s="74">
        <v>259892.87772999998</v>
      </c>
      <c r="AL11" s="124">
        <v>75966.516340000016</v>
      </c>
      <c r="AM11" s="74">
        <v>53334.103700000007</v>
      </c>
      <c r="AN11" s="124">
        <v>80590.299764335912</v>
      </c>
      <c r="AO11" s="124">
        <v>105860.88135873337</v>
      </c>
      <c r="AP11" s="176">
        <v>315751.80116306932</v>
      </c>
      <c r="AQ11" s="124">
        <v>89369.90338304051</v>
      </c>
      <c r="AR11" s="124">
        <v>48252.473168530225</v>
      </c>
      <c r="AS11" s="124">
        <v>96266.775808429273</v>
      </c>
      <c r="AT11" s="124">
        <v>78741.780326686712</v>
      </c>
      <c r="AU11" s="176">
        <v>312630.93268668675</v>
      </c>
      <c r="AV11" s="176">
        <v>78251.85093324857</v>
      </c>
      <c r="AW11" s="176">
        <v>78843.154156027158</v>
      </c>
      <c r="AX11" s="176">
        <v>94395.934778370371</v>
      </c>
      <c r="AY11" s="176">
        <v>1457206.478504915</v>
      </c>
      <c r="AZ11" s="176">
        <v>1708697.4183725612</v>
      </c>
      <c r="BA11" s="176">
        <v>63282.598827142006</v>
      </c>
      <c r="BB11" s="176">
        <v>48907.732981191992</v>
      </c>
      <c r="BC11" s="176">
        <v>63249.45082197075</v>
      </c>
      <c r="BD11" s="176">
        <v>31717.199863819958</v>
      </c>
      <c r="BE11" s="176">
        <v>207156.98249412471</v>
      </c>
      <c r="BF11" s="176">
        <v>52823.642780871982</v>
      </c>
      <c r="BG11" s="176">
        <v>53870.359985553041</v>
      </c>
      <c r="BH11" s="176">
        <v>63818.315343321708</v>
      </c>
      <c r="BI11" s="176">
        <v>65246.718390001857</v>
      </c>
      <c r="BJ11" s="176">
        <v>235759.03649974859</v>
      </c>
      <c r="BK11" s="176">
        <v>65468.529314357977</v>
      </c>
      <c r="BL11" s="176">
        <v>732286.67035417038</v>
      </c>
    </row>
    <row r="12" spans="1:64" s="1" customFormat="1" ht="15" customHeight="1">
      <c r="A12" t="s">
        <v>293</v>
      </c>
      <c r="B12" s="9" t="str">
        <f>IF('Sumário | Summary'!P1=1,"Margem EBITDA (%)","EBITDA Margin (%)")</f>
        <v>Margem EBITDA (%)</v>
      </c>
      <c r="C12" s="70">
        <v>0.77859927681150642</v>
      </c>
      <c r="D12" s="70">
        <v>1.0370257468037114</v>
      </c>
      <c r="E12" s="70">
        <v>0.75015800153012002</v>
      </c>
      <c r="F12" s="70">
        <v>0.41359479645441904</v>
      </c>
      <c r="G12" s="70">
        <v>0.67036885927862011</v>
      </c>
      <c r="H12" s="70">
        <v>1.0068964534560636</v>
      </c>
      <c r="I12" s="70">
        <v>0.6229952563812966</v>
      </c>
      <c r="J12" s="70">
        <v>0.66075824716888221</v>
      </c>
      <c r="K12" s="70">
        <v>0.69892653914758807</v>
      </c>
      <c r="L12" s="70">
        <v>0.7352671996595942</v>
      </c>
      <c r="M12" s="70">
        <v>0.68453964451887095</v>
      </c>
      <c r="N12" s="70">
        <v>0.64022948889318598</v>
      </c>
      <c r="O12" s="70">
        <v>0.66609643474637836</v>
      </c>
      <c r="P12" s="70">
        <v>0.65119118289445688</v>
      </c>
      <c r="Q12" s="70">
        <v>0.66156362479948194</v>
      </c>
      <c r="R12" s="70">
        <v>0.61323572261072257</v>
      </c>
      <c r="S12" s="70">
        <v>0.86491168913428107</v>
      </c>
      <c r="T12" s="70">
        <v>0.7334059329725624</v>
      </c>
      <c r="U12" s="70">
        <v>0.75250147378591936</v>
      </c>
      <c r="V12" s="70">
        <v>0.74400228004307234</v>
      </c>
      <c r="W12" s="70">
        <v>1.1260323500770908</v>
      </c>
      <c r="X12" s="70">
        <v>0.73704222006481546</v>
      </c>
      <c r="Y12" s="70">
        <v>0.57662626115526072</v>
      </c>
      <c r="Z12" s="70">
        <v>0.68157255651261328</v>
      </c>
      <c r="AA12" s="70">
        <v>0.76048646973270395</v>
      </c>
      <c r="AB12" s="134">
        <v>0.60054275295891035</v>
      </c>
      <c r="AC12" s="70">
        <v>0.65622222192373525</v>
      </c>
      <c r="AD12" s="70">
        <v>2.5740678495340115</v>
      </c>
      <c r="AE12" s="70">
        <v>0.53744579710360629</v>
      </c>
      <c r="AF12" s="70">
        <v>1.1755978276066321</v>
      </c>
      <c r="AG12" s="98">
        <v>0.71681685385457417</v>
      </c>
      <c r="AH12" s="70">
        <v>0.58823429148528539</v>
      </c>
      <c r="AI12" s="70">
        <v>0.32989734910368596</v>
      </c>
      <c r="AJ12" s="70">
        <v>0.46442523445242556</v>
      </c>
      <c r="AK12" s="70">
        <v>0.53064551529927895</v>
      </c>
      <c r="AL12" s="123">
        <v>0.67635614022266288</v>
      </c>
      <c r="AM12" s="70">
        <v>0.46640446896192467</v>
      </c>
      <c r="AN12" s="127">
        <v>0.69664897641616896</v>
      </c>
      <c r="AO12" s="127">
        <v>0.82398679964843902</v>
      </c>
      <c r="AP12" s="174">
        <v>0.67063411049731592</v>
      </c>
      <c r="AQ12" s="127">
        <v>0.68798213620959425</v>
      </c>
      <c r="AR12" s="127">
        <v>0.5185245690222634</v>
      </c>
      <c r="AS12" s="127">
        <v>0.6862942553958441</v>
      </c>
      <c r="AT12" s="127">
        <v>0.63968608525727644</v>
      </c>
      <c r="AU12" s="174">
        <v>0.64284554114013881</v>
      </c>
      <c r="AV12" s="174">
        <v>0.66089553985970284</v>
      </c>
      <c r="AW12" s="174">
        <v>0.69873890739252142</v>
      </c>
      <c r="AX12" s="174">
        <v>0.75747618180713783</v>
      </c>
      <c r="AY12" s="175">
        <v>0.74718882769909056</v>
      </c>
      <c r="AZ12" s="174">
        <v>0.74094300410760561</v>
      </c>
      <c r="BA12" s="174">
        <v>0.41275749334715017</v>
      </c>
      <c r="BB12" s="174">
        <v>0.48626317494664006</v>
      </c>
      <c r="BC12" s="174">
        <v>0.59973775162449083</v>
      </c>
      <c r="BD12" s="174">
        <v>0.27546320032995086</v>
      </c>
      <c r="BE12" s="174">
        <v>0.43658083971228762</v>
      </c>
      <c r="BF12" s="174">
        <v>0.53222830664249898</v>
      </c>
      <c r="BG12" s="174">
        <v>0.51812371275398972</v>
      </c>
      <c r="BH12" s="174">
        <v>0.60257545739683838</v>
      </c>
      <c r="BI12" s="174">
        <v>0.56453364172239762</v>
      </c>
      <c r="BJ12" s="174">
        <v>0.55510914088762242</v>
      </c>
      <c r="BK12" s="174">
        <v>0.58242405580180712</v>
      </c>
      <c r="BL12" s="174">
        <f>BL11/BL8</f>
        <v>0.67714726537225334</v>
      </c>
    </row>
    <row r="13" spans="1:64" s="106" customFormat="1" ht="15" customHeight="1">
      <c r="A13" t="s">
        <v>145</v>
      </c>
      <c r="B13" s="8" t="str">
        <f>IF('Sumário | Summary'!P1=1,"EBITDA Ajustado (R mil)","Adjusted EBITDA (R 000')")</f>
        <v>EBITDA Ajustado (R mil)</v>
      </c>
      <c r="C13" s="74"/>
      <c r="D13" s="74"/>
      <c r="E13" s="74"/>
      <c r="F13" s="74"/>
      <c r="G13" s="74"/>
      <c r="H13" s="74"/>
      <c r="I13" s="74"/>
      <c r="J13" s="74"/>
      <c r="K13" s="74"/>
      <c r="L13" s="74"/>
      <c r="M13" s="74"/>
      <c r="N13" s="74"/>
      <c r="O13" s="74"/>
      <c r="P13" s="74"/>
      <c r="Q13" s="74"/>
      <c r="R13" s="74"/>
      <c r="S13" s="74"/>
      <c r="T13" s="74"/>
      <c r="U13" s="74"/>
      <c r="V13" s="74"/>
      <c r="W13" s="74"/>
      <c r="X13" s="74"/>
      <c r="Y13" s="74"/>
      <c r="Z13" s="133"/>
      <c r="AA13" s="133"/>
      <c r="AB13" s="133">
        <v>71980.063055594044</v>
      </c>
      <c r="AC13" s="74">
        <v>58773.074562754606</v>
      </c>
      <c r="AD13" s="74">
        <v>40924.579533010095</v>
      </c>
      <c r="AE13" s="74">
        <v>61968.97020535003</v>
      </c>
      <c r="AF13" s="74">
        <v>233646.68735670875</v>
      </c>
      <c r="AG13" s="74">
        <v>64320.864249999999</v>
      </c>
      <c r="AH13" s="133">
        <v>54055.165220000003</v>
      </c>
      <c r="AI13" s="74">
        <v>63414.235745070939</v>
      </c>
      <c r="AJ13" s="74">
        <v>67800</v>
      </c>
      <c r="AK13" s="74">
        <v>262799.80165507086</v>
      </c>
      <c r="AL13" s="124">
        <v>77178.79833000002</v>
      </c>
      <c r="AM13" s="74">
        <v>74347.816708960861</v>
      </c>
      <c r="AN13" s="124">
        <v>72361.149755375052</v>
      </c>
      <c r="AO13" s="124">
        <v>75466.162858733369</v>
      </c>
      <c r="AP13" s="176">
        <v>299353.92765306932</v>
      </c>
      <c r="AQ13" s="124">
        <v>90867.184883040507</v>
      </c>
      <c r="AR13" s="124">
        <v>52628.754668530222</v>
      </c>
      <c r="AS13" s="124">
        <v>65468.957308429272</v>
      </c>
      <c r="AT13" s="124">
        <v>81793.06182668671</v>
      </c>
      <c r="AU13" s="176">
        <v>290757.9586866867</v>
      </c>
      <c r="AV13" s="176">
        <v>79613.312520318257</v>
      </c>
      <c r="AW13" s="176">
        <v>79753.267568957468</v>
      </c>
      <c r="AX13" s="176">
        <v>94325.727857744452</v>
      </c>
      <c r="AY13" s="176">
        <v>85391.661764141987</v>
      </c>
      <c r="AZ13" s="176">
        <v>339083.96971116215</v>
      </c>
      <c r="BA13" s="176">
        <v>70807.683826884357</v>
      </c>
      <c r="BB13" s="176">
        <v>76614.623913068746</v>
      </c>
      <c r="BC13" s="176">
        <v>67552.801840836386</v>
      </c>
      <c r="BD13" s="176">
        <v>58733.103834932699</v>
      </c>
      <c r="BE13" s="176">
        <v>273708.21341572219</v>
      </c>
      <c r="BF13" s="176">
        <v>59475.333735051987</v>
      </c>
      <c r="BG13" s="176">
        <v>63840.567506590793</v>
      </c>
      <c r="BH13" s="176">
        <v>67866.893965808151</v>
      </c>
      <c r="BI13" s="176">
        <v>71794.598075842659</v>
      </c>
      <c r="BJ13" s="176">
        <v>262977.39328329358</v>
      </c>
      <c r="BK13" s="176">
        <v>67719.413170079119</v>
      </c>
      <c r="BL13" s="176">
        <v>67341.398590243218</v>
      </c>
    </row>
    <row r="14" spans="1:64" s="72" customFormat="1" ht="15" customHeight="1">
      <c r="A14" t="s">
        <v>273</v>
      </c>
      <c r="B14" s="8" t="str">
        <f>IF('Sumário | Summary'!P1=1,"Lucro/Prejuízo do Período (R mil)","Profit / Loss for the Period (R 000')")</f>
        <v>Lucro/Prejuízo do Período (R mil)</v>
      </c>
      <c r="C14" s="73">
        <v>22895.999999999996</v>
      </c>
      <c r="D14" s="73">
        <v>80374.000675026298</v>
      </c>
      <c r="E14" s="73">
        <v>29214.000000000007</v>
      </c>
      <c r="F14" s="73">
        <v>58082.911585553135</v>
      </c>
      <c r="G14" s="73">
        <v>192028.32534057947</v>
      </c>
      <c r="H14" s="73">
        <v>62585</v>
      </c>
      <c r="I14" s="73">
        <v>47374.000000000007</v>
      </c>
      <c r="J14" s="73">
        <v>48715.000000000015</v>
      </c>
      <c r="K14" s="73">
        <v>32326.123100000004</v>
      </c>
      <c r="L14" s="73">
        <v>191000.1231</v>
      </c>
      <c r="M14" s="73">
        <v>48940.000000000015</v>
      </c>
      <c r="N14" s="73">
        <v>30853</v>
      </c>
      <c r="O14" s="73">
        <v>47289</v>
      </c>
      <c r="P14" s="73">
        <v>21737.000000000004</v>
      </c>
      <c r="Q14" s="73">
        <v>148818.99999999997</v>
      </c>
      <c r="R14" s="73">
        <v>-2728.0000000000105</v>
      </c>
      <c r="S14" s="73">
        <v>24515.999999999985</v>
      </c>
      <c r="T14" s="73">
        <v>18877.000000000007</v>
      </c>
      <c r="U14" s="73">
        <v>11581.70880300002</v>
      </c>
      <c r="V14" s="73">
        <v>52238.354436292488</v>
      </c>
      <c r="W14" s="73">
        <v>14205.907622903798</v>
      </c>
      <c r="X14" s="73">
        <v>126.99999999996514</v>
      </c>
      <c r="Y14" s="73">
        <v>-6702.0000000000055</v>
      </c>
      <c r="Z14" s="73">
        <v>6728.9999999999982</v>
      </c>
      <c r="AA14" s="73">
        <v>14358.000000000062</v>
      </c>
      <c r="AB14" s="133">
        <v>-11963.999999999996</v>
      </c>
      <c r="AC14" s="73">
        <v>-6412.0000000000127</v>
      </c>
      <c r="AD14" s="73">
        <v>236690.00000000003</v>
      </c>
      <c r="AE14" s="73">
        <v>4138.6683700000349</v>
      </c>
      <c r="AF14" s="73">
        <v>222453.46158220872</v>
      </c>
      <c r="AG14" s="74">
        <v>21297.183099999998</v>
      </c>
      <c r="AH14" s="133">
        <v>36210.443699999989</v>
      </c>
      <c r="AI14" s="73">
        <v>-7237.0698899999843</v>
      </c>
      <c r="AJ14" s="73">
        <v>-568.15054000000237</v>
      </c>
      <c r="AK14" s="73">
        <v>49702.406369999982</v>
      </c>
      <c r="AL14" s="75">
        <v>3157.340588118574</v>
      </c>
      <c r="AM14" s="73">
        <v>-17144.556097254343</v>
      </c>
      <c r="AN14" s="75">
        <v>8825.7522550625508</v>
      </c>
      <c r="AO14" s="75">
        <v>37971.244124145553</v>
      </c>
      <c r="AP14" s="173">
        <v>32809.780870072333</v>
      </c>
      <c r="AQ14" s="75">
        <v>16414.601320901565</v>
      </c>
      <c r="AR14" s="75">
        <v>889.88916792137024</v>
      </c>
      <c r="AS14" s="75">
        <v>26703.337970322558</v>
      </c>
      <c r="AT14" s="75">
        <v>6645.6914698955698</v>
      </c>
      <c r="AU14" s="173">
        <v>50653.519929041067</v>
      </c>
      <c r="AV14" s="173">
        <v>7125.3002596523193</v>
      </c>
      <c r="AW14" s="173">
        <v>7129.7784932088225</v>
      </c>
      <c r="AX14" s="173">
        <v>9026.6334493300783</v>
      </c>
      <c r="AY14" s="176">
        <v>1263404.28779781</v>
      </c>
      <c r="AZ14" s="173">
        <v>1286686.0000000012</v>
      </c>
      <c r="BA14" s="173">
        <v>-10920.003484422441</v>
      </c>
      <c r="BB14" s="176">
        <v>-29158.816499032924</v>
      </c>
      <c r="BC14" s="173">
        <v>6853.0141910423536</v>
      </c>
      <c r="BD14" s="173">
        <v>-23775.014184583793</v>
      </c>
      <c r="BE14" s="173">
        <v>-57000.819976996805</v>
      </c>
      <c r="BF14" s="176">
        <v>-14880.684853226481</v>
      </c>
      <c r="BG14" s="176">
        <v>-4134.0334936964136</v>
      </c>
      <c r="BH14" s="176">
        <v>3558.733074041912</v>
      </c>
      <c r="BI14" s="176">
        <v>5414.3253190388859</v>
      </c>
      <c r="BJ14" s="176">
        <v>-10041.659953842096</v>
      </c>
      <c r="BK14" s="176">
        <v>6686.220676127512</v>
      </c>
      <c r="BL14" s="176">
        <v>457107.88668578729</v>
      </c>
    </row>
    <row r="15" spans="1:64" s="97" customFormat="1" ht="15" customHeight="1">
      <c r="A15" t="s">
        <v>295</v>
      </c>
      <c r="B15" s="9" t="str">
        <f>IF('Sumário | Summary'!P1=1,"Margem Líquida (%)","Net Margin (%)")</f>
        <v>Margem Líquida (%)</v>
      </c>
      <c r="C15" s="70">
        <v>0.46251742318647349</v>
      </c>
      <c r="D15" s="70">
        <v>0.87249121105861016</v>
      </c>
      <c r="E15" s="70">
        <v>0.48587965272926859</v>
      </c>
      <c r="F15" s="70">
        <v>0.33948641522001816</v>
      </c>
      <c r="G15" s="70">
        <v>0.51504264821424051</v>
      </c>
      <c r="H15" s="70">
        <v>0.89176557757797703</v>
      </c>
      <c r="I15" s="70">
        <v>0.53505760108425582</v>
      </c>
      <c r="J15" s="70">
        <v>0.5850175931596836</v>
      </c>
      <c r="K15" s="70">
        <v>0.40255797634061496</v>
      </c>
      <c r="L15" s="70">
        <v>0.59262738970379381</v>
      </c>
      <c r="M15" s="70">
        <v>0.5187014446057806</v>
      </c>
      <c r="N15" s="70">
        <v>0.37288197046240118</v>
      </c>
      <c r="O15" s="70">
        <v>0.40947465948548317</v>
      </c>
      <c r="P15" s="70">
        <v>0.24346725507106778</v>
      </c>
      <c r="Q15" s="70">
        <v>0.38972034326626698</v>
      </c>
      <c r="R15" s="70">
        <v>-3.3119658119658245E-2</v>
      </c>
      <c r="S15" s="70">
        <v>0.26975045112451024</v>
      </c>
      <c r="T15" s="70">
        <v>0.17921769676255581</v>
      </c>
      <c r="U15" s="70">
        <v>0.10957181371791351</v>
      </c>
      <c r="V15" s="70">
        <v>0.13593765521395715</v>
      </c>
      <c r="W15" s="70">
        <v>0.15311240196789089</v>
      </c>
      <c r="X15" s="70">
        <v>1.4068592697621097E-3</v>
      </c>
      <c r="Y15" s="70">
        <v>-5.4085898284293984E-2</v>
      </c>
      <c r="Z15" s="70">
        <v>5.8879117994487452E-2</v>
      </c>
      <c r="AA15" s="70">
        <v>3.4084353909445628E-2</v>
      </c>
      <c r="AB15" s="134">
        <v>-0.12198454291482286</v>
      </c>
      <c r="AC15" s="70">
        <v>-5.9976241476395936E-2</v>
      </c>
      <c r="AD15" s="70">
        <v>1.812869080353245</v>
      </c>
      <c r="AE15" s="70">
        <v>3.7378353074159751E-2</v>
      </c>
      <c r="AF15" s="70">
        <v>0.49847006197407978</v>
      </c>
      <c r="AG15" s="98">
        <v>0.20373415153229429</v>
      </c>
      <c r="AH15" s="134">
        <v>0.2182253278376074</v>
      </c>
      <c r="AI15" s="70">
        <v>-6.7167918849570574E-2</v>
      </c>
      <c r="AJ15" s="70">
        <v>-5.0929695103412859E-3</v>
      </c>
      <c r="AK15" s="70">
        <v>0.1014816537882306</v>
      </c>
      <c r="AL15" s="123">
        <v>0.15813526437542449</v>
      </c>
      <c r="AM15" s="123">
        <v>2.6813244681434148E-3</v>
      </c>
      <c r="AN15" s="127">
        <v>0.21874293339701237</v>
      </c>
      <c r="AO15" s="127">
        <v>0.41565609301528855</v>
      </c>
      <c r="AP15" s="174">
        <v>6.9685614233596163E-2</v>
      </c>
      <c r="AQ15" s="127">
        <v>0.27528159016299797</v>
      </c>
      <c r="AR15" s="127">
        <v>0.1122024845291847</v>
      </c>
      <c r="AS15" s="127">
        <v>0.37091507245288524</v>
      </c>
      <c r="AT15" s="174">
        <v>5.3988313659332793E-2</v>
      </c>
      <c r="AU15" s="174">
        <v>0.1041560064117861</v>
      </c>
      <c r="AV15" s="174">
        <v>6.0178501921729639E-2</v>
      </c>
      <c r="AW15" s="174">
        <v>6.3186889053633746E-2</v>
      </c>
      <c r="AX15" s="174">
        <v>0.25689316251111705</v>
      </c>
      <c r="AY15" s="175">
        <v>0.67526970580590717</v>
      </c>
      <c r="AZ15" s="174">
        <v>0.55794605875347003</v>
      </c>
      <c r="BA15" s="174">
        <v>-7.1225160614597868E-2</v>
      </c>
      <c r="BB15" s="174">
        <v>-0.2899103643581038</v>
      </c>
      <c r="BC15" s="174">
        <v>6.498098037807451E-2</v>
      </c>
      <c r="BD15" s="174">
        <v>-0.20648548810407699</v>
      </c>
      <c r="BE15" s="174">
        <v>-0.12012853996148545</v>
      </c>
      <c r="BF15" s="174">
        <v>-0.14993138080172888</v>
      </c>
      <c r="BG15" s="174">
        <v>-3.976102597008372E-2</v>
      </c>
      <c r="BH15" s="174">
        <v>3.3601720733426786E-2</v>
      </c>
      <c r="BI15" s="174">
        <v>4.6846322163770014E-2</v>
      </c>
      <c r="BJ15" s="174">
        <v>-2.3643705508903677E-2</v>
      </c>
      <c r="BK15" s="174">
        <v>5.94822551378444E-2</v>
      </c>
      <c r="BL15" s="174">
        <f>BL14/BL8</f>
        <v>0.42268877473854177</v>
      </c>
    </row>
    <row r="16" spans="1:64" s="72" customFormat="1" ht="15" customHeight="1">
      <c r="A16" t="s">
        <v>146</v>
      </c>
      <c r="B16" s="8" t="str">
        <f>IF('Sumário | Summary'!P1=1,"FFO (R mil)","FFO (R 000')")</f>
        <v>FFO (R mil)</v>
      </c>
      <c r="C16" s="73">
        <v>24403</v>
      </c>
      <c r="D16" s="73">
        <v>81845.942910578</v>
      </c>
      <c r="E16" s="73">
        <v>34204</v>
      </c>
      <c r="F16" s="73">
        <v>58339.153999999995</v>
      </c>
      <c r="G16" s="73">
        <v>198792.096910578</v>
      </c>
      <c r="H16" s="75">
        <v>64506.725023055988</v>
      </c>
      <c r="I16" s="75">
        <v>49320.439360548822</v>
      </c>
      <c r="J16" s="75">
        <v>49228</v>
      </c>
      <c r="K16" s="75">
        <v>33985.046999999999</v>
      </c>
      <c r="L16" s="75">
        <v>197040.04700000002</v>
      </c>
      <c r="M16" s="75">
        <v>50447.794240000017</v>
      </c>
      <c r="N16" s="75">
        <v>33767.868370000004</v>
      </c>
      <c r="O16" s="75">
        <v>49171.478959554996</v>
      </c>
      <c r="P16" s="75">
        <v>23818.9967058484</v>
      </c>
      <c r="Q16" s="75">
        <v>157792.05460540336</v>
      </c>
      <c r="R16" s="75">
        <v>3713.6887780125371</v>
      </c>
      <c r="S16" s="75">
        <v>18814.433955279994</v>
      </c>
      <c r="T16" s="75">
        <v>25975.64692000001</v>
      </c>
      <c r="U16" s="75">
        <v>16473.186653000008</v>
      </c>
      <c r="V16" s="75">
        <v>64976.819726292495</v>
      </c>
      <c r="W16" s="75">
        <v>-10618.696547096162</v>
      </c>
      <c r="X16" s="75">
        <v>3153.2752896909924</v>
      </c>
      <c r="Y16" s="75">
        <v>528.06652479297554</v>
      </c>
      <c r="Z16" s="75">
        <v>16399.519621044004</v>
      </c>
      <c r="AA16" s="73">
        <v>46810.272128431781</v>
      </c>
      <c r="AB16" s="133">
        <v>-2292.9678752959953</v>
      </c>
      <c r="AC16" s="74">
        <v>4851.0615236445992</v>
      </c>
      <c r="AD16" s="74">
        <v>249325.87250301006</v>
      </c>
      <c r="AE16" s="74">
        <v>24135.97020535003</v>
      </c>
      <c r="AF16" s="74">
        <v>276019.93635670876</v>
      </c>
      <c r="AG16" s="74">
        <v>33037.864249999999</v>
      </c>
      <c r="AH16" s="133">
        <v>48360.565220000004</v>
      </c>
      <c r="AI16" s="74">
        <v>3850.0967200000232</v>
      </c>
      <c r="AJ16" s="74">
        <v>11356.351539999985</v>
      </c>
      <c r="AK16" s="74">
        <v>96604.877729999978</v>
      </c>
      <c r="AL16" s="124">
        <v>29723.516340000009</v>
      </c>
      <c r="AM16" s="74">
        <v>9711.1037000000051</v>
      </c>
      <c r="AN16" s="124">
        <v>36242.299764335912</v>
      </c>
      <c r="AO16" s="124">
        <v>65759.881358733372</v>
      </c>
      <c r="AP16" s="176">
        <v>141436.80116306929</v>
      </c>
      <c r="AQ16" s="124">
        <v>52924.90338304051</v>
      </c>
      <c r="AR16" s="124">
        <v>27710.473168530229</v>
      </c>
      <c r="AS16" s="124">
        <v>68488.775808429273</v>
      </c>
      <c r="AT16" s="124">
        <v>47264.780326686712</v>
      </c>
      <c r="AU16" s="176">
        <v>196388.93268668672</v>
      </c>
      <c r="AV16" s="176">
        <v>46985.551065626161</v>
      </c>
      <c r="AW16" s="176">
        <v>44145.71078952423</v>
      </c>
      <c r="AX16" s="176">
        <v>50462.708189999961</v>
      </c>
      <c r="AY16" s="176">
        <v>1337059.5979791398</v>
      </c>
      <c r="AZ16" s="176">
        <v>1478653.5680242903</v>
      </c>
      <c r="BA16" s="176">
        <v>12623.237722637559</v>
      </c>
      <c r="BB16" s="176">
        <v>-5790.2417022959298</v>
      </c>
      <c r="BC16" s="176">
        <v>28136.53775399036</v>
      </c>
      <c r="BD16" s="176">
        <v>-3687.9335346746338</v>
      </c>
      <c r="BE16" s="176">
        <v>31281.600239657357</v>
      </c>
      <c r="BF16" s="176">
        <v>3465.650383789527</v>
      </c>
      <c r="BG16" s="176">
        <v>14164.798757934597</v>
      </c>
      <c r="BH16" s="176">
        <v>24285.139196401258</v>
      </c>
      <c r="BI16" s="176">
        <v>27026.670445789423</v>
      </c>
      <c r="BJ16" s="176">
        <v>68942.258783914804</v>
      </c>
      <c r="BK16" s="176">
        <v>26328.902246793521</v>
      </c>
      <c r="BL16" s="176">
        <v>593631.69833269948</v>
      </c>
    </row>
    <row r="17" spans="1:64" s="1" customFormat="1" ht="15" customHeight="1">
      <c r="A17" t="s">
        <v>294</v>
      </c>
      <c r="B17" s="9" t="str">
        <f>IF('Sumário | Summary'!P1=1,"Margem FFO (%)","FFO Margin (%)")</f>
        <v>Margem FFO (%)</v>
      </c>
      <c r="C17" s="71">
        <v>0.49296002262489141</v>
      </c>
      <c r="D17" s="71">
        <v>0.88846971969223432</v>
      </c>
      <c r="E17" s="71">
        <v>0.56887203539234266</v>
      </c>
      <c r="F17" s="71">
        <v>0.34098411594357353</v>
      </c>
      <c r="G17" s="71">
        <v>0.53318388240534076</v>
      </c>
      <c r="H17" s="71">
        <v>0.91914798910041162</v>
      </c>
      <c r="I17" s="71">
        <v>0.55704133002652834</v>
      </c>
      <c r="J17" s="71">
        <v>0.59117820129456822</v>
      </c>
      <c r="K17" s="71">
        <v>0.42321659494517877</v>
      </c>
      <c r="L17" s="71">
        <v>0.61136781916934202</v>
      </c>
      <c r="M17" s="71">
        <v>0.53468213627836492</v>
      </c>
      <c r="N17" s="71">
        <v>0.40811037163713715</v>
      </c>
      <c r="O17" s="71">
        <v>0.42577501328768597</v>
      </c>
      <c r="P17" s="71">
        <v>0.26678684945115311</v>
      </c>
      <c r="Q17" s="71">
        <v>0.41321856540836421</v>
      </c>
      <c r="R17" s="71">
        <v>4.5086547907106367E-2</v>
      </c>
      <c r="S17" s="71">
        <v>0.20701590989921215</v>
      </c>
      <c r="T17" s="71">
        <v>0.24661204709009785</v>
      </c>
      <c r="U17" s="71">
        <v>0.15584893127475163</v>
      </c>
      <c r="V17" s="71">
        <v>0.16908642341757288</v>
      </c>
      <c r="W17" s="71">
        <v>-0.1144491557493111</v>
      </c>
      <c r="X17" s="71">
        <v>3.4930823396966869E-2</v>
      </c>
      <c r="Y17" s="71">
        <v>4.2615566021028742E-3</v>
      </c>
      <c r="Z17" s="71">
        <v>0.14349669353846967</v>
      </c>
      <c r="AA17" s="71">
        <v>0.11112257151573483</v>
      </c>
      <c r="AB17" s="135">
        <v>-2.3379023586288416E-2</v>
      </c>
      <c r="AC17" s="71">
        <v>4.5375614060973353E-2</v>
      </c>
      <c r="AD17" s="71">
        <v>1.9096504507702152</v>
      </c>
      <c r="AE17" s="71">
        <v>0.21798383815008732</v>
      </c>
      <c r="AF17" s="71">
        <v>0.6185009385927851</v>
      </c>
      <c r="AG17" s="71">
        <v>0.31604842808591282</v>
      </c>
      <c r="AH17" s="135">
        <v>0.29144907162644068</v>
      </c>
      <c r="AI17" s="71">
        <v>3.5733105798700524E-2</v>
      </c>
      <c r="AJ17" s="71">
        <v>0.10179969580234315</v>
      </c>
      <c r="AK17" s="71">
        <v>0.19724644080749382</v>
      </c>
      <c r="AL17" s="105">
        <v>0.26463873498674712</v>
      </c>
      <c r="AM17" s="71">
        <v>8.4923188916975909E-2</v>
      </c>
      <c r="AN17" s="126">
        <v>0.31329032287538144</v>
      </c>
      <c r="AO17" s="126">
        <v>0.51185360910065336</v>
      </c>
      <c r="AP17" s="175">
        <v>0.30040159071204925</v>
      </c>
      <c r="AQ17" s="126">
        <v>0.40742337979365306</v>
      </c>
      <c r="AR17" s="126">
        <v>0.29777875026074646</v>
      </c>
      <c r="AS17" s="126">
        <v>0.48826246648122568</v>
      </c>
      <c r="AT17" s="126">
        <v>0.38397178946532418</v>
      </c>
      <c r="AU17" s="175">
        <v>0.4038236031923006</v>
      </c>
      <c r="AV17" s="175">
        <v>0.39682819980336936</v>
      </c>
      <c r="AW17" s="175">
        <v>0.39123657663536487</v>
      </c>
      <c r="AX17" s="175">
        <v>0.40493254750442981</v>
      </c>
      <c r="AY17" s="175">
        <v>0.68558300303664288</v>
      </c>
      <c r="AZ17" s="175">
        <v>0.6411890162331042</v>
      </c>
      <c r="BA17" s="175">
        <v>8.2334418258536282E-2</v>
      </c>
      <c r="BB17" s="175">
        <v>-5.7569246052554091E-2</v>
      </c>
      <c r="BC17" s="175">
        <v>0.26679352424059505</v>
      </c>
      <c r="BD17" s="175">
        <v>-3.2029623624639562E-2</v>
      </c>
      <c r="BE17" s="175">
        <v>6.5925594859256254E-2</v>
      </c>
      <c r="BF17" s="175">
        <v>3.491840278473083E-2</v>
      </c>
      <c r="BG17" s="175">
        <v>0.13623666381368865</v>
      </c>
      <c r="BH17" s="175">
        <v>0.22930139694997009</v>
      </c>
      <c r="BI17" s="175">
        <v>0.23384263709928726</v>
      </c>
      <c r="BJ17" s="175">
        <v>0.1623287854098093</v>
      </c>
      <c r="BK17" s="175">
        <v>0.23422835661627958</v>
      </c>
      <c r="BL17" s="175">
        <f>BL16/BL8</f>
        <v>0.54893267546418423</v>
      </c>
    </row>
    <row r="18" spans="1:64" s="72" customFormat="1" ht="15" customHeight="1">
      <c r="A18" t="s">
        <v>147</v>
      </c>
      <c r="B18" s="8" t="str">
        <f>IF('Sumário | Summary'!P1=1,"FFO Ajustado (R mil)","Adjusted FFO (R 000')")</f>
        <v>FFO Ajustado (R mil)</v>
      </c>
      <c r="C18" s="73"/>
      <c r="D18" s="73"/>
      <c r="E18" s="73"/>
      <c r="F18" s="73"/>
      <c r="G18" s="73"/>
      <c r="H18" s="75"/>
      <c r="I18" s="75"/>
      <c r="J18" s="75"/>
      <c r="K18" s="75"/>
      <c r="L18" s="75"/>
      <c r="M18" s="75"/>
      <c r="N18" s="75"/>
      <c r="O18" s="75"/>
      <c r="P18" s="75"/>
      <c r="Q18" s="75"/>
      <c r="R18" s="75"/>
      <c r="S18" s="75"/>
      <c r="T18" s="75"/>
      <c r="U18" s="75"/>
      <c r="V18" s="75"/>
      <c r="W18" s="75"/>
      <c r="X18" s="75"/>
      <c r="Y18" s="75"/>
      <c r="Z18" s="136"/>
      <c r="AA18" s="133"/>
      <c r="AB18" s="133">
        <v>5359.9951704820633</v>
      </c>
      <c r="AC18" s="74">
        <v>-4523.5612121334007</v>
      </c>
      <c r="AD18" s="74">
        <v>-12170.535806989934</v>
      </c>
      <c r="AE18" s="74">
        <v>27932.913265350027</v>
      </c>
      <c r="AF18" s="74">
        <v>16598.811416708755</v>
      </c>
      <c r="AG18" s="74">
        <v>23176.934539999998</v>
      </c>
      <c r="AH18" s="133">
        <v>14336.267220000005</v>
      </c>
      <c r="AI18" s="74">
        <v>31719.235745070939</v>
      </c>
      <c r="AJ18" s="74">
        <v>27346.536439999985</v>
      </c>
      <c r="AK18" s="74">
        <v>101433.7216550709</v>
      </c>
      <c r="AL18" s="124">
        <v>30935.798330000009</v>
      </c>
      <c r="AM18" s="74">
        <v>30724.385200000008</v>
      </c>
      <c r="AN18" s="124">
        <v>28014.547592168645</v>
      </c>
      <c r="AO18" s="124">
        <v>35365.162858733369</v>
      </c>
      <c r="AP18" s="176">
        <v>125039.89398090202</v>
      </c>
      <c r="AQ18" s="124">
        <v>54422.184883040507</v>
      </c>
      <c r="AR18" s="124">
        <v>32086.75466853023</v>
      </c>
      <c r="AS18" s="124">
        <v>38818.23730842927</v>
      </c>
      <c r="AT18" s="124">
        <v>50316.06182668671</v>
      </c>
      <c r="AU18" s="176">
        <v>175643.23868668673</v>
      </c>
      <c r="AV18" s="176">
        <v>48347.012652695848</v>
      </c>
      <c r="AW18" s="176">
        <v>45055.824202454547</v>
      </c>
      <c r="AX18" s="176">
        <v>50392.805784101336</v>
      </c>
      <c r="AY18" s="176">
        <v>27760.675337402397</v>
      </c>
      <c r="AZ18" s="176">
        <v>171556.3179766541</v>
      </c>
      <c r="BA18" s="176">
        <v>20148.322722379897</v>
      </c>
      <c r="BB18" s="176">
        <v>21916.649229580824</v>
      </c>
      <c r="BC18" s="176">
        <v>27480.312922856006</v>
      </c>
      <c r="BD18" s="176">
        <v>23327.970436438121</v>
      </c>
      <c r="BE18" s="176">
        <v>92873.255311254834</v>
      </c>
      <c r="BF18" s="176">
        <v>10117.341337969536</v>
      </c>
      <c r="BG18" s="176">
        <v>24135.006278972345</v>
      </c>
      <c r="BH18" s="176">
        <v>28333.717818887657</v>
      </c>
      <c r="BI18" s="176">
        <v>33574.550131630262</v>
      </c>
      <c r="BJ18" s="176">
        <v>96160.615567459798</v>
      </c>
      <c r="BK18" s="176">
        <v>28579.78610251467</v>
      </c>
      <c r="BL18" s="176">
        <v>-71313.57343122772</v>
      </c>
    </row>
    <row r="19" spans="1:64" s="1" customFormat="1" ht="15" customHeight="1">
      <c r="A19"/>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P19" s="177"/>
      <c r="AU19" s="177"/>
      <c r="AV19" s="177"/>
      <c r="AW19" s="177"/>
      <c r="AX19" s="177"/>
      <c r="AY19" s="177"/>
      <c r="AZ19" s="177"/>
      <c r="BA19" s="177"/>
      <c r="BB19" s="177"/>
      <c r="BC19" s="177"/>
      <c r="BD19" s="177"/>
      <c r="BE19" s="177"/>
      <c r="BF19" s="177"/>
      <c r="BG19" s="177"/>
      <c r="BH19" s="177"/>
      <c r="BI19" s="177"/>
      <c r="BJ19" s="177"/>
      <c r="BK19" s="177"/>
      <c r="BL19" s="177"/>
    </row>
    <row r="20" spans="1:64" s="1" customFormat="1" ht="18.75" customHeight="1">
      <c r="A20"/>
      <c r="B20" s="60" t="str">
        <f>IF('Sumário | Summary'!P1=1,"Indicadores Financeiros Proforma","Proforma Financial Indicators")</f>
        <v>Indicadores Financeiros Proforma</v>
      </c>
      <c r="C20" s="26"/>
      <c r="D20" s="60"/>
      <c r="E20" s="26"/>
      <c r="F20" s="60"/>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121"/>
      <c r="AM20" s="26"/>
      <c r="AN20" s="61"/>
      <c r="AO20" s="61"/>
      <c r="AP20" s="147"/>
      <c r="AQ20" s="61"/>
      <c r="AR20" s="61"/>
      <c r="AS20" s="61"/>
      <c r="AT20" s="61"/>
      <c r="AU20" s="147"/>
      <c r="AV20" s="147"/>
      <c r="AW20" s="147"/>
      <c r="AX20" s="147"/>
      <c r="AY20" s="147"/>
      <c r="AZ20" s="147"/>
      <c r="BA20" s="147"/>
      <c r="BB20" s="147"/>
      <c r="BC20" s="147"/>
      <c r="BD20" s="147"/>
      <c r="BE20" s="147"/>
      <c r="BF20" s="147"/>
      <c r="BG20" s="234"/>
      <c r="BH20" s="147"/>
      <c r="BI20" s="147"/>
      <c r="BJ20" s="147"/>
      <c r="BK20" s="147"/>
      <c r="BL20" s="147"/>
    </row>
    <row r="21" spans="1:64" s="91" customFormat="1" ht="15" customHeight="1">
      <c r="A21" t="s">
        <v>127</v>
      </c>
      <c r="B21" s="9" t="s">
        <v>301</v>
      </c>
      <c r="C21" s="79"/>
      <c r="D21" s="79"/>
      <c r="E21" s="79"/>
      <c r="F21" s="79"/>
      <c r="G21" s="79"/>
      <c r="H21" s="79"/>
      <c r="I21" s="79"/>
      <c r="J21" s="79"/>
      <c r="K21" s="79"/>
      <c r="L21" s="79"/>
      <c r="M21" s="79"/>
      <c r="N21" s="79"/>
      <c r="O21" s="79"/>
      <c r="P21" s="79"/>
      <c r="Q21" s="79"/>
      <c r="R21" s="79"/>
      <c r="S21" s="79"/>
      <c r="T21" s="79"/>
      <c r="U21" s="79"/>
      <c r="V21" s="79"/>
      <c r="W21" s="79">
        <v>107786.57109577887</v>
      </c>
      <c r="X21" s="79">
        <v>104722.99185141042</v>
      </c>
      <c r="Y21" s="79">
        <v>139723.33832627226</v>
      </c>
      <c r="Z21" s="79">
        <v>137164.53984149423</v>
      </c>
      <c r="AA21" s="79">
        <v>489397.44111495576</v>
      </c>
      <c r="AB21" s="79">
        <v>100132.05042850235</v>
      </c>
      <c r="AC21" s="79">
        <v>109373.66391263639</v>
      </c>
      <c r="AD21" s="79">
        <v>99060.34262000458</v>
      </c>
      <c r="AE21" s="79">
        <v>92322.893939813381</v>
      </c>
      <c r="AF21" s="79">
        <v>400888.9509009567</v>
      </c>
      <c r="AG21" s="79">
        <v>84684.947715066708</v>
      </c>
      <c r="AH21" s="79">
        <v>148315.77850850931</v>
      </c>
      <c r="AI21" s="79">
        <v>89978.452663096017</v>
      </c>
      <c r="AJ21" s="79">
        <v>92669.049752549108</v>
      </c>
      <c r="AK21" s="79">
        <v>415648.22863922117</v>
      </c>
      <c r="AL21" s="79">
        <v>88862.895242019877</v>
      </c>
      <c r="AM21" s="79">
        <v>93948.5039904757</v>
      </c>
      <c r="AN21" s="79">
        <v>95812.1488278701</v>
      </c>
      <c r="AO21" s="79">
        <v>105632.46540481022</v>
      </c>
      <c r="AP21" s="171">
        <v>384256.33407514327</v>
      </c>
      <c r="AQ21" s="79">
        <v>98065.78814911806</v>
      </c>
      <c r="AR21" s="79">
        <v>70395.051241492416</v>
      </c>
      <c r="AS21" s="79">
        <v>102519.26202915354</v>
      </c>
      <c r="AT21" s="79">
        <v>98696.831504104586</v>
      </c>
      <c r="AU21" s="171">
        <v>369676.93292386859</v>
      </c>
      <c r="AV21" s="171">
        <v>87978.137416420534</v>
      </c>
      <c r="AW21" s="171">
        <v>90322.766462377127</v>
      </c>
      <c r="AX21" s="171">
        <v>99596.478611576691</v>
      </c>
      <c r="AY21" s="172">
        <v>1459695.4731797967</v>
      </c>
      <c r="AZ21" s="171">
        <v>1737592.8556701711</v>
      </c>
      <c r="BA21" s="171">
        <v>140223.37064717631</v>
      </c>
      <c r="BB21" s="172">
        <v>89719.215064606557</v>
      </c>
      <c r="BC21" s="171">
        <v>91328.593142645666</v>
      </c>
      <c r="BD21" s="171">
        <v>101178.36327324942</v>
      </c>
      <c r="BE21" s="171">
        <v>422449.54212767794</v>
      </c>
      <c r="BF21" s="171">
        <v>90142.642480129507</v>
      </c>
      <c r="BG21" s="171">
        <v>90222.286146336526</v>
      </c>
      <c r="BH21" s="171">
        <v>92430.039516420045</v>
      </c>
      <c r="BI21" s="171">
        <v>100466.42029968754</v>
      </c>
      <c r="BJ21" s="171">
        <v>373261.3884425736</v>
      </c>
      <c r="BK21" s="171">
        <v>95322.818750022125</v>
      </c>
      <c r="BL21" s="171">
        <v>834440.44518934272</v>
      </c>
    </row>
    <row r="22" spans="1:64" s="91" customFormat="1" ht="15" customHeight="1">
      <c r="A22" t="s">
        <v>100</v>
      </c>
      <c r="B22" s="9" t="s">
        <v>302</v>
      </c>
      <c r="C22" s="79"/>
      <c r="D22" s="79"/>
      <c r="E22" s="79"/>
      <c r="F22" s="79"/>
      <c r="G22" s="79"/>
      <c r="H22" s="79"/>
      <c r="I22" s="79"/>
      <c r="J22" s="79"/>
      <c r="K22" s="79"/>
      <c r="L22" s="79"/>
      <c r="M22" s="79"/>
      <c r="N22" s="79"/>
      <c r="O22" s="79"/>
      <c r="P22" s="79"/>
      <c r="Q22" s="79"/>
      <c r="R22" s="79"/>
      <c r="S22" s="79"/>
      <c r="T22" s="79"/>
      <c r="U22" s="79"/>
      <c r="V22" s="79"/>
      <c r="W22" s="79">
        <v>100667.57109577887</v>
      </c>
      <c r="X22" s="79">
        <v>97418.991851410421</v>
      </c>
      <c r="Y22" s="79">
        <v>131648.33832627226</v>
      </c>
      <c r="Z22" s="79">
        <v>128731.53984149423</v>
      </c>
      <c r="AA22" s="79">
        <v>458466.44111495576</v>
      </c>
      <c r="AB22" s="79">
        <v>93250.050428502349</v>
      </c>
      <c r="AC22" s="79">
        <v>101279.66391263639</v>
      </c>
      <c r="AD22" s="79">
        <v>92882.34262000458</v>
      </c>
      <c r="AE22" s="79">
        <v>85665.893939813381</v>
      </c>
      <c r="AF22" s="79">
        <v>373077.9509009567</v>
      </c>
      <c r="AG22" s="79">
        <v>79708.947715066708</v>
      </c>
      <c r="AH22" s="79">
        <v>141022.77850850931</v>
      </c>
      <c r="AI22" s="79">
        <v>82942.452663096017</v>
      </c>
      <c r="AJ22" s="79">
        <v>85991.049752549108</v>
      </c>
      <c r="AK22" s="79">
        <v>389665.22863922117</v>
      </c>
      <c r="AL22" s="79">
        <v>85203.285684030881</v>
      </c>
      <c r="AM22" s="79">
        <v>87646.5039904757</v>
      </c>
      <c r="AN22" s="79">
        <v>89299.835176575114</v>
      </c>
      <c r="AO22" s="79">
        <v>98377.53476206222</v>
      </c>
      <c r="AP22" s="171">
        <v>360527.33407514327</v>
      </c>
      <c r="AQ22" s="79">
        <v>92627.78814911806</v>
      </c>
      <c r="AR22" s="79">
        <v>63386.051241492416</v>
      </c>
      <c r="AS22" s="79">
        <v>93861.262029153542</v>
      </c>
      <c r="AT22" s="79">
        <v>88366.831504104586</v>
      </c>
      <c r="AU22" s="171">
        <v>338241.93292386859</v>
      </c>
      <c r="AV22" s="171">
        <v>78251.137416420534</v>
      </c>
      <c r="AW22" s="171">
        <v>76925.766462377127</v>
      </c>
      <c r="AX22" s="171">
        <v>89026.478611576691</v>
      </c>
      <c r="AY22" s="172">
        <v>1397432.1605093186</v>
      </c>
      <c r="AZ22" s="171">
        <v>1641635.542999693</v>
      </c>
      <c r="BA22" s="171">
        <v>122171.48735394378</v>
      </c>
      <c r="BB22" s="172">
        <v>69154.265425452424</v>
      </c>
      <c r="BC22" s="171">
        <v>74265.520384027273</v>
      </c>
      <c r="BD22" s="171">
        <v>79716.826018138323</v>
      </c>
      <c r="BE22" s="171">
        <v>345308.09918156179</v>
      </c>
      <c r="BF22" s="171">
        <v>74198.129773641427</v>
      </c>
      <c r="BG22" s="171">
        <v>77754.510080234337</v>
      </c>
      <c r="BH22" s="171">
        <v>80520.674792822072</v>
      </c>
      <c r="BI22" s="171">
        <v>88743.870634469495</v>
      </c>
      <c r="BJ22" s="171">
        <v>321217.18528116733</v>
      </c>
      <c r="BK22" s="171">
        <v>85929.809969191629</v>
      </c>
      <c r="BL22" s="171">
        <v>794993.5487135452</v>
      </c>
    </row>
    <row r="23" spans="1:64" s="1" customFormat="1" ht="15" customHeight="1">
      <c r="A23" t="s">
        <v>290</v>
      </c>
      <c r="B23" s="8" t="s">
        <v>303</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v>46546.237447102045</v>
      </c>
      <c r="AH23" s="75">
        <v>47509.565463123276</v>
      </c>
      <c r="AI23" s="75">
        <v>51666.714469627223</v>
      </c>
      <c r="AJ23" s="75">
        <v>49986.016688491327</v>
      </c>
      <c r="AK23" s="75">
        <v>195708.53406834387</v>
      </c>
      <c r="AL23" s="75">
        <v>55175.228463278123</v>
      </c>
      <c r="AM23" s="75">
        <v>53076.695986116698</v>
      </c>
      <c r="AN23" s="75">
        <v>61297.381055681923</v>
      </c>
      <c r="AO23" s="75">
        <v>59072.414505255962</v>
      </c>
      <c r="AP23" s="173">
        <v>225588.92077449535</v>
      </c>
      <c r="AQ23" s="75">
        <v>63723.927118892978</v>
      </c>
      <c r="AR23" s="75">
        <v>42923.597446714615</v>
      </c>
      <c r="AS23" s="75">
        <v>47563.035168630653</v>
      </c>
      <c r="AT23" s="75">
        <v>56553.398866613592</v>
      </c>
      <c r="AU23" s="173">
        <v>210763.95860085185</v>
      </c>
      <c r="AV23" s="173">
        <v>51406.333423905038</v>
      </c>
      <c r="AW23" s="173">
        <v>56534.343921622924</v>
      </c>
      <c r="AX23" s="173">
        <v>61746.389565503006</v>
      </c>
      <c r="AY23" s="176">
        <v>62873.575837869357</v>
      </c>
      <c r="AZ23" s="173">
        <v>232560.64274890034</v>
      </c>
      <c r="BA23" s="173">
        <v>44688.043419326888</v>
      </c>
      <c r="BB23" s="176">
        <v>45347.788257998996</v>
      </c>
      <c r="BC23" s="173">
        <v>43606.723286122658</v>
      </c>
      <c r="BD23" s="173">
        <v>47336.939192858845</v>
      </c>
      <c r="BE23" s="173">
        <v>180979.4941563074</v>
      </c>
      <c r="BF23" s="173">
        <v>47694</v>
      </c>
      <c r="BG23" s="173">
        <v>49566</v>
      </c>
      <c r="BH23" s="173">
        <v>50016.050744046268</v>
      </c>
      <c r="BI23" s="173">
        <v>55410</v>
      </c>
      <c r="BJ23" s="173">
        <v>195720.93972184442</v>
      </c>
      <c r="BK23" s="173">
        <v>50904</v>
      </c>
      <c r="BL23" s="173">
        <v>41042.479611995775</v>
      </c>
    </row>
    <row r="24" spans="1:64" s="1" customFormat="1" ht="15" customHeight="1">
      <c r="A24" t="s">
        <v>292</v>
      </c>
      <c r="B24" s="9" t="s">
        <v>292</v>
      </c>
      <c r="C24" s="127"/>
      <c r="D24" s="127"/>
      <c r="E24" s="127"/>
      <c r="F24" s="127"/>
      <c r="G24" s="127"/>
      <c r="H24" s="127"/>
      <c r="I24" s="127"/>
      <c r="J24" s="127"/>
      <c r="K24" s="127"/>
      <c r="L24" s="127"/>
      <c r="M24" s="127"/>
      <c r="N24" s="127"/>
      <c r="O24" s="127"/>
      <c r="P24" s="127"/>
      <c r="Q24" s="127"/>
      <c r="R24" s="127"/>
      <c r="S24" s="127"/>
      <c r="T24" s="127"/>
      <c r="U24" s="127"/>
      <c r="V24" s="127"/>
      <c r="W24" s="127">
        <v>0.82731188574886416</v>
      </c>
      <c r="X24" s="127">
        <v>0.82418107328913881</v>
      </c>
      <c r="Y24" s="127">
        <v>0.8431604966612245</v>
      </c>
      <c r="Z24" s="127">
        <v>0.84600025655525735</v>
      </c>
      <c r="AA24" s="127">
        <v>0.86394808071863771</v>
      </c>
      <c r="AB24" s="137">
        <v>0.85488721588608863</v>
      </c>
      <c r="AC24" s="127">
        <v>0.89189312520153397</v>
      </c>
      <c r="AD24" s="127">
        <v>0.74439006532133556</v>
      </c>
      <c r="AE24" s="127">
        <v>0.82039191526622446</v>
      </c>
      <c r="AF24" s="127">
        <v>0.83950945858469794</v>
      </c>
      <c r="AG24" s="174">
        <v>0.73054841117761493</v>
      </c>
      <c r="AH24" s="174">
        <v>0.73644556087999991</v>
      </c>
      <c r="AI24" s="174">
        <v>0.73498010659620872</v>
      </c>
      <c r="AJ24" s="174">
        <v>0.72688467133075718</v>
      </c>
      <c r="AK24" s="174">
        <v>0.73213324597540308</v>
      </c>
      <c r="AL24" s="174">
        <v>0.85013585722949059</v>
      </c>
      <c r="AM24" s="174">
        <v>0.76658039116490184</v>
      </c>
      <c r="AN24" s="174">
        <v>0.87449308651316016</v>
      </c>
      <c r="AO24" s="174">
        <v>0.86731156410278287</v>
      </c>
      <c r="AP24" s="174">
        <v>0.83154246234312357</v>
      </c>
      <c r="AQ24" s="174">
        <v>0.86586424110721527</v>
      </c>
      <c r="AR24" s="174">
        <v>0.6748757730045396</v>
      </c>
      <c r="AS24" s="174">
        <v>0.73841034466813504</v>
      </c>
      <c r="AT24" s="174">
        <v>0.75453872279430922</v>
      </c>
      <c r="AU24" s="174">
        <v>0.76774820293304591</v>
      </c>
      <c r="AV24" s="174">
        <v>0.71884729729712282</v>
      </c>
      <c r="AW24" s="174">
        <v>0.78459377747502601</v>
      </c>
      <c r="AX24" s="174">
        <v>0.80375443874294739</v>
      </c>
      <c r="AY24" s="174">
        <v>0.78086511918461665</v>
      </c>
      <c r="AZ24" s="174">
        <v>0.77577854773771815</v>
      </c>
      <c r="BA24" s="174">
        <f>BA23/(INDEX('DRE - Proforma'!$1:$1048576,7,MATCH(BA$5,'DRE - Proforma'!$5:$5,0))+INDEX('DRE - Proforma'!$1:$1048576,8,MATCH(BA$5,'DRE - Proforma'!$5:$5,0))+INDEX('DRE - Proforma'!$1:$1048576,9,MATCH(BA$5,'DRE - Proforma'!$5:$5,0))+INDEX('DRE - Proforma'!$1:$1048576,10,MATCH(BA$5,'DRE - Proforma'!$5:$5,0)))/1000</f>
        <v>0.76035530625704095</v>
      </c>
      <c r="BB24" s="174">
        <f>BB23/(INDEX('DRE - Proforma'!$1:$1048576,7,MATCH(BB$5,'DRE - Proforma'!$5:$5,0))+INDEX('DRE - Proforma'!$1:$1048576,8,MATCH(BB$5,'DRE - Proforma'!$5:$5,0))+INDEX('DRE - Proforma'!$1:$1048576,9,MATCH(BB$5,'DRE - Proforma'!$5:$5,0))+INDEX('DRE - Proforma'!$1:$1048576,10,MATCH(BB$5,'DRE - Proforma'!$5:$5,0)))/1000</f>
        <v>0.76974377465935617</v>
      </c>
      <c r="BC24" s="174">
        <f>BC23/(INDEX('DRE - Proforma'!$1:$1048576,7,MATCH(BC$5,'DRE - Proforma'!$5:$5,0))+INDEX('DRE - Proforma'!$1:$1048576,8,MATCH(BC$5,'DRE - Proforma'!$5:$5,0))+INDEX('DRE - Proforma'!$1:$1048576,9,MATCH(BC$5,'DRE - Proforma'!$5:$5,0))+INDEX('DRE - Proforma'!$1:$1048576,10,MATCH(BC$5,'DRE - Proforma'!$5:$5,0)))/1000</f>
        <v>0.7321301335805761</v>
      </c>
      <c r="BD24" s="174">
        <f>BD23/(INDEX('DRE - Proforma'!$1:$1048576,7,MATCH(BD$5,'DRE - Proforma'!$5:$5,0))+INDEX('DRE - Proforma'!$1:$1048576,8,MATCH(BD$5,'DRE - Proforma'!$5:$5,0))+INDEX('DRE - Proforma'!$1:$1048576,9,MATCH(BD$5,'DRE - Proforma'!$5:$5,0))+INDEX('DRE - Proforma'!$1:$1048576,10,MATCH(BD$5,'DRE - Proforma'!$5:$5,0)))/1000</f>
        <v>0.71511291840806401</v>
      </c>
      <c r="BE24" s="174">
        <v>0.74341963172139536</v>
      </c>
      <c r="BF24" s="174">
        <f>BF23/(INDEX('DRE - Proforma'!$1:$1048576,7,MATCH(BF$5,'DRE - Proforma'!$5:$5,0))+INDEX('DRE - Proforma'!$1:$1048576,8,MATCH(BF$5,'DRE - Proforma'!$5:$5,0))+INDEX('DRE - Proforma'!$1:$1048576,9,MATCH(BF$5,'DRE - Proforma'!$5:$5,0))+INDEX('DRE - Proforma'!$1:$1048576,10,MATCH(BF$5,'DRE - Proforma'!$5:$5,0)))/1000</f>
        <v>0.81216439581666289</v>
      </c>
      <c r="BG24" s="174">
        <f>BG23/(INDEX('DRE - Proforma'!$1:$1048576,7,MATCH(BG$5,'DRE - Proforma'!$5:$5,0))+INDEX('DRE - Proforma'!$1:$1048576,8,MATCH(BG$5,'DRE - Proforma'!$5:$5,0))+INDEX('DRE - Proforma'!$1:$1048576,9,MATCH(BG$5,'DRE - Proforma'!$5:$5,0))+INDEX('DRE - Proforma'!$1:$1048576,10,MATCH(BG$5,'DRE - Proforma'!$5:$5,0)))/1000</f>
        <v>0.84763622571406561</v>
      </c>
      <c r="BH24" s="174">
        <f>BH23/(INDEX('DRE - Proforma'!$1:$1048576,7,MATCH(BH$5,'DRE - Proforma'!$5:$5,0))+INDEX('DRE - Proforma'!$1:$1048576,8,MATCH(BH$5,'DRE - Proforma'!$5:$5,0))+INDEX('DRE - Proforma'!$1:$1048576,9,MATCH(BH$5,'DRE - Proforma'!$5:$5,0))+INDEX('DRE - Proforma'!$1:$1048576,10,MATCH(BH$5,'DRE - Proforma'!$5:$5,0)))/1000</f>
        <v>0.85602080229735322</v>
      </c>
      <c r="BI24" s="174">
        <v>0.88111964614283877</v>
      </c>
      <c r="BJ24" s="174">
        <v>0.82058276163403232</v>
      </c>
      <c r="BK24" s="174">
        <v>0.90370700281060756</v>
      </c>
      <c r="BL24" s="174">
        <f>BL23/(INDEX('DRE - Proforma'!$1:$1048576,7,MATCH(BL$5,'DRE - Proforma'!$5:$5,0))+INDEX('DRE - Proforma'!$1:$1048576,8,MATCH(BL$5,'DRE - Proforma'!$5:$5,0))+INDEX('DRE - Proforma'!$1:$1048576,9,MATCH(BL$5,'DRE - Proforma'!$5:$5,0))+INDEX('DRE - Proforma'!$1:$1048576,10,MATCH(BL$5,'DRE - Proforma'!$5:$5,0)))/1000</f>
        <v>0.82987906209741724</v>
      </c>
    </row>
    <row r="25" spans="1:64" s="1" customFormat="1" ht="15" customHeight="1">
      <c r="A25" t="s">
        <v>144</v>
      </c>
      <c r="B25" s="8" t="s">
        <v>296</v>
      </c>
      <c r="C25" s="124"/>
      <c r="D25" s="124"/>
      <c r="E25" s="124"/>
      <c r="F25" s="124"/>
      <c r="G25" s="124"/>
      <c r="H25" s="124"/>
      <c r="I25" s="124"/>
      <c r="J25" s="124"/>
      <c r="K25" s="124"/>
      <c r="L25" s="124"/>
      <c r="M25" s="124"/>
      <c r="N25" s="124"/>
      <c r="O25" s="124"/>
      <c r="P25" s="124"/>
      <c r="Q25" s="124"/>
      <c r="R25" s="124"/>
      <c r="S25" s="124"/>
      <c r="T25" s="124"/>
      <c r="U25" s="124"/>
      <c r="V25" s="124"/>
      <c r="W25" s="124">
        <v>93318.979545778871</v>
      </c>
      <c r="X25" s="124">
        <v>55632.031676643004</v>
      </c>
      <c r="Y25" s="124">
        <v>60696.088536535353</v>
      </c>
      <c r="Z25" s="124">
        <v>74171.746098645934</v>
      </c>
      <c r="AA25" s="124">
        <v>283820.64737210749</v>
      </c>
      <c r="AB25" s="136">
        <v>50114.555766634483</v>
      </c>
      <c r="AC25" s="124">
        <v>59132.522040031996</v>
      </c>
      <c r="AD25" s="124">
        <v>308159.60956818605</v>
      </c>
      <c r="AE25" s="124">
        <v>39755.197853689497</v>
      </c>
      <c r="AF25" s="124">
        <v>457152.88522854203</v>
      </c>
      <c r="AG25" s="124">
        <v>55008.616705259199</v>
      </c>
      <c r="AH25" s="124">
        <v>76338.924835209298</v>
      </c>
      <c r="AI25" s="124">
        <v>14340.973886230515</v>
      </c>
      <c r="AJ25" s="124">
        <v>30567.759187156109</v>
      </c>
      <c r="AK25" s="124">
        <v>176256.27461385512</v>
      </c>
      <c r="AL25" s="124">
        <v>51753.044285080396</v>
      </c>
      <c r="AM25" s="124">
        <v>29233.838155763198</v>
      </c>
      <c r="AN25" s="124">
        <v>56603.422223980822</v>
      </c>
      <c r="AO25" s="124">
        <v>81957.206554382428</v>
      </c>
      <c r="AP25" s="176">
        <v>219923.84130145196</v>
      </c>
      <c r="AQ25" s="124">
        <v>56369.416403863819</v>
      </c>
      <c r="AR25" s="124">
        <v>26409.315722894658</v>
      </c>
      <c r="AS25" s="124">
        <v>59368.986517720536</v>
      </c>
      <c r="AT25" s="124">
        <v>43232.012337663095</v>
      </c>
      <c r="AU25" s="176">
        <v>185379.73098214209</v>
      </c>
      <c r="AV25" s="176">
        <v>44102.677601543895</v>
      </c>
      <c r="AW25" s="176">
        <v>46278.882224639703</v>
      </c>
      <c r="AX25" s="176">
        <v>56928.518755845696</v>
      </c>
      <c r="AY25" s="176">
        <v>1363209.0524088673</v>
      </c>
      <c r="AZ25" s="176">
        <v>1510519.1309908966</v>
      </c>
      <c r="BA25" s="176">
        <v>38563.899702420837</v>
      </c>
      <c r="BB25" s="176">
        <v>22810.264535667146</v>
      </c>
      <c r="BC25" s="176">
        <v>37706.497958573338</v>
      </c>
      <c r="BD25" s="176">
        <v>10355.496482840026</v>
      </c>
      <c r="BE25" s="176">
        <v>109436.15867950134</v>
      </c>
      <c r="BF25" s="176">
        <v>32082.12287923606</v>
      </c>
      <c r="BG25" s="176">
        <v>33573.324672569521</v>
      </c>
      <c r="BH25" s="176">
        <v>39349.539952130188</v>
      </c>
      <c r="BI25" s="176">
        <v>41742.689505763628</v>
      </c>
      <c r="BJ25" s="176">
        <v>146747.6770096994</v>
      </c>
      <c r="BK25" s="176">
        <v>43296.745198971934</v>
      </c>
      <c r="BL25" s="176">
        <v>601364.90553050337</v>
      </c>
    </row>
    <row r="26" spans="1:64" s="1" customFormat="1" ht="15" customHeight="1">
      <c r="A26" t="s">
        <v>293</v>
      </c>
      <c r="B26" s="9" t="s">
        <v>293</v>
      </c>
      <c r="C26" s="127"/>
      <c r="D26" s="127"/>
      <c r="E26" s="127"/>
      <c r="F26" s="127"/>
      <c r="G26" s="127"/>
      <c r="H26" s="127"/>
      <c r="I26" s="127"/>
      <c r="J26" s="127"/>
      <c r="K26" s="127"/>
      <c r="L26" s="127"/>
      <c r="M26" s="127"/>
      <c r="N26" s="127"/>
      <c r="O26" s="127"/>
      <c r="P26" s="127"/>
      <c r="Q26" s="127"/>
      <c r="R26" s="127"/>
      <c r="S26" s="127"/>
      <c r="T26" s="127"/>
      <c r="U26" s="127"/>
      <c r="V26" s="127"/>
      <c r="W26" s="127">
        <v>0.92700140204030279</v>
      </c>
      <c r="X26" s="127">
        <v>0.57099999999999995</v>
      </c>
      <c r="Y26" s="127">
        <v>0.46104712986280511</v>
      </c>
      <c r="Z26" s="127">
        <v>0.57617384356601975</v>
      </c>
      <c r="AA26" s="127">
        <v>0.61906526174931609</v>
      </c>
      <c r="AB26" s="137">
        <v>0.53742121893069472</v>
      </c>
      <c r="AC26" s="127">
        <v>0.58385385333663409</v>
      </c>
      <c r="AD26" s="127">
        <v>3.3177415736477776</v>
      </c>
      <c r="AE26" s="127">
        <v>0.46396758413113776</v>
      </c>
      <c r="AF26" s="127">
        <v>1.2253548732230097</v>
      </c>
      <c r="AG26" s="126">
        <v>0.69011846576995262</v>
      </c>
      <c r="AH26" s="127">
        <v>0.54132336380397605</v>
      </c>
      <c r="AI26" s="127">
        <v>0.17290847090511743</v>
      </c>
      <c r="AJ26" s="127">
        <v>0.35435141029483513</v>
      </c>
      <c r="AK26" s="127">
        <v>0.40820179032033732</v>
      </c>
      <c r="AL26" s="127">
        <v>0.60740667298913975</v>
      </c>
      <c r="AM26" s="127">
        <v>0.33354254676193312</v>
      </c>
      <c r="AN26" s="127">
        <v>0.63385808173169922</v>
      </c>
      <c r="AO26" s="127">
        <v>0.83308863911466868</v>
      </c>
      <c r="AP26" s="174">
        <v>0.61000601207012539</v>
      </c>
      <c r="AQ26" s="127">
        <v>0.60855837681362723</v>
      </c>
      <c r="AR26" s="127">
        <v>0.41664238749119553</v>
      </c>
      <c r="AS26" s="127">
        <v>0.63251851971988593</v>
      </c>
      <c r="AT26" s="127">
        <v>0.48923347823843827</v>
      </c>
      <c r="AU26" s="174">
        <v>0.54806844727873327</v>
      </c>
      <c r="AV26" s="174">
        <v>0.56359339199344383</v>
      </c>
      <c r="AW26" s="174">
        <v>0.60161879636046012</v>
      </c>
      <c r="AX26" s="174">
        <v>0.63945603199948331</v>
      </c>
      <c r="AY26" s="174">
        <v>0.97551000394324827</v>
      </c>
      <c r="AZ26" s="174">
        <v>0.92013062060704853</v>
      </c>
      <c r="BA26" s="174">
        <f>BA25/BA22</f>
        <v>0.31565384475263952</v>
      </c>
      <c r="BB26" s="174">
        <f>BB25/BB22</f>
        <v>0.32984609691583483</v>
      </c>
      <c r="BC26" s="174">
        <f>BC25/BC22</f>
        <v>0.5077254931170333</v>
      </c>
      <c r="BD26" s="174">
        <f>BD25/BD22</f>
        <v>0.12990352225618959</v>
      </c>
      <c r="BE26" s="174">
        <v>0.31692323156880314</v>
      </c>
      <c r="BF26" s="174">
        <f>BF25/BF22</f>
        <v>0.43238452205075795</v>
      </c>
      <c r="BG26" s="174">
        <f>BG25/BG22</f>
        <v>0.43178620298585174</v>
      </c>
      <c r="BH26" s="174">
        <f>BH25/BH22</f>
        <v>0.48868865112439369</v>
      </c>
      <c r="BI26" s="174">
        <v>0.4703726489201624</v>
      </c>
      <c r="BJ26" s="174">
        <v>0.45684877314782663</v>
      </c>
      <c r="BK26" s="174">
        <v>0.5038617589692691</v>
      </c>
      <c r="BL26" s="174">
        <f>BL25/BL22</f>
        <v>0.75643998181322258</v>
      </c>
    </row>
    <row r="27" spans="1:64" s="1" customFormat="1" ht="15" customHeight="1">
      <c r="A27" t="s">
        <v>145</v>
      </c>
      <c r="B27" s="8" t="s">
        <v>297</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36"/>
      <c r="AB27" s="136">
        <v>53219.814074149792</v>
      </c>
      <c r="AC27" s="124">
        <v>59205.686673179938</v>
      </c>
      <c r="AD27" s="124">
        <v>17358.51912752281</v>
      </c>
      <c r="AE27" s="124">
        <v>42693.335353689487</v>
      </c>
      <c r="AF27" s="124">
        <v>172477.35522854203</v>
      </c>
      <c r="AG27" s="124">
        <v>44754.995705259207</v>
      </c>
      <c r="AH27" s="124">
        <v>44698.058835209311</v>
      </c>
      <c r="AI27" s="124">
        <v>42695.261214256476</v>
      </c>
      <c r="AJ27" s="124">
        <v>47463.19967715611</v>
      </c>
      <c r="AK27" s="124">
        <v>180348.51543188113</v>
      </c>
      <c r="AL27" s="124">
        <v>53595.855190516166</v>
      </c>
      <c r="AM27" s="124">
        <v>50291.4214757632</v>
      </c>
      <c r="AN27" s="124">
        <v>48605.496397633149</v>
      </c>
      <c r="AO27" s="124">
        <v>51695.518176041871</v>
      </c>
      <c r="AP27" s="176">
        <v>204187.99717604541</v>
      </c>
      <c r="AQ27" s="124">
        <v>57901.306223863823</v>
      </c>
      <c r="AR27" s="124">
        <v>30813.548542894659</v>
      </c>
      <c r="AS27" s="124">
        <v>38837.322837720538</v>
      </c>
      <c r="AT27" s="124">
        <v>46974.225657663097</v>
      </c>
      <c r="AU27" s="176">
        <v>174526.40326214212</v>
      </c>
      <c r="AV27" s="176">
        <v>45361.62485795145</v>
      </c>
      <c r="AW27" s="176">
        <v>47729.949874422673</v>
      </c>
      <c r="AX27" s="176">
        <v>57171.140590915849</v>
      </c>
      <c r="AY27" s="176">
        <v>48899.693406460152</v>
      </c>
      <c r="AZ27" s="176">
        <v>199162.40872975014</v>
      </c>
      <c r="BA27" s="176">
        <v>44504.61892809251</v>
      </c>
      <c r="BB27" s="176">
        <v>36869.112995880205</v>
      </c>
      <c r="BC27" s="176">
        <v>36872.009405512501</v>
      </c>
      <c r="BD27" s="176">
        <v>37542.58815952811</v>
      </c>
      <c r="BE27" s="176">
        <v>155788.32948901335</v>
      </c>
      <c r="BF27" s="176">
        <v>39047.002923860331</v>
      </c>
      <c r="BG27" s="176">
        <v>42157.383478005533</v>
      </c>
      <c r="BH27" s="176">
        <v>42820.586647335265</v>
      </c>
      <c r="BI27" s="176">
        <v>49781.404763319239</v>
      </c>
      <c r="BJ27" s="176">
        <v>173806.37781252037</v>
      </c>
      <c r="BK27" s="176">
        <v>44945.95509517238</v>
      </c>
      <c r="BL27" s="176">
        <v>32696.958903945793</v>
      </c>
    </row>
    <row r="28" spans="1:64" s="1" customFormat="1" ht="15" customHeight="1">
      <c r="A28" t="s">
        <v>273</v>
      </c>
      <c r="B28" s="8" t="s">
        <v>298</v>
      </c>
      <c r="C28" s="75"/>
      <c r="D28" s="75"/>
      <c r="E28" s="75"/>
      <c r="F28" s="75"/>
      <c r="G28" s="75"/>
      <c r="H28" s="75"/>
      <c r="I28" s="75"/>
      <c r="J28" s="75"/>
      <c r="K28" s="75"/>
      <c r="L28" s="75"/>
      <c r="M28" s="75"/>
      <c r="N28" s="75"/>
      <c r="O28" s="75"/>
      <c r="P28" s="75"/>
      <c r="Q28" s="75"/>
      <c r="R28" s="75"/>
      <c r="S28" s="75"/>
      <c r="T28" s="75"/>
      <c r="U28" s="75"/>
      <c r="V28" s="75"/>
      <c r="W28" s="173">
        <v>10960.571095778869</v>
      </c>
      <c r="X28" s="173">
        <v>-4538.008148589578</v>
      </c>
      <c r="Y28" s="173">
        <v>-10598.661673727736</v>
      </c>
      <c r="Z28" s="173">
        <v>8573.539841494232</v>
      </c>
      <c r="AA28" s="173">
        <v>30124.441114955749</v>
      </c>
      <c r="AB28" s="173">
        <v>-19682.949571497651</v>
      </c>
      <c r="AC28" s="173">
        <v>-17042.336087363612</v>
      </c>
      <c r="AD28" s="173">
        <v>218878.34262000452</v>
      </c>
      <c r="AE28" s="173">
        <v>-7901.1060601866184</v>
      </c>
      <c r="AF28" s="173">
        <v>174251.9509009567</v>
      </c>
      <c r="AG28" s="173">
        <v>9007.9477150667062</v>
      </c>
      <c r="AH28" s="173">
        <v>23018.778508509306</v>
      </c>
      <c r="AI28" s="173">
        <v>-19090.547336903986</v>
      </c>
      <c r="AJ28" s="173">
        <v>-13770.950247450894</v>
      </c>
      <c r="AK28" s="173">
        <v>-834.77136077883051</v>
      </c>
      <c r="AL28" s="173">
        <v>3157.3407867505939</v>
      </c>
      <c r="AM28" s="173">
        <v>-17129.897316696322</v>
      </c>
      <c r="AN28" s="173">
        <v>8824.8532660409692</v>
      </c>
      <c r="AO28" s="173">
        <v>37972.142963591876</v>
      </c>
      <c r="AP28" s="173">
        <v>47059.059476489747</v>
      </c>
      <c r="AQ28" s="173">
        <v>16414.919512558128</v>
      </c>
      <c r="AR28" s="173">
        <v>900.91904681222707</v>
      </c>
      <c r="AS28" s="173">
        <v>26703</v>
      </c>
      <c r="AT28" s="173">
        <v>6650</v>
      </c>
      <c r="AU28" s="173">
        <v>50838.895780486724</v>
      </c>
      <c r="AV28" s="173">
        <v>7125.707811281166</v>
      </c>
      <c r="AW28" s="173">
        <v>7130</v>
      </c>
      <c r="AX28" s="173">
        <v>9026.6333819175979</v>
      </c>
      <c r="AY28" s="173">
        <v>1263404.2934423364</v>
      </c>
      <c r="AZ28" s="173">
        <v>1286686.6346355351</v>
      </c>
      <c r="BA28" s="173">
        <v>-10919.542422307381</v>
      </c>
      <c r="BB28" s="173">
        <v>-29158.736814068758</v>
      </c>
      <c r="BC28" s="173">
        <v>6853.0141522464173</v>
      </c>
      <c r="BD28" s="173">
        <v>-23775.013896388795</v>
      </c>
      <c r="BE28" s="173">
        <v>-57000.20897851848</v>
      </c>
      <c r="BF28" s="173">
        <v>-14880.680067579895</v>
      </c>
      <c r="BG28" s="173">
        <v>-4134.0334344784296</v>
      </c>
      <c r="BH28" s="173">
        <v>3558.7331335417266</v>
      </c>
      <c r="BI28" s="176">
        <v>5414.3250032527449</v>
      </c>
      <c r="BJ28" s="176">
        <v>-10041.655365263852</v>
      </c>
      <c r="BK28" s="176">
        <v>6686.2206816919979</v>
      </c>
      <c r="BL28" s="176">
        <v>457107.88678259728</v>
      </c>
    </row>
    <row r="29" spans="1:64" s="1" customFormat="1" ht="15" customHeight="1">
      <c r="A29" t="s">
        <v>295</v>
      </c>
      <c r="B29" s="9" t="s">
        <v>295</v>
      </c>
      <c r="C29" s="127"/>
      <c r="D29" s="127"/>
      <c r="E29" s="127"/>
      <c r="F29" s="127"/>
      <c r="G29" s="127"/>
      <c r="H29" s="127"/>
      <c r="I29" s="127"/>
      <c r="J29" s="127"/>
      <c r="K29" s="127"/>
      <c r="L29" s="127"/>
      <c r="M29" s="127"/>
      <c r="N29" s="127"/>
      <c r="O29" s="127"/>
      <c r="P29" s="127"/>
      <c r="Q29" s="127"/>
      <c r="R29" s="127"/>
      <c r="S29" s="127"/>
      <c r="T29" s="127"/>
      <c r="U29" s="127"/>
      <c r="V29" s="127"/>
      <c r="W29" s="127">
        <v>0.10888880079712684</v>
      </c>
      <c r="X29" s="127">
        <v>-4.6572111478116192E-2</v>
      </c>
      <c r="Y29" s="127">
        <v>-8.0507371444829126E-2</v>
      </c>
      <c r="Z29" s="127">
        <v>6.6600149831585478E-2</v>
      </c>
      <c r="AA29" s="127">
        <v>9.5959937749350802E-3</v>
      </c>
      <c r="AB29" s="137">
        <v>-0.21109854076262083</v>
      </c>
      <c r="AC29" s="127">
        <v>-0.16828981681915944</v>
      </c>
      <c r="AD29" s="127">
        <v>2.3563934376141145</v>
      </c>
      <c r="AE29" s="127">
        <v>-9.2336701298466023E-2</v>
      </c>
      <c r="AF29" s="127">
        <v>0.46700146840682649</v>
      </c>
      <c r="AG29" s="126">
        <v>0.11291013083297202</v>
      </c>
      <c r="AH29" s="127">
        <v>0.16316355947504535</v>
      </c>
      <c r="AI29" s="127">
        <v>-0.2302264609230715</v>
      </c>
      <c r="AJ29" s="127">
        <v>-0.16019051153684222</v>
      </c>
      <c r="AK29" s="127">
        <v>-2.2090022345201171E-3</v>
      </c>
      <c r="AL29" s="127">
        <v>3.7056561392002217E-2</v>
      </c>
      <c r="AM29" s="127">
        <v>-0.19549548732013611</v>
      </c>
      <c r="AN29" s="127">
        <v>9.8822727372243568E-2</v>
      </c>
      <c r="AO29" s="127">
        <v>0.38598388397749572</v>
      </c>
      <c r="AP29" s="174">
        <v>0.13052840944004931</v>
      </c>
      <c r="AQ29" s="127">
        <v>0.17721264045891455</v>
      </c>
      <c r="AR29" s="127">
        <v>1.4136410518436936E-2</v>
      </c>
      <c r="AS29" s="127">
        <v>0.28455042529534591</v>
      </c>
      <c r="AT29" s="127">
        <v>7.5320472521360315E-2</v>
      </c>
      <c r="AU29" s="174">
        <v>0.15030335044806384</v>
      </c>
      <c r="AV29" s="174">
        <v>9.1118642512208609E-2</v>
      </c>
      <c r="AW29" s="174">
        <v>9.2683723416186636E-2</v>
      </c>
      <c r="AX29" s="174">
        <v>0.10140217553660262</v>
      </c>
      <c r="AY29" s="174">
        <v>0.90400000000000003</v>
      </c>
      <c r="AZ29" s="174">
        <v>0.78378336782622626</v>
      </c>
      <c r="BA29" s="174">
        <v>-0.22635409875712276</v>
      </c>
      <c r="BB29" s="174">
        <f>BB28/BB22</f>
        <v>-0.4216476978632876</v>
      </c>
      <c r="BC29" s="174">
        <v>9.2376901033611125E-2</v>
      </c>
      <c r="BD29" s="174">
        <v>-0.29814661521742175</v>
      </c>
      <c r="BE29" s="174">
        <v>-0.16507058222387067</v>
      </c>
      <c r="BF29" s="174">
        <v>-0.20044341544324609</v>
      </c>
      <c r="BG29" s="174">
        <v>-8.149095731834502E-2</v>
      </c>
      <c r="BH29" s="174">
        <v>6.9023429486995802E-2</v>
      </c>
      <c r="BI29" s="174">
        <v>6.9023429486995802E-2</v>
      </c>
      <c r="BJ29" s="174">
        <v>6.9023429486995802E-2</v>
      </c>
      <c r="BK29" s="174">
        <v>6.9023429486995802E-2</v>
      </c>
      <c r="BL29" s="174">
        <v>6.9023429486995802E-2</v>
      </c>
    </row>
    <row r="30" spans="1:64" s="1" customFormat="1" ht="15" customHeight="1">
      <c r="A30" t="s">
        <v>146</v>
      </c>
      <c r="B30" s="8" t="s">
        <v>299</v>
      </c>
      <c r="C30" s="124"/>
      <c r="D30" s="124"/>
      <c r="E30" s="124"/>
      <c r="F30" s="124"/>
      <c r="G30" s="124"/>
      <c r="H30" s="124"/>
      <c r="I30" s="124"/>
      <c r="J30" s="124"/>
      <c r="K30" s="124"/>
      <c r="L30" s="124"/>
      <c r="M30" s="124"/>
      <c r="N30" s="124"/>
      <c r="O30" s="124"/>
      <c r="P30" s="124"/>
      <c r="Q30" s="124"/>
      <c r="R30" s="124"/>
      <c r="S30" s="124"/>
      <c r="T30" s="124"/>
      <c r="U30" s="124"/>
      <c r="V30" s="124"/>
      <c r="W30" s="124">
        <v>-21037.020454221132</v>
      </c>
      <c r="X30" s="124">
        <v>-3431.9683233569986</v>
      </c>
      <c r="Y30" s="124">
        <v>-7132.9114634646485</v>
      </c>
      <c r="Z30" s="124">
        <v>13320.746098645934</v>
      </c>
      <c r="AA30" s="124">
        <v>13848.647372107458</v>
      </c>
      <c r="AB30" s="136">
        <v>-9214.4442333655206</v>
      </c>
      <c r="AC30" s="136">
        <v>-4902.4779599680078</v>
      </c>
      <c r="AD30" s="136">
        <v>228274.60956818605</v>
      </c>
      <c r="AE30" s="136">
        <v>8138.1978536894931</v>
      </c>
      <c r="AF30" s="136">
        <v>222056.88522854203</v>
      </c>
      <c r="AG30" s="124">
        <v>17492.616705259206</v>
      </c>
      <c r="AH30" s="124">
        <v>32496.924835209305</v>
      </c>
      <c r="AI30" s="124">
        <v>-10546.547336903983</v>
      </c>
      <c r="AJ30" s="124">
        <v>-5225.9502474508918</v>
      </c>
      <c r="AK30" s="124">
        <v>17119.04395611367</v>
      </c>
      <c r="AL30" s="124">
        <v>11533.827587425343</v>
      </c>
      <c r="AM30" s="124">
        <v>-9888.1618442368017</v>
      </c>
      <c r="AN30" s="124">
        <v>17143.853403483412</v>
      </c>
      <c r="AO30" s="124">
        <v>47248.529899376008</v>
      </c>
      <c r="AP30" s="176">
        <v>66414.841301451961</v>
      </c>
      <c r="AQ30" s="124">
        <v>26530.120190005888</v>
      </c>
      <c r="AR30" s="124">
        <v>11222.315722894658</v>
      </c>
      <c r="AS30" s="124">
        <v>37422.986517720536</v>
      </c>
      <c r="AT30" s="124">
        <v>16927.012337663098</v>
      </c>
      <c r="AU30" s="176">
        <v>92101.730982142108</v>
      </c>
      <c r="AV30" s="176">
        <v>17691.823963865536</v>
      </c>
      <c r="AW30" s="176">
        <v>17614.987028201176</v>
      </c>
      <c r="AX30" s="176">
        <v>20577.518755845696</v>
      </c>
      <c r="AY30" s="176">
        <v>1278347.1960852328</v>
      </c>
      <c r="AZ30" s="176">
        <v>1334231.5258331452</v>
      </c>
      <c r="BA30" s="176">
        <v>-2184.2811532211199</v>
      </c>
      <c r="BB30" s="176">
        <v>-20693.105125480259</v>
      </c>
      <c r="BC30" s="176">
        <v>15330.68942741842</v>
      </c>
      <c r="BD30" s="176">
        <v>-13119.457035464045</v>
      </c>
      <c r="BE30" s="176">
        <v>-20666.153886747004</v>
      </c>
      <c r="BF30" s="176">
        <v>-5695.7808247148951</v>
      </c>
      <c r="BG30" s="176">
        <v>5058.3239157927437</v>
      </c>
      <c r="BH30" s="176">
        <v>12794.697290928576</v>
      </c>
      <c r="BI30" s="176">
        <v>14751.983542402577</v>
      </c>
      <c r="BJ30" s="176">
        <v>26909.223924409001</v>
      </c>
      <c r="BK30" s="176">
        <v>14735.328803551996</v>
      </c>
      <c r="BL30" s="176">
        <v>480026.69315886975</v>
      </c>
    </row>
    <row r="31" spans="1:64" s="1" customFormat="1" ht="15" customHeight="1">
      <c r="A31" t="s">
        <v>294</v>
      </c>
      <c r="B31" s="9" t="s">
        <v>294</v>
      </c>
      <c r="C31" s="126"/>
      <c r="D31" s="126"/>
      <c r="E31" s="126"/>
      <c r="F31" s="126"/>
      <c r="G31" s="126"/>
      <c r="H31" s="126"/>
      <c r="I31" s="126"/>
      <c r="J31" s="126"/>
      <c r="K31" s="126"/>
      <c r="L31" s="126"/>
      <c r="M31" s="126"/>
      <c r="N31" s="126"/>
      <c r="O31" s="126"/>
      <c r="P31" s="126"/>
      <c r="Q31" s="126"/>
      <c r="R31" s="126"/>
      <c r="S31" s="126"/>
      <c r="T31" s="126"/>
      <c r="U31" s="126"/>
      <c r="V31" s="126"/>
      <c r="W31" s="126">
        <v>-0.20897514686438326</v>
      </c>
      <c r="X31" s="126">
        <v>-3.5228945179310134E-2</v>
      </c>
      <c r="Y31" s="126">
        <v>-5.418155332721869E-2</v>
      </c>
      <c r="Z31" s="126">
        <v>0.10347694213125723</v>
      </c>
      <c r="AA31" s="137">
        <v>3.0206458161754639E-2</v>
      </c>
      <c r="AB31" s="137">
        <v>-9.881436193356824E-2</v>
      </c>
      <c r="AC31" s="137">
        <v>-4.840535375588207E-2</v>
      </c>
      <c r="AD31" s="137">
        <v>2.4576749802929849</v>
      </c>
      <c r="AE31" s="137">
        <v>9.4999275434015526E-2</v>
      </c>
      <c r="AF31" s="137">
        <v>0.5952023824841175</v>
      </c>
      <c r="AG31" s="126">
        <v>0.21945612389451635</v>
      </c>
      <c r="AH31" s="126">
        <v>0.23043741712441471</v>
      </c>
      <c r="AI31" s="126">
        <v>-0.12715499720924589</v>
      </c>
      <c r="AJ31" s="126">
        <v>-6.0773188168876544E-2</v>
      </c>
      <c r="AK31" s="126">
        <v>4.3932695806337026E-2</v>
      </c>
      <c r="AL31" s="126">
        <v>0.13536834283829804</v>
      </c>
      <c r="AM31" s="126">
        <v>-0.11281866810467786</v>
      </c>
      <c r="AN31" s="126">
        <v>0.19198079559256051</v>
      </c>
      <c r="AO31" s="126">
        <v>0.48027763669472101</v>
      </c>
      <c r="AP31" s="175">
        <v>-5.9848448199533291E-2</v>
      </c>
      <c r="AQ31" s="126">
        <v>0.28641460270130914</v>
      </c>
      <c r="AR31" s="126">
        <v>0.17704708690779822</v>
      </c>
      <c r="AS31" s="126">
        <v>0.39870534135900348</v>
      </c>
      <c r="AT31" s="126">
        <v>0.19155391281486481</v>
      </c>
      <c r="AU31" s="175">
        <v>-5.9848448199533291E-2</v>
      </c>
      <c r="AV31" s="175">
        <v>0.22609031060745977</v>
      </c>
      <c r="AW31" s="175">
        <v>0.22898682506876702</v>
      </c>
      <c r="AX31" s="175">
        <v>0.23113930907708471</v>
      </c>
      <c r="AY31" s="175">
        <v>0.9147830085857741</v>
      </c>
      <c r="AZ31" s="175">
        <v>-5.9848448199533291E-2</v>
      </c>
      <c r="BA31" s="175">
        <v>-1.7878812810824062E-2</v>
      </c>
      <c r="BB31" s="175">
        <v>-0.29923107415242822</v>
      </c>
      <c r="BC31" s="175">
        <v>0.20643078171597493</v>
      </c>
      <c r="BD31" s="175">
        <v>-0.16457575760077198</v>
      </c>
      <c r="BE31" s="175">
        <v>-5.9848448199533291E-2</v>
      </c>
      <c r="BF31" s="175">
        <v>-0.12153553184786617</v>
      </c>
      <c r="BG31" s="175">
        <v>9.9710770330583079E-2</v>
      </c>
      <c r="BH31" s="175">
        <v>0.24815474546709687</v>
      </c>
      <c r="BI31" s="175">
        <v>0.24815474546709687</v>
      </c>
      <c r="BJ31" s="175">
        <v>0.24815474546709687</v>
      </c>
      <c r="BK31" s="175">
        <v>0.24815474546709687</v>
      </c>
      <c r="BL31" s="175">
        <v>0.24815474546709687</v>
      </c>
    </row>
    <row r="32" spans="1:64" s="1" customFormat="1" ht="15" customHeight="1">
      <c r="A32" t="s">
        <v>147</v>
      </c>
      <c r="B32" s="8" t="s">
        <v>300</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36"/>
      <c r="AB32" s="136">
        <v>-8288.7132717601708</v>
      </c>
      <c r="AC32" s="136">
        <v>-2805.3679409397027</v>
      </c>
      <c r="AD32" s="136">
        <v>-43703.08391244759</v>
      </c>
      <c r="AE32" s="136">
        <v>12411.26841368949</v>
      </c>
      <c r="AF32" s="136">
        <v>-42385.896711457972</v>
      </c>
      <c r="AG32" s="124">
        <v>7984.322795259206</v>
      </c>
      <c r="AH32" s="124">
        <v>10392.893635209304</v>
      </c>
      <c r="AI32" s="124">
        <v>19878.821933134514</v>
      </c>
      <c r="AJ32" s="124">
        <v>9321.9496871561096</v>
      </c>
      <c r="AK32" s="124">
        <v>37894.003231881128</v>
      </c>
      <c r="AL32" s="124">
        <v>13367.314694520683</v>
      </c>
      <c r="AM32" s="124">
        <v>11171.608275763198</v>
      </c>
      <c r="AN32" s="124">
        <v>9145.9275771357425</v>
      </c>
      <c r="AO32" s="124">
        <v>16986.841521035454</v>
      </c>
      <c r="AP32" s="176">
        <v>50672.068100541612</v>
      </c>
      <c r="AQ32" s="124">
        <v>28046.730722810426</v>
      </c>
      <c r="AR32" s="124">
        <v>15617.677842894658</v>
      </c>
      <c r="AS32" s="124">
        <v>17642.627237720535</v>
      </c>
      <c r="AT32" s="124">
        <v>20690.508457663098</v>
      </c>
      <c r="AU32" s="176">
        <v>82012.920562142099</v>
      </c>
      <c r="AV32" s="176">
        <v>18951.208560427818</v>
      </c>
      <c r="AW32" s="176">
        <v>19065.499438419156</v>
      </c>
      <c r="AX32" s="176">
        <v>20819.897694788098</v>
      </c>
      <c r="AY32" s="176">
        <v>9479.5539629544328</v>
      </c>
      <c r="AZ32" s="176">
        <v>68316.159656589516</v>
      </c>
      <c r="BA32" s="176">
        <v>3756.4380724505495</v>
      </c>
      <c r="BB32" s="176">
        <v>-6634.2566652671994</v>
      </c>
      <c r="BC32" s="176">
        <v>9536.625024357596</v>
      </c>
      <c r="BD32" s="176">
        <v>14067.634641224036</v>
      </c>
      <c r="BE32" s="176">
        <v>20726.441072764981</v>
      </c>
      <c r="BF32" s="176">
        <v>-130.40996009062701</v>
      </c>
      <c r="BG32" s="176">
        <v>12101.952212489707</v>
      </c>
      <c r="BH32" s="176">
        <v>14957.954356582601</v>
      </c>
      <c r="BI32" s="176">
        <v>21561.499916617999</v>
      </c>
      <c r="BJ32" s="176">
        <v>48490.996525599679</v>
      </c>
      <c r="BK32" s="176">
        <v>15472.707878208548</v>
      </c>
      <c r="BL32" s="176">
        <v>10461.319830169818</v>
      </c>
    </row>
    <row r="33" spans="1:64" s="1" customFormat="1" ht="15" customHeight="1">
      <c r="A33"/>
      <c r="B33" s="236"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20"/>
      <c r="AB33" s="220"/>
      <c r="AC33" s="220"/>
      <c r="AD33" s="220"/>
      <c r="AE33" s="220"/>
      <c r="AF33" s="220"/>
      <c r="AG33" s="219"/>
      <c r="AH33" s="219"/>
      <c r="AI33" s="219"/>
      <c r="AJ33" s="219"/>
      <c r="AK33" s="219"/>
      <c r="AL33" s="219"/>
      <c r="AM33" s="219"/>
      <c r="AN33" s="219"/>
      <c r="AO33" s="219"/>
      <c r="AP33" s="221"/>
      <c r="AQ33" s="219"/>
      <c r="AR33" s="219"/>
      <c r="AS33" s="219"/>
      <c r="AT33" s="219"/>
      <c r="AU33" s="221"/>
      <c r="AV33" s="221"/>
      <c r="AW33" s="221"/>
      <c r="AX33" s="221"/>
      <c r="AY33" s="221"/>
      <c r="AZ33" s="221"/>
      <c r="BA33" s="221"/>
      <c r="BB33" s="221"/>
      <c r="BC33" s="221"/>
      <c r="BD33" s="221"/>
      <c r="BE33" s="221"/>
      <c r="BF33" s="221"/>
      <c r="BG33" s="221"/>
      <c r="BH33" s="221"/>
      <c r="BI33" s="221"/>
      <c r="BJ33" s="221"/>
      <c r="BK33" s="221"/>
      <c r="BL33" s="221"/>
    </row>
    <row r="34" spans="1:64" s="1" customFormat="1" ht="15" customHeight="1">
      <c r="A34">
        <f>INDEX($20:$32,MATCH($A$7,$A$20:$A$32,0),MATCH($BL$5,$5:$5,0))</f>
        <v>834440.44518934272</v>
      </c>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P34" s="177"/>
      <c r="AU34" s="177"/>
      <c r="AV34" s="177"/>
      <c r="AW34" s="177"/>
      <c r="AX34" s="177"/>
      <c r="AY34" s="177"/>
      <c r="AZ34" s="177"/>
      <c r="BA34" s="177"/>
      <c r="BB34" s="177"/>
      <c r="BC34" s="177"/>
      <c r="BD34" s="177"/>
      <c r="BE34" s="177"/>
      <c r="BF34" s="177"/>
      <c r="BG34" s="177"/>
      <c r="BH34" s="177"/>
      <c r="BI34" s="177"/>
      <c r="BJ34" s="177"/>
      <c r="BK34" s="177"/>
      <c r="BL34" s="177"/>
    </row>
    <row r="35" spans="1:64" s="1" customFormat="1" ht="18.75" customHeight="1">
      <c r="A35"/>
      <c r="B35" s="60" t="str">
        <f>IF('Sumário | Summary'!P1=1,"Endividamento IFRS","IFRS Debt")</f>
        <v>Endividamento IFRS</v>
      </c>
      <c r="C35" s="26"/>
      <c r="D35" s="60"/>
      <c r="E35" s="26"/>
      <c r="F35" s="60"/>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121"/>
      <c r="AM35" s="26"/>
      <c r="AN35" s="61"/>
      <c r="AO35" s="61"/>
      <c r="AP35" s="147"/>
      <c r="AQ35" s="61"/>
      <c r="AR35" s="61"/>
      <c r="AS35" s="61"/>
      <c r="AT35" s="61"/>
      <c r="AU35" s="147"/>
      <c r="AV35" s="147"/>
      <c r="AW35" s="147"/>
      <c r="AX35" s="147"/>
      <c r="AY35" s="147"/>
      <c r="AZ35" s="147"/>
      <c r="BA35" s="147"/>
      <c r="BB35" s="147"/>
      <c r="BC35" s="147"/>
      <c r="BD35" s="147"/>
      <c r="BE35" s="147"/>
      <c r="BF35" s="147"/>
      <c r="BG35" s="147"/>
      <c r="BH35" s="147"/>
      <c r="BI35" s="147"/>
      <c r="BJ35" s="147"/>
      <c r="BK35" s="147"/>
      <c r="BL35" s="147"/>
    </row>
    <row r="36" spans="1:64" s="72" customFormat="1" ht="15" customHeight="1">
      <c r="A36" t="s">
        <v>326</v>
      </c>
      <c r="B36" s="8" t="str">
        <f>IF('Sumário | Summary'!P1=1,"Endividamento","Debt")</f>
        <v>Endividamento</v>
      </c>
      <c r="C36" s="73">
        <v>0</v>
      </c>
      <c r="D36" s="73">
        <v>0</v>
      </c>
      <c r="E36" s="73">
        <v>1197204</v>
      </c>
      <c r="F36" s="73">
        <v>907997</v>
      </c>
      <c r="G36" s="73">
        <v>907997</v>
      </c>
      <c r="H36" s="73">
        <v>1098097</v>
      </c>
      <c r="I36" s="73">
        <v>1197204</v>
      </c>
      <c r="J36" s="73">
        <v>1355174</v>
      </c>
      <c r="K36" s="73">
        <v>1626047</v>
      </c>
      <c r="L36" s="73">
        <v>1626047</v>
      </c>
      <c r="M36" s="73">
        <v>1900177</v>
      </c>
      <c r="N36" s="73">
        <v>1962241</v>
      </c>
      <c r="O36" s="73">
        <v>2050351</v>
      </c>
      <c r="P36" s="73">
        <v>2483827</v>
      </c>
      <c r="Q36" s="73">
        <v>2483827</v>
      </c>
      <c r="R36" s="73">
        <v>2437523</v>
      </c>
      <c r="S36" s="73">
        <v>2416790</v>
      </c>
      <c r="T36" s="73">
        <v>2486671</v>
      </c>
      <c r="U36" s="73">
        <v>2488444</v>
      </c>
      <c r="V36" s="73">
        <v>2488444</v>
      </c>
      <c r="W36" s="73">
        <v>2270959</v>
      </c>
      <c r="X36" s="73">
        <v>2254331</v>
      </c>
      <c r="Y36" s="73">
        <v>2339948</v>
      </c>
      <c r="Z36" s="73">
        <v>2462080</v>
      </c>
      <c r="AA36" s="73">
        <v>2462080</v>
      </c>
      <c r="AB36" s="73">
        <v>2379405</v>
      </c>
      <c r="AC36" s="73">
        <v>2440157</v>
      </c>
      <c r="AD36" s="73">
        <v>1771412</v>
      </c>
      <c r="AE36" s="73">
        <v>1660027</v>
      </c>
      <c r="AF36" s="73">
        <v>1660027</v>
      </c>
      <c r="AG36" s="73">
        <v>1819118</v>
      </c>
      <c r="AH36" s="73">
        <v>1793029</v>
      </c>
      <c r="AI36" s="73">
        <v>1747502</v>
      </c>
      <c r="AJ36" s="73">
        <v>1733781</v>
      </c>
      <c r="AK36" s="73">
        <v>1733781</v>
      </c>
      <c r="AL36" s="75">
        <v>1662347</v>
      </c>
      <c r="AM36" s="75">
        <v>1947915</v>
      </c>
      <c r="AN36" s="75">
        <v>1708168</v>
      </c>
      <c r="AO36" s="75">
        <v>2004757</v>
      </c>
      <c r="AP36" s="173">
        <v>2004757</v>
      </c>
      <c r="AQ36" s="75">
        <v>1955359</v>
      </c>
      <c r="AR36" s="75">
        <v>1948735</v>
      </c>
      <c r="AS36" s="75">
        <v>1896560</v>
      </c>
      <c r="AT36" s="75">
        <v>1886784</v>
      </c>
      <c r="AU36" s="173">
        <v>1886784</v>
      </c>
      <c r="AV36" s="173">
        <v>1809854</v>
      </c>
      <c r="AW36" s="173">
        <v>2116999</v>
      </c>
      <c r="AX36" s="173">
        <v>2075640</v>
      </c>
      <c r="AY36" s="176">
        <v>1996886</v>
      </c>
      <c r="AZ36" s="173">
        <v>1996886</v>
      </c>
      <c r="BA36" s="173">
        <v>1824541</v>
      </c>
      <c r="BB36" s="176">
        <v>1642980</v>
      </c>
      <c r="BC36" s="173">
        <v>1441474</v>
      </c>
      <c r="BD36" s="173">
        <v>1414316</v>
      </c>
      <c r="BE36" s="173">
        <v>1414316</v>
      </c>
      <c r="BF36" s="173">
        <v>1425434</v>
      </c>
      <c r="BG36" s="173">
        <v>1398940</v>
      </c>
      <c r="BH36" s="173">
        <v>1404486</v>
      </c>
      <c r="BI36" s="173">
        <v>1369048</v>
      </c>
      <c r="BJ36" s="173">
        <v>1369048</v>
      </c>
      <c r="BK36" s="173">
        <v>1378024</v>
      </c>
      <c r="BL36" s="173">
        <f>BL37+BL38</f>
        <v>1393546</v>
      </c>
    </row>
    <row r="37" spans="1:64" s="1" customFormat="1" ht="15" customHeight="1">
      <c r="A37" t="s">
        <v>148</v>
      </c>
      <c r="B37" s="9" t="str">
        <f>IF('Sumário | Summary'!P1=1,"Financiamentos e Empréstimos","Loans and Financing")</f>
        <v>Financiamentos e Empréstimos</v>
      </c>
      <c r="C37" s="76">
        <v>0</v>
      </c>
      <c r="D37" s="76">
        <v>0</v>
      </c>
      <c r="E37" s="76">
        <v>540035</v>
      </c>
      <c r="F37" s="76">
        <v>373973</v>
      </c>
      <c r="G37" s="76">
        <v>373973</v>
      </c>
      <c r="H37" s="76">
        <v>433038</v>
      </c>
      <c r="I37" s="76">
        <v>540035</v>
      </c>
      <c r="J37" s="76">
        <v>627665</v>
      </c>
      <c r="K37" s="76">
        <v>701816</v>
      </c>
      <c r="L37" s="76">
        <v>701816</v>
      </c>
      <c r="M37" s="76">
        <v>940527</v>
      </c>
      <c r="N37" s="76">
        <v>1000302</v>
      </c>
      <c r="O37" s="76">
        <v>1118761</v>
      </c>
      <c r="P37" s="76">
        <v>1548156</v>
      </c>
      <c r="Q37" s="76">
        <v>1548156</v>
      </c>
      <c r="R37" s="76">
        <v>1536037</v>
      </c>
      <c r="S37" s="77">
        <v>1509426</v>
      </c>
      <c r="T37" s="76">
        <v>1612999</v>
      </c>
      <c r="U37" s="77">
        <v>1606777</v>
      </c>
      <c r="V37" s="77">
        <v>1606777</v>
      </c>
      <c r="W37" s="77">
        <v>1532275</v>
      </c>
      <c r="X37" s="77">
        <v>1511547</v>
      </c>
      <c r="Y37" s="78">
        <v>1520897</v>
      </c>
      <c r="Z37" s="79">
        <v>1507146</v>
      </c>
      <c r="AA37" s="76">
        <v>1507146</v>
      </c>
      <c r="AB37" s="77">
        <v>1517598</v>
      </c>
      <c r="AC37" s="77">
        <v>1454451</v>
      </c>
      <c r="AD37" s="77">
        <v>983450</v>
      </c>
      <c r="AE37" s="77">
        <v>965956</v>
      </c>
      <c r="AF37" s="77">
        <v>965956</v>
      </c>
      <c r="AG37" s="77">
        <v>964999</v>
      </c>
      <c r="AH37" s="77">
        <v>934623</v>
      </c>
      <c r="AI37" s="77">
        <v>931183</v>
      </c>
      <c r="AJ37" s="77">
        <v>680221</v>
      </c>
      <c r="AK37" s="77">
        <v>680221</v>
      </c>
      <c r="AL37" s="79">
        <v>681131</v>
      </c>
      <c r="AM37" s="79">
        <v>658165</v>
      </c>
      <c r="AN37" s="79">
        <v>659154</v>
      </c>
      <c r="AO37" s="79">
        <v>489346</v>
      </c>
      <c r="AP37" s="171">
        <v>489346</v>
      </c>
      <c r="AQ37" s="79">
        <v>489001</v>
      </c>
      <c r="AR37" s="79">
        <v>487337</v>
      </c>
      <c r="AS37" s="171">
        <v>485646</v>
      </c>
      <c r="AT37" s="79">
        <v>484233</v>
      </c>
      <c r="AU37" s="171">
        <v>484233</v>
      </c>
      <c r="AV37" s="171">
        <v>482753</v>
      </c>
      <c r="AW37" s="171">
        <v>481110</v>
      </c>
      <c r="AX37" s="171">
        <v>479535</v>
      </c>
      <c r="AY37" s="172">
        <v>396408</v>
      </c>
      <c r="AZ37" s="171">
        <v>396408</v>
      </c>
      <c r="BA37" s="171">
        <v>396550</v>
      </c>
      <c r="BB37" s="172">
        <v>395776</v>
      </c>
      <c r="BC37" s="171">
        <v>396018</v>
      </c>
      <c r="BD37" s="171">
        <v>395776</v>
      </c>
      <c r="BE37" s="171">
        <v>395776</v>
      </c>
      <c r="BF37" s="171">
        <v>395776</v>
      </c>
      <c r="BG37" s="171">
        <v>395776</v>
      </c>
      <c r="BH37" s="171">
        <v>395720</v>
      </c>
      <c r="BI37" s="171">
        <v>395776</v>
      </c>
      <c r="BJ37" s="171">
        <v>395776</v>
      </c>
      <c r="BK37" s="171">
        <v>396314</v>
      </c>
      <c r="BL37" s="171">
        <v>396303</v>
      </c>
    </row>
    <row r="38" spans="1:64" s="1" customFormat="1" ht="15" customHeight="1">
      <c r="A38" t="s">
        <v>149</v>
      </c>
      <c r="B38" s="9" t="str">
        <f>IF('Sumário | Summary'!P1=1,"Debêntures e Notas Promissórias","Debentures")</f>
        <v>Debêntures e Notas Promissórias</v>
      </c>
      <c r="C38" s="76">
        <v>0</v>
      </c>
      <c r="D38" s="76">
        <v>0</v>
      </c>
      <c r="E38" s="76">
        <v>657169</v>
      </c>
      <c r="F38" s="76">
        <v>534024</v>
      </c>
      <c r="G38" s="76">
        <v>534024</v>
      </c>
      <c r="H38" s="76">
        <v>665059</v>
      </c>
      <c r="I38" s="76">
        <v>657169</v>
      </c>
      <c r="J38" s="76">
        <v>727509</v>
      </c>
      <c r="K38" s="76">
        <v>924231</v>
      </c>
      <c r="L38" s="76">
        <v>924231</v>
      </c>
      <c r="M38" s="76">
        <v>959650</v>
      </c>
      <c r="N38" s="76">
        <v>961939</v>
      </c>
      <c r="O38" s="76">
        <v>931590</v>
      </c>
      <c r="P38" s="76">
        <v>935671</v>
      </c>
      <c r="Q38" s="76">
        <v>935671</v>
      </c>
      <c r="R38" s="76">
        <v>901486</v>
      </c>
      <c r="S38" s="77">
        <v>907364</v>
      </c>
      <c r="T38" s="76">
        <v>873672</v>
      </c>
      <c r="U38" s="77">
        <v>881667</v>
      </c>
      <c r="V38" s="77">
        <v>881667</v>
      </c>
      <c r="W38" s="77">
        <v>738684</v>
      </c>
      <c r="X38" s="77">
        <v>742784</v>
      </c>
      <c r="Y38" s="78">
        <v>819051</v>
      </c>
      <c r="Z38" s="79">
        <v>954934</v>
      </c>
      <c r="AA38" s="76">
        <v>954934</v>
      </c>
      <c r="AB38" s="77">
        <v>861807</v>
      </c>
      <c r="AC38" s="77">
        <v>985706</v>
      </c>
      <c r="AD38" s="77">
        <v>787962</v>
      </c>
      <c r="AE38" s="77">
        <v>694071</v>
      </c>
      <c r="AF38" s="77">
        <v>694071</v>
      </c>
      <c r="AG38" s="77">
        <v>854119</v>
      </c>
      <c r="AH38" s="77">
        <v>858406</v>
      </c>
      <c r="AI38" s="77">
        <v>816319</v>
      </c>
      <c r="AJ38" s="77">
        <v>1053560</v>
      </c>
      <c r="AK38" s="77">
        <v>1053560</v>
      </c>
      <c r="AL38" s="79">
        <v>981216</v>
      </c>
      <c r="AM38" s="79">
        <v>1289750</v>
      </c>
      <c r="AN38" s="79">
        <v>1049014</v>
      </c>
      <c r="AO38" s="79">
        <v>1515411</v>
      </c>
      <c r="AP38" s="171">
        <v>1515411</v>
      </c>
      <c r="AQ38" s="79">
        <v>1466358</v>
      </c>
      <c r="AR38" s="79">
        <v>1461398</v>
      </c>
      <c r="AS38" s="79">
        <v>1410914</v>
      </c>
      <c r="AT38" s="79">
        <v>1402551</v>
      </c>
      <c r="AU38" s="171">
        <v>1402551</v>
      </c>
      <c r="AV38" s="171">
        <v>1327101</v>
      </c>
      <c r="AW38" s="171">
        <v>1635889</v>
      </c>
      <c r="AX38" s="171">
        <v>1596105</v>
      </c>
      <c r="AY38" s="172">
        <v>1600478</v>
      </c>
      <c r="AZ38" s="171">
        <v>1600478</v>
      </c>
      <c r="BA38" s="171">
        <v>1427991</v>
      </c>
      <c r="BB38" s="172">
        <v>1247204</v>
      </c>
      <c r="BC38" s="171">
        <v>1045456</v>
      </c>
      <c r="BD38" s="171">
        <v>1018540</v>
      </c>
      <c r="BE38" s="171">
        <v>1018540</v>
      </c>
      <c r="BF38" s="171">
        <v>1029658</v>
      </c>
      <c r="BG38" s="171">
        <v>1003164</v>
      </c>
      <c r="BH38" s="171">
        <v>1008766</v>
      </c>
      <c r="BI38" s="171">
        <v>973272</v>
      </c>
      <c r="BJ38" s="171">
        <v>973272</v>
      </c>
      <c r="BK38" s="171">
        <v>981710</v>
      </c>
      <c r="BL38" s="171">
        <v>997243</v>
      </c>
    </row>
    <row r="39" spans="1:64" s="72" customFormat="1" ht="15" customHeight="1">
      <c r="A39" t="s">
        <v>327</v>
      </c>
      <c r="B39" s="8" t="str">
        <f>IF('Sumário | Summary'!P1=1,"Disponibilidades","Cash and Equivalents")</f>
        <v>Disponibilidades</v>
      </c>
      <c r="C39" s="76">
        <v>0</v>
      </c>
      <c r="D39" s="76">
        <v>0</v>
      </c>
      <c r="E39" s="73">
        <v>334860</v>
      </c>
      <c r="F39" s="73">
        <v>319599</v>
      </c>
      <c r="G39" s="73">
        <v>319599</v>
      </c>
      <c r="H39" s="73">
        <v>468447</v>
      </c>
      <c r="I39" s="73">
        <v>334860</v>
      </c>
      <c r="J39" s="73">
        <v>219819</v>
      </c>
      <c r="K39" s="73">
        <v>264403</v>
      </c>
      <c r="L39" s="73">
        <v>264403</v>
      </c>
      <c r="M39" s="73">
        <v>344031</v>
      </c>
      <c r="N39" s="73">
        <v>315179</v>
      </c>
      <c r="O39" s="73">
        <v>263258</v>
      </c>
      <c r="P39" s="73">
        <v>572990</v>
      </c>
      <c r="Q39" s="73">
        <v>572990</v>
      </c>
      <c r="R39" s="73">
        <v>455545</v>
      </c>
      <c r="S39" s="73">
        <v>270704</v>
      </c>
      <c r="T39" s="73">
        <v>655952</v>
      </c>
      <c r="U39" s="73">
        <v>566073</v>
      </c>
      <c r="V39" s="73">
        <v>566073</v>
      </c>
      <c r="W39" s="73">
        <v>498864</v>
      </c>
      <c r="X39" s="73">
        <v>303800</v>
      </c>
      <c r="Y39" s="74">
        <v>310211</v>
      </c>
      <c r="Z39" s="75">
        <v>413440</v>
      </c>
      <c r="AA39" s="73">
        <v>413440</v>
      </c>
      <c r="AB39" s="73">
        <v>293483</v>
      </c>
      <c r="AC39" s="73">
        <v>329534</v>
      </c>
      <c r="AD39" s="73">
        <v>447646</v>
      </c>
      <c r="AE39" s="73">
        <v>341232</v>
      </c>
      <c r="AF39" s="73">
        <v>341232</v>
      </c>
      <c r="AG39" s="73">
        <v>508547</v>
      </c>
      <c r="AH39" s="73">
        <v>542583</v>
      </c>
      <c r="AI39" s="73">
        <v>493936</v>
      </c>
      <c r="AJ39" s="73">
        <v>382583</v>
      </c>
      <c r="AK39" s="73">
        <v>382583</v>
      </c>
      <c r="AL39" s="75">
        <v>336534</v>
      </c>
      <c r="AM39" s="75">
        <v>568655</v>
      </c>
      <c r="AN39" s="75">
        <v>329876</v>
      </c>
      <c r="AO39" s="75">
        <v>899209</v>
      </c>
      <c r="AP39" s="173">
        <v>899209</v>
      </c>
      <c r="AQ39" s="75">
        <v>828429</v>
      </c>
      <c r="AR39" s="75">
        <v>719514</v>
      </c>
      <c r="AS39" s="75">
        <v>619044</v>
      </c>
      <c r="AT39" s="75">
        <v>416217</v>
      </c>
      <c r="AU39" s="173">
        <v>416217</v>
      </c>
      <c r="AV39" s="173">
        <v>353054</v>
      </c>
      <c r="AW39" s="173">
        <v>659400</v>
      </c>
      <c r="AX39" s="173">
        <v>632853</v>
      </c>
      <c r="AY39" s="173">
        <v>740308</v>
      </c>
      <c r="AZ39" s="173">
        <v>740308</v>
      </c>
      <c r="BA39" s="173">
        <v>577144</v>
      </c>
      <c r="BB39" s="176">
        <v>653431</v>
      </c>
      <c r="BC39" s="173">
        <v>432107</v>
      </c>
      <c r="BD39" s="173">
        <v>329206</v>
      </c>
      <c r="BE39" s="173">
        <v>329206</v>
      </c>
      <c r="BF39" s="173">
        <v>351244</v>
      </c>
      <c r="BG39" s="173">
        <v>312490</v>
      </c>
      <c r="BH39" s="173">
        <v>331183</v>
      </c>
      <c r="BI39" s="173">
        <v>313465</v>
      </c>
      <c r="BJ39" s="173">
        <v>313465</v>
      </c>
      <c r="BK39" s="173">
        <v>580489.1910141519</v>
      </c>
      <c r="BL39" s="173">
        <f>BL40</f>
        <v>1368105</v>
      </c>
    </row>
    <row r="40" spans="1:64" s="1" customFormat="1" ht="15" customHeight="1">
      <c r="A40" t="s">
        <v>150</v>
      </c>
      <c r="B40" s="9" t="str">
        <f>IF('Sumário | Summary'!P1=1,"Caixa, Investimentos e Valores Mobiliários","Cash and Equivalents")</f>
        <v>Caixa, Investimentos e Valores Mobiliários</v>
      </c>
      <c r="C40" s="76">
        <v>0</v>
      </c>
      <c r="D40" s="76">
        <v>0</v>
      </c>
      <c r="E40" s="76">
        <v>334860</v>
      </c>
      <c r="F40" s="76">
        <v>319599</v>
      </c>
      <c r="G40" s="76">
        <v>319599</v>
      </c>
      <c r="H40" s="76">
        <v>468447</v>
      </c>
      <c r="I40" s="76">
        <v>334860</v>
      </c>
      <c r="J40" s="76">
        <v>219819</v>
      </c>
      <c r="K40" s="76">
        <v>264403</v>
      </c>
      <c r="L40" s="76">
        <v>264403</v>
      </c>
      <c r="M40" s="76">
        <v>344031</v>
      </c>
      <c r="N40" s="76">
        <v>315179</v>
      </c>
      <c r="O40" s="76">
        <v>263258</v>
      </c>
      <c r="P40" s="76">
        <v>572990</v>
      </c>
      <c r="Q40" s="76">
        <v>572990</v>
      </c>
      <c r="R40" s="76">
        <v>455545</v>
      </c>
      <c r="S40" s="77">
        <v>270704</v>
      </c>
      <c r="T40" s="76">
        <v>655952</v>
      </c>
      <c r="U40" s="77">
        <v>566073</v>
      </c>
      <c r="V40" s="77">
        <v>566073</v>
      </c>
      <c r="W40" s="77">
        <v>498864</v>
      </c>
      <c r="X40" s="77">
        <v>303800</v>
      </c>
      <c r="Y40" s="78">
        <v>310211</v>
      </c>
      <c r="Z40" s="79">
        <v>413440</v>
      </c>
      <c r="AA40" s="76">
        <v>413440</v>
      </c>
      <c r="AB40" s="77">
        <v>293483</v>
      </c>
      <c r="AC40" s="77">
        <v>329534</v>
      </c>
      <c r="AD40" s="77">
        <v>447646</v>
      </c>
      <c r="AE40" s="77">
        <v>341232</v>
      </c>
      <c r="AF40" s="77">
        <v>341232</v>
      </c>
      <c r="AG40" s="77">
        <v>508547</v>
      </c>
      <c r="AH40" s="77">
        <v>542583</v>
      </c>
      <c r="AI40" s="77">
        <v>493936</v>
      </c>
      <c r="AJ40" s="77">
        <v>382583</v>
      </c>
      <c r="AK40" s="77">
        <v>382583</v>
      </c>
      <c r="AL40" s="79">
        <v>336534</v>
      </c>
      <c r="AM40" s="79">
        <v>568655</v>
      </c>
      <c r="AN40" s="79">
        <v>329876</v>
      </c>
      <c r="AO40" s="79">
        <v>899209</v>
      </c>
      <c r="AP40" s="171">
        <v>899209</v>
      </c>
      <c r="AQ40" s="79">
        <v>828429</v>
      </c>
      <c r="AR40" s="79">
        <v>719514</v>
      </c>
      <c r="AS40" s="79">
        <v>619044</v>
      </c>
      <c r="AT40" s="79">
        <v>416217</v>
      </c>
      <c r="AU40" s="171">
        <v>416217</v>
      </c>
      <c r="AV40" s="171">
        <v>353054</v>
      </c>
      <c r="AW40" s="171">
        <v>659400</v>
      </c>
      <c r="AX40" s="171">
        <v>632853</v>
      </c>
      <c r="AY40" s="172">
        <v>740308</v>
      </c>
      <c r="AZ40" s="171">
        <v>740308</v>
      </c>
      <c r="BA40" s="171">
        <v>577144</v>
      </c>
      <c r="BB40" s="172">
        <v>653431</v>
      </c>
      <c r="BC40" s="171">
        <v>432107</v>
      </c>
      <c r="BD40" s="171">
        <v>329206</v>
      </c>
      <c r="BE40" s="171">
        <v>329206</v>
      </c>
      <c r="BF40" s="171">
        <v>351244</v>
      </c>
      <c r="BG40" s="171">
        <v>312490</v>
      </c>
      <c r="BH40" s="171">
        <v>331183</v>
      </c>
      <c r="BI40" s="171">
        <v>313465</v>
      </c>
      <c r="BJ40" s="171">
        <v>313465</v>
      </c>
      <c r="BK40" s="171">
        <v>580489.1910141519</v>
      </c>
      <c r="BL40" s="171">
        <v>1368105</v>
      </c>
    </row>
    <row r="41" spans="1:64" s="72" customFormat="1" ht="15" customHeight="1">
      <c r="A41" t="s">
        <v>328</v>
      </c>
      <c r="B41" s="8" t="str">
        <f>IF('Sumário | Summary'!P1=1,"Dívida Líquida Total","Net Debt")</f>
        <v>Dívida Líquida Total</v>
      </c>
      <c r="C41" s="80">
        <v>0</v>
      </c>
      <c r="D41" s="80">
        <v>0</v>
      </c>
      <c r="E41" s="80">
        <v>862344</v>
      </c>
      <c r="F41" s="80">
        <v>588398</v>
      </c>
      <c r="G41" s="80">
        <v>588398</v>
      </c>
      <c r="H41" s="80">
        <v>629650</v>
      </c>
      <c r="I41" s="80">
        <v>862344</v>
      </c>
      <c r="J41" s="80">
        <v>1135355</v>
      </c>
      <c r="K41" s="80">
        <v>1361644</v>
      </c>
      <c r="L41" s="80">
        <v>1361644</v>
      </c>
      <c r="M41" s="80">
        <v>1556146</v>
      </c>
      <c r="N41" s="80">
        <v>1647062</v>
      </c>
      <c r="O41" s="80">
        <v>1787093</v>
      </c>
      <c r="P41" s="80">
        <v>1910837</v>
      </c>
      <c r="Q41" s="80">
        <v>1910837</v>
      </c>
      <c r="R41" s="80">
        <v>1981978</v>
      </c>
      <c r="S41" s="80">
        <v>2146086</v>
      </c>
      <c r="T41" s="80">
        <v>1830719</v>
      </c>
      <c r="U41" s="80">
        <v>1922371</v>
      </c>
      <c r="V41" s="80">
        <v>1922371</v>
      </c>
      <c r="W41" s="80">
        <v>1772095</v>
      </c>
      <c r="X41" s="80">
        <v>1950531</v>
      </c>
      <c r="Y41" s="80">
        <v>2029737</v>
      </c>
      <c r="Z41" s="80">
        <v>2048640</v>
      </c>
      <c r="AA41" s="80">
        <v>2048640</v>
      </c>
      <c r="AB41" s="80">
        <v>2085922</v>
      </c>
      <c r="AC41" s="80">
        <v>2110623</v>
      </c>
      <c r="AD41" s="80">
        <v>1323766</v>
      </c>
      <c r="AE41" s="80">
        <v>1318795</v>
      </c>
      <c r="AF41" s="80">
        <v>1318795</v>
      </c>
      <c r="AG41" s="80">
        <v>1310571</v>
      </c>
      <c r="AH41" s="80">
        <v>1250446</v>
      </c>
      <c r="AI41" s="80">
        <v>1253566</v>
      </c>
      <c r="AJ41" s="80">
        <v>1351198</v>
      </c>
      <c r="AK41" s="80">
        <v>1351198</v>
      </c>
      <c r="AL41" s="80">
        <v>1325813</v>
      </c>
      <c r="AM41" s="80">
        <v>1379260</v>
      </c>
      <c r="AN41" s="80">
        <v>1378292</v>
      </c>
      <c r="AO41" s="80">
        <v>1105548</v>
      </c>
      <c r="AP41" s="178">
        <v>1105548</v>
      </c>
      <c r="AQ41" s="80">
        <v>1126930</v>
      </c>
      <c r="AR41" s="80">
        <v>1229221</v>
      </c>
      <c r="AS41" s="80">
        <v>1277516</v>
      </c>
      <c r="AT41" s="80">
        <v>1470567</v>
      </c>
      <c r="AU41" s="178">
        <v>1470567</v>
      </c>
      <c r="AV41" s="178">
        <v>1456800</v>
      </c>
      <c r="AW41" s="178">
        <v>1457599</v>
      </c>
      <c r="AX41" s="178">
        <v>1442787</v>
      </c>
      <c r="AY41" s="178">
        <v>1256578</v>
      </c>
      <c r="AZ41" s="178">
        <v>1256578</v>
      </c>
      <c r="BA41" s="178">
        <v>1247397</v>
      </c>
      <c r="BB41" s="189">
        <v>989549</v>
      </c>
      <c r="BC41" s="178">
        <v>1009367</v>
      </c>
      <c r="BD41" s="178">
        <v>1085110</v>
      </c>
      <c r="BE41" s="178">
        <v>1085110</v>
      </c>
      <c r="BF41" s="178">
        <v>1074190</v>
      </c>
      <c r="BG41" s="178">
        <v>1086450</v>
      </c>
      <c r="BH41" s="178">
        <v>1073303</v>
      </c>
      <c r="BI41" s="178">
        <v>1055583</v>
      </c>
      <c r="BJ41" s="178">
        <v>1055583</v>
      </c>
      <c r="BK41" s="178">
        <v>797534.8089858481</v>
      </c>
      <c r="BL41" s="178">
        <f>BL36-BL39</f>
        <v>25441</v>
      </c>
    </row>
    <row r="42" spans="1:64" s="1" customFormat="1" ht="15" customHeight="1">
      <c r="A42" t="s">
        <v>151</v>
      </c>
      <c r="B42" s="9" t="str">
        <f>IF('Sumário | Summary'!P1=1,"Dívida Líquida Total/EBITDA UDM","Total Net Debt/EBITDA LTM")</f>
        <v>Dívida Líquida Total/EBITDA UDM</v>
      </c>
      <c r="C42" s="76">
        <v>0</v>
      </c>
      <c r="D42" s="76">
        <v>0</v>
      </c>
      <c r="E42" s="76">
        <v>0</v>
      </c>
      <c r="F42" s="81">
        <v>2.3541560848898659</v>
      </c>
      <c r="G42" s="81">
        <v>2.3541560848898659</v>
      </c>
      <c r="H42" s="81">
        <v>2.2323098597668642</v>
      </c>
      <c r="I42" s="81">
        <v>3.5679584698412259</v>
      </c>
      <c r="J42" s="81">
        <v>4.512375571200403</v>
      </c>
      <c r="K42" s="81">
        <v>5.7460110474548927</v>
      </c>
      <c r="L42" s="81">
        <v>5.7460110474548927</v>
      </c>
      <c r="M42" s="81">
        <v>6.7396540543983798</v>
      </c>
      <c r="N42" s="81">
        <v>7.2015959628481143</v>
      </c>
      <c r="O42" s="81">
        <v>7.130932752602483</v>
      </c>
      <c r="P42" s="81">
        <v>7.5639163694341143</v>
      </c>
      <c r="Q42" s="81">
        <v>7.5639163694341143</v>
      </c>
      <c r="R42" s="81">
        <v>8.3084612143662877</v>
      </c>
      <c r="S42" s="81">
        <v>8.1235098634094083</v>
      </c>
      <c r="T42" s="81">
        <v>6.9212685382817822</v>
      </c>
      <c r="U42" s="81">
        <v>6.7237758439649546</v>
      </c>
      <c r="V42" s="81">
        <v>6.7237758439649546</v>
      </c>
      <c r="W42" s="81">
        <v>5.214041233746876</v>
      </c>
      <c r="X42" s="81">
        <v>5.9504161006679315</v>
      </c>
      <c r="Y42" s="81">
        <v>6.3035343462596529</v>
      </c>
      <c r="Z42" s="81">
        <v>6.3949223220290268</v>
      </c>
      <c r="AA42" s="81">
        <v>6.3949223220290268</v>
      </c>
      <c r="AB42" s="81">
        <v>7.5912468447869328</v>
      </c>
      <c r="AC42" s="81">
        <v>7.5812150327552743</v>
      </c>
      <c r="AD42" s="81">
        <v>2.4377738209441859</v>
      </c>
      <c r="AE42" s="81">
        <v>2.5137288448622135</v>
      </c>
      <c r="AF42" s="81">
        <v>2.5137288448622135</v>
      </c>
      <c r="AG42" s="81">
        <v>2.4239813290484524</v>
      </c>
      <c r="AH42" s="81">
        <v>2.2010272512061948</v>
      </c>
      <c r="AI42" s="81">
        <v>4.6846256958327741</v>
      </c>
      <c r="AJ42" s="81">
        <v>5.1990574416731246</v>
      </c>
      <c r="AK42" s="81">
        <v>5.1990574416731246</v>
      </c>
      <c r="AL42" s="125">
        <v>5.0811541461899692</v>
      </c>
      <c r="AM42" s="125">
        <v>6.366156170831661</v>
      </c>
      <c r="AN42" s="125">
        <v>5.2666815854634415</v>
      </c>
      <c r="AO42" s="125">
        <v>3.5013196945440135</v>
      </c>
      <c r="AP42" s="179">
        <v>3.5013196945440135</v>
      </c>
      <c r="AQ42" s="125">
        <v>3.4237041990489332</v>
      </c>
      <c r="AR42" s="125">
        <v>3.7930308440471419</v>
      </c>
      <c r="AS42" s="125">
        <v>3.7601644538985055</v>
      </c>
      <c r="AT42" s="125">
        <v>4.7038435619989549</v>
      </c>
      <c r="AU42" s="179">
        <v>4.7038435619989549</v>
      </c>
      <c r="AV42" s="179">
        <v>4.8316542626971701</v>
      </c>
      <c r="AW42" s="179">
        <v>4.3889916649116589</v>
      </c>
      <c r="AX42" s="179">
        <v>4.3689928083136662</v>
      </c>
      <c r="AY42" s="180">
        <v>0.73540112280196468</v>
      </c>
      <c r="AZ42" s="179">
        <v>0.73540112280196468</v>
      </c>
      <c r="BA42" s="179">
        <v>0.73648004729689398</v>
      </c>
      <c r="BB42" s="180">
        <v>0.59475496747974388</v>
      </c>
      <c r="BC42" s="179">
        <v>3.7885538218867345</v>
      </c>
      <c r="BD42" s="179">
        <v>5.2381048755176547</v>
      </c>
      <c r="BE42" s="179">
        <v>5.2381048755176547</v>
      </c>
      <c r="BF42" s="179">
        <v>5.4611122409241419</v>
      </c>
      <c r="BG42" s="179">
        <v>5.3875160146569625</v>
      </c>
      <c r="BH42" s="179">
        <v>5.3073508296661762</v>
      </c>
      <c r="BI42" s="179">
        <v>4.477380870196785</v>
      </c>
      <c r="BJ42" s="179">
        <v>4.477380870196785</v>
      </c>
      <c r="BK42" s="179">
        <v>3.2106369305574289</v>
      </c>
      <c r="BL42" s="179">
        <v>2.744976758504716E-2</v>
      </c>
    </row>
    <row r="43" spans="1:64" s="1" customFormat="1" ht="15" customHeight="1">
      <c r="A43"/>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P43" s="177"/>
      <c r="AU43" s="177"/>
      <c r="AV43" s="177"/>
      <c r="AW43" s="177"/>
      <c r="AX43" s="177"/>
      <c r="AY43" s="177"/>
      <c r="AZ43" s="177"/>
      <c r="BA43" s="177"/>
      <c r="BB43" s="177"/>
      <c r="BC43" s="177"/>
      <c r="BD43" s="177"/>
      <c r="BE43" s="177"/>
      <c r="BF43" s="177"/>
      <c r="BG43" s="177"/>
      <c r="BH43" s="177"/>
      <c r="BI43" s="177"/>
      <c r="BJ43" s="177"/>
      <c r="BK43" s="177"/>
      <c r="BL43" s="177"/>
    </row>
    <row r="44" spans="1:64" s="1" customFormat="1" ht="18.75" customHeight="1">
      <c r="A44"/>
      <c r="B44" s="60" t="str">
        <f>IF('Sumário | Summary'!P1=1,"Endividamento Proforma","Proforma Debt")</f>
        <v>Endividamento Proforma</v>
      </c>
      <c r="C44" s="26"/>
      <c r="D44" s="60"/>
      <c r="E44" s="26"/>
      <c r="F44" s="60"/>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121"/>
      <c r="AM44" s="26"/>
      <c r="AN44" s="61"/>
      <c r="AO44" s="61"/>
      <c r="AP44" s="147"/>
      <c r="AQ44" s="61"/>
      <c r="AR44" s="61"/>
      <c r="AS44" s="61"/>
      <c r="AT44" s="61"/>
      <c r="AU44" s="147"/>
      <c r="AV44" s="147"/>
      <c r="AW44" s="147"/>
      <c r="AX44" s="147"/>
      <c r="AY44" s="147"/>
      <c r="AZ44" s="147"/>
      <c r="BA44" s="147"/>
      <c r="BB44" s="147"/>
      <c r="BC44" s="147"/>
      <c r="BD44" s="147"/>
      <c r="BE44" s="147"/>
      <c r="BF44" s="147"/>
      <c r="BG44" s="147"/>
      <c r="BH44" s="147"/>
      <c r="BI44" s="147"/>
      <c r="BJ44" s="147"/>
      <c r="BK44" s="147"/>
      <c r="BL44" s="147"/>
    </row>
    <row r="45" spans="1:64" s="72" customFormat="1" ht="15" customHeight="1">
      <c r="A45" t="s">
        <v>326</v>
      </c>
      <c r="B45" s="8" t="str">
        <f>IF('Sumário | Summary'!P1=1,"Endividamento","Debt")</f>
        <v>Endividamento</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v>2533614</v>
      </c>
      <c r="AC45" s="173">
        <v>2455163</v>
      </c>
      <c r="AD45" s="173">
        <v>1692720</v>
      </c>
      <c r="AE45" s="173">
        <v>1575077</v>
      </c>
      <c r="AF45" s="173">
        <v>1575077</v>
      </c>
      <c r="AG45" s="173">
        <v>1741045</v>
      </c>
      <c r="AH45" s="173">
        <v>1715464</v>
      </c>
      <c r="AI45" s="173">
        <v>1674805</v>
      </c>
      <c r="AJ45" s="173">
        <v>1633235</v>
      </c>
      <c r="AK45" s="173">
        <v>1633235</v>
      </c>
      <c r="AL45" s="173">
        <v>1573595</v>
      </c>
      <c r="AM45" s="173">
        <v>1831187</v>
      </c>
      <c r="AN45" s="173">
        <v>1602546</v>
      </c>
      <c r="AO45" s="173">
        <v>1617262</v>
      </c>
      <c r="AP45" s="173">
        <v>1617262</v>
      </c>
      <c r="AQ45" s="173">
        <v>1656280.6</v>
      </c>
      <c r="AR45" s="173">
        <v>1649847.33</v>
      </c>
      <c r="AS45" s="173">
        <v>1597889.26</v>
      </c>
      <c r="AT45" s="173">
        <v>1588123.02</v>
      </c>
      <c r="AU45" s="173">
        <v>1588123.02</v>
      </c>
      <c r="AV45" s="173">
        <v>1434653</v>
      </c>
      <c r="AW45" s="173">
        <v>1744866</v>
      </c>
      <c r="AX45" s="173">
        <v>1706513</v>
      </c>
      <c r="AY45" s="173">
        <v>1657885</v>
      </c>
      <c r="AZ45" s="173">
        <v>1657885</v>
      </c>
      <c r="BA45" s="173">
        <v>1487944</v>
      </c>
      <c r="BB45" s="173">
        <v>1309704</v>
      </c>
      <c r="BC45" s="173">
        <v>1110553</v>
      </c>
      <c r="BD45" s="173">
        <v>1086202</v>
      </c>
      <c r="BE45" s="173">
        <v>1086202</v>
      </c>
      <c r="BF45" s="173">
        <v>1099859</v>
      </c>
      <c r="BG45" s="173">
        <v>1075957</v>
      </c>
      <c r="BH45" s="173">
        <v>1084145</v>
      </c>
      <c r="BI45" s="173">
        <v>1051176</v>
      </c>
      <c r="BJ45" s="173">
        <v>1051176</v>
      </c>
      <c r="BK45" s="173">
        <v>1062173</v>
      </c>
      <c r="BL45" s="173">
        <f>BL46+BL47</f>
        <v>1018940</v>
      </c>
    </row>
    <row r="46" spans="1:64" s="1" customFormat="1" ht="15" customHeight="1">
      <c r="A46" t="s">
        <v>148</v>
      </c>
      <c r="B46" s="9" t="str">
        <f>IF('Sumário | Summary'!P1=1,"Financiamentos e Empréstimos","Loans and Financing")</f>
        <v>Financiamentos e Empréstimos</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v>1447107</v>
      </c>
      <c r="AC46" s="171">
        <v>1383336</v>
      </c>
      <c r="AD46" s="171">
        <v>876005</v>
      </c>
      <c r="AE46" s="171">
        <v>857816.99999999988</v>
      </c>
      <c r="AF46" s="171">
        <v>857816.99999999988</v>
      </c>
      <c r="AG46" s="171">
        <v>823016.99999999988</v>
      </c>
      <c r="AH46" s="171">
        <v>793678</v>
      </c>
      <c r="AI46" s="171">
        <v>792000</v>
      </c>
      <c r="AJ46" s="171">
        <v>542416</v>
      </c>
      <c r="AK46" s="171">
        <v>542416</v>
      </c>
      <c r="AL46" s="171">
        <v>546226</v>
      </c>
      <c r="AM46" s="171">
        <v>504618</v>
      </c>
      <c r="AN46" s="171">
        <v>509655.00000000006</v>
      </c>
      <c r="AO46" s="171">
        <v>181312</v>
      </c>
      <c r="AP46" s="171">
        <v>181312</v>
      </c>
      <c r="AQ46" s="171">
        <v>180680</v>
      </c>
      <c r="AR46" s="171">
        <v>179626</v>
      </c>
      <c r="AS46" s="171">
        <v>178560</v>
      </c>
      <c r="AT46" s="171">
        <v>177565</v>
      </c>
      <c r="AU46" s="171">
        <v>177565</v>
      </c>
      <c r="AV46" s="171">
        <v>176543</v>
      </c>
      <c r="AW46" s="171">
        <v>175448</v>
      </c>
      <c r="AX46" s="171">
        <v>174365</v>
      </c>
      <c r="AY46" s="171">
        <v>118922</v>
      </c>
      <c r="AZ46" s="171">
        <v>118922</v>
      </c>
      <c r="BA46" s="171">
        <v>118965</v>
      </c>
      <c r="BB46" s="171">
        <v>118926</v>
      </c>
      <c r="BC46" s="171">
        <v>118999</v>
      </c>
      <c r="BD46" s="171">
        <v>118999</v>
      </c>
      <c r="BE46" s="171">
        <v>118999</v>
      </c>
      <c r="BF46" s="171">
        <v>118999</v>
      </c>
      <c r="BG46" s="171">
        <v>118999</v>
      </c>
      <c r="BH46" s="171">
        <v>118982</v>
      </c>
      <c r="BI46" s="171">
        <v>118907</v>
      </c>
      <c r="BJ46" s="171">
        <v>118907</v>
      </c>
      <c r="BK46" s="171">
        <v>118894</v>
      </c>
      <c r="BL46" s="171">
        <v>39630</v>
      </c>
    </row>
    <row r="47" spans="1:64" s="1" customFormat="1" ht="15" customHeight="1">
      <c r="A47" t="s">
        <v>149</v>
      </c>
      <c r="B47" s="9" t="str">
        <f>IF('Sumário | Summary'!P1=1,"Debêntures e Notas Promissórias","Debentures")</f>
        <v>Debêntures e Notas Promissórias</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v>1086507</v>
      </c>
      <c r="AC47" s="171">
        <v>1071827</v>
      </c>
      <c r="AD47" s="171">
        <v>816715</v>
      </c>
      <c r="AE47" s="171">
        <v>717260</v>
      </c>
      <c r="AF47" s="171">
        <v>717260</v>
      </c>
      <c r="AG47" s="171">
        <v>918028</v>
      </c>
      <c r="AH47" s="171">
        <v>921786</v>
      </c>
      <c r="AI47" s="171">
        <v>882805.00000000012</v>
      </c>
      <c r="AJ47" s="171">
        <v>1090819</v>
      </c>
      <c r="AK47" s="171">
        <v>1090819</v>
      </c>
      <c r="AL47" s="171">
        <v>1027368.9999999999</v>
      </c>
      <c r="AM47" s="171">
        <v>1326569</v>
      </c>
      <c r="AN47" s="171">
        <v>1092891</v>
      </c>
      <c r="AO47" s="171">
        <v>1435950</v>
      </c>
      <c r="AP47" s="171">
        <v>1435950</v>
      </c>
      <c r="AQ47" s="171">
        <v>1475600.6</v>
      </c>
      <c r="AR47" s="171">
        <v>1470221.33</v>
      </c>
      <c r="AS47" s="171">
        <v>1419329.26</v>
      </c>
      <c r="AT47" s="171">
        <v>1410558.02</v>
      </c>
      <c r="AU47" s="171">
        <v>1410558.02</v>
      </c>
      <c r="AV47" s="171">
        <v>1258110</v>
      </c>
      <c r="AW47" s="171">
        <v>1569418</v>
      </c>
      <c r="AX47" s="171">
        <v>1532148</v>
      </c>
      <c r="AY47" s="171">
        <v>1538963</v>
      </c>
      <c r="AZ47" s="171">
        <v>1538963</v>
      </c>
      <c r="BA47" s="171">
        <v>1368979</v>
      </c>
      <c r="BB47" s="171">
        <v>1190778</v>
      </c>
      <c r="BC47" s="171">
        <v>991554</v>
      </c>
      <c r="BD47" s="171">
        <v>967203</v>
      </c>
      <c r="BE47" s="171">
        <v>967203</v>
      </c>
      <c r="BF47" s="171">
        <v>980860</v>
      </c>
      <c r="BG47" s="171">
        <v>956958</v>
      </c>
      <c r="BH47" s="171">
        <v>965163</v>
      </c>
      <c r="BI47" s="171">
        <v>932269</v>
      </c>
      <c r="BJ47" s="171">
        <v>932269</v>
      </c>
      <c r="BK47" s="171">
        <v>943279</v>
      </c>
      <c r="BL47" s="171">
        <v>979310</v>
      </c>
    </row>
    <row r="48" spans="1:64" s="72" customFormat="1" ht="15" customHeight="1">
      <c r="A48" t="s">
        <v>327</v>
      </c>
      <c r="B48" s="8" t="str">
        <f>IF('Sumário | Summary'!P1=1,"Disponibilidades","Cash and Equivalents")</f>
        <v>Disponibilidades</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v>279756</v>
      </c>
      <c r="AC48" s="173">
        <v>312027.00000000006</v>
      </c>
      <c r="AD48" s="173">
        <v>433324</v>
      </c>
      <c r="AE48" s="173">
        <v>325818.99999999994</v>
      </c>
      <c r="AF48" s="173">
        <v>325818.99999999994</v>
      </c>
      <c r="AG48" s="173">
        <v>491556</v>
      </c>
      <c r="AH48" s="173">
        <v>528844</v>
      </c>
      <c r="AI48" s="173">
        <v>467798</v>
      </c>
      <c r="AJ48" s="173">
        <v>366781</v>
      </c>
      <c r="AK48" s="173">
        <v>366781</v>
      </c>
      <c r="AL48" s="173">
        <v>313479.00000000006</v>
      </c>
      <c r="AM48" s="173">
        <v>544889</v>
      </c>
      <c r="AN48" s="173">
        <v>304904</v>
      </c>
      <c r="AO48" s="173">
        <v>867431.99999999988</v>
      </c>
      <c r="AP48" s="173">
        <v>867431.99999999988</v>
      </c>
      <c r="AQ48" s="173">
        <v>828428.40403632692</v>
      </c>
      <c r="AR48" s="173">
        <v>719514.13059659989</v>
      </c>
      <c r="AS48" s="173">
        <v>586028.94602988707</v>
      </c>
      <c r="AT48" s="173">
        <v>392550.59578783787</v>
      </c>
      <c r="AU48" s="173">
        <v>392550.59578783787</v>
      </c>
      <c r="AV48" s="173">
        <v>321635</v>
      </c>
      <c r="AW48" s="173">
        <v>619004</v>
      </c>
      <c r="AX48" s="173">
        <v>583557</v>
      </c>
      <c r="AY48" s="173">
        <v>707643</v>
      </c>
      <c r="AZ48" s="173">
        <v>707643</v>
      </c>
      <c r="BA48" s="173">
        <v>546808</v>
      </c>
      <c r="BB48" s="173">
        <v>621329</v>
      </c>
      <c r="BC48" s="173">
        <v>405000</v>
      </c>
      <c r="BD48" s="173">
        <v>316919</v>
      </c>
      <c r="BE48" s="173">
        <v>316919</v>
      </c>
      <c r="BF48" s="173">
        <v>327710</v>
      </c>
      <c r="BG48" s="173">
        <v>292324.40992920002</v>
      </c>
      <c r="BH48" s="173">
        <v>304101.63265583199</v>
      </c>
      <c r="BI48" s="173">
        <v>282780.51583749597</v>
      </c>
      <c r="BJ48" s="173">
        <v>282780.51583749597</v>
      </c>
      <c r="BK48" s="173">
        <v>623257</v>
      </c>
      <c r="BL48" s="173">
        <f>BL49</f>
        <v>1219751.0981075526</v>
      </c>
    </row>
    <row r="49" spans="1:64" s="1" customFormat="1" ht="15" customHeight="1">
      <c r="A49" t="s">
        <v>150</v>
      </c>
      <c r="B49" s="9" t="str">
        <f>IF('Sumário | Summary'!P1=1,"Caixa, Investimentos e Valores Mobiliários","Cash and Equivalents")</f>
        <v>Caixa, Investimentos e Valores Mobiliários</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v>279756</v>
      </c>
      <c r="AC49" s="171">
        <v>312027.00000000006</v>
      </c>
      <c r="AD49" s="171">
        <v>433324</v>
      </c>
      <c r="AE49" s="171">
        <v>325818.99999999994</v>
      </c>
      <c r="AF49" s="171">
        <v>325818.99999999994</v>
      </c>
      <c r="AG49" s="171">
        <v>491556</v>
      </c>
      <c r="AH49" s="171">
        <v>528844</v>
      </c>
      <c r="AI49" s="171">
        <v>467798</v>
      </c>
      <c r="AJ49" s="171">
        <v>366781</v>
      </c>
      <c r="AK49" s="171">
        <v>366781</v>
      </c>
      <c r="AL49" s="171">
        <v>313479.00000000006</v>
      </c>
      <c r="AM49" s="171">
        <v>544889</v>
      </c>
      <c r="AN49" s="171">
        <v>304904</v>
      </c>
      <c r="AO49" s="171">
        <v>867431.99999999988</v>
      </c>
      <c r="AP49" s="171">
        <v>867431.99999999988</v>
      </c>
      <c r="AQ49" s="171">
        <v>828428.40403632692</v>
      </c>
      <c r="AR49" s="171">
        <v>719514.13059659989</v>
      </c>
      <c r="AS49" s="171">
        <v>586028.94602988707</v>
      </c>
      <c r="AT49" s="171">
        <v>392550.59578783787</v>
      </c>
      <c r="AU49" s="171">
        <v>392550.59578783787</v>
      </c>
      <c r="AV49" s="171">
        <v>321635</v>
      </c>
      <c r="AW49" s="171">
        <v>619004</v>
      </c>
      <c r="AX49" s="171">
        <v>583557</v>
      </c>
      <c r="AY49" s="171">
        <v>707643</v>
      </c>
      <c r="AZ49" s="171">
        <v>707643</v>
      </c>
      <c r="BA49" s="171">
        <v>546808</v>
      </c>
      <c r="BB49" s="171">
        <v>621329</v>
      </c>
      <c r="BC49" s="171">
        <v>405000</v>
      </c>
      <c r="BD49" s="171">
        <v>316919</v>
      </c>
      <c r="BE49" s="171">
        <v>316919</v>
      </c>
      <c r="BF49" s="171">
        <v>327710</v>
      </c>
      <c r="BG49" s="171">
        <v>292324.40992920002</v>
      </c>
      <c r="BH49" s="171">
        <v>304101.63265583199</v>
      </c>
      <c r="BI49" s="171">
        <v>282780.51583749597</v>
      </c>
      <c r="BJ49" s="171">
        <v>282780.51583749597</v>
      </c>
      <c r="BK49" s="171">
        <v>623257</v>
      </c>
      <c r="BL49" s="171">
        <v>1219751.0981075526</v>
      </c>
    </row>
    <row r="50" spans="1:64" s="72" customFormat="1" ht="15" customHeight="1">
      <c r="A50" t="s">
        <v>328</v>
      </c>
      <c r="B50" s="8" t="str">
        <f>IF('Sumário | Summary'!P1=1,"Dívida Líquida Total","Net Debt")</f>
        <v>Dívida Líquida Total</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v>2253858</v>
      </c>
      <c r="AC50" s="178">
        <v>2143136</v>
      </c>
      <c r="AD50" s="178">
        <v>1259396</v>
      </c>
      <c r="AE50" s="178">
        <v>1249258</v>
      </c>
      <c r="AF50" s="178">
        <v>1249258</v>
      </c>
      <c r="AG50" s="178">
        <v>1249489</v>
      </c>
      <c r="AH50" s="178">
        <v>1186620</v>
      </c>
      <c r="AI50" s="178">
        <v>1207007</v>
      </c>
      <c r="AJ50" s="178">
        <v>1266454</v>
      </c>
      <c r="AK50" s="178">
        <v>1266454</v>
      </c>
      <c r="AL50" s="178">
        <v>1260116</v>
      </c>
      <c r="AM50" s="178">
        <v>1286298</v>
      </c>
      <c r="AN50" s="178">
        <v>1297642</v>
      </c>
      <c r="AO50" s="178">
        <v>749830.00000000012</v>
      </c>
      <c r="AP50" s="178">
        <v>749830.00000000012</v>
      </c>
      <c r="AQ50" s="178">
        <v>827852.19596367318</v>
      </c>
      <c r="AR50" s="178">
        <v>930333.19940340018</v>
      </c>
      <c r="AS50" s="178">
        <v>1011860.3139701129</v>
      </c>
      <c r="AT50" s="178">
        <v>1195572.4242121622</v>
      </c>
      <c r="AU50" s="178">
        <v>1195572.4242121622</v>
      </c>
      <c r="AV50" s="178">
        <v>1113018</v>
      </c>
      <c r="AW50" s="178">
        <v>1125862</v>
      </c>
      <c r="AX50" s="178">
        <v>1122956</v>
      </c>
      <c r="AY50" s="178">
        <v>950242</v>
      </c>
      <c r="AZ50" s="178">
        <v>950242</v>
      </c>
      <c r="BA50" s="178">
        <v>941136</v>
      </c>
      <c r="BB50" s="178">
        <v>688375</v>
      </c>
      <c r="BC50" s="178">
        <v>705553</v>
      </c>
      <c r="BD50" s="178">
        <v>769283</v>
      </c>
      <c r="BE50" s="178">
        <v>769283</v>
      </c>
      <c r="BF50" s="178">
        <v>772149</v>
      </c>
      <c r="BG50" s="178">
        <v>783632.59007079992</v>
      </c>
      <c r="BH50" s="178">
        <v>780043.36734416801</v>
      </c>
      <c r="BI50" s="178">
        <v>768395.48416250409</v>
      </c>
      <c r="BJ50" s="178">
        <v>768395.48416250409</v>
      </c>
      <c r="BK50" s="178">
        <v>438916</v>
      </c>
      <c r="BL50" s="178">
        <f>BL45-BL48</f>
        <v>-200811.09810755262</v>
      </c>
    </row>
    <row r="51" spans="1:64" s="1" customFormat="1" ht="15" customHeight="1">
      <c r="A51" t="s">
        <v>151</v>
      </c>
      <c r="B51" s="9" t="str">
        <f>IF('Sumário | Summary'!P1=1,"Dívida Líquida Total/EBITDA Ajustado UDM","Total Net Debt/Adjusted EBITDA LTM")</f>
        <v>Dívida Líquida Total/EBITDA Ajustado UDM</v>
      </c>
      <c r="C51" s="76"/>
      <c r="D51" s="76"/>
      <c r="E51" s="76"/>
      <c r="F51" s="81"/>
      <c r="G51" s="81"/>
      <c r="H51" s="81"/>
      <c r="I51" s="81"/>
      <c r="J51" s="81"/>
      <c r="K51" s="81"/>
      <c r="L51" s="81"/>
      <c r="M51" s="81"/>
      <c r="N51" s="81"/>
      <c r="O51" s="81"/>
      <c r="P51" s="81"/>
      <c r="Q51" s="81"/>
      <c r="R51" s="81"/>
      <c r="S51" s="81"/>
      <c r="T51" s="81"/>
      <c r="U51" s="81"/>
      <c r="V51" s="81"/>
      <c r="W51" s="81"/>
      <c r="X51" s="81"/>
      <c r="Y51" s="81"/>
      <c r="Z51" s="81"/>
      <c r="AA51" s="81"/>
      <c r="AB51" s="179"/>
      <c r="AC51" s="179"/>
      <c r="AD51" s="179"/>
      <c r="AE51" s="179">
        <v>7.2430261836092287</v>
      </c>
      <c r="AF51" s="179">
        <v>7.2430261836092287</v>
      </c>
      <c r="AG51" s="179">
        <v>7.618252994094048</v>
      </c>
      <c r="AH51" s="179">
        <v>7.9369969037466159</v>
      </c>
      <c r="AI51" s="179">
        <v>6.903429430848651</v>
      </c>
      <c r="AJ51" s="179">
        <v>7.0510735180579855</v>
      </c>
      <c r="AK51" s="179">
        <v>7.0510735180579855</v>
      </c>
      <c r="AL51" s="179">
        <v>6.6866653543688264</v>
      </c>
      <c r="AM51" s="179">
        <v>6.6288492882916445</v>
      </c>
      <c r="AN51" s="179">
        <v>6.4896481489536502</v>
      </c>
      <c r="AO51" s="179">
        <v>3.6722530725129583</v>
      </c>
      <c r="AP51" s="179">
        <v>3.6722530725129583</v>
      </c>
      <c r="AQ51" s="179">
        <v>3.9706333002478846</v>
      </c>
      <c r="AR51" s="179">
        <v>4.9219846071643421</v>
      </c>
      <c r="AS51" s="179">
        <v>5.6450394498185421</v>
      </c>
      <c r="AT51" s="179">
        <v>6.8503813856542308</v>
      </c>
      <c r="AU51" s="179">
        <v>6.8503813856542308</v>
      </c>
      <c r="AV51" s="179">
        <v>6.871044657061522</v>
      </c>
      <c r="AW51" s="179">
        <v>6.2931377590691309</v>
      </c>
      <c r="AX51" s="179">
        <v>5.6934365054284761</v>
      </c>
      <c r="AY51" s="179">
        <v>4.7711915419210156</v>
      </c>
      <c r="AZ51" s="179">
        <v>4.7711915419210156</v>
      </c>
      <c r="BA51" s="179">
        <v>4.7458918754205337</v>
      </c>
      <c r="BB51" s="179">
        <v>3.6724190782294559</v>
      </c>
      <c r="BC51" s="180">
        <v>4.2211921678544515</v>
      </c>
      <c r="BD51" s="180">
        <v>4.9380014698357249</v>
      </c>
      <c r="BE51" s="180">
        <v>4.9380014698357249</v>
      </c>
      <c r="BF51" s="180">
        <v>5.1363356302979906</v>
      </c>
      <c r="BG51" s="180">
        <v>5.489468379222707</v>
      </c>
      <c r="BH51" s="180">
        <v>5.2457170250648479</v>
      </c>
      <c r="BI51" s="180">
        <v>4.4209855462919139</v>
      </c>
      <c r="BJ51" s="180">
        <v>4.4209855462919139</v>
      </c>
      <c r="BK51" s="180">
        <v>2.4424206006549056</v>
      </c>
      <c r="BL51" s="247">
        <f>BL50/SUM(BL76:BL79)</f>
        <v>-1.1795424810170285</v>
      </c>
    </row>
    <row r="52" spans="1:64" s="1" customFormat="1" ht="15" customHeight="1">
      <c r="A52"/>
      <c r="B52" s="67"/>
      <c r="C52" s="68"/>
      <c r="D52" s="68"/>
      <c r="E52" s="68"/>
      <c r="F52" s="68"/>
      <c r="G52" s="68"/>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P52" s="177"/>
      <c r="AU52" s="177"/>
      <c r="AV52" s="177"/>
      <c r="AW52" s="177"/>
      <c r="AX52" s="177"/>
      <c r="AY52" s="177"/>
      <c r="AZ52" s="177"/>
      <c r="BA52" s="177"/>
      <c r="BB52" s="177"/>
      <c r="BC52" s="177"/>
      <c r="BD52" s="177"/>
      <c r="BE52" s="177"/>
      <c r="BF52" s="177"/>
      <c r="BG52" s="177"/>
      <c r="BH52" s="177"/>
      <c r="BI52" s="177"/>
      <c r="BJ52" s="177"/>
      <c r="BK52" s="177"/>
      <c r="BL52" s="177"/>
    </row>
    <row r="53" spans="1:64" s="1" customFormat="1" ht="18.75" customHeight="1">
      <c r="A53"/>
      <c r="B53" s="65" t="str">
        <f>IF('Sumário | Summary'!P1=1,"Indicadores de Performance de Edifícios","Building Performance Indicators")</f>
        <v>Indicadores de Performance de Edifícios</v>
      </c>
      <c r="C53" s="66"/>
      <c r="D53" s="65"/>
      <c r="E53" s="66"/>
      <c r="F53" s="65"/>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128"/>
      <c r="AO53" s="128"/>
      <c r="AP53" s="65"/>
      <c r="AQ53" s="128"/>
      <c r="AR53" s="128"/>
      <c r="AS53" s="128"/>
      <c r="AT53" s="128"/>
      <c r="AU53" s="65"/>
      <c r="AV53" s="65"/>
      <c r="AW53" s="65"/>
      <c r="AX53" s="65"/>
      <c r="AY53" s="65"/>
      <c r="AZ53" s="65"/>
      <c r="BA53" s="65"/>
      <c r="BB53" s="65"/>
      <c r="BC53" s="65"/>
      <c r="BD53" s="65"/>
      <c r="BE53" s="65"/>
      <c r="BF53" s="65"/>
      <c r="BG53" s="65"/>
      <c r="BH53" s="65"/>
      <c r="BI53" s="65"/>
      <c r="BJ53" s="65"/>
      <c r="BK53" s="65"/>
      <c r="BL53" s="65"/>
    </row>
    <row r="54" spans="1:64" s="1" customFormat="1" ht="15" customHeight="1">
      <c r="A54" t="s">
        <v>152</v>
      </c>
      <c r="B54" s="9" t="str">
        <f>IF('Sumário | Summary'!P1=1,"Área Privativa SPE (m²)","SPV Private Area (sqm)")</f>
        <v>Área Privativa SPE (m²)</v>
      </c>
      <c r="C54" s="52">
        <v>91913.639999999985</v>
      </c>
      <c r="D54" s="52">
        <v>91913.639999999985</v>
      </c>
      <c r="E54" s="52">
        <v>91913.639999999985</v>
      </c>
      <c r="F54" s="52">
        <v>91913.639999999985</v>
      </c>
      <c r="G54" s="52">
        <v>91913.639999999985</v>
      </c>
      <c r="H54" s="52">
        <v>91913.639999999985</v>
      </c>
      <c r="I54" s="52">
        <v>91913.69</v>
      </c>
      <c r="J54" s="52">
        <v>102798.98999999999</v>
      </c>
      <c r="K54" s="52">
        <v>102798.98999999999</v>
      </c>
      <c r="L54" s="52">
        <v>102798.98999999999</v>
      </c>
      <c r="M54" s="52">
        <v>33982</v>
      </c>
      <c r="N54" s="52">
        <v>33982</v>
      </c>
      <c r="O54" s="52">
        <v>35297.5</v>
      </c>
      <c r="P54" s="52">
        <v>35297.5</v>
      </c>
      <c r="Q54" s="52">
        <v>35297.5</v>
      </c>
      <c r="R54" s="52">
        <v>121801.20490869999</v>
      </c>
      <c r="S54" s="52">
        <v>118957.56490870001</v>
      </c>
      <c r="T54" s="52">
        <v>118956.88</v>
      </c>
      <c r="U54" s="52">
        <v>118956.88</v>
      </c>
      <c r="V54" s="52">
        <v>118956.88</v>
      </c>
      <c r="W54" s="52">
        <v>99955.299999999988</v>
      </c>
      <c r="X54" s="52">
        <v>99955.299999999988</v>
      </c>
      <c r="Y54" s="52">
        <v>99955.06</v>
      </c>
      <c r="Z54" s="52">
        <v>99955.06</v>
      </c>
      <c r="AA54" s="52">
        <v>99955.06</v>
      </c>
      <c r="AB54" s="181">
        <v>98371.076000000001</v>
      </c>
      <c r="AC54" s="181">
        <v>114659.65599999999</v>
      </c>
      <c r="AD54" s="181">
        <v>114660.076</v>
      </c>
      <c r="AE54" s="181">
        <v>114660.076</v>
      </c>
      <c r="AF54" s="181">
        <v>114660.076</v>
      </c>
      <c r="AG54" s="181">
        <v>114660.076</v>
      </c>
      <c r="AH54" s="181">
        <v>114660.076</v>
      </c>
      <c r="AI54" s="181">
        <v>126121.55599999998</v>
      </c>
      <c r="AJ54" s="181">
        <v>126949.68599999999</v>
      </c>
      <c r="AK54" s="181">
        <v>126949.68599999999</v>
      </c>
      <c r="AL54" s="181">
        <v>115488.20599999998</v>
      </c>
      <c r="AM54" s="181">
        <v>127070.20599999998</v>
      </c>
      <c r="AN54" s="181">
        <v>127070.20600000001</v>
      </c>
      <c r="AO54" s="181">
        <v>155021.93599999999</v>
      </c>
      <c r="AP54" s="181">
        <v>155021.93599999999</v>
      </c>
      <c r="AQ54" s="181">
        <v>155021.93599999999</v>
      </c>
      <c r="AR54" s="181">
        <v>156638.62599999999</v>
      </c>
      <c r="AS54" s="181">
        <v>155054.39600000001</v>
      </c>
      <c r="AT54" s="181">
        <v>156956.45600000001</v>
      </c>
      <c r="AU54" s="181">
        <v>156956.45600000001</v>
      </c>
      <c r="AV54" s="181">
        <v>156956.45600000001</v>
      </c>
      <c r="AW54" s="181">
        <v>156956.45600000001</v>
      </c>
      <c r="AX54" s="181">
        <v>156956.45600000001</v>
      </c>
      <c r="AY54" s="181">
        <v>156956.45600000001</v>
      </c>
      <c r="AZ54" s="181">
        <v>156956.45600000001</v>
      </c>
      <c r="BA54" s="181">
        <v>156956.45600000001</v>
      </c>
      <c r="BB54" s="181">
        <v>156956.50599999999</v>
      </c>
      <c r="BC54" s="181">
        <v>156956.50599999999</v>
      </c>
      <c r="BD54" s="181">
        <v>89603.939212374142</v>
      </c>
      <c r="BE54" s="181">
        <v>89603.939212374142</v>
      </c>
      <c r="BF54" s="181">
        <v>89603.939212374142</v>
      </c>
      <c r="BG54" s="181">
        <v>89603.939212374142</v>
      </c>
      <c r="BH54" s="181">
        <v>89604.239312374149</v>
      </c>
      <c r="BI54" s="181">
        <v>85754.239312374149</v>
      </c>
      <c r="BJ54" s="181">
        <v>85754.239312374149</v>
      </c>
      <c r="BK54" s="181">
        <v>85754.239312374149</v>
      </c>
      <c r="BL54" s="181">
        <v>85754.239312374149</v>
      </c>
    </row>
    <row r="55" spans="1:64" s="1" customFormat="1" ht="15" customHeight="1">
      <c r="A55" t="s">
        <v>153</v>
      </c>
      <c r="B55" s="9" t="str">
        <f>IF('Sumário | Summary'!P1=1,"Área Privativa Própria (m²)","CCP Private Area (sqm)")</f>
        <v>Área Privativa Própria (m²)</v>
      </c>
      <c r="C55" s="52">
        <v>86621.109999999986</v>
      </c>
      <c r="D55" s="52">
        <v>86621.109999999986</v>
      </c>
      <c r="E55" s="52">
        <v>86621.109999999986</v>
      </c>
      <c r="F55" s="52">
        <v>86621.109999999986</v>
      </c>
      <c r="G55" s="52">
        <v>86621.109999999986</v>
      </c>
      <c r="H55" s="52">
        <v>86621.109999999986</v>
      </c>
      <c r="I55" s="52">
        <v>109633.25518079998</v>
      </c>
      <c r="J55" s="52">
        <v>112354.65518079999</v>
      </c>
      <c r="K55" s="52">
        <v>112354.65518079999</v>
      </c>
      <c r="L55" s="52">
        <v>112354.65518079999</v>
      </c>
      <c r="M55" s="52">
        <v>112354.65518079999</v>
      </c>
      <c r="N55" s="52">
        <v>112354.65518079999</v>
      </c>
      <c r="O55" s="52">
        <v>131356.9200895</v>
      </c>
      <c r="P55" s="52">
        <v>131356.87008949998</v>
      </c>
      <c r="Q55" s="52">
        <v>131356.87008949998</v>
      </c>
      <c r="R55" s="52">
        <v>131356.87008949998</v>
      </c>
      <c r="S55" s="52">
        <v>105501.13490869998</v>
      </c>
      <c r="T55" s="52">
        <v>105500.04999999999</v>
      </c>
      <c r="U55" s="52">
        <v>105500.04999999999</v>
      </c>
      <c r="V55" s="52">
        <v>105500.04999999999</v>
      </c>
      <c r="W55" s="52">
        <v>86498.87</v>
      </c>
      <c r="X55" s="52">
        <v>86498.87</v>
      </c>
      <c r="Y55" s="52">
        <v>89342.665999999997</v>
      </c>
      <c r="Z55" s="52">
        <v>86498.665999999997</v>
      </c>
      <c r="AA55" s="52">
        <v>86498.665999999997</v>
      </c>
      <c r="AB55" s="52">
        <v>86498.794999999984</v>
      </c>
      <c r="AC55" s="52">
        <v>101203.39099999999</v>
      </c>
      <c r="AD55" s="52">
        <v>72276.859721200002</v>
      </c>
      <c r="AE55" s="52">
        <v>72277.53003319999</v>
      </c>
      <c r="AF55" s="52">
        <v>72277.53003319999</v>
      </c>
      <c r="AG55" s="52">
        <v>72277.53003319999</v>
      </c>
      <c r="AH55" s="52">
        <v>72277.53003319999</v>
      </c>
      <c r="AI55" s="52">
        <v>72277.53003319999</v>
      </c>
      <c r="AJ55" s="52">
        <v>72691.207722199993</v>
      </c>
      <c r="AK55" s="52">
        <v>72691.207722199993</v>
      </c>
      <c r="AL55" s="52">
        <v>72691.207722199993</v>
      </c>
      <c r="AM55" s="52">
        <v>84563.207722199993</v>
      </c>
      <c r="AN55" s="52">
        <v>84563.207722199993</v>
      </c>
      <c r="AO55" s="52">
        <v>92023.535302199991</v>
      </c>
      <c r="AP55" s="52">
        <v>92023.535302199991</v>
      </c>
      <c r="AQ55" s="52">
        <v>92023.535302200005</v>
      </c>
      <c r="AR55" s="52">
        <v>92884.241970200004</v>
      </c>
      <c r="AS55" s="52">
        <v>91829.62005920001</v>
      </c>
      <c r="AT55" s="52">
        <v>92728.083391199994</v>
      </c>
      <c r="AU55" s="52">
        <v>92728.083391199994</v>
      </c>
      <c r="AV55" s="52">
        <v>46019.179604712233</v>
      </c>
      <c r="AW55" s="181">
        <v>92728.083391199994</v>
      </c>
      <c r="AX55" s="52">
        <v>46019.179604712233</v>
      </c>
      <c r="AY55" s="52">
        <v>46019.179604712233</v>
      </c>
      <c r="AZ55" s="52">
        <v>46019.179604712233</v>
      </c>
      <c r="BA55" s="52">
        <v>46019.179604712248</v>
      </c>
      <c r="BB55" s="52">
        <v>46019.129604712245</v>
      </c>
      <c r="BC55" s="52">
        <v>46019.129604712245</v>
      </c>
      <c r="BD55" s="52">
        <v>46019.129604712245</v>
      </c>
      <c r="BE55" s="52">
        <v>46019.129604712245</v>
      </c>
      <c r="BF55" s="52">
        <v>46019.129604712245</v>
      </c>
      <c r="BG55" s="181">
        <v>46019.129604712231</v>
      </c>
      <c r="BH55" s="181">
        <v>46019.204634712252</v>
      </c>
      <c r="BI55" s="181">
        <v>43456.259634712245</v>
      </c>
      <c r="BJ55" s="181">
        <v>43456.259634712245</v>
      </c>
      <c r="BK55" s="181">
        <v>43456.259634712245</v>
      </c>
      <c r="BL55" s="181">
        <v>37159.839772237414</v>
      </c>
    </row>
    <row r="56" spans="1:64" s="97" customFormat="1" ht="15" customHeight="1">
      <c r="A56" t="s">
        <v>329</v>
      </c>
      <c r="B56" s="9" t="str">
        <f>IF('Sumário | Summary'!P1=1,"Taxa de Ocupação Física (%)","Physical Occupancy Rate")</f>
        <v>Taxa de Ocupação Física (%)</v>
      </c>
      <c r="C56" s="98">
        <v>0.98399999999999999</v>
      </c>
      <c r="D56" s="98">
        <v>1</v>
      </c>
      <c r="E56" s="98">
        <v>1</v>
      </c>
      <c r="F56" s="98">
        <v>1</v>
      </c>
      <c r="G56" s="98">
        <v>1</v>
      </c>
      <c r="H56" s="98">
        <v>0.98899999999999999</v>
      </c>
      <c r="I56" s="98">
        <v>0.97599999999999998</v>
      </c>
      <c r="J56" s="98">
        <v>0.94100000000000006</v>
      </c>
      <c r="K56" s="98">
        <v>0.92100000000000004</v>
      </c>
      <c r="L56" s="98">
        <v>0.92100000000000004</v>
      </c>
      <c r="M56" s="98">
        <v>0.91700000000000004</v>
      </c>
      <c r="N56" s="98">
        <v>0.92</v>
      </c>
      <c r="O56" s="98">
        <v>0.81499999999999995</v>
      </c>
      <c r="P56" s="98">
        <v>0.79600000000000004</v>
      </c>
      <c r="Q56" s="98">
        <v>0.79600000000000004</v>
      </c>
      <c r="R56" s="98">
        <v>0.80099999999999993</v>
      </c>
      <c r="S56" s="98">
        <v>0.82200000000000006</v>
      </c>
      <c r="T56" s="98">
        <v>0.86599999999999999</v>
      </c>
      <c r="U56" s="98">
        <v>0.88500000000000001</v>
      </c>
      <c r="V56" s="98">
        <v>0.88500000000000001</v>
      </c>
      <c r="W56" s="71">
        <v>0.89800000000000002</v>
      </c>
      <c r="X56" s="71">
        <v>0.91400000000000003</v>
      </c>
      <c r="Y56" s="71">
        <v>0.91100000000000003</v>
      </c>
      <c r="Z56" s="71">
        <v>0.89929999999999999</v>
      </c>
      <c r="AA56" s="98">
        <v>0.89929999999999999</v>
      </c>
      <c r="AB56" s="71">
        <v>0.90876908173999327</v>
      </c>
      <c r="AC56" s="71">
        <v>0.82776860802967644</v>
      </c>
      <c r="AD56" s="71">
        <v>0.80033291366132386</v>
      </c>
      <c r="AE56" s="71">
        <v>0.83905125602066288</v>
      </c>
      <c r="AF56" s="71">
        <v>0.83905125602066288</v>
      </c>
      <c r="AG56" s="71">
        <v>0.83939727392995467</v>
      </c>
      <c r="AH56" s="71">
        <v>0.82748255671272275</v>
      </c>
      <c r="AI56" s="71">
        <v>0.83737436706068347</v>
      </c>
      <c r="AJ56" s="71">
        <v>0.88179650144792332</v>
      </c>
      <c r="AK56" s="71">
        <v>0.88179650144792332</v>
      </c>
      <c r="AL56" s="71">
        <v>0.88250370768854913</v>
      </c>
      <c r="AM56" s="71">
        <v>0.77602389801460037</v>
      </c>
      <c r="AN56" s="71">
        <v>0.84437513675885389</v>
      </c>
      <c r="AO56" s="71">
        <v>0.86404176283911038</v>
      </c>
      <c r="AP56" s="71">
        <v>0.87060332129320395</v>
      </c>
      <c r="AQ56" s="71">
        <v>0.87066081476360913</v>
      </c>
      <c r="AR56" s="71">
        <v>0.85288792431874771</v>
      </c>
      <c r="AS56" s="71">
        <v>0.91514750752286611</v>
      </c>
      <c r="AT56" s="71">
        <v>0.88835944655099497</v>
      </c>
      <c r="AU56" s="126">
        <v>0.88835944655099497</v>
      </c>
      <c r="AV56" s="71">
        <v>0.84929898204586718</v>
      </c>
      <c r="AW56" s="126">
        <v>0.96990253530825976</v>
      </c>
      <c r="AX56" s="71">
        <v>0.84929898204586718</v>
      </c>
      <c r="AY56" s="71">
        <v>0.84929898204586718</v>
      </c>
      <c r="AZ56" s="126">
        <v>0.84929898204586718</v>
      </c>
      <c r="BA56" s="126">
        <v>0.84928294459046016</v>
      </c>
      <c r="BB56" s="126">
        <v>0.85054510825874063</v>
      </c>
      <c r="BC56" s="126">
        <v>0.85474212441701691</v>
      </c>
      <c r="BD56" s="126">
        <v>0.85845195126565388</v>
      </c>
      <c r="BE56" s="126">
        <v>0.85845195126565388</v>
      </c>
      <c r="BF56" s="126">
        <v>0.85850234446019669</v>
      </c>
      <c r="BG56" s="126">
        <v>0.85475674882569741</v>
      </c>
      <c r="BH56" s="126">
        <v>0.84809297451492716</v>
      </c>
      <c r="BI56" s="126">
        <v>0.8494422311941956</v>
      </c>
      <c r="BJ56" s="126">
        <v>0.8494422311941956</v>
      </c>
      <c r="BK56" s="126">
        <v>0.8564975429910513</v>
      </c>
      <c r="BL56" s="126">
        <v>0.83603820556427677</v>
      </c>
    </row>
    <row r="57" spans="1:64" s="97" customFormat="1" ht="15" customHeight="1">
      <c r="A57" t="s">
        <v>330</v>
      </c>
      <c r="B57" s="9" t="str">
        <f>IF('Sumário | Summary'!P1=1,"Taxa de Ocupação Financeira (%)","Financial Occupancy Rate")</f>
        <v>Taxa de Ocupação Financeira (%)</v>
      </c>
      <c r="C57" s="98">
        <v>0.99199999999999999</v>
      </c>
      <c r="D57" s="98">
        <v>1</v>
      </c>
      <c r="E57" s="98">
        <v>1</v>
      </c>
      <c r="F57" s="98">
        <v>1</v>
      </c>
      <c r="G57" s="98">
        <v>1</v>
      </c>
      <c r="H57" s="98">
        <v>0.98499999999999999</v>
      </c>
      <c r="I57" s="98">
        <v>0.96499999999999997</v>
      </c>
      <c r="J57" s="98">
        <v>0.94100000000000006</v>
      </c>
      <c r="K57" s="98">
        <v>0.91088235486769509</v>
      </c>
      <c r="L57" s="98">
        <v>0.91088235486769509</v>
      </c>
      <c r="M57" s="98">
        <v>0.90969052422472707</v>
      </c>
      <c r="N57" s="98">
        <v>0.91428560513776114</v>
      </c>
      <c r="O57" s="98">
        <v>0.82254641845742249</v>
      </c>
      <c r="P57" s="98">
        <v>0.80904526688964085</v>
      </c>
      <c r="Q57" s="98">
        <v>0.80904526688964085</v>
      </c>
      <c r="R57" s="98">
        <v>0.81</v>
      </c>
      <c r="S57" s="98">
        <v>0.87944109203879262</v>
      </c>
      <c r="T57" s="98">
        <v>0.86099999999999999</v>
      </c>
      <c r="U57" s="98">
        <v>0.87934289526069898</v>
      </c>
      <c r="V57" s="98">
        <v>0.87934289526069898</v>
      </c>
      <c r="W57" s="98">
        <v>0.89564105499956259</v>
      </c>
      <c r="X57" s="98">
        <v>0.91094184554275848</v>
      </c>
      <c r="Y57" s="98">
        <v>0.90200000000000002</v>
      </c>
      <c r="Z57" s="98">
        <v>0.92149999999999999</v>
      </c>
      <c r="AA57" s="98">
        <v>0.92149999999999999</v>
      </c>
      <c r="AB57" s="98">
        <v>0.91104419378074708</v>
      </c>
      <c r="AC57" s="98">
        <v>0.85969312191738168</v>
      </c>
      <c r="AD57" s="98">
        <v>0.87065025654884065</v>
      </c>
      <c r="AE57" s="98">
        <v>0.90277460572626178</v>
      </c>
      <c r="AF57" s="98">
        <v>0.90277460572626178</v>
      </c>
      <c r="AG57" s="98">
        <v>0.89313285233259421</v>
      </c>
      <c r="AH57" s="98">
        <v>0.88242773974737365</v>
      </c>
      <c r="AI57" s="98">
        <v>0.89082727727221866</v>
      </c>
      <c r="AJ57" s="98">
        <v>0.92358476579175142</v>
      </c>
      <c r="AK57" s="98">
        <v>0.92358476579175142</v>
      </c>
      <c r="AL57" s="98">
        <v>0.90712999596983701</v>
      </c>
      <c r="AM57" s="98">
        <v>0.87219652454552665</v>
      </c>
      <c r="AN57" s="98">
        <v>0.91311741115774714</v>
      </c>
      <c r="AO57" s="98">
        <v>0.92075872792481162</v>
      </c>
      <c r="AP57" s="98">
        <v>0.93063829224255668</v>
      </c>
      <c r="AQ57" s="98">
        <v>0.93063829224255668</v>
      </c>
      <c r="AR57" s="98">
        <v>0.91705097793847579</v>
      </c>
      <c r="AS57" s="98">
        <v>0.91366764221318253</v>
      </c>
      <c r="AT57" s="98">
        <v>0.86652221057292278</v>
      </c>
      <c r="AU57" s="126">
        <v>0.86652221057292278</v>
      </c>
      <c r="AV57" s="98">
        <v>0.86156013035301371</v>
      </c>
      <c r="AW57" s="126">
        <v>0.89713401549690375</v>
      </c>
      <c r="AX57" s="98">
        <v>0.86156013035301371</v>
      </c>
      <c r="AY57" s="98">
        <v>0.86156013035301371</v>
      </c>
      <c r="AZ57" s="126">
        <v>0.86156013035301371</v>
      </c>
      <c r="BA57" s="126">
        <v>0.86156013035301371</v>
      </c>
      <c r="BB57" s="126">
        <v>0.87529978150719012</v>
      </c>
      <c r="BC57" s="126">
        <v>0.87606214927633375</v>
      </c>
      <c r="BD57" s="126">
        <v>0.88882676676469941</v>
      </c>
      <c r="BE57" s="126">
        <v>0.88882676676469941</v>
      </c>
      <c r="BF57" s="126">
        <v>0.88149072285063146</v>
      </c>
      <c r="BG57" s="126">
        <v>0.88178989049156087</v>
      </c>
      <c r="BH57" s="126">
        <v>0.86985253902308934</v>
      </c>
      <c r="BI57" s="126">
        <v>0.87096031270718721</v>
      </c>
      <c r="BJ57" s="126">
        <v>0.87096031270718721</v>
      </c>
      <c r="BK57" s="126">
        <v>0.8880269117162819</v>
      </c>
      <c r="BL57" s="126">
        <v>0.84403024357020107</v>
      </c>
    </row>
    <row r="58" spans="1:64" s="101" customFormat="1" ht="15" customHeight="1">
      <c r="A58"/>
      <c r="B58" s="99"/>
      <c r="C58" s="100"/>
      <c r="D58" s="100"/>
      <c r="E58" s="100"/>
      <c r="F58" s="100"/>
      <c r="G58" s="100"/>
      <c r="H58" s="104"/>
      <c r="I58" s="100"/>
      <c r="J58" s="100"/>
      <c r="K58" s="100"/>
      <c r="L58" s="104"/>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29"/>
      <c r="AP58" s="182"/>
      <c r="AU58" s="182"/>
      <c r="AV58" s="182"/>
      <c r="AW58" s="182"/>
      <c r="AX58" s="182"/>
      <c r="AY58" s="182"/>
      <c r="AZ58" s="182"/>
      <c r="BA58" s="182"/>
      <c r="BB58" s="182"/>
      <c r="BC58" s="182"/>
      <c r="BD58" s="182"/>
      <c r="BE58" s="182"/>
      <c r="BF58" s="182"/>
      <c r="BG58" s="182"/>
      <c r="BH58" s="182"/>
      <c r="BI58" s="182"/>
      <c r="BJ58" s="182"/>
      <c r="BK58" s="182"/>
      <c r="BL58" s="182"/>
    </row>
    <row r="59" spans="1:64" s="1" customFormat="1" ht="18.75" customHeight="1">
      <c r="A59"/>
      <c r="B59" s="65" t="str">
        <f>IF('Sumário | Summary'!P1=1,"Indicadores de Performance de Shopping","Shopping Performance Indicators")</f>
        <v>Indicadores de Performance de Shopping</v>
      </c>
      <c r="C59" s="66"/>
      <c r="D59" s="65"/>
      <c r="E59" s="66"/>
      <c r="F59" s="65"/>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128"/>
      <c r="AO59" s="128"/>
      <c r="AP59" s="65"/>
      <c r="AQ59" s="128"/>
      <c r="AR59" s="128"/>
      <c r="AS59" s="128"/>
      <c r="AT59" s="128"/>
      <c r="AU59" s="65"/>
      <c r="AV59" s="65"/>
      <c r="AW59" s="65"/>
      <c r="AX59" s="65"/>
      <c r="AY59" s="65"/>
      <c r="AZ59" s="65"/>
      <c r="BA59" s="65"/>
      <c r="BB59" s="65"/>
      <c r="BC59" s="65"/>
      <c r="BD59" s="65"/>
      <c r="BE59" s="65"/>
      <c r="BF59" s="65"/>
      <c r="BG59" s="65"/>
      <c r="BH59" s="65"/>
      <c r="BI59" s="65"/>
      <c r="BJ59" s="65"/>
      <c r="BK59" s="65"/>
      <c r="BL59" s="65"/>
    </row>
    <row r="60" spans="1:64" s="91" customFormat="1" ht="15" customHeight="1">
      <c r="A60" t="s">
        <v>154</v>
      </c>
      <c r="B60" s="9" t="str">
        <f>IF('Sumário | Summary'!P1=1,"ABL SPE (m²)","SPV GLA (sqm)")</f>
        <v>ABL SPE (m²)</v>
      </c>
      <c r="C60" s="32">
        <v>69247</v>
      </c>
      <c r="D60" s="32">
        <v>134509</v>
      </c>
      <c r="E60" s="32">
        <v>134509</v>
      </c>
      <c r="F60" s="32">
        <v>149043</v>
      </c>
      <c r="G60" s="32">
        <v>149043</v>
      </c>
      <c r="H60" s="32">
        <v>149043</v>
      </c>
      <c r="I60" s="32">
        <v>144531</v>
      </c>
      <c r="J60" s="32">
        <v>144530.8303</v>
      </c>
      <c r="K60" s="32">
        <v>144530.8303</v>
      </c>
      <c r="L60" s="32">
        <v>144530.8303</v>
      </c>
      <c r="M60" s="32">
        <v>500161.32000000007</v>
      </c>
      <c r="N60" s="32">
        <v>554614.67000000004</v>
      </c>
      <c r="O60" s="32">
        <v>618316.12</v>
      </c>
      <c r="P60" s="32">
        <v>618316.12</v>
      </c>
      <c r="Q60" s="32">
        <v>618316.12</v>
      </c>
      <c r="R60" s="32">
        <v>224664.24381208274</v>
      </c>
      <c r="S60" s="32">
        <v>242763.72575104475</v>
      </c>
      <c r="T60" s="32">
        <v>242763.72575104475</v>
      </c>
      <c r="U60" s="32">
        <v>241910.72575104478</v>
      </c>
      <c r="V60" s="32">
        <v>241910.72575104478</v>
      </c>
      <c r="W60" s="32">
        <v>241851.59534031298</v>
      </c>
      <c r="X60" s="32">
        <v>268642.85063107818</v>
      </c>
      <c r="Y60" s="32">
        <v>268536.13427490514</v>
      </c>
      <c r="Z60" s="32">
        <v>268531.24907705461</v>
      </c>
      <c r="AA60" s="32">
        <v>268531.24907705461</v>
      </c>
      <c r="AB60" s="52">
        <v>268064.32980271138</v>
      </c>
      <c r="AC60" s="52">
        <v>268151.76999999996</v>
      </c>
      <c r="AD60" s="52">
        <v>267599.2</v>
      </c>
      <c r="AE60" s="52">
        <v>269150.40187100001</v>
      </c>
      <c r="AF60" s="52">
        <v>269150.40187100001</v>
      </c>
      <c r="AG60" s="52">
        <v>239099.29907099996</v>
      </c>
      <c r="AH60" s="52">
        <v>240488.02889199997</v>
      </c>
      <c r="AI60" s="52">
        <v>261418.69</v>
      </c>
      <c r="AJ60" s="52">
        <v>261534.68</v>
      </c>
      <c r="AK60" s="52">
        <v>261534.68</v>
      </c>
      <c r="AL60" s="93">
        <v>260952.28</v>
      </c>
      <c r="AM60" s="52">
        <v>261290.80999999997</v>
      </c>
      <c r="AN60" s="188">
        <v>240425</v>
      </c>
      <c r="AO60" s="235">
        <v>241850</v>
      </c>
      <c r="AP60" s="188">
        <v>241850</v>
      </c>
      <c r="AQ60" s="235">
        <v>241892</v>
      </c>
      <c r="AR60" s="235">
        <v>241907</v>
      </c>
      <c r="AS60" s="235">
        <v>241938</v>
      </c>
      <c r="AT60" s="235">
        <v>242185</v>
      </c>
      <c r="AU60" s="188">
        <v>242185</v>
      </c>
      <c r="AV60" s="181">
        <v>203136.83132166663</v>
      </c>
      <c r="AW60" s="188">
        <v>240663.913936</v>
      </c>
      <c r="AX60" s="181">
        <v>203136.83132166663</v>
      </c>
      <c r="AY60" s="181">
        <v>203136.83132166663</v>
      </c>
      <c r="AZ60" s="188">
        <v>203136.83132166663</v>
      </c>
      <c r="BA60" s="181">
        <v>203136.83132166663</v>
      </c>
      <c r="BB60" s="181">
        <v>203142.30132166666</v>
      </c>
      <c r="BC60" s="188">
        <v>203173.75253199998</v>
      </c>
      <c r="BD60" s="188">
        <v>176329.62119166669</v>
      </c>
      <c r="BE60" s="188">
        <v>176329.62119166669</v>
      </c>
      <c r="BF60" s="188">
        <v>176426.227766</v>
      </c>
      <c r="BG60" s="188">
        <v>176578.24286599999</v>
      </c>
      <c r="BH60" s="188">
        <v>176702.99523399997</v>
      </c>
      <c r="BI60" s="188">
        <v>176706.54063799998</v>
      </c>
      <c r="BJ60" s="188">
        <v>176706.54063799998</v>
      </c>
      <c r="BK60" s="188">
        <v>167906.32030199998</v>
      </c>
      <c r="BL60" s="188">
        <v>102124.19807800002</v>
      </c>
    </row>
    <row r="61" spans="1:64" s="91" customFormat="1" ht="15" customHeight="1">
      <c r="A61" t="s">
        <v>155</v>
      </c>
      <c r="B61" s="9" t="str">
        <f>IF('Sumário | Summary'!P1=1,"ABL Própria (m²)","CCP GLA (sqm)")</f>
        <v>ABL Própria (m²)</v>
      </c>
      <c r="C61" s="32">
        <v>45781</v>
      </c>
      <c r="D61" s="32">
        <v>66517</v>
      </c>
      <c r="E61" s="32">
        <v>66517</v>
      </c>
      <c r="F61" s="32">
        <v>75198</v>
      </c>
      <c r="G61" s="32">
        <v>75198</v>
      </c>
      <c r="H61" s="32">
        <v>75198</v>
      </c>
      <c r="I61" s="32">
        <v>73680</v>
      </c>
      <c r="J61" s="32">
        <v>73680.061155999996</v>
      </c>
      <c r="K61" s="32">
        <v>73680.061155999996</v>
      </c>
      <c r="L61" s="32">
        <v>73680.061155999996</v>
      </c>
      <c r="M61" s="32">
        <v>117315.061156</v>
      </c>
      <c r="N61" s="32">
        <v>117315.061156</v>
      </c>
      <c r="O61" s="32">
        <v>118006.34216500001</v>
      </c>
      <c r="P61" s="32">
        <v>118006</v>
      </c>
      <c r="Q61" s="32">
        <v>118006</v>
      </c>
      <c r="R61" s="32">
        <v>118006</v>
      </c>
      <c r="S61" s="32">
        <v>135839.62227015995</v>
      </c>
      <c r="T61" s="32">
        <v>135839.62227015995</v>
      </c>
      <c r="U61" s="32">
        <v>134884.80077015999</v>
      </c>
      <c r="V61" s="32">
        <v>134884.80077015999</v>
      </c>
      <c r="W61" s="32">
        <v>134857.59803200001</v>
      </c>
      <c r="X61" s="32">
        <v>149128.715861</v>
      </c>
      <c r="Y61" s="32">
        <v>149073</v>
      </c>
      <c r="Z61" s="32">
        <v>149070</v>
      </c>
      <c r="AA61" s="32">
        <v>149070</v>
      </c>
      <c r="AB61" s="52">
        <v>148603.1259675</v>
      </c>
      <c r="AC61" s="52">
        <v>148643</v>
      </c>
      <c r="AD61" s="52">
        <v>148505</v>
      </c>
      <c r="AE61" s="52">
        <v>149328.54668699999</v>
      </c>
      <c r="AF61" s="52">
        <v>149328.54668699999</v>
      </c>
      <c r="AG61" s="52">
        <v>140821.66738699996</v>
      </c>
      <c r="AH61" s="52">
        <v>141533.10520799999</v>
      </c>
      <c r="AI61" s="52">
        <v>141464.08938549997</v>
      </c>
      <c r="AJ61" s="52">
        <v>141515.80938549998</v>
      </c>
      <c r="AK61" s="52">
        <v>141515.80938549998</v>
      </c>
      <c r="AL61" s="93">
        <v>141165.607304</v>
      </c>
      <c r="AM61" s="52">
        <v>141292.68565433333</v>
      </c>
      <c r="AN61" s="93">
        <v>141563.92785066666</v>
      </c>
      <c r="AO61" s="93">
        <v>141556.87456199998</v>
      </c>
      <c r="AP61" s="181">
        <v>141556.87456199998</v>
      </c>
      <c r="AQ61" s="93">
        <v>141574.514024</v>
      </c>
      <c r="AR61" s="93">
        <v>141580.88878466666</v>
      </c>
      <c r="AS61" s="93">
        <v>141592.60481633333</v>
      </c>
      <c r="AT61" s="93">
        <v>141665.55497966666</v>
      </c>
      <c r="AU61" s="181">
        <v>141665.55497966666</v>
      </c>
      <c r="AV61" s="181">
        <v>126805.71719433332</v>
      </c>
      <c r="AW61" s="181">
        <v>141586.607613</v>
      </c>
      <c r="AX61" s="181">
        <v>126805.71719433332</v>
      </c>
      <c r="AY61" s="181">
        <v>126805.71719433332</v>
      </c>
      <c r="AZ61" s="181">
        <v>126805.71719433332</v>
      </c>
      <c r="BA61" s="181">
        <v>126805.71719433332</v>
      </c>
      <c r="BB61" s="181">
        <v>126825.55571099999</v>
      </c>
      <c r="BC61" s="188">
        <v>126835.752788</v>
      </c>
      <c r="BD61" s="181">
        <v>126858.04119166666</v>
      </c>
      <c r="BE61" s="181">
        <v>126858.04119166666</v>
      </c>
      <c r="BF61" s="181">
        <v>126954.64776600001</v>
      </c>
      <c r="BG61" s="181">
        <v>127038.572241</v>
      </c>
      <c r="BH61" s="181">
        <v>127163.324609</v>
      </c>
      <c r="BI61" s="181">
        <v>127166.87001300001</v>
      </c>
      <c r="BJ61" s="181">
        <v>127166.87001300001</v>
      </c>
      <c r="BK61" s="181">
        <v>127173.64967700001</v>
      </c>
      <c r="BL61" s="181">
        <v>29270.962478000001</v>
      </c>
    </row>
    <row r="62" spans="1:64" s="94" customFormat="1" ht="15" customHeight="1">
      <c r="A62" t="s">
        <v>276</v>
      </c>
      <c r="B62" s="9" t="str">
        <f>IF('Sumário | Summary'!P1=1,"Vendas Totais (R mil)","Total Sales (R 000')")</f>
        <v>Vendas Totais (R mil)</v>
      </c>
      <c r="C62" s="78">
        <v>166149.55100000001</v>
      </c>
      <c r="D62" s="78">
        <v>223893.54080000005</v>
      </c>
      <c r="E62" s="78">
        <v>274554.83798700001</v>
      </c>
      <c r="F62" s="78">
        <v>445285.66801000002</v>
      </c>
      <c r="G62" s="78">
        <v>1109883.5977970001</v>
      </c>
      <c r="H62" s="78">
        <v>319809.86275999999</v>
      </c>
      <c r="I62" s="78">
        <v>357702.80884000007</v>
      </c>
      <c r="J62" s="78">
        <v>375634.81006500003</v>
      </c>
      <c r="K62" s="78">
        <v>551687.73405999993</v>
      </c>
      <c r="L62" s="78">
        <v>1604835.215725</v>
      </c>
      <c r="M62" s="78">
        <v>435200.00000000006</v>
      </c>
      <c r="N62" s="78">
        <v>508515.78940566676</v>
      </c>
      <c r="O62" s="78">
        <v>535288.53099999996</v>
      </c>
      <c r="P62" s="78">
        <v>778436.19913499989</v>
      </c>
      <c r="Q62" s="78">
        <v>2257440.5195406666</v>
      </c>
      <c r="R62" s="78">
        <v>533276.00576585717</v>
      </c>
      <c r="S62" s="78">
        <v>620219.6320000001</v>
      </c>
      <c r="T62" s="78">
        <v>629753.53299999994</v>
      </c>
      <c r="U62" s="78">
        <v>883740</v>
      </c>
      <c r="V62" s="78">
        <v>2666989.1707658572</v>
      </c>
      <c r="W62" s="78">
        <v>626700</v>
      </c>
      <c r="X62" s="78">
        <v>689900</v>
      </c>
      <c r="Y62" s="78">
        <v>690700</v>
      </c>
      <c r="Z62" s="103">
        <v>919700</v>
      </c>
      <c r="AA62" s="78">
        <v>2927000</v>
      </c>
      <c r="AB62" s="78">
        <v>683800</v>
      </c>
      <c r="AC62" s="78">
        <v>762000</v>
      </c>
      <c r="AD62" s="78">
        <v>752091</v>
      </c>
      <c r="AE62" s="78">
        <v>995000</v>
      </c>
      <c r="AF62" s="78">
        <v>3192891</v>
      </c>
      <c r="AG62" s="78">
        <v>736066.83379599999</v>
      </c>
      <c r="AH62" s="78">
        <v>731517.0160399999</v>
      </c>
      <c r="AI62" s="78">
        <v>747121.27310999995</v>
      </c>
      <c r="AJ62" s="78">
        <v>984134.69001999986</v>
      </c>
      <c r="AK62" s="78">
        <v>3198839.8129659994</v>
      </c>
      <c r="AL62" s="103">
        <v>744676.07632998005</v>
      </c>
      <c r="AM62" s="78">
        <v>812015.86888345005</v>
      </c>
      <c r="AN62" s="103">
        <v>798107.74325009005</v>
      </c>
      <c r="AO62" s="103">
        <v>1046887.93336</v>
      </c>
      <c r="AP62" s="172">
        <v>3331441.7920399602</v>
      </c>
      <c r="AQ62" s="103">
        <v>658716.14348999993</v>
      </c>
      <c r="AR62" s="103">
        <v>90440.676300099978</v>
      </c>
      <c r="AS62" s="103">
        <v>429342.35996298998</v>
      </c>
      <c r="AT62" s="103">
        <v>770918.8370800002</v>
      </c>
      <c r="AU62" s="172">
        <v>1949418.01683309</v>
      </c>
      <c r="AV62" s="172">
        <v>398319.81358000002</v>
      </c>
      <c r="AW62" s="172">
        <v>440742.43374999997</v>
      </c>
      <c r="AX62" s="172">
        <v>658282.20578999992</v>
      </c>
      <c r="AY62" s="185">
        <v>839898.19920999999</v>
      </c>
      <c r="AZ62" s="172">
        <v>2337242.65233</v>
      </c>
      <c r="BA62" s="185">
        <v>565323.97085999988</v>
      </c>
      <c r="BB62" s="172">
        <v>699185.04259999993</v>
      </c>
      <c r="BC62" s="172">
        <v>673166.13684999989</v>
      </c>
      <c r="BD62" s="172">
        <v>872849.08773999999</v>
      </c>
      <c r="BE62" s="172">
        <v>2810524.2380499998</v>
      </c>
      <c r="BF62" s="172">
        <v>649100.12115999998</v>
      </c>
      <c r="BG62" s="172">
        <v>749887.38326000003</v>
      </c>
      <c r="BH62" s="172">
        <v>737711.15636999987</v>
      </c>
      <c r="BI62" s="172">
        <v>941903.20854000014</v>
      </c>
      <c r="BJ62" s="172">
        <v>3078601.8693300001</v>
      </c>
      <c r="BK62" s="172">
        <v>719068.84580000013</v>
      </c>
      <c r="BL62" s="172">
        <v>769115.35099000006</v>
      </c>
    </row>
    <row r="63" spans="1:64" s="102" customFormat="1" ht="15" customHeight="1">
      <c r="A63" t="s">
        <v>277</v>
      </c>
      <c r="B63" s="9" t="str">
        <f>IF('Sumário | Summary'!P1=1,"Vendas mesmas lojas (SSS)","Same Store Sales (SSS)")</f>
        <v>Vendas mesmas lojas (SSS)</v>
      </c>
      <c r="C63" s="107" t="s">
        <v>18</v>
      </c>
      <c r="D63" s="107" t="s">
        <v>18</v>
      </c>
      <c r="E63" s="107" t="s">
        <v>18</v>
      </c>
      <c r="F63" s="107" t="s">
        <v>18</v>
      </c>
      <c r="G63" s="107" t="s">
        <v>18</v>
      </c>
      <c r="H63" s="71">
        <v>6.0900000000000003E-2</v>
      </c>
      <c r="I63" s="71">
        <v>3.56E-2</v>
      </c>
      <c r="J63" s="71">
        <v>7.6399999999999996E-2</v>
      </c>
      <c r="K63" s="71">
        <v>4.3900000000000002E-2</v>
      </c>
      <c r="L63" s="71">
        <v>4.3900000000000002E-2</v>
      </c>
      <c r="M63" s="71">
        <v>1.4E-2</v>
      </c>
      <c r="N63" s="71">
        <v>0.02</v>
      </c>
      <c r="O63" s="71">
        <v>-8.9999999999999993E-3</v>
      </c>
      <c r="P63" s="71">
        <v>1.7999999999999999E-2</v>
      </c>
      <c r="Q63" s="71">
        <v>1.7999999999999999E-2</v>
      </c>
      <c r="R63" s="71">
        <v>0.100959995207032</v>
      </c>
      <c r="S63" s="71">
        <v>7.52698867301511E-2</v>
      </c>
      <c r="T63" s="71">
        <v>4.2203867495185898E-2</v>
      </c>
      <c r="U63" s="71">
        <v>5.8503376048046896E-3</v>
      </c>
      <c r="V63" s="71">
        <v>5.8503376048046896E-3</v>
      </c>
      <c r="W63" s="71">
        <v>2.2207494815995377E-2</v>
      </c>
      <c r="X63" s="71">
        <v>5.3999999999999999E-2</v>
      </c>
      <c r="Y63" s="71">
        <v>6.4000000000000001E-2</v>
      </c>
      <c r="Z63" s="105">
        <v>0.03</v>
      </c>
      <c r="AA63" s="71">
        <v>0.03</v>
      </c>
      <c r="AB63" s="71">
        <v>5.6000000000000001E-2</v>
      </c>
      <c r="AC63" s="71">
        <v>7.6999999999999999E-2</v>
      </c>
      <c r="AD63" s="71">
        <v>0.06</v>
      </c>
      <c r="AE63" s="71">
        <v>4.6620390386878263E-2</v>
      </c>
      <c r="AF63" s="71">
        <v>4.6620390386878263E-2</v>
      </c>
      <c r="AG63" s="71">
        <v>4.3999999999999997E-2</v>
      </c>
      <c r="AH63" s="71">
        <v>-4.0000000000000001E-3</v>
      </c>
      <c r="AI63" s="71">
        <v>4.2278165195345219E-2</v>
      </c>
      <c r="AJ63" s="71">
        <v>4.4555454113896609E-2</v>
      </c>
      <c r="AK63" s="71">
        <v>3.1378059393820434E-2</v>
      </c>
      <c r="AL63" s="126">
        <v>4.0381464565989456E-2</v>
      </c>
      <c r="AM63" s="71">
        <v>7.0765743882198917E-2</v>
      </c>
      <c r="AN63" s="126">
        <v>3.1391354323813569E-2</v>
      </c>
      <c r="AO63" s="126">
        <v>3.5915623531437735E-2</v>
      </c>
      <c r="AP63" s="175">
        <v>4.3915868261686031E-2</v>
      </c>
      <c r="AQ63" s="126">
        <v>-0.13238745914015371</v>
      </c>
      <c r="AR63" s="126">
        <v>-0.78816788842251961</v>
      </c>
      <c r="AS63" s="126">
        <v>-0.39529069838149489</v>
      </c>
      <c r="AT63" s="126">
        <v>-0.23277609863815119</v>
      </c>
      <c r="AU63" s="175">
        <v>-0.23277609863815119</v>
      </c>
      <c r="AV63" s="175">
        <v>-0.3698093375554129</v>
      </c>
      <c r="AW63" s="175">
        <v>2.2417646735262453</v>
      </c>
      <c r="AX63" s="175">
        <v>0.42306840884913566</v>
      </c>
      <c r="AY63" s="186">
        <v>0.21232686906592901</v>
      </c>
      <c r="AZ63" s="175">
        <v>0.21232686906592901</v>
      </c>
      <c r="BA63" s="186">
        <v>0.63175635465065727</v>
      </c>
      <c r="BB63" s="175">
        <v>0.58481117355995038</v>
      </c>
      <c r="BC63" s="175">
        <v>0.19766268221681083</v>
      </c>
      <c r="BD63" s="175">
        <v>7.6510164784604928E-2</v>
      </c>
      <c r="BE63" s="175">
        <v>7.6510164784604928E-2</v>
      </c>
      <c r="BF63" s="175">
        <v>0.11988114430502628</v>
      </c>
      <c r="BG63" s="175">
        <v>3.3340414478779001E-2</v>
      </c>
      <c r="BH63" s="175">
        <v>5.934426802765369E-2</v>
      </c>
      <c r="BI63" s="175">
        <v>5.5244405348069847E-2</v>
      </c>
      <c r="BJ63" s="175">
        <v>6.3635987114478043E-2</v>
      </c>
      <c r="BK63" s="175">
        <v>7.931827904205635E-2</v>
      </c>
      <c r="BL63" s="175">
        <v>9.7108134643679733E-3</v>
      </c>
    </row>
    <row r="64" spans="1:64" s="226" customFormat="1" ht="15" customHeight="1">
      <c r="A64" t="s">
        <v>309</v>
      </c>
      <c r="B64" s="9" t="str">
        <f>IF('Sumário | Summary'!P1=1,"Aluguéis mesmas lojas (SSR)","Same Store Rent (SSR)")</f>
        <v>Aluguéis mesmas lojas (SSR)</v>
      </c>
      <c r="C64" s="88" t="s">
        <v>18</v>
      </c>
      <c r="D64" s="88" t="s">
        <v>18</v>
      </c>
      <c r="E64" s="88" t="s">
        <v>18</v>
      </c>
      <c r="F64" s="88" t="s">
        <v>18</v>
      </c>
      <c r="G64" s="88" t="s">
        <v>18</v>
      </c>
      <c r="H64" s="126">
        <v>8.0799999999999997E-2</v>
      </c>
      <c r="I64" s="126">
        <v>9.1399999999999995E-2</v>
      </c>
      <c r="J64" s="126">
        <v>8.48E-2</v>
      </c>
      <c r="K64" s="126">
        <v>8.0699999999999994E-2</v>
      </c>
      <c r="L64" s="126">
        <v>8.0699999999999994E-2</v>
      </c>
      <c r="M64" s="126">
        <v>7.3999999999999996E-2</v>
      </c>
      <c r="N64" s="126">
        <v>6.3E-2</v>
      </c>
      <c r="O64" s="126">
        <v>6.9000000000000006E-2</v>
      </c>
      <c r="P64" s="126">
        <v>7.1999999999999995E-2</v>
      </c>
      <c r="Q64" s="126">
        <v>7.1999999999999995E-2</v>
      </c>
      <c r="R64" s="126">
        <v>6.6147724267828806E-2</v>
      </c>
      <c r="S64" s="126">
        <v>5.75493812235435E-2</v>
      </c>
      <c r="T64" s="126">
        <v>4.08582860918223E-2</v>
      </c>
      <c r="U64" s="126">
        <v>4.1550765987549143E-2</v>
      </c>
      <c r="V64" s="126">
        <v>4.1550765987549143E-2</v>
      </c>
      <c r="W64" s="126">
        <v>5.9641017952214881E-2</v>
      </c>
      <c r="X64" s="126">
        <v>6.0999999999999999E-2</v>
      </c>
      <c r="Y64" s="126">
        <v>0.128</v>
      </c>
      <c r="Z64" s="126">
        <v>9.7000000000000003E-2</v>
      </c>
      <c r="AA64" s="126">
        <v>9.7000000000000003E-2</v>
      </c>
      <c r="AB64" s="126">
        <v>9.1999999999999998E-2</v>
      </c>
      <c r="AC64" s="126">
        <v>0.108</v>
      </c>
      <c r="AD64" s="126">
        <v>5.1999999999999998E-2</v>
      </c>
      <c r="AE64" s="126">
        <v>2.7E-2</v>
      </c>
      <c r="AF64" s="126">
        <v>5.6000000000000001E-2</v>
      </c>
      <c r="AG64" s="126">
        <v>4.9000000000000002E-2</v>
      </c>
      <c r="AH64" s="126">
        <v>1.9E-2</v>
      </c>
      <c r="AI64" s="126">
        <v>3.7148491879612555E-2</v>
      </c>
      <c r="AJ64" s="126">
        <v>4.1608191356610646E-2</v>
      </c>
      <c r="AK64" s="126">
        <v>3.6273325660403533E-2</v>
      </c>
      <c r="AL64" s="126">
        <v>4.6724768863937616E-2</v>
      </c>
      <c r="AM64" s="126">
        <v>9.2817662658065903E-2</v>
      </c>
      <c r="AN64" s="126">
        <v>7.3728393852621199E-2</v>
      </c>
      <c r="AO64" s="126">
        <v>7.4151463743060475E-2</v>
      </c>
      <c r="AP64" s="175">
        <v>7.2072412777032913E-2</v>
      </c>
      <c r="AQ64" s="126">
        <v>5.4756237412427966E-2</v>
      </c>
      <c r="AR64" s="126">
        <v>-4.0892686540409784E-2</v>
      </c>
      <c r="AS64" s="126">
        <v>-2.7978763216537472E-2</v>
      </c>
      <c r="AT64" s="126">
        <v>-2.4185681857092245E-2</v>
      </c>
      <c r="AU64" s="175">
        <v>-2.4185681857092245E-2</v>
      </c>
      <c r="AV64" s="175">
        <v>1.4772846126341221E-2</v>
      </c>
      <c r="AW64" s="175">
        <v>0.1932796227667315</v>
      </c>
      <c r="AX64" s="175">
        <v>0.2064169673696219</v>
      </c>
      <c r="AY64" s="186">
        <v>0.18820553838735177</v>
      </c>
      <c r="AZ64" s="175">
        <v>0.18820553838735177</v>
      </c>
      <c r="BA64" s="186">
        <v>0.16230685247236831</v>
      </c>
      <c r="BB64" s="175">
        <v>0.14625716960566804</v>
      </c>
      <c r="BC64" s="175">
        <v>0.1660630849236826</v>
      </c>
      <c r="BD64" s="175">
        <v>9.8590154258900942E-2</v>
      </c>
      <c r="BE64" s="175">
        <v>9.8590154258900942E-2</v>
      </c>
      <c r="BF64" s="175">
        <v>9.3262436261752901E-2</v>
      </c>
      <c r="BG64" s="175">
        <v>8.1605585817364323E-2</v>
      </c>
      <c r="BH64" s="175">
        <v>4.3813812946054131E-2</v>
      </c>
      <c r="BI64" s="175">
        <v>2.8642248143916138E-2</v>
      </c>
      <c r="BJ64" s="175">
        <v>5.87898792485817E-2</v>
      </c>
      <c r="BK64" s="175">
        <v>5.9020465507217512E-2</v>
      </c>
      <c r="BL64" s="175">
        <v>2.9591790631451342E-3</v>
      </c>
    </row>
    <row r="65" spans="1:64" s="226" customFormat="1" ht="15" customHeight="1">
      <c r="A65" t="s">
        <v>310</v>
      </c>
      <c r="B65" s="9" t="str">
        <f>IF('Sumário | Summary'!P1=1,"Custo de Ocupação (% das vendas)","Occupancy Cost (% of sales)")</f>
        <v>Custo de Ocupação (% das vendas)</v>
      </c>
      <c r="C65" s="88" t="s">
        <v>18</v>
      </c>
      <c r="D65" s="88" t="s">
        <v>18</v>
      </c>
      <c r="E65" s="88" t="s">
        <v>18</v>
      </c>
      <c r="F65" s="88" t="s">
        <v>18</v>
      </c>
      <c r="G65" s="88" t="s">
        <v>18</v>
      </c>
      <c r="H65" s="88">
        <v>0.15441025888551688</v>
      </c>
      <c r="I65" s="88">
        <v>0.13853190157939368</v>
      </c>
      <c r="J65" s="88">
        <v>0.14013385457452601</v>
      </c>
      <c r="K65" s="88">
        <v>0.11569603768424541</v>
      </c>
      <c r="L65" s="88">
        <v>0.13459100625062237</v>
      </c>
      <c r="M65" s="88">
        <v>0.17063377944857391</v>
      </c>
      <c r="N65" s="88">
        <v>0.14987228687475279</v>
      </c>
      <c r="O65" s="88">
        <v>0.14494486918954363</v>
      </c>
      <c r="P65" s="88">
        <v>0.11663644776216654</v>
      </c>
      <c r="Q65" s="88">
        <v>0.14125127108063598</v>
      </c>
      <c r="R65" s="126">
        <v>0.14000000000000001</v>
      </c>
      <c r="S65" s="126">
        <v>0.15041614829426758</v>
      </c>
      <c r="T65" s="126">
        <v>0.15117202966282237</v>
      </c>
      <c r="U65" s="126">
        <v>0.12734047572052717</v>
      </c>
      <c r="V65" s="126">
        <v>0.12734047572052717</v>
      </c>
      <c r="W65" s="126">
        <v>0.13879717241638742</v>
      </c>
      <c r="X65" s="126">
        <v>0.12639943610649162</v>
      </c>
      <c r="Y65" s="126">
        <v>0.13090943835090901</v>
      </c>
      <c r="Z65" s="126">
        <v>0.11692840331409804</v>
      </c>
      <c r="AA65" s="126">
        <v>0.12708982126624355</v>
      </c>
      <c r="AB65" s="126">
        <v>0.1328574689168304</v>
      </c>
      <c r="AC65" s="126">
        <v>0.11799999999999999</v>
      </c>
      <c r="AD65" s="126">
        <v>0.12034326126255311</v>
      </c>
      <c r="AE65" s="126">
        <v>0.11129300484031378</v>
      </c>
      <c r="AF65" s="126">
        <v>0.11961236396662049</v>
      </c>
      <c r="AG65" s="126">
        <v>0.12843330224851937</v>
      </c>
      <c r="AH65" s="126">
        <v>0.11799999999999999</v>
      </c>
      <c r="AI65" s="126">
        <v>0.11746611525488741</v>
      </c>
      <c r="AJ65" s="126">
        <v>0.10761275964847347</v>
      </c>
      <c r="AK65" s="126">
        <v>0.1168410584522087</v>
      </c>
      <c r="AL65" s="126">
        <v>0.12226074952912679</v>
      </c>
      <c r="AM65" s="126">
        <v>0.11292251006737461</v>
      </c>
      <c r="AN65" s="126">
        <v>0.11501566126127517</v>
      </c>
      <c r="AO65" s="126">
        <v>0.10433378321205491</v>
      </c>
      <c r="AP65" s="126">
        <v>0.11089617329558167</v>
      </c>
      <c r="AQ65" s="126">
        <v>0.1324601208333763</v>
      </c>
      <c r="AR65" s="126">
        <v>0.63725634632229289</v>
      </c>
      <c r="AS65" s="126">
        <v>0.17564728263327783</v>
      </c>
      <c r="AT65" s="126">
        <v>0.12808975345408016</v>
      </c>
      <c r="AU65" s="175">
        <v>0.1641504621053024</v>
      </c>
      <c r="AV65" s="175">
        <v>0.21447006464924886</v>
      </c>
      <c r="AW65" s="175">
        <v>0.1623534162196939</v>
      </c>
      <c r="AX65" s="175">
        <v>0.13735529865366433</v>
      </c>
      <c r="AY65" s="186">
        <v>0.118632699171571</v>
      </c>
      <c r="AZ65" s="186">
        <v>0.14559974232323009</v>
      </c>
      <c r="BA65" s="186">
        <v>0.14358446212043163</v>
      </c>
      <c r="BB65" s="175">
        <v>0.11929177854394862</v>
      </c>
      <c r="BC65" s="175">
        <v>0.12656429829178881</v>
      </c>
      <c r="BD65" s="175">
        <v>0.11632656675701368</v>
      </c>
      <c r="BE65" s="175">
        <v>0.12499903348053755</v>
      </c>
      <c r="BF65" s="175">
        <v>0.13360951127404325</v>
      </c>
      <c r="BG65" s="175">
        <v>0.11875836696482331</v>
      </c>
      <c r="BH65" s="175">
        <v>0.12036851240972159</v>
      </c>
      <c r="BI65" s="175">
        <v>0.1116643556433537</v>
      </c>
      <c r="BJ65" s="175">
        <v>0.12011008701392857</v>
      </c>
      <c r="BK65" s="175">
        <v>0.12679417239761223</v>
      </c>
      <c r="BL65" s="175">
        <v>0.1177944503899315</v>
      </c>
    </row>
    <row r="66" spans="1:64" s="226" customFormat="1" ht="15" customHeight="1">
      <c r="A66" t="s">
        <v>311</v>
      </c>
      <c r="B66" s="9" t="str">
        <f>IF('Sumário | Summary'!P1=1,"Taxa de Ocupação Física (%)","Physical Occupancy Rate")</f>
        <v>Taxa de Ocupação Física (%)</v>
      </c>
      <c r="C66" s="126">
        <v>0.995</v>
      </c>
      <c r="D66" s="126">
        <v>0.97</v>
      </c>
      <c r="E66" s="126">
        <v>0.98299999999999998</v>
      </c>
      <c r="F66" s="126">
        <v>0.98599999999999999</v>
      </c>
      <c r="G66" s="126">
        <v>0.98599999999999999</v>
      </c>
      <c r="H66" s="126">
        <v>0.97699999999999998</v>
      </c>
      <c r="I66" s="126">
        <v>0.96899999999999997</v>
      </c>
      <c r="J66" s="126">
        <v>0.98799999999999999</v>
      </c>
      <c r="K66" s="126">
        <v>0.97</v>
      </c>
      <c r="L66" s="126">
        <v>0.97</v>
      </c>
      <c r="M66" s="126">
        <v>0.96699999999999997</v>
      </c>
      <c r="N66" s="126">
        <v>0.95499999999999996</v>
      </c>
      <c r="O66" s="126">
        <v>0.94899999999999995</v>
      </c>
      <c r="P66" s="126">
        <v>0.95699999999999996</v>
      </c>
      <c r="Q66" s="126">
        <v>0.95699999999999996</v>
      </c>
      <c r="R66" s="126">
        <v>0.95899999999999996</v>
      </c>
      <c r="S66" s="126">
        <v>0.95799999999999996</v>
      </c>
      <c r="T66" s="126">
        <v>0.95299999999999996</v>
      </c>
      <c r="U66" s="126">
        <v>0.95699999999999996</v>
      </c>
      <c r="V66" s="126">
        <v>0.95699999999999996</v>
      </c>
      <c r="W66" s="126">
        <v>0.94199999999999995</v>
      </c>
      <c r="X66" s="126">
        <v>0.90200000000000002</v>
      </c>
      <c r="Y66" s="126">
        <v>0.90600000000000003</v>
      </c>
      <c r="Z66" s="126">
        <v>0.92700000000000005</v>
      </c>
      <c r="AA66" s="126">
        <v>0.92700000000000005</v>
      </c>
      <c r="AB66" s="126">
        <v>0.91986953121965787</v>
      </c>
      <c r="AC66" s="126">
        <v>0.91892906842225186</v>
      </c>
      <c r="AD66" s="126">
        <v>0.93297822390398621</v>
      </c>
      <c r="AE66" s="126">
        <v>0.93791265423326364</v>
      </c>
      <c r="AF66" s="126">
        <v>0.93791265423326364</v>
      </c>
      <c r="AG66" s="126">
        <v>0.92910549445800961</v>
      </c>
      <c r="AH66" s="126">
        <v>0.93557858189751786</v>
      </c>
      <c r="AI66" s="126">
        <v>0.94567067272771932</v>
      </c>
      <c r="AJ66" s="126">
        <v>0.94168489538140909</v>
      </c>
      <c r="AK66" s="126">
        <v>0.94168489538140909</v>
      </c>
      <c r="AL66" s="126">
        <v>0.94134902802254961</v>
      </c>
      <c r="AM66" s="126">
        <v>0.94746263389037877</v>
      </c>
      <c r="AN66" s="126">
        <v>0.95256433047042144</v>
      </c>
      <c r="AO66" s="126">
        <v>0.95101305187786689</v>
      </c>
      <c r="AP66" s="126">
        <v>0.95101305187786689</v>
      </c>
      <c r="AQ66" s="126">
        <v>0.9472262196906106</v>
      </c>
      <c r="AR66" s="126">
        <v>0.93751401648271648</v>
      </c>
      <c r="AS66" s="126">
        <v>0.92496308515261993</v>
      </c>
      <c r="AT66" s="126">
        <v>0.92425861585691271</v>
      </c>
      <c r="AU66" s="175">
        <v>0.92425861585691271</v>
      </c>
      <c r="AV66" s="175">
        <v>0.92303441708486722</v>
      </c>
      <c r="AW66" s="175">
        <v>0.9147285140449154</v>
      </c>
      <c r="AX66" s="175">
        <v>0.92303441708486722</v>
      </c>
      <c r="AY66" s="186">
        <v>0.92301601801800681</v>
      </c>
      <c r="AZ66" s="186">
        <v>0.92301601801800681</v>
      </c>
      <c r="BA66" s="186">
        <v>0.92303441708486722</v>
      </c>
      <c r="BB66" s="175">
        <v>0.92683516179253878</v>
      </c>
      <c r="BC66" s="175">
        <v>0.9343370773834262</v>
      </c>
      <c r="BD66" s="175">
        <v>0.95152396545461848</v>
      </c>
      <c r="BE66" s="175">
        <v>0.95152396545461848</v>
      </c>
      <c r="BF66" s="175">
        <v>0.94943171376180746</v>
      </c>
      <c r="BG66" s="175">
        <v>0.9418851385126743</v>
      </c>
      <c r="BH66" s="175">
        <v>0.95413610965321349</v>
      </c>
      <c r="BI66" s="175">
        <v>0.95766704629686172</v>
      </c>
      <c r="BJ66" s="175">
        <v>0.95766704629686172</v>
      </c>
      <c r="BK66" s="175">
        <v>0.94856361724869409</v>
      </c>
      <c r="BL66" s="175">
        <v>0.95982120181787889</v>
      </c>
    </row>
    <row r="67" spans="1:64" s="226" customFormat="1" ht="15" customHeight="1">
      <c r="A67" t="s">
        <v>312</v>
      </c>
      <c r="B67" s="9" t="str">
        <f>IF('Sumário | Summary'!P1=1,"Taxa de Ocupação Financeira (%)","Financial Occupancy Rate")</f>
        <v>Taxa de Ocupação Financeira (%)</v>
      </c>
      <c r="C67" s="126">
        <v>0.99</v>
      </c>
      <c r="D67" s="126">
        <v>0.96899999999999997</v>
      </c>
      <c r="E67" s="126">
        <v>0.99</v>
      </c>
      <c r="F67" s="126">
        <v>0.98599999999999999</v>
      </c>
      <c r="G67" s="126">
        <v>0.98599999999999999</v>
      </c>
      <c r="H67" s="126">
        <v>0.97799999999999998</v>
      </c>
      <c r="I67" s="126">
        <v>0.96899999999999997</v>
      </c>
      <c r="J67" s="126">
        <v>0.98799999999999999</v>
      </c>
      <c r="K67" s="126">
        <v>0.96961996216955737</v>
      </c>
      <c r="L67" s="126">
        <v>0.96961996216955737</v>
      </c>
      <c r="M67" s="126">
        <v>0.96719590528295252</v>
      </c>
      <c r="N67" s="126">
        <v>0.95522997499864859</v>
      </c>
      <c r="O67" s="126">
        <v>0.92843237458180072</v>
      </c>
      <c r="P67" s="126">
        <v>0.94260489577256301</v>
      </c>
      <c r="Q67" s="126">
        <v>0.94260489577256301</v>
      </c>
      <c r="R67" s="126">
        <v>0.92200000000000004</v>
      </c>
      <c r="S67" s="126">
        <v>0.92200597987122968</v>
      </c>
      <c r="T67" s="126">
        <v>0.91900000000000004</v>
      </c>
      <c r="U67" s="126">
        <v>0.92659159367050858</v>
      </c>
      <c r="V67" s="126">
        <v>0.92659159367050858</v>
      </c>
      <c r="W67" s="126">
        <v>0.92659159367050858</v>
      </c>
      <c r="X67" s="126">
        <v>0.89127162596025467</v>
      </c>
      <c r="Y67" s="126">
        <v>0.89600000000000002</v>
      </c>
      <c r="Z67" s="126">
        <v>0.90539999999999998</v>
      </c>
      <c r="AA67" s="126">
        <v>0.90539999999999998</v>
      </c>
      <c r="AB67" s="126">
        <v>0.89600000000000002</v>
      </c>
      <c r="AC67" s="126">
        <v>0.9</v>
      </c>
      <c r="AD67" s="126">
        <v>0.91600000000000004</v>
      </c>
      <c r="AE67" s="126">
        <v>0.92142398159900796</v>
      </c>
      <c r="AF67" s="126">
        <v>0.92142398159900796</v>
      </c>
      <c r="AG67" s="126">
        <v>0.93500000000000005</v>
      </c>
      <c r="AH67" s="126">
        <v>0.94623576728565539</v>
      </c>
      <c r="AI67" s="126">
        <v>0.95062529582591115</v>
      </c>
      <c r="AJ67" s="126">
        <v>0.94983089971686296</v>
      </c>
      <c r="AK67" s="126">
        <v>0.94983089971686296</v>
      </c>
      <c r="AL67" s="126">
        <v>0.94044278558193872</v>
      </c>
      <c r="AM67" s="126">
        <v>0.94061205749574173</v>
      </c>
      <c r="AN67" s="126">
        <v>0.94818638997648452</v>
      </c>
      <c r="AO67" s="126">
        <v>0.94813804157935311</v>
      </c>
      <c r="AP67" s="126">
        <v>0.94813804157935311</v>
      </c>
      <c r="AQ67" s="126">
        <v>0.9508109335592454</v>
      </c>
      <c r="AR67" s="126">
        <v>0.9338653359502006</v>
      </c>
      <c r="AS67" s="126">
        <v>0.92608958654877127</v>
      </c>
      <c r="AT67" s="126">
        <v>0.9308687898684912</v>
      </c>
      <c r="AU67" s="175">
        <v>0.9308687898684912</v>
      </c>
      <c r="AV67" s="175">
        <v>0.92265355365979052</v>
      </c>
      <c r="AW67" s="175">
        <v>0.91806799164384045</v>
      </c>
      <c r="AX67" s="175">
        <v>0.92265355365979052</v>
      </c>
      <c r="AY67" s="186">
        <v>0.92468800716505251</v>
      </c>
      <c r="AZ67" s="186">
        <v>0.90662324579800169</v>
      </c>
      <c r="BA67" s="186">
        <v>0.92265355365979052</v>
      </c>
      <c r="BB67" s="175">
        <v>0.91922238337833528</v>
      </c>
      <c r="BC67" s="175">
        <v>0.92213723968746175</v>
      </c>
      <c r="BD67" s="175">
        <v>0.9445258900514274</v>
      </c>
      <c r="BE67" s="175">
        <v>0.9445258900514274</v>
      </c>
      <c r="BF67" s="175">
        <v>0.94416439621943593</v>
      </c>
      <c r="BG67" s="175">
        <v>0.93515231133278731</v>
      </c>
      <c r="BH67" s="175">
        <v>0.94243020458426507</v>
      </c>
      <c r="BI67" s="175">
        <v>0.94761914540130543</v>
      </c>
      <c r="BJ67" s="175">
        <v>0.94761914540130543</v>
      </c>
      <c r="BK67" s="175">
        <v>0.94131344742241874</v>
      </c>
      <c r="BL67" s="175">
        <v>0.95720016834812449</v>
      </c>
    </row>
    <row r="68" spans="1:64" s="226" customFormat="1" ht="15" customHeight="1">
      <c r="A68" t="s">
        <v>313</v>
      </c>
      <c r="B68" s="9" t="str">
        <f>IF('Sumário | Summary'!P1=1,"Inadimplência líquida (%)","Net Default")</f>
        <v>Inadimplência líquida (%)</v>
      </c>
      <c r="C68" s="88">
        <v>6.3446944795405948E-5</v>
      </c>
      <c r="D68" s="88">
        <v>-1.8373262823806894E-3</v>
      </c>
      <c r="E68" s="88">
        <v>4.4107664777989226E-2</v>
      </c>
      <c r="F68" s="88">
        <v>1.2639856652241654E-2</v>
      </c>
      <c r="G68" s="88">
        <v>1.6717375515167929E-2</v>
      </c>
      <c r="H68" s="88">
        <v>3.064182438599922E-2</v>
      </c>
      <c r="I68" s="88">
        <v>2.3365230513745106E-2</v>
      </c>
      <c r="J68" s="88">
        <v>1.4036190002638709E-2</v>
      </c>
      <c r="K68" s="88">
        <v>1.0199457330800773E-2</v>
      </c>
      <c r="L68" s="88">
        <v>1.9813254610476349E-2</v>
      </c>
      <c r="M68" s="88">
        <v>5.0532470545629649E-2</v>
      </c>
      <c r="N68" s="88">
        <v>4.9401616377818848E-2</v>
      </c>
      <c r="O68" s="88">
        <v>2.559636851829462E-2</v>
      </c>
      <c r="P68" s="126">
        <v>1.6247780489484703E-2</v>
      </c>
      <c r="Q68" s="126">
        <v>3.5399301724702917E-2</v>
      </c>
      <c r="R68" s="126">
        <v>7.9000000000000001E-2</v>
      </c>
      <c r="S68" s="126">
        <v>5.2924527367774005E-2</v>
      </c>
      <c r="T68" s="126">
        <v>3.0840649526738262E-2</v>
      </c>
      <c r="U68" s="126">
        <v>2.2065564922835738E-2</v>
      </c>
      <c r="V68" s="126">
        <v>2.2065564922835738E-2</v>
      </c>
      <c r="W68" s="126">
        <v>5.6097789235478354E-2</v>
      </c>
      <c r="X68" s="126">
        <v>3.8203536881908272E-2</v>
      </c>
      <c r="Y68" s="126">
        <v>3.0738218168385161E-2</v>
      </c>
      <c r="Z68" s="126">
        <v>3.1318752024554697E-2</v>
      </c>
      <c r="AA68" s="126">
        <v>3.9816464205255864E-2</v>
      </c>
      <c r="AB68" s="126">
        <v>5.1549172269938048E-2</v>
      </c>
      <c r="AC68" s="126">
        <v>1.6556366698077252E-2</v>
      </c>
      <c r="AD68" s="126">
        <v>7.3359976954346928E-3</v>
      </c>
      <c r="AE68" s="126">
        <v>1.2147640477296551E-2</v>
      </c>
      <c r="AF68" s="126">
        <v>2.351953710864918E-2</v>
      </c>
      <c r="AG68" s="126">
        <v>4.7213097422773354E-2</v>
      </c>
      <c r="AH68" s="126">
        <v>2.3538702546541002E-2</v>
      </c>
      <c r="AI68" s="126">
        <v>1.4286809962313241E-2</v>
      </c>
      <c r="AJ68" s="126">
        <v>4.7608519706683339E-3</v>
      </c>
      <c r="AK68" s="126">
        <v>2.3586999165056688E-2</v>
      </c>
      <c r="AL68" s="126">
        <v>3.2312980731915616E-2</v>
      </c>
      <c r="AM68" s="126">
        <v>4.9728953161738924E-3</v>
      </c>
      <c r="AN68" s="126">
        <v>1.7416340145349339E-2</v>
      </c>
      <c r="AO68" s="126">
        <v>-1.8325421815240054E-3</v>
      </c>
      <c r="AP68" s="126">
        <v>1.4251743404439021E-2</v>
      </c>
      <c r="AQ68" s="126">
        <v>4.6192981409242606E-2</v>
      </c>
      <c r="AR68" s="126">
        <v>5.725085554970615E-3</v>
      </c>
      <c r="AS68" s="126">
        <v>0.10624361200631294</v>
      </c>
      <c r="AT68" s="126">
        <v>5.5556186066665951E-2</v>
      </c>
      <c r="AU68" s="175">
        <v>5.2759166430050408E-2</v>
      </c>
      <c r="AV68" s="175">
        <v>0.17176102211540467</v>
      </c>
      <c r="AW68" s="175">
        <v>9.7617072264351568E-2</v>
      </c>
      <c r="AX68" s="175">
        <v>-2.8447965748809922E-2</v>
      </c>
      <c r="AY68" s="186">
        <v>-1.7473669291911964E-3</v>
      </c>
      <c r="AZ68" s="186">
        <v>5.1411817978261221E-2</v>
      </c>
      <c r="BA68" s="186">
        <v>3.0466575954839703E-2</v>
      </c>
      <c r="BB68" s="175">
        <v>-1.2367937602997703E-2</v>
      </c>
      <c r="BC68" s="175">
        <v>3.423529386271329E-3</v>
      </c>
      <c r="BD68" s="175">
        <v>-5.5294695290784013E-3</v>
      </c>
      <c r="BE68" s="175">
        <v>4.8640468428989836E-3</v>
      </c>
      <c r="BF68" s="175">
        <v>3.4167910066470242E-2</v>
      </c>
      <c r="BG68" s="175">
        <v>-3.073020529259729E-3</v>
      </c>
      <c r="BH68" s="175">
        <v>1.7681544369021029E-2</v>
      </c>
      <c r="BI68" s="175">
        <v>-7.3035673428569758E-3</v>
      </c>
      <c r="BJ68" s="175">
        <v>1.1269455958643371E-2</v>
      </c>
      <c r="BK68" s="175">
        <v>3.6487381584644485E-2</v>
      </c>
      <c r="BL68" s="175">
        <v>6.2412363374059199E-3</v>
      </c>
    </row>
    <row r="69" spans="1:64" s="226" customFormat="1" ht="15" customHeight="1">
      <c r="A69" t="s">
        <v>314</v>
      </c>
      <c r="B69" s="9" t="s">
        <v>314</v>
      </c>
      <c r="C69" s="88" t="s">
        <v>18</v>
      </c>
      <c r="D69" s="88" t="s">
        <v>18</v>
      </c>
      <c r="E69" s="88" t="s">
        <v>18</v>
      </c>
      <c r="F69" s="88" t="s">
        <v>18</v>
      </c>
      <c r="G69" s="88" t="s">
        <v>18</v>
      </c>
      <c r="H69" s="88" t="s">
        <v>18</v>
      </c>
      <c r="I69" s="88" t="s">
        <v>18</v>
      </c>
      <c r="J69" s="88" t="s">
        <v>18</v>
      </c>
      <c r="K69" s="88" t="s">
        <v>18</v>
      </c>
      <c r="L69" s="88" t="s">
        <v>18</v>
      </c>
      <c r="M69" s="88" t="s">
        <v>18</v>
      </c>
      <c r="N69" s="88" t="s">
        <v>18</v>
      </c>
      <c r="O69" s="88" t="s">
        <v>18</v>
      </c>
      <c r="P69" s="88" t="s">
        <v>18</v>
      </c>
      <c r="Q69" s="88" t="s">
        <v>18</v>
      </c>
      <c r="R69" s="88" t="s">
        <v>18</v>
      </c>
      <c r="S69" s="88" t="s">
        <v>18</v>
      </c>
      <c r="T69" s="88" t="s">
        <v>18</v>
      </c>
      <c r="U69" s="88" t="s">
        <v>18</v>
      </c>
      <c r="V69" s="88" t="s">
        <v>18</v>
      </c>
      <c r="W69" s="88" t="s">
        <v>18</v>
      </c>
      <c r="X69" s="88" t="s">
        <v>18</v>
      </c>
      <c r="Y69" s="88" t="s">
        <v>18</v>
      </c>
      <c r="Z69" s="88" t="s">
        <v>18</v>
      </c>
      <c r="AA69" s="88" t="s">
        <v>18</v>
      </c>
      <c r="AB69" s="88" t="s">
        <v>18</v>
      </c>
      <c r="AC69" s="88" t="s">
        <v>18</v>
      </c>
      <c r="AD69" s="88" t="s">
        <v>18</v>
      </c>
      <c r="AE69" s="88" t="s">
        <v>18</v>
      </c>
      <c r="AF69" s="88" t="s">
        <v>18</v>
      </c>
      <c r="AG69" s="88" t="s">
        <v>18</v>
      </c>
      <c r="AH69" s="88" t="s">
        <v>18</v>
      </c>
      <c r="AI69" s="88" t="s">
        <v>18</v>
      </c>
      <c r="AJ69" s="88" t="s">
        <v>18</v>
      </c>
      <c r="AK69" s="88" t="s">
        <v>18</v>
      </c>
      <c r="AL69" s="126">
        <v>3.7082428145531854E-3</v>
      </c>
      <c r="AM69" s="126">
        <v>8.6108251752922624E-3</v>
      </c>
      <c r="AN69" s="126">
        <v>3.0778989053377409E-3</v>
      </c>
      <c r="AO69" s="126">
        <v>2.6559527414963323E-3</v>
      </c>
      <c r="AP69" s="126">
        <v>4.5037812132252275E-3</v>
      </c>
      <c r="AQ69" s="126">
        <v>2.2911663178862324E-3</v>
      </c>
      <c r="AR69" s="126">
        <v>2.6310715469764789E-3</v>
      </c>
      <c r="AS69" s="126">
        <v>5.3643458007781126E-3</v>
      </c>
      <c r="AT69" s="126">
        <v>7.3784405642785909E-3</v>
      </c>
      <c r="AU69" s="175">
        <v>4.3935852110093742E-3</v>
      </c>
      <c r="AV69" s="175">
        <v>9.502224226397564E-3</v>
      </c>
      <c r="AW69" s="175">
        <v>3.1113724661483225E-3</v>
      </c>
      <c r="AX69" s="175">
        <v>8.8914811077884775E-3</v>
      </c>
      <c r="AY69" s="186">
        <v>7.244859688022744E-3</v>
      </c>
      <c r="AZ69" s="186">
        <v>7.2017720273455776E-3</v>
      </c>
      <c r="BA69" s="186">
        <v>2.5483067256527651E-3</v>
      </c>
      <c r="BB69" s="175">
        <v>1.989339591633241E-2</v>
      </c>
      <c r="BC69" s="175">
        <v>7.0043002428651843E-3</v>
      </c>
      <c r="BD69" s="175">
        <v>0</v>
      </c>
      <c r="BE69" s="175">
        <v>1.0937253251250091E-2</v>
      </c>
      <c r="BF69" s="175">
        <v>6.2776359411206772E-3</v>
      </c>
      <c r="BG69" s="175">
        <v>8.9285479558861239E-3</v>
      </c>
      <c r="BH69" s="175">
        <v>6.1208019313108014E-3</v>
      </c>
      <c r="BI69" s="175">
        <v>1.3931691021221862E-3</v>
      </c>
      <c r="BJ69" s="175">
        <v>5.6615611576119607E-3</v>
      </c>
      <c r="BK69" s="175">
        <v>4.3187899007810253E-3</v>
      </c>
      <c r="BL69" s="175">
        <v>5.9803924822867238E-3</v>
      </c>
    </row>
    <row r="71" spans="1:64" s="2" customFormat="1" hidden="1">
      <c r="A71"/>
      <c r="AB71" s="246" t="str">
        <f t="shared" ref="AB71:BH71" si="0">IF(RIGHT(LEFT(AB5,2),1)="0","4T"&amp;RIGHT(AB5,2),AB5)</f>
        <v>1T17</v>
      </c>
      <c r="AC71" s="246" t="str">
        <f t="shared" si="0"/>
        <v>2T17</v>
      </c>
      <c r="AD71" s="246" t="str">
        <f t="shared" si="0"/>
        <v>3T17</v>
      </c>
      <c r="AE71" s="246" t="str">
        <f t="shared" si="0"/>
        <v>4T17</v>
      </c>
      <c r="AF71" s="246" t="str">
        <f t="shared" si="0"/>
        <v>4T17</v>
      </c>
      <c r="AG71" s="246" t="str">
        <f t="shared" si="0"/>
        <v>1T18</v>
      </c>
      <c r="AH71" s="246" t="str">
        <f t="shared" si="0"/>
        <v>2T18</v>
      </c>
      <c r="AI71" s="246" t="str">
        <f t="shared" si="0"/>
        <v>3T18</v>
      </c>
      <c r="AJ71" s="246" t="str">
        <f t="shared" si="0"/>
        <v>4T18</v>
      </c>
      <c r="AK71" s="246" t="str">
        <f t="shared" si="0"/>
        <v>4T18</v>
      </c>
      <c r="AL71" s="246" t="str">
        <f t="shared" si="0"/>
        <v>1T19</v>
      </c>
      <c r="AM71" s="246" t="str">
        <f t="shared" si="0"/>
        <v>2T19</v>
      </c>
      <c r="AN71" s="246" t="str">
        <f t="shared" si="0"/>
        <v>3T19</v>
      </c>
      <c r="AO71" s="246" t="str">
        <f t="shared" si="0"/>
        <v>4T19</v>
      </c>
      <c r="AP71" s="246" t="str">
        <f t="shared" si="0"/>
        <v>4T19</v>
      </c>
      <c r="AQ71" s="246" t="str">
        <f t="shared" si="0"/>
        <v>1T20</v>
      </c>
      <c r="AR71" s="246" t="str">
        <f t="shared" si="0"/>
        <v>2T20</v>
      </c>
      <c r="AS71" s="246" t="str">
        <f t="shared" si="0"/>
        <v>3T20</v>
      </c>
      <c r="AT71" s="246" t="str">
        <f t="shared" si="0"/>
        <v>4T20</v>
      </c>
      <c r="AU71" s="246" t="str">
        <f t="shared" si="0"/>
        <v>4T20</v>
      </c>
      <c r="AV71" s="246" t="str">
        <f t="shared" si="0"/>
        <v>1T21</v>
      </c>
      <c r="AW71" s="246" t="str">
        <f t="shared" si="0"/>
        <v>2T21</v>
      </c>
      <c r="AX71" s="246" t="str">
        <f t="shared" si="0"/>
        <v>3T21</v>
      </c>
      <c r="AY71" s="246" t="str">
        <f t="shared" si="0"/>
        <v>4T21</v>
      </c>
      <c r="AZ71" s="246" t="str">
        <f t="shared" si="0"/>
        <v>4T21</v>
      </c>
      <c r="BA71" s="246" t="str">
        <f t="shared" si="0"/>
        <v>1T22</v>
      </c>
      <c r="BB71" s="246" t="str">
        <f t="shared" si="0"/>
        <v>2T22</v>
      </c>
      <c r="BC71" s="246" t="str">
        <f t="shared" si="0"/>
        <v>3T22</v>
      </c>
      <c r="BD71" s="246" t="str">
        <f t="shared" si="0"/>
        <v>4T22</v>
      </c>
      <c r="BE71" s="246" t="str">
        <f t="shared" si="0"/>
        <v>4T22</v>
      </c>
      <c r="BF71" s="246" t="str">
        <f t="shared" si="0"/>
        <v>1T23</v>
      </c>
      <c r="BG71" s="246" t="str">
        <f t="shared" si="0"/>
        <v>2T23</v>
      </c>
      <c r="BH71" s="246" t="str">
        <f t="shared" si="0"/>
        <v>3T23</v>
      </c>
      <c r="BI71" s="246" t="str">
        <f>IF(RIGHT(LEFT(BI5,2),1)="0","4T"&amp;RIGHT(BI5,2),BI5)</f>
        <v>4T23</v>
      </c>
      <c r="BJ71" s="246" t="str">
        <f>IF(RIGHT(LEFT(BJ5,2),1)="0","4T"&amp;RIGHT(BJ5,2),BJ5)</f>
        <v>4T23</v>
      </c>
      <c r="BK71" s="246" t="s">
        <v>321</v>
      </c>
      <c r="BL71" s="246" t="str">
        <f>IF(RIGHT(LEFT(BL5,2),1)="0","4T"&amp;RIGHT(BL5,2),BL5)</f>
        <v>2T24</v>
      </c>
    </row>
    <row r="72" spans="1:64" s="2" customFormat="1" hidden="1">
      <c r="A72"/>
      <c r="AB72" s="246" t="str">
        <f t="shared" ref="AB72:BH74" si="1">IF(LEFT(AB71,1)="1","4T"&amp;RIGHT(AB71,2)-1,LEFT(AB71,1)-1&amp;"T"&amp;RIGHT(AB71,2))</f>
        <v>4T16</v>
      </c>
      <c r="AC72" s="246" t="str">
        <f t="shared" si="1"/>
        <v>1T17</v>
      </c>
      <c r="AD72" s="246" t="str">
        <f t="shared" si="1"/>
        <v>2T17</v>
      </c>
      <c r="AE72" s="246" t="str">
        <f t="shared" si="1"/>
        <v>3T17</v>
      </c>
      <c r="AF72" s="246" t="str">
        <f t="shared" si="1"/>
        <v>3T17</v>
      </c>
      <c r="AG72" s="246" t="str">
        <f t="shared" si="1"/>
        <v>4T17</v>
      </c>
      <c r="AH72" s="246" t="str">
        <f t="shared" si="1"/>
        <v>1T18</v>
      </c>
      <c r="AI72" s="246" t="str">
        <f t="shared" si="1"/>
        <v>2T18</v>
      </c>
      <c r="AJ72" s="246" t="str">
        <f t="shared" si="1"/>
        <v>3T18</v>
      </c>
      <c r="AK72" s="246" t="str">
        <f t="shared" si="1"/>
        <v>3T18</v>
      </c>
      <c r="AL72" s="246" t="str">
        <f t="shared" si="1"/>
        <v>4T18</v>
      </c>
      <c r="AM72" s="246" t="str">
        <f t="shared" si="1"/>
        <v>1T19</v>
      </c>
      <c r="AN72" s="246" t="str">
        <f t="shared" si="1"/>
        <v>2T19</v>
      </c>
      <c r="AO72" s="246" t="str">
        <f t="shared" si="1"/>
        <v>3T19</v>
      </c>
      <c r="AP72" s="246" t="str">
        <f t="shared" si="1"/>
        <v>3T19</v>
      </c>
      <c r="AQ72" s="246" t="str">
        <f t="shared" si="1"/>
        <v>4T19</v>
      </c>
      <c r="AR72" s="246" t="str">
        <f t="shared" si="1"/>
        <v>1T20</v>
      </c>
      <c r="AS72" s="246" t="str">
        <f t="shared" si="1"/>
        <v>2T20</v>
      </c>
      <c r="AT72" s="246" t="str">
        <f t="shared" si="1"/>
        <v>3T20</v>
      </c>
      <c r="AU72" s="246" t="str">
        <f t="shared" si="1"/>
        <v>3T20</v>
      </c>
      <c r="AV72" s="246" t="str">
        <f t="shared" si="1"/>
        <v>4T20</v>
      </c>
      <c r="AW72" s="246" t="str">
        <f t="shared" si="1"/>
        <v>1T21</v>
      </c>
      <c r="AX72" s="246" t="str">
        <f t="shared" si="1"/>
        <v>2T21</v>
      </c>
      <c r="AY72" s="246" t="str">
        <f t="shared" si="1"/>
        <v>3T21</v>
      </c>
      <c r="AZ72" s="246" t="str">
        <f t="shared" si="1"/>
        <v>3T21</v>
      </c>
      <c r="BA72" s="246" t="str">
        <f t="shared" si="1"/>
        <v>4T21</v>
      </c>
      <c r="BB72" s="246" t="str">
        <f t="shared" si="1"/>
        <v>1T22</v>
      </c>
      <c r="BC72" s="246" t="str">
        <f t="shared" si="1"/>
        <v>2T22</v>
      </c>
      <c r="BD72" s="246" t="str">
        <f t="shared" si="1"/>
        <v>3T22</v>
      </c>
      <c r="BE72" s="246" t="str">
        <f t="shared" si="1"/>
        <v>3T22</v>
      </c>
      <c r="BF72" s="246" t="str">
        <f t="shared" si="1"/>
        <v>4T22</v>
      </c>
      <c r="BG72" s="246" t="str">
        <f t="shared" si="1"/>
        <v>1T23</v>
      </c>
      <c r="BH72" s="246" t="str">
        <f t="shared" si="1"/>
        <v>2T23</v>
      </c>
      <c r="BI72" s="246" t="str">
        <f t="shared" ref="BI72:BJ74" si="2">IF(LEFT(BI71,1)="1","4T"&amp;RIGHT(BI71,2)-1,LEFT(BI71,1)-1&amp;"T"&amp;RIGHT(BI71,2))</f>
        <v>3T23</v>
      </c>
      <c r="BJ72" s="246" t="str">
        <f t="shared" si="2"/>
        <v>3T23</v>
      </c>
      <c r="BK72" s="246" t="s">
        <v>315</v>
      </c>
      <c r="BL72" s="246" t="str">
        <f>IF(LEFT(BL71,1)="1","4T"&amp;RIGHT(BL71,2)-1,LEFT(BL71,1)-1&amp;"T"&amp;RIGHT(BL71,2))</f>
        <v>1T24</v>
      </c>
    </row>
    <row r="73" spans="1:64" s="2" customFormat="1" hidden="1">
      <c r="A73"/>
      <c r="AB73" s="246" t="str">
        <f t="shared" si="1"/>
        <v>3T16</v>
      </c>
      <c r="AC73" s="246" t="str">
        <f t="shared" si="1"/>
        <v>4T16</v>
      </c>
      <c r="AD73" s="246" t="str">
        <f t="shared" si="1"/>
        <v>1T17</v>
      </c>
      <c r="AE73" s="246" t="str">
        <f t="shared" si="1"/>
        <v>2T17</v>
      </c>
      <c r="AF73" s="246" t="str">
        <f t="shared" si="1"/>
        <v>2T17</v>
      </c>
      <c r="AG73" s="246" t="str">
        <f t="shared" si="1"/>
        <v>3T17</v>
      </c>
      <c r="AH73" s="246" t="str">
        <f t="shared" si="1"/>
        <v>4T17</v>
      </c>
      <c r="AI73" s="246" t="str">
        <f t="shared" si="1"/>
        <v>1T18</v>
      </c>
      <c r="AJ73" s="246" t="str">
        <f t="shared" si="1"/>
        <v>2T18</v>
      </c>
      <c r="AK73" s="246" t="str">
        <f t="shared" si="1"/>
        <v>2T18</v>
      </c>
      <c r="AL73" s="246" t="str">
        <f t="shared" si="1"/>
        <v>3T18</v>
      </c>
      <c r="AM73" s="246" t="str">
        <f t="shared" si="1"/>
        <v>4T18</v>
      </c>
      <c r="AN73" s="246" t="str">
        <f t="shared" si="1"/>
        <v>1T19</v>
      </c>
      <c r="AO73" s="246" t="str">
        <f t="shared" si="1"/>
        <v>2T19</v>
      </c>
      <c r="AP73" s="246" t="str">
        <f t="shared" si="1"/>
        <v>2T19</v>
      </c>
      <c r="AQ73" s="246" t="str">
        <f t="shared" si="1"/>
        <v>3T19</v>
      </c>
      <c r="AR73" s="246" t="str">
        <f t="shared" si="1"/>
        <v>4T19</v>
      </c>
      <c r="AS73" s="246" t="str">
        <f t="shared" si="1"/>
        <v>1T20</v>
      </c>
      <c r="AT73" s="246" t="str">
        <f t="shared" si="1"/>
        <v>2T20</v>
      </c>
      <c r="AU73" s="246" t="str">
        <f t="shared" si="1"/>
        <v>2T20</v>
      </c>
      <c r="AV73" s="246" t="str">
        <f t="shared" si="1"/>
        <v>3T20</v>
      </c>
      <c r="AW73" s="246" t="str">
        <f t="shared" si="1"/>
        <v>4T20</v>
      </c>
      <c r="AX73" s="246" t="str">
        <f t="shared" si="1"/>
        <v>1T21</v>
      </c>
      <c r="AY73" s="246" t="str">
        <f t="shared" si="1"/>
        <v>2T21</v>
      </c>
      <c r="AZ73" s="246" t="str">
        <f t="shared" si="1"/>
        <v>2T21</v>
      </c>
      <c r="BA73" s="246" t="str">
        <f t="shared" si="1"/>
        <v>3T21</v>
      </c>
      <c r="BB73" s="246" t="str">
        <f t="shared" si="1"/>
        <v>4T21</v>
      </c>
      <c r="BC73" s="246" t="str">
        <f t="shared" si="1"/>
        <v>1T22</v>
      </c>
      <c r="BD73" s="246" t="str">
        <f t="shared" si="1"/>
        <v>2T22</v>
      </c>
      <c r="BE73" s="246" t="str">
        <f t="shared" si="1"/>
        <v>2T22</v>
      </c>
      <c r="BF73" s="246" t="str">
        <f t="shared" si="1"/>
        <v>3T22</v>
      </c>
      <c r="BG73" s="246" t="str">
        <f t="shared" si="1"/>
        <v>4T22</v>
      </c>
      <c r="BH73" s="246" t="str">
        <f t="shared" si="1"/>
        <v>1T23</v>
      </c>
      <c r="BI73" s="246" t="str">
        <f t="shared" si="2"/>
        <v>2T23</v>
      </c>
      <c r="BJ73" s="246" t="str">
        <f t="shared" si="2"/>
        <v>2T23</v>
      </c>
      <c r="BK73" s="246" t="s">
        <v>291</v>
      </c>
      <c r="BL73" s="246" t="str">
        <f>IF(LEFT(BL72,1)="1","4T"&amp;RIGHT(BL72,2)-1,LEFT(BL72,1)-1&amp;"T"&amp;RIGHT(BL72,2))</f>
        <v>4T23</v>
      </c>
    </row>
    <row r="74" spans="1:64" s="2" customFormat="1" hidden="1">
      <c r="A74"/>
      <c r="AB74" s="246" t="str">
        <f t="shared" si="1"/>
        <v>2T16</v>
      </c>
      <c r="AC74" s="246" t="str">
        <f t="shared" si="1"/>
        <v>3T16</v>
      </c>
      <c r="AD74" s="246" t="str">
        <f t="shared" si="1"/>
        <v>4T16</v>
      </c>
      <c r="AE74" s="246" t="str">
        <f t="shared" si="1"/>
        <v>1T17</v>
      </c>
      <c r="AF74" s="246" t="str">
        <f t="shared" si="1"/>
        <v>1T17</v>
      </c>
      <c r="AG74" s="246" t="str">
        <f t="shared" si="1"/>
        <v>2T17</v>
      </c>
      <c r="AH74" s="246" t="str">
        <f t="shared" si="1"/>
        <v>3T17</v>
      </c>
      <c r="AI74" s="246" t="str">
        <f t="shared" si="1"/>
        <v>4T17</v>
      </c>
      <c r="AJ74" s="246" t="str">
        <f t="shared" si="1"/>
        <v>1T18</v>
      </c>
      <c r="AK74" s="246" t="str">
        <f t="shared" si="1"/>
        <v>1T18</v>
      </c>
      <c r="AL74" s="246" t="str">
        <f t="shared" si="1"/>
        <v>2T18</v>
      </c>
      <c r="AM74" s="246" t="str">
        <f t="shared" si="1"/>
        <v>3T18</v>
      </c>
      <c r="AN74" s="246" t="str">
        <f t="shared" si="1"/>
        <v>4T18</v>
      </c>
      <c r="AO74" s="246" t="str">
        <f t="shared" si="1"/>
        <v>1T19</v>
      </c>
      <c r="AP74" s="246" t="str">
        <f t="shared" si="1"/>
        <v>1T19</v>
      </c>
      <c r="AQ74" s="246" t="str">
        <f t="shared" si="1"/>
        <v>2T19</v>
      </c>
      <c r="AR74" s="246" t="str">
        <f t="shared" si="1"/>
        <v>3T19</v>
      </c>
      <c r="AS74" s="246" t="str">
        <f t="shared" si="1"/>
        <v>4T19</v>
      </c>
      <c r="AT74" s="246" t="str">
        <f t="shared" si="1"/>
        <v>1T20</v>
      </c>
      <c r="AU74" s="246" t="str">
        <f t="shared" si="1"/>
        <v>1T20</v>
      </c>
      <c r="AV74" s="246" t="str">
        <f t="shared" si="1"/>
        <v>2T20</v>
      </c>
      <c r="AW74" s="246" t="str">
        <f t="shared" si="1"/>
        <v>3T20</v>
      </c>
      <c r="AX74" s="246" t="str">
        <f t="shared" si="1"/>
        <v>4T20</v>
      </c>
      <c r="AY74" s="246" t="str">
        <f t="shared" si="1"/>
        <v>1T21</v>
      </c>
      <c r="AZ74" s="246" t="str">
        <f t="shared" si="1"/>
        <v>1T21</v>
      </c>
      <c r="BA74" s="246" t="str">
        <f t="shared" si="1"/>
        <v>2T21</v>
      </c>
      <c r="BB74" s="246" t="str">
        <f t="shared" si="1"/>
        <v>3T21</v>
      </c>
      <c r="BC74" s="246" t="str">
        <f t="shared" si="1"/>
        <v>4T21</v>
      </c>
      <c r="BD74" s="246" t="str">
        <f t="shared" si="1"/>
        <v>1T22</v>
      </c>
      <c r="BE74" s="246" t="str">
        <f t="shared" si="1"/>
        <v>1T22</v>
      </c>
      <c r="BF74" s="246" t="str">
        <f t="shared" si="1"/>
        <v>2T22</v>
      </c>
      <c r="BG74" s="246" t="str">
        <f t="shared" si="1"/>
        <v>3T22</v>
      </c>
      <c r="BH74" s="246" t="str">
        <f t="shared" si="1"/>
        <v>4T22</v>
      </c>
      <c r="BI74" s="246" t="str">
        <f t="shared" si="2"/>
        <v>1T23</v>
      </c>
      <c r="BJ74" s="246" t="str">
        <f t="shared" si="2"/>
        <v>1T23</v>
      </c>
      <c r="BK74" s="246" t="s">
        <v>289</v>
      </c>
      <c r="BL74" s="246" t="str">
        <f>IF(LEFT(BL73,1)="1","4T"&amp;RIGHT(BL73,2)-1,LEFT(BL73,1)-1&amp;"T"&amp;RIGHT(BL73,2))</f>
        <v>3T23</v>
      </c>
    </row>
    <row r="75" spans="1:64" hidden="1"/>
    <row r="76" spans="1:64" hidden="1">
      <c r="B76" t="s">
        <v>145</v>
      </c>
      <c r="AB76" s="245">
        <v>53219.814074149792</v>
      </c>
      <c r="AC76" s="245">
        <v>59205.686673179938</v>
      </c>
      <c r="AD76" s="245">
        <v>17358.51912752281</v>
      </c>
      <c r="AE76" s="245">
        <v>42693.335353689487</v>
      </c>
      <c r="AF76" s="245">
        <v>42693.335353689487</v>
      </c>
      <c r="AG76" s="245">
        <v>44754.995705259207</v>
      </c>
      <c r="AH76" s="245">
        <v>44698.058835209311</v>
      </c>
      <c r="AI76" s="245">
        <v>42695.261214256476</v>
      </c>
      <c r="AJ76" s="245">
        <v>47463.19967715611</v>
      </c>
      <c r="AK76" s="245">
        <v>47463.19967715611</v>
      </c>
      <c r="AL76" s="245">
        <v>53595.561126607208</v>
      </c>
      <c r="AM76" s="245">
        <v>50291.4214757632</v>
      </c>
      <c r="AN76" s="245">
        <v>48605.496397633149</v>
      </c>
      <c r="AO76" s="245">
        <v>51695.518176041871</v>
      </c>
      <c r="AP76" s="245">
        <v>51695.518176041871</v>
      </c>
      <c r="AQ76" s="245">
        <v>57901.306223863823</v>
      </c>
      <c r="AR76" s="245">
        <v>30813.548542894659</v>
      </c>
      <c r="AS76" s="245">
        <v>38837.322837720538</v>
      </c>
      <c r="AT76" s="245">
        <v>46974.225657663097</v>
      </c>
      <c r="AU76" s="245">
        <v>46974.225657663097</v>
      </c>
      <c r="AV76" s="245">
        <v>45361.62485795145</v>
      </c>
      <c r="AW76" s="245">
        <v>47729.949874422673</v>
      </c>
      <c r="AX76" s="245">
        <v>57171.140590915849</v>
      </c>
      <c r="AY76" s="245">
        <v>48899.693406460152</v>
      </c>
      <c r="AZ76" s="245">
        <v>48899.693406460152</v>
      </c>
      <c r="BA76" s="245">
        <v>44504.61892809251</v>
      </c>
      <c r="BB76" s="245">
        <v>36869.112995880205</v>
      </c>
      <c r="BC76" s="245">
        <v>36872.009405512501</v>
      </c>
      <c r="BD76" s="245">
        <v>37542.58815952811</v>
      </c>
      <c r="BE76" s="245">
        <v>37542.58815952811</v>
      </c>
      <c r="BF76" s="245">
        <v>39047.002923860331</v>
      </c>
      <c r="BG76" s="245">
        <v>142752</v>
      </c>
      <c r="BH76" s="245">
        <v>148701</v>
      </c>
      <c r="BI76" s="245">
        <v>49781.404763319239</v>
      </c>
      <c r="BJ76" s="245">
        <v>49781.404763319239</v>
      </c>
      <c r="BK76" s="245">
        <v>44945.95509517238</v>
      </c>
      <c r="BL76" s="245">
        <v>32696.958903945793</v>
      </c>
    </row>
    <row r="77" spans="1:64" hidden="1">
      <c r="AB77" s="245" t="e">
        <v>#N/A</v>
      </c>
      <c r="AC77" s="245">
        <v>53219.814074149792</v>
      </c>
      <c r="AD77" s="245">
        <v>59205.686673179938</v>
      </c>
      <c r="AE77" s="245">
        <v>17358.51912752281</v>
      </c>
      <c r="AF77" s="245">
        <v>17358.51912752281</v>
      </c>
      <c r="AG77" s="245">
        <v>42693.335353689487</v>
      </c>
      <c r="AH77" s="245">
        <v>44754.995705259207</v>
      </c>
      <c r="AI77" s="245">
        <v>44698.058835209311</v>
      </c>
      <c r="AJ77" s="245">
        <v>42695.261214256476</v>
      </c>
      <c r="AK77" s="245">
        <v>42695.261214256476</v>
      </c>
      <c r="AL77" s="245">
        <v>47463.19967715611</v>
      </c>
      <c r="AM77" s="245">
        <v>53595.561126607208</v>
      </c>
      <c r="AN77" s="245">
        <v>50291.4214757632</v>
      </c>
      <c r="AO77" s="245">
        <v>48605.496397633149</v>
      </c>
      <c r="AP77" s="245">
        <v>48605.496397633149</v>
      </c>
      <c r="AQ77" s="245">
        <v>51695.518176041871</v>
      </c>
      <c r="AR77" s="245">
        <v>57901.306223863823</v>
      </c>
      <c r="AS77" s="245">
        <v>30813.548542894659</v>
      </c>
      <c r="AT77" s="245">
        <v>38837.322837720538</v>
      </c>
      <c r="AU77" s="245">
        <v>38837.322837720538</v>
      </c>
      <c r="AV77" s="245">
        <v>46974.225657663097</v>
      </c>
      <c r="AW77" s="245">
        <v>45361.62485795145</v>
      </c>
      <c r="AX77" s="245">
        <v>47729.949874422673</v>
      </c>
      <c r="AY77" s="245">
        <v>57171.140590915849</v>
      </c>
      <c r="AZ77" s="245">
        <v>57171.140590915849</v>
      </c>
      <c r="BA77" s="245">
        <v>48899.693406460152</v>
      </c>
      <c r="BB77" s="245">
        <v>44504.61892809251</v>
      </c>
      <c r="BC77" s="245">
        <v>36869.112995880205</v>
      </c>
      <c r="BD77" s="245">
        <v>36872.009405512501</v>
      </c>
      <c r="BE77" s="245">
        <v>36872.009405512501</v>
      </c>
      <c r="BF77" s="245">
        <v>37542.58815952811</v>
      </c>
      <c r="BG77" s="245"/>
      <c r="BH77" s="245"/>
      <c r="BI77" s="245">
        <v>42820.586647335265</v>
      </c>
      <c r="BJ77" s="245">
        <v>42820.586647335265</v>
      </c>
      <c r="BK77" s="245">
        <v>49781.404763319239</v>
      </c>
      <c r="BL77" s="245">
        <v>44945.95509517238</v>
      </c>
    </row>
    <row r="78" spans="1:64" hidden="1">
      <c r="AB78" s="245" t="e">
        <v>#N/A</v>
      </c>
      <c r="AC78" s="245" t="e">
        <v>#N/A</v>
      </c>
      <c r="AD78" s="245">
        <v>53219.814074149792</v>
      </c>
      <c r="AE78" s="245">
        <v>59205.686673179938</v>
      </c>
      <c r="AF78" s="245">
        <v>59205.686673179938</v>
      </c>
      <c r="AG78" s="245">
        <v>17358.51912752281</v>
      </c>
      <c r="AH78" s="245">
        <v>42693.335353689487</v>
      </c>
      <c r="AI78" s="245">
        <v>44754.995705259207</v>
      </c>
      <c r="AJ78" s="245">
        <v>44698.058835209311</v>
      </c>
      <c r="AK78" s="245">
        <v>44698.058835209311</v>
      </c>
      <c r="AL78" s="245">
        <v>42695.261214256476</v>
      </c>
      <c r="AM78" s="245">
        <v>47463.19967715611</v>
      </c>
      <c r="AN78" s="245">
        <v>53595.561126607208</v>
      </c>
      <c r="AO78" s="245">
        <v>50291.4214757632</v>
      </c>
      <c r="AP78" s="245">
        <v>50291.4214757632</v>
      </c>
      <c r="AQ78" s="245">
        <v>48605.496397633149</v>
      </c>
      <c r="AR78" s="245">
        <v>51695.518176041871</v>
      </c>
      <c r="AS78" s="245">
        <v>57901.306223863823</v>
      </c>
      <c r="AT78" s="245">
        <v>30813.548542894659</v>
      </c>
      <c r="AU78" s="245">
        <v>30813.548542894659</v>
      </c>
      <c r="AV78" s="245">
        <v>38837.322837720538</v>
      </c>
      <c r="AW78" s="245">
        <v>46974.225657663097</v>
      </c>
      <c r="AX78" s="245">
        <v>45361.62485795145</v>
      </c>
      <c r="AY78" s="245">
        <v>47729.949874422673</v>
      </c>
      <c r="AZ78" s="245">
        <v>47729.949874422673</v>
      </c>
      <c r="BA78" s="245">
        <v>57171.140590915849</v>
      </c>
      <c r="BB78" s="245">
        <v>48899.693406460152</v>
      </c>
      <c r="BC78" s="245">
        <v>44504.61892809251</v>
      </c>
      <c r="BD78" s="245">
        <v>36869.112995880205</v>
      </c>
      <c r="BE78" s="245">
        <v>36869.112995880205</v>
      </c>
      <c r="BF78" s="245">
        <v>36872.009405512501</v>
      </c>
      <c r="BG78" s="245"/>
      <c r="BH78" s="245"/>
      <c r="BI78" s="245">
        <v>42157.383478005533</v>
      </c>
      <c r="BJ78" s="245">
        <v>42157.383478005533</v>
      </c>
      <c r="BK78" s="245">
        <v>42820.586647335265</v>
      </c>
      <c r="BL78" s="245">
        <v>49781.404763319239</v>
      </c>
    </row>
    <row r="79" spans="1:64" hidden="1">
      <c r="AB79" s="245" t="e">
        <v>#N/A</v>
      </c>
      <c r="AC79" s="245" t="e">
        <v>#N/A</v>
      </c>
      <c r="AD79" s="245" t="e">
        <v>#N/A</v>
      </c>
      <c r="AE79" s="245">
        <v>53219.814074149792</v>
      </c>
      <c r="AF79" s="245">
        <v>53219.814074149792</v>
      </c>
      <c r="AG79" s="245">
        <v>59205.686673179938</v>
      </c>
      <c r="AH79" s="245">
        <v>17358.51912752281</v>
      </c>
      <c r="AI79" s="245">
        <v>42693.335353689487</v>
      </c>
      <c r="AJ79" s="245">
        <v>44754.995705259207</v>
      </c>
      <c r="AK79" s="245">
        <v>44754.995705259207</v>
      </c>
      <c r="AL79" s="245">
        <v>44698.058835209311</v>
      </c>
      <c r="AM79" s="245">
        <v>42695.261214256476</v>
      </c>
      <c r="AN79" s="245">
        <v>47463.19967715611</v>
      </c>
      <c r="AO79" s="245">
        <v>53595.561126607208</v>
      </c>
      <c r="AP79" s="245">
        <v>53595.561126607208</v>
      </c>
      <c r="AQ79" s="245">
        <v>50291.4214757632</v>
      </c>
      <c r="AR79" s="245">
        <v>48605.496397633149</v>
      </c>
      <c r="AS79" s="245">
        <v>51695.518176041871</v>
      </c>
      <c r="AT79" s="245">
        <v>57901.306223863823</v>
      </c>
      <c r="AU79" s="245">
        <v>57901.306223863823</v>
      </c>
      <c r="AV79" s="245">
        <v>30813.548542894659</v>
      </c>
      <c r="AW79" s="245">
        <v>38837.322837720538</v>
      </c>
      <c r="AX79" s="245">
        <v>46974.225657663097</v>
      </c>
      <c r="AY79" s="245">
        <v>45361.62485795145</v>
      </c>
      <c r="AZ79" s="245">
        <v>45361.62485795145</v>
      </c>
      <c r="BA79" s="245">
        <v>47729.949874422673</v>
      </c>
      <c r="BB79" s="245">
        <v>57171.140590915849</v>
      </c>
      <c r="BC79" s="245">
        <v>48899.693406460152</v>
      </c>
      <c r="BD79" s="245">
        <v>44504.61892809251</v>
      </c>
      <c r="BE79" s="245">
        <v>44504.61892809251</v>
      </c>
      <c r="BF79" s="245">
        <v>36869.112995880205</v>
      </c>
      <c r="BG79" s="245"/>
      <c r="BH79" s="245"/>
      <c r="BI79" s="245">
        <v>39047.002923860331</v>
      </c>
      <c r="BJ79" s="245">
        <v>39047.002923860331</v>
      </c>
      <c r="BK79" s="245">
        <v>42157.383478005533</v>
      </c>
      <c r="BL79" s="245">
        <v>42820.586647335265</v>
      </c>
    </row>
    <row r="82" spans="49:49">
      <c r="AW82" s="167"/>
    </row>
  </sheetData>
  <dataConsolidate/>
  <phoneticPr fontId="158" type="noConversion"/>
  <conditionalFormatting sqref="C61:AO69 AQ61:AT69 AV61:AW69">
    <cfRule type="cellIs" dxfId="8" priority="679" operator="equal">
      <formula>""</formula>
    </cfRule>
  </conditionalFormatting>
  <conditionalFormatting sqref="AP62:AP69">
    <cfRule type="cellIs" dxfId="7" priority="1" operator="equal">
      <formula>""</formula>
    </cfRule>
  </conditionalFormatting>
  <conditionalFormatting sqref="AU62:AU69">
    <cfRule type="cellIs" dxfId="6" priority="2" operator="equal">
      <formula>""</formula>
    </cfRule>
  </conditionalFormatting>
  <conditionalFormatting sqref="AX62:AZ69">
    <cfRule type="cellIs" dxfId="5" priority="3" operator="equal">
      <formula>""</formula>
    </cfRule>
  </conditionalFormatting>
  <conditionalFormatting sqref="BA61:BB69">
    <cfRule type="cellIs" dxfId="4" priority="677" operator="equal">
      <formula>""</formula>
    </cfRule>
  </conditionalFormatting>
  <conditionalFormatting sqref="BC62:BC69">
    <cfRule type="cellIs" dxfId="3" priority="680" operator="equal">
      <formula>""</formula>
    </cfRule>
  </conditionalFormatting>
  <conditionalFormatting sqref="BD62:BH65">
    <cfRule type="cellIs" dxfId="2" priority="4" operator="equal">
      <formula>""</formula>
    </cfRule>
  </conditionalFormatting>
  <pageMargins left="0.25" right="0.25" top="0.75" bottom="0.75" header="0.3" footer="0.3"/>
  <pageSetup paperSize="9" scale="87" orientation="landscape" r:id="rId1"/>
  <ignoredErrors>
    <ignoredError sqref="BJ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AW67"/>
  <sheetViews>
    <sheetView showGridLines="0" showRowColHeaders="0" zoomScaleNormal="100" workbookViewId="0">
      <pane xSplit="2" ySplit="5" topLeftCell="AP6" activePane="bottomRight" state="frozen"/>
      <selection activeCell="P1" sqref="P1"/>
      <selection pane="topRight" activeCell="P1" sqref="P1"/>
      <selection pane="bottomLeft" activeCell="P1" sqref="P1"/>
      <selection pane="bottomRight" activeCell="AW5" sqref="AW5"/>
    </sheetView>
  </sheetViews>
  <sheetFormatPr defaultRowHeight="14.4" outlineLevelCol="1"/>
  <cols>
    <col min="1" max="1" width="36.44140625" hidden="1" customWidth="1"/>
    <col min="2" max="2" width="58.44140625" customWidth="1"/>
    <col min="3" max="14" width="15.109375" customWidth="1" outlineLevel="1"/>
    <col min="15" max="18" width="15.109375" style="2" customWidth="1" outlineLevel="1"/>
    <col min="19" max="19" width="15.109375" customWidth="1" outlineLevel="1"/>
    <col min="20" max="22" width="15.109375" customWidth="1"/>
    <col min="23" max="24" width="15.109375" style="2" customWidth="1"/>
    <col min="25" max="28" width="17.88671875" style="2" bestFit="1" customWidth="1"/>
    <col min="29" max="30" width="17.88671875" bestFit="1" customWidth="1"/>
    <col min="31" max="31" width="17.44140625" bestFit="1" customWidth="1"/>
    <col min="32" max="49" width="17.5546875" bestFit="1" customWidth="1"/>
  </cols>
  <sheetData>
    <row r="1" spans="1:49">
      <c r="B1" s="115" t="s">
        <v>42</v>
      </c>
      <c r="O1"/>
      <c r="P1"/>
      <c r="Q1"/>
      <c r="R1"/>
      <c r="W1"/>
      <c r="X1"/>
      <c r="Y1"/>
      <c r="Z1"/>
      <c r="AA1"/>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49">
      <c r="B2" s="115" t="s">
        <v>41</v>
      </c>
      <c r="O2"/>
      <c r="P2"/>
      <c r="Q2"/>
      <c r="R2"/>
      <c r="W2"/>
      <c r="X2"/>
      <c r="Y2"/>
      <c r="Z2"/>
      <c r="AA2"/>
      <c r="AB2" s="237"/>
      <c r="AC2" s="237"/>
      <c r="AD2" s="237"/>
      <c r="AE2" s="237"/>
      <c r="AF2" s="237"/>
      <c r="AG2" s="237"/>
      <c r="AH2" s="237"/>
      <c r="AI2" s="237"/>
      <c r="AJ2" s="237"/>
      <c r="AK2" s="237"/>
      <c r="AL2" s="237"/>
      <c r="AM2" s="237"/>
      <c r="AN2" s="237"/>
      <c r="AO2" s="237"/>
      <c r="AP2" s="237"/>
      <c r="AQ2" s="237"/>
      <c r="AR2" s="237"/>
      <c r="AS2" s="237"/>
      <c r="AT2" s="237"/>
      <c r="AU2" s="237"/>
      <c r="AV2" s="237"/>
      <c r="AW2" s="237"/>
    </row>
    <row r="3" spans="1:49" s="239" customFormat="1">
      <c r="B3" s="240">
        <v>1</v>
      </c>
      <c r="AB3" s="238"/>
      <c r="AC3" s="238"/>
      <c r="AD3" s="238"/>
      <c r="AE3" s="238"/>
      <c r="AF3" s="238"/>
      <c r="AG3" s="238"/>
      <c r="AH3" s="238"/>
      <c r="AI3" s="238"/>
      <c r="AJ3" s="238"/>
      <c r="AK3" s="238"/>
      <c r="AL3" s="238"/>
      <c r="AM3" s="238"/>
      <c r="AN3" s="238"/>
      <c r="AO3" s="238"/>
      <c r="AP3" s="238"/>
      <c r="AQ3" s="238"/>
      <c r="AR3" s="238"/>
      <c r="AS3" s="238"/>
      <c r="AT3" s="238"/>
      <c r="AU3" s="238"/>
      <c r="AV3" s="238"/>
      <c r="AW3" s="238"/>
    </row>
    <row r="4" spans="1:49"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49" s="7" customFormat="1" ht="18.75" customHeight="1">
      <c r="B5" s="195" t="str">
        <f>IF('Sumário | Summary'!P1=1,"Balanço Patrimonial - IFRS (R$ MM)","Balance Sheet - IFRS (R$ million)")</f>
        <v>Balanço Patrimonial - IFRS (R$ MM)</v>
      </c>
      <c r="C5" s="196" t="s">
        <v>81</v>
      </c>
      <c r="D5" s="196" t="s">
        <v>77</v>
      </c>
      <c r="E5" s="196" t="s">
        <v>76</v>
      </c>
      <c r="F5" s="196" t="s">
        <v>75</v>
      </c>
      <c r="G5" s="196" t="s">
        <v>74</v>
      </c>
      <c r="H5" s="196" t="s">
        <v>73</v>
      </c>
      <c r="I5" s="196" t="s">
        <v>72</v>
      </c>
      <c r="J5" s="196" t="s">
        <v>71</v>
      </c>
      <c r="K5" s="196" t="s">
        <v>70</v>
      </c>
      <c r="L5" s="196" t="s">
        <v>69</v>
      </c>
      <c r="M5" s="196" t="s">
        <v>68</v>
      </c>
      <c r="N5" s="196" t="s">
        <v>67</v>
      </c>
      <c r="O5" s="196" t="s">
        <v>66</v>
      </c>
      <c r="P5" s="196" t="s">
        <v>59</v>
      </c>
      <c r="Q5" s="196" t="s">
        <v>60</v>
      </c>
      <c r="R5" s="196" t="s">
        <v>61</v>
      </c>
      <c r="S5" s="194" t="s">
        <v>62</v>
      </c>
      <c r="T5" s="194" t="s">
        <v>55</v>
      </c>
      <c r="U5" s="194" t="s">
        <v>56</v>
      </c>
      <c r="V5" s="194" t="s">
        <v>57</v>
      </c>
      <c r="W5" s="194" t="s">
        <v>58</v>
      </c>
      <c r="X5" s="194" t="s">
        <v>54</v>
      </c>
      <c r="Y5" s="194" t="s">
        <v>53</v>
      </c>
      <c r="Z5" s="194" t="s">
        <v>52</v>
      </c>
      <c r="AA5" s="194" t="s">
        <v>51</v>
      </c>
      <c r="AB5" s="194" t="s">
        <v>43</v>
      </c>
      <c r="AC5" s="194" t="s">
        <v>44</v>
      </c>
      <c r="AD5" s="194" t="s">
        <v>46</v>
      </c>
      <c r="AE5" s="194" t="s">
        <v>47</v>
      </c>
      <c r="AF5" s="194" t="s">
        <v>50</v>
      </c>
      <c r="AG5" s="194" t="s">
        <v>63</v>
      </c>
      <c r="AH5" s="194" t="s">
        <v>64</v>
      </c>
      <c r="AI5" s="194" t="s">
        <v>65</v>
      </c>
      <c r="AJ5" s="194" t="s">
        <v>98</v>
      </c>
      <c r="AK5" s="194" t="s">
        <v>99</v>
      </c>
      <c r="AL5" s="194" t="s">
        <v>114</v>
      </c>
      <c r="AM5" s="194" t="s">
        <v>115</v>
      </c>
      <c r="AN5" s="194" t="s">
        <v>126</v>
      </c>
      <c r="AO5" s="194" t="s">
        <v>267</v>
      </c>
      <c r="AP5" s="194" t="s">
        <v>268</v>
      </c>
      <c r="AQ5" s="194" t="s">
        <v>274</v>
      </c>
      <c r="AR5" s="206" t="s">
        <v>286</v>
      </c>
      <c r="AS5" s="206" t="s">
        <v>289</v>
      </c>
      <c r="AT5" s="206" t="s">
        <v>291</v>
      </c>
      <c r="AU5" s="206" t="s">
        <v>315</v>
      </c>
      <c r="AV5" s="206" t="s">
        <v>321</v>
      </c>
      <c r="AW5" s="206" t="s">
        <v>323</v>
      </c>
    </row>
    <row r="6" spans="1:49" ht="15" customHeight="1">
      <c r="A6" t="s">
        <v>116</v>
      </c>
      <c r="B6" s="20" t="str">
        <f>IF('Sumário | Summary'!P1=1,"ATIVOS","ASSETS")</f>
        <v>ATIVOS</v>
      </c>
      <c r="C6" s="6">
        <v>2143.2750000000001</v>
      </c>
      <c r="D6" s="6">
        <v>2385.2370000000001</v>
      </c>
      <c r="E6" s="6">
        <v>2455.1689999999999</v>
      </c>
      <c r="F6" s="6">
        <v>2770.3290000000002</v>
      </c>
      <c r="G6" s="6">
        <v>3123.3249999999998</v>
      </c>
      <c r="H6" s="6">
        <v>3593.3209999999999</v>
      </c>
      <c r="I6" s="6">
        <v>3755.99</v>
      </c>
      <c r="J6" s="6">
        <v>3892.1060000000002</v>
      </c>
      <c r="K6" s="6">
        <v>4353.5380000000005</v>
      </c>
      <c r="L6" s="6">
        <v>4293.8420000000006</v>
      </c>
      <c r="M6" s="6">
        <v>4310.8969999999999</v>
      </c>
      <c r="N6" s="6">
        <v>4839.5839999999998</v>
      </c>
      <c r="O6" s="6">
        <v>4856.183</v>
      </c>
      <c r="P6" s="6">
        <v>4656.232</v>
      </c>
      <c r="Q6" s="6">
        <v>4640.0110000000004</v>
      </c>
      <c r="R6" s="6">
        <v>4720.8610000000008</v>
      </c>
      <c r="S6" s="6">
        <v>4832.8989999999994</v>
      </c>
      <c r="T6" s="139">
        <f t="shared" ref="T6:AS6" si="0">T7+T18+T29</f>
        <v>4728.7190000000001</v>
      </c>
      <c r="U6" s="139">
        <f t="shared" si="0"/>
        <v>4756.2469999999994</v>
      </c>
      <c r="V6" s="139">
        <f t="shared" si="0"/>
        <v>3852.1019999999999</v>
      </c>
      <c r="W6" s="139">
        <f t="shared" si="0"/>
        <v>3639.4279999999999</v>
      </c>
      <c r="X6" s="139">
        <f t="shared" si="0"/>
        <v>3836.3679999999995</v>
      </c>
      <c r="Y6" s="139">
        <f t="shared" si="0"/>
        <v>3780.3959999999997</v>
      </c>
      <c r="Z6" s="139">
        <f t="shared" si="0"/>
        <v>3753.7060000000001</v>
      </c>
      <c r="AA6" s="139">
        <f t="shared" si="0"/>
        <v>3588.4249999999993</v>
      </c>
      <c r="AB6" s="139">
        <f t="shared" si="0"/>
        <v>3518.8719999999998</v>
      </c>
      <c r="AC6" s="139">
        <f t="shared" si="0"/>
        <v>3860.3849999999993</v>
      </c>
      <c r="AD6" s="139">
        <f t="shared" si="0"/>
        <v>3614.64</v>
      </c>
      <c r="AE6" s="139">
        <f t="shared" si="0"/>
        <v>5311.6080000000002</v>
      </c>
      <c r="AF6" s="139">
        <f t="shared" si="0"/>
        <v>5239.0839999999998</v>
      </c>
      <c r="AG6" s="139">
        <f t="shared" si="0"/>
        <v>5146.6899999999996</v>
      </c>
      <c r="AH6" s="139">
        <f t="shared" si="0"/>
        <v>5046.5360000000001</v>
      </c>
      <c r="AI6" s="139">
        <f t="shared" si="0"/>
        <v>4924.9710000000005</v>
      </c>
      <c r="AJ6" s="139">
        <f t="shared" si="0"/>
        <v>4845.8620000000001</v>
      </c>
      <c r="AK6" s="139">
        <f t="shared" si="0"/>
        <v>5154.8260000000009</v>
      </c>
      <c r="AL6" s="139">
        <f t="shared" si="0"/>
        <v>5130.0630000000001</v>
      </c>
      <c r="AM6" s="139">
        <f t="shared" si="0"/>
        <v>4892.8850000000002</v>
      </c>
      <c r="AN6" s="139">
        <f t="shared" si="0"/>
        <v>4717.1069999999991</v>
      </c>
      <c r="AO6" s="139">
        <f t="shared" si="0"/>
        <v>4437.9489999999996</v>
      </c>
      <c r="AP6" s="139">
        <f t="shared" si="0"/>
        <v>4201.393</v>
      </c>
      <c r="AQ6" s="139">
        <f t="shared" si="0"/>
        <v>4075.0766100000001</v>
      </c>
      <c r="AR6" s="139">
        <f t="shared" si="0"/>
        <v>4054.5749999999998</v>
      </c>
      <c r="AS6" s="139">
        <f t="shared" si="0"/>
        <v>4010.509</v>
      </c>
      <c r="AT6" s="139">
        <v>4027.2219999999998</v>
      </c>
      <c r="AU6" s="139">
        <v>4004.4669999999996</v>
      </c>
      <c r="AV6" s="139">
        <v>4101.7489999999998</v>
      </c>
      <c r="AW6" s="139">
        <f>AW7+AW18+AW29</f>
        <v>4529.3879999999999</v>
      </c>
    </row>
    <row r="7" spans="1:49" ht="15" customHeight="1">
      <c r="A7" t="s">
        <v>117</v>
      </c>
      <c r="B7" s="11" t="str">
        <f>IF('Sumário | Summary'!P1=1,"Total Circulante","Total Current Assets")</f>
        <v>Total Circulante</v>
      </c>
      <c r="C7" s="6">
        <v>860.10600000000011</v>
      </c>
      <c r="D7" s="6">
        <v>1073.8630000000001</v>
      </c>
      <c r="E7" s="6">
        <v>1169.279</v>
      </c>
      <c r="F7" s="6">
        <v>1212.748</v>
      </c>
      <c r="G7" s="6">
        <v>588.93000000000006</v>
      </c>
      <c r="H7" s="6">
        <v>725.96800000000007</v>
      </c>
      <c r="I7" s="6">
        <v>1134.4989999999998</v>
      </c>
      <c r="J7" s="6">
        <v>630.64699999999993</v>
      </c>
      <c r="K7" s="6">
        <v>949.72199999999998</v>
      </c>
      <c r="L7" s="6">
        <v>694.5680000000001</v>
      </c>
      <c r="M7" s="6">
        <v>608.70500000000004</v>
      </c>
      <c r="N7" s="6">
        <v>1009.151</v>
      </c>
      <c r="O7" s="6">
        <v>714.27499999999998</v>
      </c>
      <c r="P7" s="6">
        <v>599.70400000000006</v>
      </c>
      <c r="Q7" s="6">
        <v>433.41</v>
      </c>
      <c r="R7" s="6">
        <v>462.35299999999995</v>
      </c>
      <c r="S7" s="6">
        <v>578.63199999999995</v>
      </c>
      <c r="T7" s="139">
        <f t="shared" ref="T7:AS7" si="1">SUM(T8:T17)</f>
        <v>445.92600000000004</v>
      </c>
      <c r="U7" s="139">
        <f t="shared" si="1"/>
        <v>1391.934</v>
      </c>
      <c r="V7" s="139">
        <f t="shared" si="1"/>
        <v>648.32100000000014</v>
      </c>
      <c r="W7" s="139">
        <f t="shared" si="1"/>
        <v>461.74200000000002</v>
      </c>
      <c r="X7" s="139">
        <f t="shared" si="1"/>
        <v>661.62599999999998</v>
      </c>
      <c r="Y7" s="139">
        <f t="shared" si="1"/>
        <v>671.35</v>
      </c>
      <c r="Z7" s="139">
        <f t="shared" si="1"/>
        <v>685.00000000000011</v>
      </c>
      <c r="AA7" s="139">
        <f t="shared" si="1"/>
        <v>508.23799999999994</v>
      </c>
      <c r="AB7" s="139">
        <f t="shared" si="1"/>
        <v>424.27499999999998</v>
      </c>
      <c r="AC7" s="139">
        <f t="shared" si="1"/>
        <v>654.78800000000001</v>
      </c>
      <c r="AD7" s="139">
        <f t="shared" si="1"/>
        <v>410.18399999999997</v>
      </c>
      <c r="AE7" s="139">
        <f t="shared" si="1"/>
        <v>1004.566</v>
      </c>
      <c r="AF7" s="139">
        <f t="shared" si="1"/>
        <v>912.37300000000005</v>
      </c>
      <c r="AG7" s="139">
        <f t="shared" si="1"/>
        <v>823.92399999999998</v>
      </c>
      <c r="AH7" s="139">
        <f t="shared" si="1"/>
        <v>736.20400000000018</v>
      </c>
      <c r="AI7" s="139">
        <f t="shared" si="1"/>
        <v>534.279</v>
      </c>
      <c r="AJ7" s="139">
        <f t="shared" si="1"/>
        <v>466.31</v>
      </c>
      <c r="AK7" s="139">
        <f t="shared" si="1"/>
        <v>777.23200000000008</v>
      </c>
      <c r="AL7" s="139">
        <f t="shared" si="1"/>
        <v>1254.0800000000002</v>
      </c>
      <c r="AM7" s="139">
        <f t="shared" si="1"/>
        <v>920.08100000000002</v>
      </c>
      <c r="AN7" s="139">
        <f t="shared" si="1"/>
        <v>858.46499999999992</v>
      </c>
      <c r="AO7" s="139">
        <f t="shared" si="1"/>
        <v>950.67500000000007</v>
      </c>
      <c r="AP7" s="139">
        <f t="shared" si="1"/>
        <v>726.09299999999996</v>
      </c>
      <c r="AQ7" s="139">
        <f t="shared" si="1"/>
        <v>457.47661000000005</v>
      </c>
      <c r="AR7" s="139">
        <f t="shared" si="1"/>
        <v>441.57800000000003</v>
      </c>
      <c r="AS7" s="139">
        <f t="shared" si="1"/>
        <v>421.20000000000005</v>
      </c>
      <c r="AT7" s="139">
        <v>432.12899999999996</v>
      </c>
      <c r="AU7" s="139">
        <v>415.30700000000007</v>
      </c>
      <c r="AV7" s="139">
        <v>653.11400000000003</v>
      </c>
      <c r="AW7" s="139">
        <f>SUM(AW8:AW17)</f>
        <v>1849.0549999999998</v>
      </c>
    </row>
    <row r="8" spans="1:49" ht="15" customHeight="1">
      <c r="A8" t="s">
        <v>156</v>
      </c>
      <c r="B8" s="21" t="str">
        <f>IF('Sumário | Summary'!P1=1,"Caixa e equivalentes de caixa","Cash and Cash Equivalents")</f>
        <v>Caixa e equivalentes de caixa</v>
      </c>
      <c r="C8" s="5">
        <v>92.1</v>
      </c>
      <c r="D8" s="5">
        <v>220.5</v>
      </c>
      <c r="E8" s="5">
        <v>232.67500000000001</v>
      </c>
      <c r="F8" s="5">
        <v>186.39</v>
      </c>
      <c r="G8" s="5">
        <v>149.251</v>
      </c>
      <c r="H8" s="5">
        <v>344.03100000000001</v>
      </c>
      <c r="I8" s="5">
        <v>315.17899999999997</v>
      </c>
      <c r="J8" s="5">
        <v>263.25799999999998</v>
      </c>
      <c r="K8" s="5">
        <v>572.99</v>
      </c>
      <c r="L8" s="5">
        <v>391.36500000000001</v>
      </c>
      <c r="M8" s="5">
        <v>270.70400000000001</v>
      </c>
      <c r="N8" s="5">
        <v>655.952</v>
      </c>
      <c r="O8" s="34">
        <v>566.07299999999998</v>
      </c>
      <c r="P8" s="18">
        <v>478.8</v>
      </c>
      <c r="Q8" s="18">
        <v>291.06799999999998</v>
      </c>
      <c r="R8" s="18">
        <v>238.358</v>
      </c>
      <c r="S8" s="18">
        <v>348.57799999999997</v>
      </c>
      <c r="T8" s="18">
        <v>239.11699999999999</v>
      </c>
      <c r="U8" s="53">
        <v>243.65799999999999</v>
      </c>
      <c r="V8" s="53">
        <v>266.38200000000001</v>
      </c>
      <c r="W8" s="18">
        <v>170.32400000000001</v>
      </c>
      <c r="X8" s="18">
        <v>292.26799999999997</v>
      </c>
      <c r="Y8" s="18">
        <v>293.97000000000003</v>
      </c>
      <c r="Z8" s="18">
        <v>255.55</v>
      </c>
      <c r="AA8" s="18">
        <v>215.89599999999999</v>
      </c>
      <c r="AB8" s="18">
        <v>185.84399999999999</v>
      </c>
      <c r="AC8" s="18">
        <v>407.46100000000001</v>
      </c>
      <c r="AD8" s="18">
        <v>198.88</v>
      </c>
      <c r="AE8" s="18">
        <v>401.30099999999999</v>
      </c>
      <c r="AF8" s="18">
        <v>348.47300000000001</v>
      </c>
      <c r="AG8" s="18">
        <v>360.71800000000002</v>
      </c>
      <c r="AH8" s="18">
        <v>296.8</v>
      </c>
      <c r="AI8" s="18">
        <v>156.07599999999999</v>
      </c>
      <c r="AJ8" s="40">
        <v>150.18700000000001</v>
      </c>
      <c r="AK8" s="40">
        <v>381.49</v>
      </c>
      <c r="AL8" s="40">
        <v>338.69</v>
      </c>
      <c r="AM8" s="40">
        <v>447.02100000000002</v>
      </c>
      <c r="AN8" s="40">
        <v>276.30799999999999</v>
      </c>
      <c r="AO8" s="168">
        <v>259.697</v>
      </c>
      <c r="AP8" s="40">
        <v>144.91300000000001</v>
      </c>
      <c r="AQ8" s="40">
        <v>132.39500000000001</v>
      </c>
      <c r="AR8" s="40">
        <v>155.04499999999999</v>
      </c>
      <c r="AS8" s="40">
        <v>171.339</v>
      </c>
      <c r="AT8" s="40">
        <v>162.982</v>
      </c>
      <c r="AU8" s="40">
        <v>165.346</v>
      </c>
      <c r="AV8" s="40">
        <v>437.33300000000003</v>
      </c>
      <c r="AW8" s="40">
        <v>1212.5160000000001</v>
      </c>
    </row>
    <row r="9" spans="1:49" ht="15" customHeight="1">
      <c r="A9" t="s">
        <v>157</v>
      </c>
      <c r="B9" s="21" t="str">
        <f>IF('Sumário | Summary'!P1=1,"Títulos e valores mobiliários","Securities")</f>
        <v>Títulos e valores mobiliários</v>
      </c>
      <c r="C9" s="5">
        <v>227.47800000000001</v>
      </c>
      <c r="D9" s="5">
        <v>247.93899999999999</v>
      </c>
      <c r="E9" s="5">
        <v>102.185</v>
      </c>
      <c r="F9" s="5">
        <v>33.429000000000002</v>
      </c>
      <c r="G9" s="5">
        <v>115.152</v>
      </c>
      <c r="H9" s="5">
        <v>0</v>
      </c>
      <c r="I9" s="5">
        <v>0</v>
      </c>
      <c r="J9" s="5">
        <v>0</v>
      </c>
      <c r="K9" s="5">
        <v>0</v>
      </c>
      <c r="L9" s="31">
        <v>0</v>
      </c>
      <c r="M9" s="5">
        <v>0</v>
      </c>
      <c r="N9" s="31">
        <v>0</v>
      </c>
      <c r="O9" s="31">
        <v>0</v>
      </c>
      <c r="P9" s="18">
        <v>20.033999999999999</v>
      </c>
      <c r="Q9" s="18">
        <v>12.731999999999999</v>
      </c>
      <c r="R9" s="18">
        <v>71.852999999999994</v>
      </c>
      <c r="S9" s="18">
        <v>64.861999999999995</v>
      </c>
      <c r="T9" s="18">
        <v>54.366</v>
      </c>
      <c r="U9" s="53">
        <v>85.876000000000005</v>
      </c>
      <c r="V9" s="53">
        <v>181.26400000000001</v>
      </c>
      <c r="W9" s="18">
        <v>170.90799999999999</v>
      </c>
      <c r="X9" s="18">
        <v>216.279</v>
      </c>
      <c r="Y9" s="18">
        <v>248.613</v>
      </c>
      <c r="Z9" s="18">
        <v>238.386</v>
      </c>
      <c r="AA9" s="18">
        <v>166.68700000000001</v>
      </c>
      <c r="AB9" s="18">
        <v>150.69</v>
      </c>
      <c r="AC9" s="18">
        <v>161.19399999999999</v>
      </c>
      <c r="AD9" s="18">
        <v>130.99600000000001</v>
      </c>
      <c r="AE9" s="18">
        <v>497.90800000000002</v>
      </c>
      <c r="AF9" s="18">
        <v>479.95600000000002</v>
      </c>
      <c r="AG9" s="18">
        <v>358.79599999999999</v>
      </c>
      <c r="AH9" s="18">
        <v>322.24400000000003</v>
      </c>
      <c r="AI9" s="18">
        <v>260.14100000000002</v>
      </c>
      <c r="AJ9" s="40">
        <v>202.86699999999999</v>
      </c>
      <c r="AK9" s="40">
        <v>277.91000000000003</v>
      </c>
      <c r="AL9" s="40">
        <v>294.16300000000001</v>
      </c>
      <c r="AM9" s="40">
        <v>293.28699999999998</v>
      </c>
      <c r="AN9" s="40">
        <v>300.83600000000001</v>
      </c>
      <c r="AO9" s="168">
        <v>393.73399999999998</v>
      </c>
      <c r="AP9" s="40">
        <v>287.19400000000002</v>
      </c>
      <c r="AQ9" s="40">
        <v>196.81100000000001</v>
      </c>
      <c r="AR9" s="40">
        <v>196.19900000000001</v>
      </c>
      <c r="AS9" s="40">
        <v>141.15100000000001</v>
      </c>
      <c r="AT9" s="40">
        <v>168.202</v>
      </c>
      <c r="AU9" s="40">
        <v>148.119</v>
      </c>
      <c r="AV9" s="40">
        <v>143.15600000000001</v>
      </c>
      <c r="AW9" s="40">
        <v>155.589</v>
      </c>
    </row>
    <row r="10" spans="1:49" ht="15" customHeight="1">
      <c r="A10" t="s">
        <v>158</v>
      </c>
      <c r="B10" s="21" t="str">
        <f>IF('Sumário | Summary'!P1=1,"Contas a receber","Accounts Receivable")</f>
        <v>Contas a receber</v>
      </c>
      <c r="C10" s="5">
        <v>51.305999999999997</v>
      </c>
      <c r="D10" s="5">
        <v>41.264000000000003</v>
      </c>
      <c r="E10" s="5">
        <v>52.936</v>
      </c>
      <c r="F10" s="5">
        <v>71.765000000000001</v>
      </c>
      <c r="G10" s="5">
        <v>75.671000000000006</v>
      </c>
      <c r="H10" s="5">
        <v>86.73</v>
      </c>
      <c r="I10" s="5">
        <v>87.317999999999998</v>
      </c>
      <c r="J10" s="5">
        <v>83.674000000000007</v>
      </c>
      <c r="K10" s="5">
        <v>80.021000000000001</v>
      </c>
      <c r="L10" s="5">
        <v>64.180000000000007</v>
      </c>
      <c r="M10" s="5">
        <v>85.772999999999996</v>
      </c>
      <c r="N10" s="5">
        <v>85.2</v>
      </c>
      <c r="O10" s="34">
        <v>99.891000000000005</v>
      </c>
      <c r="P10" s="18">
        <v>87.201999999999998</v>
      </c>
      <c r="Q10" s="18">
        <v>91.465000000000003</v>
      </c>
      <c r="R10" s="18">
        <v>123.871</v>
      </c>
      <c r="S10" s="18">
        <v>97.316000000000003</v>
      </c>
      <c r="T10" s="18">
        <v>87.760999999999996</v>
      </c>
      <c r="U10" s="53">
        <v>94.111000000000004</v>
      </c>
      <c r="V10" s="53">
        <v>92.766000000000005</v>
      </c>
      <c r="W10" s="18">
        <v>100.65300000000001</v>
      </c>
      <c r="X10" s="18">
        <v>91.894000000000005</v>
      </c>
      <c r="Y10" s="18">
        <v>109.48399999999999</v>
      </c>
      <c r="Z10" s="18">
        <v>111.873</v>
      </c>
      <c r="AA10" s="18">
        <v>80.793999999999997</v>
      </c>
      <c r="AB10" s="18">
        <v>46.735999999999997</v>
      </c>
      <c r="AC10" s="18">
        <v>50.293999999999997</v>
      </c>
      <c r="AD10" s="18">
        <v>50.073</v>
      </c>
      <c r="AE10" s="18">
        <v>75.19</v>
      </c>
      <c r="AF10" s="18">
        <v>55.066000000000003</v>
      </c>
      <c r="AG10" s="18">
        <v>74.805999999999997</v>
      </c>
      <c r="AH10" s="18">
        <v>81.950999999999993</v>
      </c>
      <c r="AI10" s="18">
        <v>88.302000000000007</v>
      </c>
      <c r="AJ10" s="40">
        <v>81.302000000000007</v>
      </c>
      <c r="AK10" s="40">
        <v>90.347999999999999</v>
      </c>
      <c r="AL10" s="40">
        <v>95.331000000000003</v>
      </c>
      <c r="AM10" s="40">
        <v>89.477000000000004</v>
      </c>
      <c r="AN10" s="40">
        <v>82.968000000000004</v>
      </c>
      <c r="AO10" s="168">
        <v>79.271000000000001</v>
      </c>
      <c r="AP10" s="40">
        <v>80.11</v>
      </c>
      <c r="AQ10" s="40">
        <v>72.593609999999998</v>
      </c>
      <c r="AR10" s="40">
        <v>57.201999999999998</v>
      </c>
      <c r="AS10" s="40">
        <v>60.668999999999997</v>
      </c>
      <c r="AT10" s="40">
        <v>62.088999999999999</v>
      </c>
      <c r="AU10" s="40">
        <v>67.680999999999997</v>
      </c>
      <c r="AV10" s="40">
        <v>39.546999999999997</v>
      </c>
      <c r="AW10" s="40">
        <v>189.09</v>
      </c>
    </row>
    <row r="11" spans="1:49" ht="15" customHeight="1">
      <c r="A11" t="s">
        <v>159</v>
      </c>
      <c r="B11" s="21" t="str">
        <f>IF('Sumário | Summary'!P1=1,"Estoques","Inventory")</f>
        <v>Estoques</v>
      </c>
      <c r="C11" s="5">
        <v>456.53800000000001</v>
      </c>
      <c r="D11" s="5">
        <v>546.11099999999999</v>
      </c>
      <c r="E11" s="5">
        <v>763.25300000000004</v>
      </c>
      <c r="F11" s="5">
        <v>902.13900000000001</v>
      </c>
      <c r="G11" s="5">
        <v>208.518</v>
      </c>
      <c r="H11" s="5">
        <v>230.804</v>
      </c>
      <c r="I11" s="5">
        <v>701.02599999999995</v>
      </c>
      <c r="J11" s="5">
        <v>249.56299999999999</v>
      </c>
      <c r="K11" s="5">
        <v>261.54000000000002</v>
      </c>
      <c r="L11" s="5">
        <v>191.833</v>
      </c>
      <c r="M11" s="5">
        <v>199.96</v>
      </c>
      <c r="N11" s="5">
        <v>204.3</v>
      </c>
      <c r="O11" s="34">
        <v>25.54</v>
      </c>
      <c r="P11" s="18">
        <v>2.9000000000000001E-2</v>
      </c>
      <c r="Q11" s="18">
        <v>22.047999999999998</v>
      </c>
      <c r="R11" s="18">
        <v>14.093999999999999</v>
      </c>
      <c r="S11" s="18">
        <v>5.6529999999999996</v>
      </c>
      <c r="T11" s="18">
        <v>5.6459999999999999</v>
      </c>
      <c r="U11" s="53">
        <v>22.87</v>
      </c>
      <c r="V11" s="53">
        <v>4.2389999999999999</v>
      </c>
      <c r="W11" s="18">
        <v>4.4279999999999999</v>
      </c>
      <c r="X11" s="18">
        <v>45.445</v>
      </c>
      <c r="Y11" s="18">
        <v>4.4279999999999999</v>
      </c>
      <c r="Z11" s="18">
        <v>0.94399999999999995</v>
      </c>
      <c r="AA11" s="18">
        <v>0.94399999999999995</v>
      </c>
      <c r="AB11" s="18">
        <v>0.94399999999999995</v>
      </c>
      <c r="AC11" s="18">
        <v>0.94399999999999995</v>
      </c>
      <c r="AD11" s="18">
        <v>0.94399999999999995</v>
      </c>
      <c r="AE11" s="18">
        <v>0.94399999999999995</v>
      </c>
      <c r="AF11" s="18">
        <v>0.94399999999999995</v>
      </c>
      <c r="AG11" s="18">
        <v>0.94399999999999995</v>
      </c>
      <c r="AH11" s="18">
        <v>0.94399999999999995</v>
      </c>
      <c r="AI11" s="18">
        <v>0.94399999999999995</v>
      </c>
      <c r="AJ11" s="40">
        <v>0.94399999999999995</v>
      </c>
      <c r="AK11" s="40">
        <v>0.94399999999999995</v>
      </c>
      <c r="AL11" s="40">
        <v>0.94399999999999995</v>
      </c>
      <c r="AM11" s="40">
        <v>1.0660000000000001</v>
      </c>
      <c r="AN11" s="40">
        <v>151.32499999999999</v>
      </c>
      <c r="AO11" s="168">
        <v>1.0660000000000001</v>
      </c>
      <c r="AP11" s="40">
        <v>1.0660000000000001</v>
      </c>
      <c r="AQ11" s="40">
        <v>1.0660000000000001</v>
      </c>
      <c r="AR11" s="40">
        <v>1.0660000000000001</v>
      </c>
      <c r="AS11" s="40">
        <v>0.46300000000000002</v>
      </c>
      <c r="AT11" s="40">
        <v>0.46300000000000002</v>
      </c>
      <c r="AU11" s="40">
        <v>0.46300000000000002</v>
      </c>
      <c r="AV11" s="40">
        <v>0.46300000000000002</v>
      </c>
      <c r="AW11" s="40">
        <v>0.46300000000000002</v>
      </c>
    </row>
    <row r="12" spans="1:49" ht="15" customHeight="1">
      <c r="A12" t="s">
        <v>160</v>
      </c>
      <c r="B12" s="21" t="str">
        <f>IF('Sumário | Summary'!P1=1,"Impostos a compensar","Tax to be Compensated")</f>
        <v>Impostos a compensar</v>
      </c>
      <c r="C12" s="5">
        <v>3.427</v>
      </c>
      <c r="D12" s="5">
        <v>3.63</v>
      </c>
      <c r="E12" s="5">
        <v>2.9140000000000001</v>
      </c>
      <c r="F12" s="5">
        <v>3.8730000000000002</v>
      </c>
      <c r="G12" s="5">
        <v>4.3650000000000002</v>
      </c>
      <c r="H12" s="5">
        <v>3.202</v>
      </c>
      <c r="I12" s="5">
        <v>2.7829999999999999</v>
      </c>
      <c r="J12" s="5">
        <v>3.4140000000000001</v>
      </c>
      <c r="K12" s="5">
        <v>3.6720000000000002</v>
      </c>
      <c r="L12" s="5">
        <v>3.6720000000000002</v>
      </c>
      <c r="M12" s="5">
        <v>3.6230000000000002</v>
      </c>
      <c r="N12" s="5">
        <v>3.6</v>
      </c>
      <c r="O12" s="34">
        <v>5.2720000000000002</v>
      </c>
      <c r="P12" s="31">
        <v>0</v>
      </c>
      <c r="Q12" s="31">
        <v>0</v>
      </c>
      <c r="R12" s="31">
        <v>0</v>
      </c>
      <c r="S12" s="31">
        <v>44.155999999999999</v>
      </c>
      <c r="T12" s="31">
        <v>44.155999999999999</v>
      </c>
      <c r="U12" s="54">
        <v>44.155999999999999</v>
      </c>
      <c r="V12" s="54">
        <v>91.655000000000001</v>
      </c>
      <c r="W12" s="31">
        <v>4.8220000000000001</v>
      </c>
      <c r="X12" s="31">
        <v>5.5069999999999997</v>
      </c>
      <c r="Y12" s="31">
        <v>4.9390000000000001</v>
      </c>
      <c r="Z12" s="18">
        <v>6.3780000000000001</v>
      </c>
      <c r="AA12" s="18">
        <v>6.7830000000000004</v>
      </c>
      <c r="AB12" s="18">
        <v>7.8710000000000004</v>
      </c>
      <c r="AC12" s="18">
        <v>10.11</v>
      </c>
      <c r="AD12" s="18">
        <v>11.358000000000001</v>
      </c>
      <c r="AE12" s="18">
        <v>13.131</v>
      </c>
      <c r="AF12" s="18">
        <v>13.742000000000001</v>
      </c>
      <c r="AG12" s="18">
        <v>16.38</v>
      </c>
      <c r="AH12" s="18">
        <v>10.420999999999999</v>
      </c>
      <c r="AI12" s="18">
        <v>8.5370000000000008</v>
      </c>
      <c r="AJ12" s="40">
        <v>7.6559999999999997</v>
      </c>
      <c r="AK12" s="40">
        <v>9.2479999999999993</v>
      </c>
      <c r="AL12" s="40">
        <v>7.9459999999999997</v>
      </c>
      <c r="AM12" s="40">
        <v>9.7650000000000006</v>
      </c>
      <c r="AN12" s="40">
        <v>9.7650000000000006</v>
      </c>
      <c r="AO12" s="168">
        <v>19.263000000000002</v>
      </c>
      <c r="AP12" s="40">
        <v>20.212</v>
      </c>
      <c r="AQ12" s="40">
        <v>14.308</v>
      </c>
      <c r="AR12" s="40">
        <v>14.308</v>
      </c>
      <c r="AS12" s="40">
        <v>13.625</v>
      </c>
      <c r="AT12" s="40">
        <v>12.705</v>
      </c>
      <c r="AU12" s="40">
        <v>8.66</v>
      </c>
      <c r="AV12" s="40">
        <v>12.15</v>
      </c>
      <c r="AW12" s="40">
        <v>14.917999999999999</v>
      </c>
    </row>
    <row r="13" spans="1:49" ht="15" customHeight="1">
      <c r="A13" t="s">
        <v>161</v>
      </c>
      <c r="B13" s="21" t="str">
        <f>IF('Sumário | Summary'!P1=1,"Adiantamento a fornecedores","Advancements from Suppliers")</f>
        <v>Adiantamento a fornecedores</v>
      </c>
      <c r="C13" s="5">
        <v>9.734</v>
      </c>
      <c r="D13" s="5">
        <v>13.115</v>
      </c>
      <c r="E13" s="5">
        <v>14.212</v>
      </c>
      <c r="F13" s="5">
        <v>14.426</v>
      </c>
      <c r="G13" s="5">
        <v>17.748999999999999</v>
      </c>
      <c r="H13" s="5">
        <v>12.71</v>
      </c>
      <c r="I13" s="5">
        <v>11.372999999999999</v>
      </c>
      <c r="J13" s="5">
        <v>7.3620000000000001</v>
      </c>
      <c r="K13" s="5">
        <v>6.2220000000000004</v>
      </c>
      <c r="L13" s="5">
        <v>6.1929999999999996</v>
      </c>
      <c r="M13" s="5">
        <v>6.6150000000000002</v>
      </c>
      <c r="N13" s="5">
        <v>6.6989999999999998</v>
      </c>
      <c r="O13" s="34">
        <v>7.1520000000000001</v>
      </c>
      <c r="P13" s="18">
        <v>7.6050000000000004</v>
      </c>
      <c r="Q13" s="18">
        <v>8.0579999999999998</v>
      </c>
      <c r="R13" s="18">
        <v>8.3610000000000007</v>
      </c>
      <c r="S13" s="18">
        <v>8.5120000000000005</v>
      </c>
      <c r="T13" s="18">
        <v>4.8070000000000004</v>
      </c>
      <c r="U13" s="53">
        <v>4.7969999999999997</v>
      </c>
      <c r="V13" s="53">
        <v>4.984</v>
      </c>
      <c r="W13" s="18">
        <v>2.0449999999999999</v>
      </c>
      <c r="X13" s="18">
        <v>2.0640000000000001</v>
      </c>
      <c r="Y13" s="18">
        <v>2.0640000000000001</v>
      </c>
      <c r="Z13" s="18">
        <v>1.988</v>
      </c>
      <c r="AA13" s="18">
        <v>1.988</v>
      </c>
      <c r="AB13" s="18">
        <v>1.988</v>
      </c>
      <c r="AC13" s="18">
        <v>1.988</v>
      </c>
      <c r="AD13" s="18">
        <v>1.988</v>
      </c>
      <c r="AE13" s="18">
        <v>1.988</v>
      </c>
      <c r="AF13" s="18">
        <v>1.988</v>
      </c>
      <c r="AG13" s="18">
        <v>1.988</v>
      </c>
      <c r="AH13" s="18">
        <v>1.988</v>
      </c>
      <c r="AI13" s="18">
        <v>1.988</v>
      </c>
      <c r="AJ13" s="40">
        <v>1.988</v>
      </c>
      <c r="AK13" s="40">
        <v>1.988</v>
      </c>
      <c r="AL13" s="40">
        <v>1.988</v>
      </c>
      <c r="AM13" s="40">
        <v>14.863</v>
      </c>
      <c r="AN13" s="40">
        <v>2.077</v>
      </c>
      <c r="AO13" s="168">
        <v>1.988</v>
      </c>
      <c r="AP13" s="40">
        <v>2.2320000000000002</v>
      </c>
      <c r="AQ13" s="40">
        <v>3.153</v>
      </c>
      <c r="AR13" s="40">
        <v>2.11</v>
      </c>
      <c r="AS13" s="40">
        <v>2.5859999999999999</v>
      </c>
      <c r="AT13" s="40">
        <v>0.56799999999999995</v>
      </c>
      <c r="AU13" s="40">
        <v>0.438</v>
      </c>
      <c r="AV13" s="40">
        <v>0.20100000000000001</v>
      </c>
      <c r="AW13" s="40">
        <v>6.0000000000000001E-3</v>
      </c>
    </row>
    <row r="14" spans="1:49" ht="15" customHeight="1">
      <c r="A14" t="s">
        <v>162</v>
      </c>
      <c r="B14" s="28" t="str">
        <f>IF('Sumário | Summary'!P1=1,"Dividendos a receber","Dividends receivable")</f>
        <v>Dividendos a receber</v>
      </c>
      <c r="C14" s="5">
        <v>0</v>
      </c>
      <c r="D14" s="5">
        <v>0</v>
      </c>
      <c r="E14" s="5">
        <v>0</v>
      </c>
      <c r="F14" s="5">
        <v>0</v>
      </c>
      <c r="G14" s="5">
        <v>0</v>
      </c>
      <c r="H14" s="5">
        <v>0</v>
      </c>
      <c r="I14" s="5">
        <v>0</v>
      </c>
      <c r="J14" s="5">
        <v>0</v>
      </c>
      <c r="K14" s="5">
        <v>0</v>
      </c>
      <c r="L14" s="31">
        <v>0</v>
      </c>
      <c r="M14" s="5">
        <v>0</v>
      </c>
      <c r="N14" s="31">
        <v>2.8</v>
      </c>
      <c r="O14" s="31">
        <v>0</v>
      </c>
      <c r="P14" s="18">
        <v>0</v>
      </c>
      <c r="Q14" s="31">
        <v>0.189</v>
      </c>
      <c r="R14" s="31">
        <v>0.183</v>
      </c>
      <c r="S14" s="31">
        <v>7.9000000000000001E-2</v>
      </c>
      <c r="T14" s="31">
        <v>0</v>
      </c>
      <c r="U14" s="54">
        <v>3.9E-2</v>
      </c>
      <c r="V14" s="54">
        <v>0.153</v>
      </c>
      <c r="W14" s="31">
        <v>0.1</v>
      </c>
      <c r="X14" s="31">
        <v>0</v>
      </c>
      <c r="Y14" s="31">
        <v>2E-3</v>
      </c>
      <c r="Z14" s="18">
        <v>2E-3</v>
      </c>
      <c r="AA14" s="18">
        <v>0.251</v>
      </c>
      <c r="AB14" s="18">
        <v>2E-3</v>
      </c>
      <c r="AC14" s="18">
        <v>7.8E-2</v>
      </c>
      <c r="AD14" s="18">
        <v>1E-3</v>
      </c>
      <c r="AE14" s="18">
        <v>2E-3</v>
      </c>
      <c r="AF14" s="18">
        <v>2E-3</v>
      </c>
      <c r="AG14" s="18">
        <v>8.4000000000000005E-2</v>
      </c>
      <c r="AH14" s="18">
        <v>1.8560000000000001</v>
      </c>
      <c r="AI14" s="18">
        <v>3.5059999999999998</v>
      </c>
      <c r="AJ14" s="40">
        <v>2E-3</v>
      </c>
      <c r="AK14" s="40">
        <v>6.9000000000000006E-2</v>
      </c>
      <c r="AL14" s="40">
        <v>2E-3</v>
      </c>
      <c r="AM14" s="40">
        <v>2E-3</v>
      </c>
      <c r="AN14" s="40">
        <v>5.58</v>
      </c>
      <c r="AO14" s="168">
        <v>2E-3</v>
      </c>
      <c r="AP14" s="40">
        <v>2E-3</v>
      </c>
      <c r="AQ14" s="40">
        <v>2E-3</v>
      </c>
      <c r="AR14" s="40">
        <v>2E-3</v>
      </c>
      <c r="AS14" s="40">
        <v>0</v>
      </c>
      <c r="AT14" s="40">
        <v>0.27</v>
      </c>
      <c r="AU14" s="40">
        <v>0</v>
      </c>
      <c r="AV14" s="40">
        <v>0</v>
      </c>
      <c r="AW14" s="40">
        <v>0</v>
      </c>
    </row>
    <row r="15" spans="1:49" ht="15" customHeight="1">
      <c r="A15" t="s">
        <v>163</v>
      </c>
      <c r="B15" s="39" t="str">
        <f>IF('Sumário | Summary'!P1=1,"Ativo circulante mantido para venda",
"Current assets held for sale")</f>
        <v>Ativo circulante mantido para venda</v>
      </c>
      <c r="C15" s="57">
        <v>0</v>
      </c>
      <c r="D15" s="57">
        <v>0</v>
      </c>
      <c r="E15" s="57">
        <v>0</v>
      </c>
      <c r="F15" s="57">
        <v>0</v>
      </c>
      <c r="G15" s="57">
        <v>0</v>
      </c>
      <c r="H15" s="57">
        <v>0</v>
      </c>
      <c r="I15" s="57">
        <v>0</v>
      </c>
      <c r="J15" s="57">
        <v>0</v>
      </c>
      <c r="K15" s="57">
        <v>0</v>
      </c>
      <c r="L15" s="57">
        <v>0</v>
      </c>
      <c r="M15" s="57">
        <v>0</v>
      </c>
      <c r="N15" s="57">
        <v>0</v>
      </c>
      <c r="O15" s="57">
        <v>0</v>
      </c>
      <c r="P15" s="57">
        <v>0</v>
      </c>
      <c r="Q15" s="57">
        <v>0</v>
      </c>
      <c r="R15" s="57">
        <v>0</v>
      </c>
      <c r="S15" s="57">
        <v>0</v>
      </c>
      <c r="T15" s="57">
        <v>0</v>
      </c>
      <c r="U15" s="57">
        <v>885.47799999999995</v>
      </c>
      <c r="V15" s="57">
        <v>0</v>
      </c>
      <c r="W15" s="57">
        <v>0</v>
      </c>
      <c r="X15" s="57">
        <v>0</v>
      </c>
      <c r="Y15" s="57">
        <v>0</v>
      </c>
      <c r="Z15" s="57">
        <v>0</v>
      </c>
      <c r="AA15" s="57">
        <v>0</v>
      </c>
      <c r="AB15" s="18">
        <v>0</v>
      </c>
      <c r="AC15" s="18">
        <v>0</v>
      </c>
      <c r="AD15" s="18">
        <v>0</v>
      </c>
      <c r="AE15" s="18">
        <v>0</v>
      </c>
      <c r="AF15" s="18">
        <v>0</v>
      </c>
      <c r="AG15" s="18">
        <v>0</v>
      </c>
      <c r="AH15" s="18">
        <v>0</v>
      </c>
      <c r="AI15" s="18">
        <v>0</v>
      </c>
      <c r="AJ15" s="40">
        <v>0</v>
      </c>
      <c r="AK15" s="40">
        <v>0</v>
      </c>
      <c r="AL15" s="40">
        <v>495.35300000000001</v>
      </c>
      <c r="AM15" s="40">
        <v>0</v>
      </c>
      <c r="AN15" s="40">
        <v>0</v>
      </c>
      <c r="AO15" s="168">
        <v>151.23400000000001</v>
      </c>
      <c r="AP15" s="40">
        <v>153.714</v>
      </c>
      <c r="AQ15" s="40">
        <v>0</v>
      </c>
      <c r="AR15" s="40">
        <v>0</v>
      </c>
      <c r="AS15" s="40">
        <v>0</v>
      </c>
      <c r="AT15" s="40">
        <v>0</v>
      </c>
      <c r="AU15" s="40">
        <v>0</v>
      </c>
      <c r="AV15" s="40">
        <v>0</v>
      </c>
      <c r="AW15" s="40">
        <v>0</v>
      </c>
    </row>
    <row r="16" spans="1:49" ht="15" customHeight="1">
      <c r="A16" t="s">
        <v>165</v>
      </c>
      <c r="B16" s="39" t="s">
        <v>125</v>
      </c>
      <c r="C16" s="57"/>
      <c r="D16" s="57"/>
      <c r="E16" s="57"/>
      <c r="F16" s="57"/>
      <c r="G16" s="57"/>
      <c r="H16" s="57"/>
      <c r="I16" s="57"/>
      <c r="J16" s="57"/>
      <c r="K16" s="57"/>
      <c r="L16" s="57"/>
      <c r="M16" s="57"/>
      <c r="N16" s="57"/>
      <c r="O16" s="57"/>
      <c r="P16" s="57"/>
      <c r="Q16" s="57"/>
      <c r="R16" s="57"/>
      <c r="S16" s="57"/>
      <c r="T16" s="57">
        <v>0</v>
      </c>
      <c r="U16" s="57">
        <v>0</v>
      </c>
      <c r="V16" s="57">
        <v>0</v>
      </c>
      <c r="W16" s="57">
        <v>0</v>
      </c>
      <c r="X16" s="57">
        <v>0</v>
      </c>
      <c r="Y16" s="57">
        <v>0</v>
      </c>
      <c r="Z16" s="57">
        <v>0</v>
      </c>
      <c r="AA16" s="57">
        <v>0</v>
      </c>
      <c r="AB16" s="57">
        <v>0</v>
      </c>
      <c r="AC16" s="57">
        <v>0</v>
      </c>
      <c r="AD16" s="57">
        <v>0</v>
      </c>
      <c r="AE16" s="57">
        <v>0</v>
      </c>
      <c r="AF16" s="57">
        <v>0</v>
      </c>
      <c r="AG16" s="57">
        <v>0</v>
      </c>
      <c r="AH16" s="57">
        <v>0</v>
      </c>
      <c r="AI16" s="57">
        <v>0</v>
      </c>
      <c r="AJ16" s="57">
        <v>0</v>
      </c>
      <c r="AK16" s="57">
        <v>0</v>
      </c>
      <c r="AL16" s="57">
        <v>0</v>
      </c>
      <c r="AM16" s="57">
        <v>0</v>
      </c>
      <c r="AN16" s="57">
        <v>0</v>
      </c>
      <c r="AO16" s="191">
        <v>0</v>
      </c>
      <c r="AP16" s="40">
        <v>0</v>
      </c>
      <c r="AQ16" s="40">
        <v>0</v>
      </c>
      <c r="AR16" s="40">
        <v>0</v>
      </c>
      <c r="AS16" s="40">
        <v>0</v>
      </c>
      <c r="AT16" s="40">
        <v>0</v>
      </c>
      <c r="AU16" s="40">
        <v>0</v>
      </c>
      <c r="AV16" s="40">
        <v>0</v>
      </c>
      <c r="AW16" s="40">
        <v>0</v>
      </c>
    </row>
    <row r="17" spans="1:49" ht="15" customHeight="1">
      <c r="A17" t="s">
        <v>164</v>
      </c>
      <c r="B17" s="28" t="str">
        <f>IF('Sumário | Summary'!P1=1,"Demais contas a receber","Other receivables")</f>
        <v>Demais contas a receber</v>
      </c>
      <c r="C17" s="5">
        <v>19.523</v>
      </c>
      <c r="D17" s="5">
        <v>1.304</v>
      </c>
      <c r="E17" s="5">
        <v>1.1040000000000001</v>
      </c>
      <c r="F17" s="5">
        <v>0.72599999999999998</v>
      </c>
      <c r="G17" s="5">
        <v>18.224</v>
      </c>
      <c r="H17" s="5">
        <v>48.491</v>
      </c>
      <c r="I17" s="5">
        <v>16.82</v>
      </c>
      <c r="J17" s="5">
        <v>23.376000000000001</v>
      </c>
      <c r="K17" s="5">
        <v>25.277000000000001</v>
      </c>
      <c r="L17" s="5">
        <v>37.325000000000003</v>
      </c>
      <c r="M17" s="5">
        <v>42.03</v>
      </c>
      <c r="N17" s="5">
        <v>50.6</v>
      </c>
      <c r="O17" s="34">
        <v>10.347</v>
      </c>
      <c r="P17" s="18">
        <v>6.0339999999999998</v>
      </c>
      <c r="Q17" s="18">
        <v>7.85</v>
      </c>
      <c r="R17" s="18">
        <v>5.633</v>
      </c>
      <c r="S17" s="18">
        <v>9.4760000000000009</v>
      </c>
      <c r="T17" s="18">
        <v>10.073</v>
      </c>
      <c r="U17" s="53">
        <v>10.949</v>
      </c>
      <c r="V17" s="53">
        <v>6.8780000000000001</v>
      </c>
      <c r="W17" s="18">
        <v>8.4619999999999997</v>
      </c>
      <c r="X17" s="18">
        <v>8.1690000000000005</v>
      </c>
      <c r="Y17" s="18">
        <v>7.85</v>
      </c>
      <c r="Z17" s="18">
        <v>69.879000000000005</v>
      </c>
      <c r="AA17" s="18">
        <v>34.895000000000003</v>
      </c>
      <c r="AB17" s="18">
        <v>30.2</v>
      </c>
      <c r="AC17" s="18">
        <v>22.719000000000001</v>
      </c>
      <c r="AD17" s="18">
        <v>15.944000000000001</v>
      </c>
      <c r="AE17" s="18">
        <v>14.102</v>
      </c>
      <c r="AF17" s="18">
        <v>12.202</v>
      </c>
      <c r="AG17" s="18">
        <v>10.208</v>
      </c>
      <c r="AH17" s="18">
        <v>20</v>
      </c>
      <c r="AI17" s="18">
        <v>14.785</v>
      </c>
      <c r="AJ17" s="40">
        <v>21.364000000000001</v>
      </c>
      <c r="AK17" s="40">
        <v>15.234999999999999</v>
      </c>
      <c r="AL17" s="40">
        <v>19.663</v>
      </c>
      <c r="AM17" s="40">
        <v>64.599999999999994</v>
      </c>
      <c r="AN17" s="40">
        <v>29.606000000000002</v>
      </c>
      <c r="AO17" s="168">
        <v>44.42</v>
      </c>
      <c r="AP17" s="40">
        <v>36.65</v>
      </c>
      <c r="AQ17" s="40">
        <v>37.148000000000003</v>
      </c>
      <c r="AR17" s="40">
        <v>15.646000000000001</v>
      </c>
      <c r="AS17" s="40">
        <v>31.367000000000001</v>
      </c>
      <c r="AT17" s="40">
        <v>24.85</v>
      </c>
      <c r="AU17" s="40">
        <v>24.6</v>
      </c>
      <c r="AV17" s="40">
        <v>20.263999999999999</v>
      </c>
      <c r="AW17" s="40">
        <v>276.47300000000001</v>
      </c>
    </row>
    <row r="18" spans="1:49" ht="15" customHeight="1">
      <c r="A18" t="s">
        <v>118</v>
      </c>
      <c r="B18" s="11" t="str">
        <f>IF('Sumário | Summary'!P1=1,"Realizável a longo prazo","Long term")</f>
        <v>Realizável a longo prazo</v>
      </c>
      <c r="C18" s="6">
        <v>166.83</v>
      </c>
      <c r="D18" s="6">
        <v>182.04400000000001</v>
      </c>
      <c r="E18" s="6">
        <v>174.1</v>
      </c>
      <c r="F18" s="6">
        <v>376.36500000000001</v>
      </c>
      <c r="G18" s="6">
        <v>1304.9929999999999</v>
      </c>
      <c r="H18" s="6">
        <v>546.5</v>
      </c>
      <c r="I18" s="6">
        <v>1294.7149999999999</v>
      </c>
      <c r="J18" s="6">
        <v>1878.7979999999995</v>
      </c>
      <c r="K18" s="6">
        <v>2011.1589999999999</v>
      </c>
      <c r="L18" s="6">
        <v>1085.1819999999998</v>
      </c>
      <c r="M18" s="6">
        <v>1167.7090000000001</v>
      </c>
      <c r="N18" s="6">
        <v>1225.665</v>
      </c>
      <c r="O18" s="6">
        <v>1419.6950000000002</v>
      </c>
      <c r="P18" s="6">
        <v>1276.7739999999999</v>
      </c>
      <c r="Q18" s="6">
        <v>1412.462</v>
      </c>
      <c r="R18" s="6">
        <v>833.27700000000004</v>
      </c>
      <c r="S18" s="6">
        <v>822.20499999999993</v>
      </c>
      <c r="T18" s="139">
        <f t="shared" ref="T18:AS18" si="2">SUM(T19:T28)</f>
        <v>851.73599999999999</v>
      </c>
      <c r="U18" s="139">
        <f t="shared" si="2"/>
        <v>558.84299999999996</v>
      </c>
      <c r="V18" s="139">
        <f t="shared" si="2"/>
        <v>426.56200000000001</v>
      </c>
      <c r="W18" s="139">
        <f t="shared" si="2"/>
        <v>152.017</v>
      </c>
      <c r="X18" s="139">
        <f t="shared" si="2"/>
        <v>161.041</v>
      </c>
      <c r="Y18" s="139">
        <f t="shared" si="2"/>
        <v>120.45700000000001</v>
      </c>
      <c r="Z18" s="139">
        <f t="shared" si="2"/>
        <v>123.465</v>
      </c>
      <c r="AA18" s="139">
        <f t="shared" si="2"/>
        <v>125.93</v>
      </c>
      <c r="AB18" s="139">
        <f t="shared" si="2"/>
        <v>149.696</v>
      </c>
      <c r="AC18" s="139">
        <f t="shared" si="2"/>
        <v>155.79200000000003</v>
      </c>
      <c r="AD18" s="139">
        <f t="shared" si="2"/>
        <v>166.87600000000003</v>
      </c>
      <c r="AE18" s="139">
        <f t="shared" si="2"/>
        <v>171.19499999999999</v>
      </c>
      <c r="AF18" s="139">
        <f t="shared" si="2"/>
        <v>158.62799999999999</v>
      </c>
      <c r="AG18" s="139">
        <f t="shared" si="2"/>
        <v>169.1</v>
      </c>
      <c r="AH18" s="139">
        <f t="shared" si="2"/>
        <v>175.90499999999997</v>
      </c>
      <c r="AI18" s="139">
        <f t="shared" si="2"/>
        <v>185.56200000000001</v>
      </c>
      <c r="AJ18" s="139">
        <f t="shared" si="2"/>
        <v>188.82099999999997</v>
      </c>
      <c r="AK18" s="139">
        <f t="shared" si="2"/>
        <v>206.85000000000002</v>
      </c>
      <c r="AL18" s="139">
        <f t="shared" si="2"/>
        <v>212.05600000000004</v>
      </c>
      <c r="AM18" s="139">
        <f t="shared" si="2"/>
        <v>279.827</v>
      </c>
      <c r="AN18" s="139">
        <f t="shared" si="2"/>
        <v>273.06</v>
      </c>
      <c r="AO18" s="139">
        <f t="shared" si="2"/>
        <v>231.79499999999999</v>
      </c>
      <c r="AP18" s="139">
        <f t="shared" si="2"/>
        <v>228.67500000000001</v>
      </c>
      <c r="AQ18" s="139">
        <f t="shared" si="2"/>
        <v>251.495</v>
      </c>
      <c r="AR18" s="139">
        <f t="shared" si="2"/>
        <v>247.19299999999998</v>
      </c>
      <c r="AS18" s="139">
        <f t="shared" si="2"/>
        <v>225.32600000000002</v>
      </c>
      <c r="AT18" s="139">
        <v>227.91499999999999</v>
      </c>
      <c r="AU18" s="139">
        <f>SUM(AU19:AU28)</f>
        <v>232.10500000000002</v>
      </c>
      <c r="AV18" s="139">
        <v>1860.3369999999998</v>
      </c>
      <c r="AW18" s="139">
        <f>SUM(AW19:AW28)</f>
        <v>797.904</v>
      </c>
    </row>
    <row r="19" spans="1:49" ht="15" customHeight="1">
      <c r="A19" t="s">
        <v>166</v>
      </c>
      <c r="B19" s="21" t="str">
        <f>IF('Sumário | Summary'!P1=1,"Contas a receber ","Accounts Receivable")</f>
        <v xml:space="preserve">Contas a receber </v>
      </c>
      <c r="C19" s="5">
        <v>20.462</v>
      </c>
      <c r="D19" s="5">
        <v>22.702000000000002</v>
      </c>
      <c r="E19" s="5">
        <v>19.806999999999999</v>
      </c>
      <c r="F19" s="5">
        <v>9.0350000000000001</v>
      </c>
      <c r="G19" s="5">
        <v>9.8670000000000009</v>
      </c>
      <c r="H19" s="18">
        <v>20.829000000000001</v>
      </c>
      <c r="I19" s="18">
        <v>18.806999999999999</v>
      </c>
      <c r="J19" s="18">
        <v>17.754000000000001</v>
      </c>
      <c r="K19" s="18">
        <v>16.423999999999999</v>
      </c>
      <c r="L19" s="18">
        <v>4.7430000000000003</v>
      </c>
      <c r="M19" s="18">
        <v>4.7649999999999997</v>
      </c>
      <c r="N19" s="18">
        <v>4.766</v>
      </c>
      <c r="O19" s="34">
        <v>0.68400000000000005</v>
      </c>
      <c r="P19" s="18">
        <v>0.434</v>
      </c>
      <c r="Q19" s="31" t="s">
        <v>18</v>
      </c>
      <c r="R19" s="31">
        <v>0</v>
      </c>
      <c r="S19" s="31">
        <v>12.082000000000001</v>
      </c>
      <c r="T19" s="31">
        <v>14.808999999999999</v>
      </c>
      <c r="V19" s="54">
        <v>5.95</v>
      </c>
      <c r="W19" s="31">
        <v>4.5679999999999996</v>
      </c>
      <c r="X19" s="31">
        <v>4.4109999999999996</v>
      </c>
      <c r="Y19" s="31">
        <v>4.6029999999999998</v>
      </c>
      <c r="Z19" s="31">
        <v>3.6680000000000001</v>
      </c>
      <c r="AA19" s="31">
        <v>3.226</v>
      </c>
      <c r="AB19" s="31">
        <v>30.390999999999998</v>
      </c>
      <c r="AC19" s="31">
        <v>33.567999999999998</v>
      </c>
      <c r="AD19" s="31">
        <v>36.706000000000003</v>
      </c>
      <c r="AE19" s="31">
        <v>33.479999999999997</v>
      </c>
      <c r="AF19" s="31">
        <v>34.975999999999999</v>
      </c>
      <c r="AG19" s="31">
        <v>47.427999999999997</v>
      </c>
      <c r="AH19" s="31">
        <v>51.368000000000002</v>
      </c>
      <c r="AI19" s="31">
        <v>55.091999999999999</v>
      </c>
      <c r="AJ19" s="57">
        <v>60.280999999999999</v>
      </c>
      <c r="AK19" s="40">
        <v>69.984999999999999</v>
      </c>
      <c r="AL19" s="40">
        <v>69.766000000000005</v>
      </c>
      <c r="AM19" s="40">
        <v>46.795000000000002</v>
      </c>
      <c r="AN19" s="40">
        <v>46.795000000000002</v>
      </c>
      <c r="AO19" s="168">
        <v>44.613</v>
      </c>
      <c r="AP19" s="40">
        <v>40.226999999999997</v>
      </c>
      <c r="AQ19" s="40">
        <v>34.872999999999998</v>
      </c>
      <c r="AR19" s="40">
        <v>34.872999999999998</v>
      </c>
      <c r="AS19" s="40">
        <v>27.687000000000001</v>
      </c>
      <c r="AT19" s="40">
        <v>29.311</v>
      </c>
      <c r="AU19" s="40">
        <v>27.187000000000001</v>
      </c>
      <c r="AV19" s="40">
        <v>22.408999999999999</v>
      </c>
      <c r="AW19" s="40">
        <v>554.99099999999999</v>
      </c>
    </row>
    <row r="20" spans="1:49" ht="15" customHeight="1">
      <c r="A20" t="s">
        <v>167</v>
      </c>
      <c r="B20" s="21" t="str">
        <f>IF('Sumário | Summary'!P1=1,"Estoques","Inventory")</f>
        <v>Estoques</v>
      </c>
      <c r="C20" s="5">
        <v>94.316000000000003</v>
      </c>
      <c r="D20" s="5">
        <v>105.01900000000001</v>
      </c>
      <c r="E20" s="5">
        <v>103.89400000000001</v>
      </c>
      <c r="F20" s="5">
        <v>315.51299999999998</v>
      </c>
      <c r="G20" s="5">
        <v>1236.288</v>
      </c>
      <c r="H20" s="5">
        <v>455.22199999999998</v>
      </c>
      <c r="I20" s="5">
        <v>1216.5530000000001</v>
      </c>
      <c r="J20" s="5">
        <v>1797.8679999999999</v>
      </c>
      <c r="K20" s="5">
        <v>1926.307</v>
      </c>
      <c r="L20" s="5">
        <v>995.12099999999998</v>
      </c>
      <c r="M20" s="5">
        <v>1070.31</v>
      </c>
      <c r="N20" s="5">
        <v>1123.94</v>
      </c>
      <c r="O20" s="34">
        <v>1269.579</v>
      </c>
      <c r="P20" s="18">
        <v>1118.0540000000001</v>
      </c>
      <c r="Q20" s="18">
        <v>1238.07</v>
      </c>
      <c r="R20" s="18">
        <v>658.476</v>
      </c>
      <c r="S20" s="18">
        <v>674.87</v>
      </c>
      <c r="T20" s="18">
        <v>690.505</v>
      </c>
      <c r="U20" s="53">
        <v>406.23099999999999</v>
      </c>
      <c r="V20" s="53">
        <v>308.62799999999999</v>
      </c>
      <c r="W20" s="18">
        <v>41.857999999999997</v>
      </c>
      <c r="X20" s="18">
        <v>42.192999999999998</v>
      </c>
      <c r="Y20" s="18">
        <v>42.197000000000003</v>
      </c>
      <c r="Z20" s="31">
        <v>42.197000000000003</v>
      </c>
      <c r="AA20" s="31">
        <v>42.2</v>
      </c>
      <c r="AB20" s="31">
        <v>42.618000000000002</v>
      </c>
      <c r="AC20" s="31">
        <v>42.618000000000002</v>
      </c>
      <c r="AD20" s="31">
        <v>42.618000000000002</v>
      </c>
      <c r="AE20" s="31">
        <v>42.618000000000002</v>
      </c>
      <c r="AF20" s="31">
        <v>42.618000000000002</v>
      </c>
      <c r="AG20" s="31">
        <v>42.618000000000002</v>
      </c>
      <c r="AH20" s="31">
        <v>42.618000000000002</v>
      </c>
      <c r="AI20" s="31">
        <v>42.618000000000002</v>
      </c>
      <c r="AJ20" s="57">
        <v>42.618000000000002</v>
      </c>
      <c r="AK20" s="40">
        <v>42.618000000000002</v>
      </c>
      <c r="AL20" s="40">
        <v>42.618000000000002</v>
      </c>
      <c r="AM20" s="40">
        <v>42.618000000000002</v>
      </c>
      <c r="AN20" s="40">
        <v>42.618000000000002</v>
      </c>
      <c r="AO20" s="168">
        <v>42.618000000000002</v>
      </c>
      <c r="AP20" s="40">
        <v>42.618000000000002</v>
      </c>
      <c r="AQ20" s="40">
        <v>51.783000000000001</v>
      </c>
      <c r="AR20" s="40">
        <v>51.957000000000001</v>
      </c>
      <c r="AS20" s="40">
        <v>52.189</v>
      </c>
      <c r="AT20" s="40">
        <v>52.366999999999997</v>
      </c>
      <c r="AU20" s="40">
        <v>52.533000000000001</v>
      </c>
      <c r="AV20" s="40">
        <v>52.835000000000001</v>
      </c>
      <c r="AW20" s="40">
        <v>53.058999999999997</v>
      </c>
    </row>
    <row r="21" spans="1:49" ht="15" customHeight="1">
      <c r="A21" t="s">
        <v>322</v>
      </c>
      <c r="B21" s="39" t="str">
        <f>IF('Sumário | Summary'!P1=1,"Ativo não circulante mantido para venda",
"Non-current assets held for sale")</f>
        <v>Ativo não circulante mantido para venda</v>
      </c>
      <c r="C21" s="5"/>
      <c r="D21" s="5"/>
      <c r="E21" s="5"/>
      <c r="F21" s="5"/>
      <c r="G21" s="5"/>
      <c r="H21" s="5"/>
      <c r="I21" s="5"/>
      <c r="J21" s="5"/>
      <c r="K21" s="5"/>
      <c r="L21" s="5"/>
      <c r="M21" s="5"/>
      <c r="N21" s="5"/>
      <c r="O21" s="34"/>
      <c r="P21" s="18"/>
      <c r="Q21" s="18"/>
      <c r="R21" s="18"/>
      <c r="S21" s="18"/>
      <c r="T21" s="18"/>
      <c r="U21" s="53"/>
      <c r="V21" s="53"/>
      <c r="W21" s="18"/>
      <c r="X21" s="18"/>
      <c r="Y21" s="18"/>
      <c r="Z21" s="31"/>
      <c r="AA21" s="31"/>
      <c r="AB21" s="31"/>
      <c r="AC21" s="31"/>
      <c r="AD21" s="31"/>
      <c r="AE21" s="31"/>
      <c r="AF21" s="31"/>
      <c r="AG21" s="31"/>
      <c r="AH21" s="31"/>
      <c r="AI21" s="31"/>
      <c r="AJ21" s="57"/>
      <c r="AK21" s="40"/>
      <c r="AL21" s="40"/>
      <c r="AM21" s="40"/>
      <c r="AN21" s="40"/>
      <c r="AO21" s="168"/>
      <c r="AP21" s="40"/>
      <c r="AQ21" s="40"/>
      <c r="AR21" s="40"/>
      <c r="AS21" s="40"/>
      <c r="AT21" s="40"/>
      <c r="AU21" s="40"/>
      <c r="AV21" s="40">
        <v>1681.6189999999999</v>
      </c>
      <c r="AW21" s="40">
        <v>0</v>
      </c>
    </row>
    <row r="22" spans="1:49" ht="15" customHeight="1">
      <c r="A22" t="s">
        <v>168</v>
      </c>
      <c r="B22" s="21" t="str">
        <f>IF('Sumário | Summary'!P1=1,"Adiantamento para futuro aumento de capital","Advance for future capital increase")</f>
        <v>Adiantamento para futuro aumento de capital</v>
      </c>
      <c r="C22" s="5">
        <v>3.5219999999999998</v>
      </c>
      <c r="D22" s="5">
        <v>3.512</v>
      </c>
      <c r="E22" s="5">
        <v>3.512</v>
      </c>
      <c r="F22" s="5">
        <v>3.512</v>
      </c>
      <c r="G22" s="5">
        <v>3.512</v>
      </c>
      <c r="H22" s="5">
        <v>3.512</v>
      </c>
      <c r="I22" s="5">
        <v>3.512</v>
      </c>
      <c r="J22" s="5">
        <v>3.512</v>
      </c>
      <c r="K22" s="18">
        <v>3.5</v>
      </c>
      <c r="L22" s="18">
        <v>3.512</v>
      </c>
      <c r="M22" s="18">
        <v>3.512</v>
      </c>
      <c r="N22" s="18">
        <v>3.512</v>
      </c>
      <c r="O22" s="34">
        <v>33.597000000000001</v>
      </c>
      <c r="P22" s="18">
        <v>31.216000000000001</v>
      </c>
      <c r="Q22" s="18">
        <v>33.555</v>
      </c>
      <c r="R22" s="18">
        <v>35.253</v>
      </c>
      <c r="S22" s="18">
        <v>36.933</v>
      </c>
      <c r="T22" s="18">
        <v>37.234999999999999</v>
      </c>
      <c r="U22" s="53">
        <v>38.527000000000001</v>
      </c>
      <c r="V22" s="53">
        <v>39.322000000000003</v>
      </c>
      <c r="W22" s="18">
        <v>38.927999999999997</v>
      </c>
      <c r="X22" s="18">
        <v>39.786000000000001</v>
      </c>
      <c r="Y22" s="18">
        <v>4.5999999999999999E-2</v>
      </c>
      <c r="Z22" s="31">
        <v>4.5999999999999999E-2</v>
      </c>
      <c r="AA22" s="31">
        <v>4.5999999999999999E-2</v>
      </c>
      <c r="AB22" s="31">
        <v>4.5999999999999999E-2</v>
      </c>
      <c r="AC22" s="31">
        <v>4.5999999999999999E-2</v>
      </c>
      <c r="AD22" s="31">
        <v>0.84899999999999998</v>
      </c>
      <c r="AE22" s="31">
        <v>1.1870000000000001</v>
      </c>
      <c r="AF22" s="31">
        <v>1.26</v>
      </c>
      <c r="AG22" s="31">
        <v>0.84199999999999997</v>
      </c>
      <c r="AH22" s="31">
        <v>0.85899999999999999</v>
      </c>
      <c r="AI22" s="31">
        <v>0.88800000000000001</v>
      </c>
      <c r="AJ22" s="57">
        <v>0.877</v>
      </c>
      <c r="AK22" s="40">
        <v>0.88200000000000001</v>
      </c>
      <c r="AL22" s="40">
        <v>0.88500000000000001</v>
      </c>
      <c r="AM22" s="40">
        <v>4.6459999999999999</v>
      </c>
      <c r="AN22" s="40">
        <v>1.476</v>
      </c>
      <c r="AO22" s="168">
        <v>1.026</v>
      </c>
      <c r="AP22" s="40">
        <v>1.032</v>
      </c>
      <c r="AQ22" s="40">
        <v>1.702</v>
      </c>
      <c r="AR22" s="40">
        <v>1.589</v>
      </c>
      <c r="AS22" s="40">
        <v>1.625</v>
      </c>
      <c r="AT22" s="40">
        <v>2.734</v>
      </c>
      <c r="AU22" s="40">
        <v>1.0960000000000001</v>
      </c>
      <c r="AV22" s="40">
        <v>1.153</v>
      </c>
      <c r="AW22" s="40">
        <v>0.27400000000000002</v>
      </c>
    </row>
    <row r="23" spans="1:49" ht="15" customHeight="1">
      <c r="A23" t="s">
        <v>169</v>
      </c>
      <c r="B23" s="21" t="str">
        <f>IF('Sumário | Summary'!P1=1,"Contas-correntes com parceiros nos empreendimentos","Current accounts with partners in projects ")</f>
        <v>Contas-correntes com parceiros nos empreendimentos</v>
      </c>
      <c r="C23" s="5">
        <v>5.1059999999999999</v>
      </c>
      <c r="D23" s="5">
        <v>6.6929999999999996</v>
      </c>
      <c r="E23" s="5">
        <v>0</v>
      </c>
      <c r="F23" s="5">
        <v>0</v>
      </c>
      <c r="G23" s="5">
        <v>4.1319999999999997</v>
      </c>
      <c r="H23" s="5">
        <v>13.214</v>
      </c>
      <c r="I23" s="5">
        <v>0</v>
      </c>
      <c r="J23" s="5">
        <v>1.9259999999999999</v>
      </c>
      <c r="K23" s="5">
        <v>0</v>
      </c>
      <c r="L23" s="5">
        <v>14.058999999999999</v>
      </c>
      <c r="M23" s="5">
        <v>16.975000000000001</v>
      </c>
      <c r="N23" s="5">
        <v>17.175999999999998</v>
      </c>
      <c r="O23" s="31">
        <v>0</v>
      </c>
      <c r="P23" s="18">
        <v>0</v>
      </c>
      <c r="Q23" s="18">
        <v>0</v>
      </c>
      <c r="R23" s="18">
        <v>0.109</v>
      </c>
      <c r="S23" s="18">
        <v>0</v>
      </c>
      <c r="T23" s="18">
        <v>0</v>
      </c>
      <c r="U23" s="53">
        <v>0</v>
      </c>
      <c r="V23" s="53">
        <v>0</v>
      </c>
      <c r="W23" s="18">
        <v>0</v>
      </c>
      <c r="X23" s="18">
        <v>0</v>
      </c>
      <c r="Y23" s="18">
        <v>0</v>
      </c>
      <c r="Z23" s="18">
        <v>0</v>
      </c>
      <c r="AA23" s="18">
        <v>0</v>
      </c>
      <c r="AB23" s="31">
        <v>0</v>
      </c>
      <c r="AC23" s="31">
        <v>0</v>
      </c>
      <c r="AD23" s="31">
        <v>0.309</v>
      </c>
      <c r="AE23" s="31">
        <v>0.32500000000000001</v>
      </c>
      <c r="AF23" s="31">
        <v>0.34100000000000003</v>
      </c>
      <c r="AG23" s="31">
        <v>0.35699999999999998</v>
      </c>
      <c r="AH23" s="31">
        <v>0.372</v>
      </c>
      <c r="AI23" s="31">
        <v>0.38700000000000001</v>
      </c>
      <c r="AJ23" s="57">
        <v>0.40600000000000003</v>
      </c>
      <c r="AK23" s="40">
        <v>0</v>
      </c>
      <c r="AL23" s="40">
        <v>0</v>
      </c>
      <c r="AM23" s="40">
        <v>0</v>
      </c>
      <c r="AN23" s="40">
        <v>0.249</v>
      </c>
      <c r="AO23" s="168">
        <v>0</v>
      </c>
      <c r="AP23" s="40">
        <v>0</v>
      </c>
      <c r="AQ23" s="40">
        <v>0</v>
      </c>
      <c r="AR23" s="40">
        <v>0</v>
      </c>
      <c r="AS23" s="40">
        <v>0</v>
      </c>
      <c r="AT23" s="40">
        <v>0</v>
      </c>
      <c r="AU23" s="40">
        <v>0</v>
      </c>
      <c r="AV23" s="40">
        <v>0</v>
      </c>
      <c r="AW23" s="40">
        <v>0</v>
      </c>
    </row>
    <row r="24" spans="1:49" ht="15" customHeight="1">
      <c r="A24" t="s">
        <v>177</v>
      </c>
      <c r="B24" s="28" t="str">
        <f>IF('Sumário | Summary'!P1=1,"Mútuo a receber","Loan receivables")</f>
        <v>Mútuo a receber</v>
      </c>
      <c r="C24" s="5"/>
      <c r="D24" s="5"/>
      <c r="E24" s="5">
        <v>0</v>
      </c>
      <c r="F24" s="5">
        <v>0</v>
      </c>
      <c r="G24" s="5">
        <v>0</v>
      </c>
      <c r="H24" s="5">
        <v>0</v>
      </c>
      <c r="I24" s="5">
        <v>0</v>
      </c>
      <c r="J24" s="5">
        <v>0</v>
      </c>
      <c r="K24" s="5">
        <v>0</v>
      </c>
      <c r="L24" s="5">
        <v>0</v>
      </c>
      <c r="M24" s="5">
        <v>0</v>
      </c>
      <c r="N24" s="5">
        <v>0</v>
      </c>
      <c r="O24" s="5">
        <v>15.643000000000001</v>
      </c>
      <c r="P24" s="18">
        <v>6.8760000000000003</v>
      </c>
      <c r="Q24" s="18">
        <v>7.9690000000000003</v>
      </c>
      <c r="R24" s="18">
        <v>7.5579999999999998</v>
      </c>
      <c r="S24" s="18">
        <v>8.3130000000000006</v>
      </c>
      <c r="T24" s="18">
        <v>8.8070000000000004</v>
      </c>
      <c r="U24" s="53">
        <v>8.3680000000000003</v>
      </c>
      <c r="V24" s="53">
        <v>7.6360000000000001</v>
      </c>
      <c r="W24" s="18">
        <v>0</v>
      </c>
      <c r="X24" s="18">
        <v>0</v>
      </c>
      <c r="Y24" s="18">
        <v>0</v>
      </c>
      <c r="Z24" s="18">
        <v>0</v>
      </c>
      <c r="AA24" s="18">
        <v>0</v>
      </c>
      <c r="AB24" s="31">
        <v>0</v>
      </c>
      <c r="AC24" s="31">
        <v>0</v>
      </c>
      <c r="AD24" s="31">
        <v>0</v>
      </c>
      <c r="AE24" s="31">
        <v>0</v>
      </c>
      <c r="AF24" s="31">
        <v>0</v>
      </c>
      <c r="AG24" s="31">
        <v>0</v>
      </c>
      <c r="AH24" s="31">
        <v>0</v>
      </c>
      <c r="AI24" s="31">
        <v>0</v>
      </c>
      <c r="AJ24" s="57">
        <v>0</v>
      </c>
      <c r="AK24" s="40">
        <v>0</v>
      </c>
      <c r="AL24" s="40">
        <v>0</v>
      </c>
      <c r="AM24" s="40">
        <v>0</v>
      </c>
      <c r="AN24" s="40">
        <v>0</v>
      </c>
      <c r="AO24" s="168">
        <v>0</v>
      </c>
      <c r="AP24" s="40">
        <v>0</v>
      </c>
      <c r="AQ24" s="40">
        <v>0</v>
      </c>
      <c r="AR24" s="40">
        <v>0</v>
      </c>
      <c r="AS24" s="40">
        <v>0</v>
      </c>
      <c r="AT24" s="40">
        <v>0</v>
      </c>
      <c r="AU24" s="40">
        <v>0</v>
      </c>
      <c r="AV24" s="40">
        <v>0</v>
      </c>
      <c r="AW24" s="40">
        <v>0</v>
      </c>
    </row>
    <row r="25" spans="1:49" ht="15" customHeight="1">
      <c r="A25" t="s">
        <v>170</v>
      </c>
      <c r="B25" s="28" t="str">
        <f>IF('Sumário | Summary'!P1=1,"Impostos a compensar","Tax to be Compensated")</f>
        <v>Impostos a compensar</v>
      </c>
      <c r="C25" s="5">
        <v>42.741</v>
      </c>
      <c r="D25" s="5">
        <v>43.436999999999998</v>
      </c>
      <c r="E25" s="5">
        <v>46.231000000000002</v>
      </c>
      <c r="F25" s="5">
        <v>47.58</v>
      </c>
      <c r="G25" s="5">
        <v>50.118000000000002</v>
      </c>
      <c r="H25" s="5">
        <v>52.622999999999998</v>
      </c>
      <c r="I25" s="5">
        <v>54.743000000000002</v>
      </c>
      <c r="J25" s="5">
        <v>57.552</v>
      </c>
      <c r="K25" s="5">
        <v>64.835999999999999</v>
      </c>
      <c r="L25" s="5">
        <v>67.436999999999998</v>
      </c>
      <c r="M25" s="5">
        <v>71.841999999999999</v>
      </c>
      <c r="N25" s="5">
        <v>75.959999999999994</v>
      </c>
      <c r="O25" s="34">
        <v>79.400000000000006</v>
      </c>
      <c r="P25" s="34">
        <v>89.533000000000001</v>
      </c>
      <c r="Q25" s="34">
        <v>94.748000000000005</v>
      </c>
      <c r="R25" s="34">
        <v>97.295000000000002</v>
      </c>
      <c r="S25" s="34">
        <v>60.131</v>
      </c>
      <c r="T25" s="34">
        <v>68.135999999999996</v>
      </c>
      <c r="U25" s="55">
        <v>72.433000000000007</v>
      </c>
      <c r="V25" s="55">
        <v>31.628</v>
      </c>
      <c r="W25" s="34">
        <v>34.119999999999997</v>
      </c>
      <c r="X25" s="34">
        <v>31.844000000000001</v>
      </c>
      <c r="Y25" s="34">
        <v>33.694000000000003</v>
      </c>
      <c r="Z25" s="34">
        <v>34.213999999999999</v>
      </c>
      <c r="AA25" s="34">
        <v>36.959000000000003</v>
      </c>
      <c r="AB25" s="31">
        <v>39.152999999999999</v>
      </c>
      <c r="AC25" s="31">
        <v>41.643000000000001</v>
      </c>
      <c r="AD25" s="31">
        <v>47.302</v>
      </c>
      <c r="AE25" s="31">
        <v>52.503999999999998</v>
      </c>
      <c r="AF25" s="31">
        <v>36.561</v>
      </c>
      <c r="AG25" s="31">
        <v>33.549999999999997</v>
      </c>
      <c r="AH25" s="31">
        <v>40.482999999999997</v>
      </c>
      <c r="AI25" s="31">
        <v>45.079000000000001</v>
      </c>
      <c r="AJ25" s="57">
        <v>46.526000000000003</v>
      </c>
      <c r="AK25" s="40">
        <v>46.219000000000001</v>
      </c>
      <c r="AL25" s="40">
        <v>50.401000000000003</v>
      </c>
      <c r="AM25" s="40">
        <v>54.793999999999997</v>
      </c>
      <c r="AN25" s="40">
        <v>57.500999999999998</v>
      </c>
      <c r="AO25" s="168">
        <v>45.295000000000002</v>
      </c>
      <c r="AP25" s="40">
        <v>47.338999999999999</v>
      </c>
      <c r="AQ25" s="40">
        <v>62.683</v>
      </c>
      <c r="AR25" s="40">
        <v>57.609000000000002</v>
      </c>
      <c r="AS25" s="40">
        <v>60.686</v>
      </c>
      <c r="AT25" s="40">
        <v>64.358000000000004</v>
      </c>
      <c r="AU25" s="40">
        <v>71.430000000000007</v>
      </c>
      <c r="AV25" s="40">
        <v>62.384999999999998</v>
      </c>
      <c r="AW25" s="40">
        <v>58.744</v>
      </c>
    </row>
    <row r="26" spans="1:49" ht="15" customHeight="1">
      <c r="A26" t="s">
        <v>171</v>
      </c>
      <c r="B26" s="21" t="str">
        <f>IF('Sumário | Summary'!P1=1,"Depósitos judiciais","Judicial Deposits")</f>
        <v>Depósitos judiciais</v>
      </c>
      <c r="C26" s="5">
        <v>0.68300000000000005</v>
      </c>
      <c r="D26" s="5">
        <v>0.68100000000000005</v>
      </c>
      <c r="E26" s="5">
        <v>0.69499999999999995</v>
      </c>
      <c r="F26" s="5">
        <v>0.71</v>
      </c>
      <c r="G26" s="5">
        <v>0.97599999999999998</v>
      </c>
      <c r="H26" s="5">
        <v>1</v>
      </c>
      <c r="I26" s="5">
        <v>1</v>
      </c>
      <c r="J26" s="5">
        <v>0.17599999999999999</v>
      </c>
      <c r="K26" s="5">
        <v>9.0999999999999998E-2</v>
      </c>
      <c r="L26" s="5">
        <v>0.3</v>
      </c>
      <c r="M26" s="5">
        <v>0.30499999999999999</v>
      </c>
      <c r="N26" s="5">
        <v>0.311</v>
      </c>
      <c r="O26" s="34">
        <v>0.33500000000000002</v>
      </c>
      <c r="P26" s="18">
        <v>0</v>
      </c>
      <c r="Q26" s="18">
        <v>0.33800000000000002</v>
      </c>
      <c r="R26" s="18">
        <v>0.34300000000000003</v>
      </c>
      <c r="S26" s="18">
        <v>0.35</v>
      </c>
      <c r="T26" s="18">
        <v>0.35599999999999998</v>
      </c>
      <c r="U26" s="53">
        <v>0.34</v>
      </c>
      <c r="V26" s="54">
        <v>0</v>
      </c>
      <c r="W26" s="18">
        <v>0</v>
      </c>
      <c r="X26" s="18">
        <v>0</v>
      </c>
      <c r="Y26" s="18">
        <v>0</v>
      </c>
      <c r="Z26" s="18">
        <v>0</v>
      </c>
      <c r="AA26" s="18">
        <v>0.191</v>
      </c>
      <c r="AB26" s="31">
        <v>0.191</v>
      </c>
      <c r="AC26" s="31">
        <v>0.17599999999999999</v>
      </c>
      <c r="AD26" s="31">
        <v>0.17599999999999999</v>
      </c>
      <c r="AE26" s="31">
        <v>0.17599999999999999</v>
      </c>
      <c r="AF26" s="31">
        <v>0.17599999999999999</v>
      </c>
      <c r="AG26" s="31">
        <v>0.17599999999999999</v>
      </c>
      <c r="AH26" s="31">
        <v>0.17599999999999999</v>
      </c>
      <c r="AI26" s="31">
        <v>0.17599999999999999</v>
      </c>
      <c r="AJ26" s="57">
        <v>0.17599999999999999</v>
      </c>
      <c r="AK26" s="40">
        <v>3.3889999999999998</v>
      </c>
      <c r="AL26" s="40">
        <v>3.3889999999999998</v>
      </c>
      <c r="AM26" s="40">
        <v>3.3889999999999998</v>
      </c>
      <c r="AN26" s="40">
        <v>3.3889999999999998</v>
      </c>
      <c r="AO26" s="168">
        <v>3.423</v>
      </c>
      <c r="AP26" s="40">
        <v>3.48</v>
      </c>
      <c r="AQ26" s="40">
        <v>3.4660000000000002</v>
      </c>
      <c r="AR26" s="40">
        <v>3.4660000000000002</v>
      </c>
      <c r="AS26" s="40">
        <v>3.4660000000000002</v>
      </c>
      <c r="AT26" s="40">
        <v>3.4660000000000002</v>
      </c>
      <c r="AU26" s="40">
        <v>3.4660000000000002</v>
      </c>
      <c r="AV26" s="40">
        <v>3.4660000000000002</v>
      </c>
      <c r="AW26" s="40">
        <v>3.4660000000000002</v>
      </c>
    </row>
    <row r="27" spans="1:49" ht="15" customHeight="1">
      <c r="A27" t="s">
        <v>172</v>
      </c>
      <c r="B27" s="21" t="str">
        <f>IF('Sumário | Summary'!P1=1,"Demais contas a receber","Other receivables")</f>
        <v>Demais contas a receber</v>
      </c>
      <c r="C27" s="5">
        <v>0</v>
      </c>
      <c r="D27" s="5">
        <v>0</v>
      </c>
      <c r="E27" s="5">
        <v>0</v>
      </c>
      <c r="F27" s="5">
        <v>0</v>
      </c>
      <c r="G27" s="5">
        <v>0</v>
      </c>
      <c r="H27" s="5">
        <v>0</v>
      </c>
      <c r="I27" s="5">
        <v>0</v>
      </c>
      <c r="J27" s="5">
        <v>0</v>
      </c>
      <c r="K27" s="5">
        <v>0</v>
      </c>
      <c r="L27" s="5">
        <v>0</v>
      </c>
      <c r="M27" s="5">
        <v>0</v>
      </c>
      <c r="N27" s="5">
        <v>0</v>
      </c>
      <c r="O27" s="31">
        <v>20.457000000000001</v>
      </c>
      <c r="P27" s="18">
        <v>30.661000000000001</v>
      </c>
      <c r="Q27" s="18">
        <v>37.781999999999996</v>
      </c>
      <c r="R27" s="18">
        <v>34.243000000000002</v>
      </c>
      <c r="S27" s="18">
        <v>29.526</v>
      </c>
      <c r="T27" s="18">
        <v>31.888000000000002</v>
      </c>
      <c r="U27" s="53">
        <v>32.944000000000003</v>
      </c>
      <c r="V27" s="53">
        <v>33.398000000000003</v>
      </c>
      <c r="W27" s="18">
        <v>32.542999999999999</v>
      </c>
      <c r="X27" s="18">
        <v>42.807000000000002</v>
      </c>
      <c r="Y27" s="18">
        <v>39.917000000000002</v>
      </c>
      <c r="Z27" s="18">
        <v>43.34</v>
      </c>
      <c r="AA27" s="18">
        <v>43.308</v>
      </c>
      <c r="AB27" s="31">
        <v>37.296999999999997</v>
      </c>
      <c r="AC27" s="31">
        <v>37.741</v>
      </c>
      <c r="AD27" s="31">
        <v>38.915999999999997</v>
      </c>
      <c r="AE27" s="31">
        <v>40.905000000000001</v>
      </c>
      <c r="AF27" s="31">
        <v>42.695999999999998</v>
      </c>
      <c r="AG27" s="31">
        <v>44.128999999999998</v>
      </c>
      <c r="AH27" s="31">
        <v>40.029000000000003</v>
      </c>
      <c r="AI27" s="31">
        <v>41.322000000000003</v>
      </c>
      <c r="AJ27" s="57">
        <v>37.936999999999998</v>
      </c>
      <c r="AK27" s="40">
        <v>43.756999999999998</v>
      </c>
      <c r="AL27" s="40">
        <v>44.997</v>
      </c>
      <c r="AM27" s="40">
        <v>127.58499999999999</v>
      </c>
      <c r="AN27" s="40">
        <v>121.032</v>
      </c>
      <c r="AO27" s="168">
        <v>94.82</v>
      </c>
      <c r="AP27" s="40">
        <v>93.978999999999999</v>
      </c>
      <c r="AQ27" s="40">
        <v>96.988</v>
      </c>
      <c r="AR27" s="40">
        <v>97.698999999999998</v>
      </c>
      <c r="AS27" s="40">
        <v>79.673000000000002</v>
      </c>
      <c r="AT27" s="40">
        <v>75.679000000000002</v>
      </c>
      <c r="AU27" s="40">
        <v>76.393000000000001</v>
      </c>
      <c r="AV27" s="40">
        <v>36.47</v>
      </c>
      <c r="AW27" s="40">
        <v>127.37</v>
      </c>
    </row>
    <row r="28" spans="1:49" ht="15" customHeight="1">
      <c r="A28" t="s">
        <v>178</v>
      </c>
      <c r="B28" s="21" t="str">
        <f>IF('Sumário | Summary'!P1=1,"Títulos e valores imobiliários ","Marketable Securities")</f>
        <v xml:space="preserve">Títulos e valores imobiliários </v>
      </c>
      <c r="C28" s="18">
        <v>0</v>
      </c>
      <c r="D28" s="18">
        <v>0</v>
      </c>
      <c r="E28" s="18">
        <v>0</v>
      </c>
      <c r="F28" s="18">
        <v>0</v>
      </c>
      <c r="G28" s="5">
        <v>0.1</v>
      </c>
      <c r="H28" s="5">
        <v>0.1</v>
      </c>
      <c r="I28" s="5">
        <v>0.1</v>
      </c>
      <c r="J28" s="5">
        <v>0.01</v>
      </c>
      <c r="K28" s="5">
        <v>1E-3</v>
      </c>
      <c r="L28" s="5">
        <v>0.01</v>
      </c>
      <c r="M28" s="5">
        <v>0</v>
      </c>
      <c r="N28" s="5">
        <v>0</v>
      </c>
      <c r="O28" s="31">
        <v>0</v>
      </c>
      <c r="P28" s="18">
        <v>0</v>
      </c>
      <c r="Q28" s="18">
        <v>0</v>
      </c>
      <c r="R28" s="18">
        <v>0</v>
      </c>
      <c r="S28" s="18">
        <v>0</v>
      </c>
      <c r="T28" s="18">
        <v>0</v>
      </c>
      <c r="U28" s="53">
        <v>0</v>
      </c>
      <c r="V28" s="53">
        <v>0</v>
      </c>
      <c r="W28" s="18">
        <v>0</v>
      </c>
      <c r="X28" s="18">
        <v>0</v>
      </c>
      <c r="Y28" s="18">
        <v>0</v>
      </c>
      <c r="Z28" s="18">
        <v>0</v>
      </c>
      <c r="AA28" s="18">
        <v>0</v>
      </c>
      <c r="AB28" s="31">
        <v>0</v>
      </c>
      <c r="AC28" s="31">
        <v>0</v>
      </c>
      <c r="AD28" s="31">
        <v>0</v>
      </c>
      <c r="AE28" s="31">
        <v>0</v>
      </c>
      <c r="AF28" s="31">
        <v>0</v>
      </c>
      <c r="AG28" s="31">
        <v>0</v>
      </c>
      <c r="AH28" s="31">
        <v>0</v>
      </c>
      <c r="AI28" s="31">
        <v>0</v>
      </c>
      <c r="AJ28" s="57">
        <v>0</v>
      </c>
      <c r="AK28" s="40">
        <v>0</v>
      </c>
      <c r="AL28" s="40">
        <v>0</v>
      </c>
      <c r="AM28" s="40">
        <v>0</v>
      </c>
      <c r="AN28" s="40">
        <v>0</v>
      </c>
      <c r="AO28" s="168">
        <v>0</v>
      </c>
      <c r="AP28" s="40">
        <v>0</v>
      </c>
      <c r="AQ28" s="40">
        <v>0</v>
      </c>
      <c r="AR28" s="40">
        <v>0</v>
      </c>
      <c r="AS28" s="40">
        <v>0</v>
      </c>
      <c r="AT28" s="40">
        <v>0</v>
      </c>
      <c r="AU28" s="40">
        <v>0</v>
      </c>
      <c r="AV28" s="40">
        <v>0</v>
      </c>
      <c r="AW28" s="40">
        <v>0</v>
      </c>
    </row>
    <row r="29" spans="1:49" ht="15" customHeight="1">
      <c r="B29" s="11" t="str">
        <f>IF('Sumário | Summary'!P1=1,"Ativo Permanente","Permanent assets " )</f>
        <v>Ativo Permanente</v>
      </c>
      <c r="C29" s="6">
        <v>1116.318</v>
      </c>
      <c r="D29" s="6">
        <v>1129.3219999999999</v>
      </c>
      <c r="E29" s="6">
        <v>1285.8900000000001</v>
      </c>
      <c r="F29" s="6">
        <v>1557.5809999999999</v>
      </c>
      <c r="G29" s="6">
        <v>1229.4920000000002</v>
      </c>
      <c r="H29" s="6">
        <v>2321.33</v>
      </c>
      <c r="I29" s="6">
        <v>1325.3910000000001</v>
      </c>
      <c r="J29" s="6">
        <v>1382.6210000000001</v>
      </c>
      <c r="K29" s="6">
        <v>1392.6570000000002</v>
      </c>
      <c r="L29" s="6">
        <v>2514.0920000000001</v>
      </c>
      <c r="M29" s="6">
        <v>2534.4829999999997</v>
      </c>
      <c r="N29" s="6">
        <v>2604.768</v>
      </c>
      <c r="O29" s="6">
        <v>2722.2129999999997</v>
      </c>
      <c r="P29" s="6">
        <v>2779.7539999999999</v>
      </c>
      <c r="Q29" s="6">
        <v>2794.1390000000001</v>
      </c>
      <c r="R29" s="6">
        <v>3425.2310000000002</v>
      </c>
      <c r="S29" s="6">
        <v>3432.0619999999999</v>
      </c>
      <c r="T29" s="139">
        <f t="shared" ref="T29:AS29" si="3">SUM(T30:T34)</f>
        <v>3431.0569999999998</v>
      </c>
      <c r="U29" s="139">
        <f t="shared" si="3"/>
        <v>2805.47</v>
      </c>
      <c r="V29" s="139">
        <f t="shared" si="3"/>
        <v>2777.2189999999996</v>
      </c>
      <c r="W29" s="139">
        <f t="shared" si="3"/>
        <v>3025.6689999999999</v>
      </c>
      <c r="X29" s="139">
        <f t="shared" si="3"/>
        <v>3013.7009999999996</v>
      </c>
      <c r="Y29" s="139">
        <f t="shared" si="3"/>
        <v>2988.5889999999999</v>
      </c>
      <c r="Z29" s="139">
        <f t="shared" si="3"/>
        <v>2945.241</v>
      </c>
      <c r="AA29" s="139">
        <f t="shared" si="3"/>
        <v>2954.2569999999996</v>
      </c>
      <c r="AB29" s="139">
        <f t="shared" si="3"/>
        <v>2944.9009999999998</v>
      </c>
      <c r="AC29" s="139">
        <f t="shared" si="3"/>
        <v>3049.8049999999994</v>
      </c>
      <c r="AD29" s="139">
        <f t="shared" si="3"/>
        <v>3037.58</v>
      </c>
      <c r="AE29" s="139">
        <f t="shared" si="3"/>
        <v>4135.8469999999998</v>
      </c>
      <c r="AF29" s="139">
        <f t="shared" si="3"/>
        <v>4168.0829999999996</v>
      </c>
      <c r="AG29" s="139">
        <f t="shared" si="3"/>
        <v>4153.6659999999993</v>
      </c>
      <c r="AH29" s="139">
        <f t="shared" si="3"/>
        <v>4134.4269999999997</v>
      </c>
      <c r="AI29" s="139">
        <f t="shared" si="3"/>
        <v>4205.13</v>
      </c>
      <c r="AJ29" s="139">
        <f t="shared" si="3"/>
        <v>4190.7309999999998</v>
      </c>
      <c r="AK29" s="139">
        <f t="shared" si="3"/>
        <v>4170.7440000000006</v>
      </c>
      <c r="AL29" s="139">
        <f t="shared" si="3"/>
        <v>3663.9270000000001</v>
      </c>
      <c r="AM29" s="139">
        <f t="shared" si="3"/>
        <v>3692.9769999999999</v>
      </c>
      <c r="AN29" s="139">
        <f t="shared" si="3"/>
        <v>3585.5819999999994</v>
      </c>
      <c r="AO29" s="139">
        <f t="shared" si="3"/>
        <v>3255.4789999999998</v>
      </c>
      <c r="AP29" s="139">
        <f t="shared" si="3"/>
        <v>3246.625</v>
      </c>
      <c r="AQ29" s="139">
        <f t="shared" si="3"/>
        <v>3366.105</v>
      </c>
      <c r="AR29" s="139">
        <f t="shared" si="3"/>
        <v>3365.8040000000001</v>
      </c>
      <c r="AS29" s="139">
        <f t="shared" si="3"/>
        <v>3363.9829999999997</v>
      </c>
      <c r="AT29" s="139">
        <v>3367.1779999999999</v>
      </c>
      <c r="AU29" s="139">
        <v>3357.0549999999998</v>
      </c>
      <c r="AV29" s="139">
        <v>1588.298</v>
      </c>
      <c r="AW29" s="139">
        <f>SUM(AW30:AW34)</f>
        <v>1882.4289999999999</v>
      </c>
    </row>
    <row r="30" spans="1:49" ht="15" customHeight="1">
      <c r="A30" t="s">
        <v>173</v>
      </c>
      <c r="B30" s="21" t="str">
        <f>IF('Sumário | Summary'!P1=1,"Investimentos","Investments")</f>
        <v>Investimentos</v>
      </c>
      <c r="C30" s="5">
        <v>502.70299999999997</v>
      </c>
      <c r="D30" s="5">
        <v>509.71199999999999</v>
      </c>
      <c r="E30" s="5">
        <v>488.52699999999999</v>
      </c>
      <c r="F30" s="5">
        <v>546.95699999999999</v>
      </c>
      <c r="G30" s="5">
        <v>608.90700000000004</v>
      </c>
      <c r="H30" s="5">
        <v>694.72799999999995</v>
      </c>
      <c r="I30" s="5">
        <v>705.49699999999996</v>
      </c>
      <c r="J30" s="5">
        <v>763.86699999999996</v>
      </c>
      <c r="K30" s="5">
        <v>774.5</v>
      </c>
      <c r="L30" s="5">
        <v>793.01300000000003</v>
      </c>
      <c r="M30" s="5">
        <v>818.78399999999999</v>
      </c>
      <c r="N30" s="5">
        <v>892.4</v>
      </c>
      <c r="O30" s="34">
        <v>927.947</v>
      </c>
      <c r="P30" s="18">
        <v>991.15800000000002</v>
      </c>
      <c r="Q30" s="18">
        <v>1026.3620000000001</v>
      </c>
      <c r="R30" s="18">
        <v>1067.5719999999999</v>
      </c>
      <c r="S30" s="18">
        <v>1081.873</v>
      </c>
      <c r="T30" s="18">
        <v>1089.1679999999999</v>
      </c>
      <c r="U30" s="53">
        <v>196.68100000000001</v>
      </c>
      <c r="V30" s="53">
        <v>173.374</v>
      </c>
      <c r="W30" s="18">
        <v>174.62200000000001</v>
      </c>
      <c r="X30" s="18">
        <v>209.22900000000001</v>
      </c>
      <c r="Y30" s="18">
        <v>161.37899999999999</v>
      </c>
      <c r="Z30" s="18">
        <v>162.38999999999999</v>
      </c>
      <c r="AA30" s="18">
        <v>159.673</v>
      </c>
      <c r="AB30" s="18">
        <v>161.58099999999999</v>
      </c>
      <c r="AC30" s="18">
        <v>181.36500000000001</v>
      </c>
      <c r="AD30" s="18">
        <v>180.82900000000001</v>
      </c>
      <c r="AE30" s="18">
        <v>227.55600000000001</v>
      </c>
      <c r="AF30" s="18">
        <v>227.84299999999999</v>
      </c>
      <c r="AG30" s="18">
        <v>228.899</v>
      </c>
      <c r="AH30" s="18">
        <v>227.232</v>
      </c>
      <c r="AI30" s="18">
        <v>231.583</v>
      </c>
      <c r="AJ30" s="40">
        <v>233.34700000000001</v>
      </c>
      <c r="AK30" s="40">
        <v>229.78200000000001</v>
      </c>
      <c r="AL30" s="40">
        <v>233.505</v>
      </c>
      <c r="AM30" s="40">
        <v>437.35500000000002</v>
      </c>
      <c r="AN30" s="40">
        <v>440.589</v>
      </c>
      <c r="AO30" s="168">
        <v>123.499</v>
      </c>
      <c r="AP30" s="40">
        <v>129.38</v>
      </c>
      <c r="AQ30" s="40">
        <v>172.691</v>
      </c>
      <c r="AR30" s="40">
        <v>179.1</v>
      </c>
      <c r="AS30" s="40">
        <v>182.42400000000001</v>
      </c>
      <c r="AT30" s="40">
        <v>186.346</v>
      </c>
      <c r="AU30" s="40">
        <v>197.76499999999999</v>
      </c>
      <c r="AV30" s="40">
        <v>200.404</v>
      </c>
      <c r="AW30" s="40">
        <v>202.386</v>
      </c>
    </row>
    <row r="31" spans="1:49" ht="15" customHeight="1">
      <c r="A31" t="s">
        <v>174</v>
      </c>
      <c r="B31" s="21" t="str">
        <f>IF('Sumário | Summary'!P1=1,"Propriedades para investimento","Investment properties")</f>
        <v>Propriedades para investimento</v>
      </c>
      <c r="C31" s="5">
        <v>609.55999999999995</v>
      </c>
      <c r="D31" s="5">
        <v>615.524</v>
      </c>
      <c r="E31" s="5">
        <v>619.73299999999995</v>
      </c>
      <c r="F31" s="5">
        <v>630.03</v>
      </c>
      <c r="G31" s="5">
        <v>618.54100000000005</v>
      </c>
      <c r="H31" s="5">
        <v>1623.5650000000001</v>
      </c>
      <c r="I31" s="5">
        <v>616.84500000000003</v>
      </c>
      <c r="J31" s="5">
        <v>616.41</v>
      </c>
      <c r="K31" s="5">
        <v>615.71500000000003</v>
      </c>
      <c r="L31" s="5">
        <v>1718.663</v>
      </c>
      <c r="M31" s="5">
        <v>1712.999</v>
      </c>
      <c r="N31" s="5">
        <v>1708.3430000000001</v>
      </c>
      <c r="O31" s="34">
        <v>1790.2619999999999</v>
      </c>
      <c r="P31" s="18">
        <v>1785.384</v>
      </c>
      <c r="Q31" s="18">
        <v>1764.5619999999999</v>
      </c>
      <c r="R31" s="18">
        <v>2354.366</v>
      </c>
      <c r="S31" s="18">
        <v>2346.415</v>
      </c>
      <c r="T31" s="18">
        <v>2337.8580000000002</v>
      </c>
      <c r="U31" s="53">
        <v>2600.846</v>
      </c>
      <c r="V31" s="53">
        <v>2594.0709999999999</v>
      </c>
      <c r="W31" s="18">
        <v>2849.7860000000001</v>
      </c>
      <c r="X31" s="18">
        <v>2802.9989999999998</v>
      </c>
      <c r="Y31" s="18">
        <v>2826.364</v>
      </c>
      <c r="Z31" s="18">
        <v>2778.5160000000001</v>
      </c>
      <c r="AA31" s="18">
        <v>2789.8829999999998</v>
      </c>
      <c r="AB31" s="18">
        <v>2778.6439999999998</v>
      </c>
      <c r="AC31" s="18">
        <v>2862.3209999999999</v>
      </c>
      <c r="AD31" s="18">
        <v>2853.8040000000001</v>
      </c>
      <c r="AE31" s="18">
        <v>3898.1869999999999</v>
      </c>
      <c r="AF31" s="18">
        <v>3931.0889999999999</v>
      </c>
      <c r="AG31" s="18">
        <v>3915.4879999999998</v>
      </c>
      <c r="AH31" s="18">
        <v>3896.7420000000002</v>
      </c>
      <c r="AI31" s="18">
        <v>3961.5749999999998</v>
      </c>
      <c r="AJ31" s="40">
        <v>3944.6289999999999</v>
      </c>
      <c r="AK31" s="40">
        <v>3927.71</v>
      </c>
      <c r="AL31" s="40">
        <v>3417.328</v>
      </c>
      <c r="AM31" s="40">
        <v>3242.8440000000001</v>
      </c>
      <c r="AN31" s="40">
        <v>3132.0659999999998</v>
      </c>
      <c r="AO31" s="168">
        <v>3119.038</v>
      </c>
      <c r="AP31" s="40">
        <v>3104.3389999999999</v>
      </c>
      <c r="AQ31" s="40">
        <v>3179.567</v>
      </c>
      <c r="AR31" s="40">
        <v>3173.2150000000001</v>
      </c>
      <c r="AS31" s="40">
        <v>3168.3939999999998</v>
      </c>
      <c r="AT31" s="40">
        <v>3166.165</v>
      </c>
      <c r="AU31" s="40">
        <v>3147.6610000000001</v>
      </c>
      <c r="AV31" s="40">
        <v>1382.193</v>
      </c>
      <c r="AW31" s="40">
        <v>1670.473</v>
      </c>
    </row>
    <row r="32" spans="1:49" ht="15" customHeight="1">
      <c r="A32" t="s">
        <v>175</v>
      </c>
      <c r="B32" s="21" t="str">
        <f>IF('Sumário | Summary'!P1=1,"Imobilizado","Fixed Assets")</f>
        <v>Imobilizado</v>
      </c>
      <c r="C32" s="5">
        <v>1.84</v>
      </c>
      <c r="D32" s="5">
        <v>1.871</v>
      </c>
      <c r="E32" s="5">
        <v>1.8919999999999999</v>
      </c>
      <c r="F32" s="5">
        <v>2.0249999999999999</v>
      </c>
      <c r="G32" s="5">
        <v>2.044</v>
      </c>
      <c r="H32" s="5">
        <v>2.6070000000000002</v>
      </c>
      <c r="I32" s="5">
        <v>2.6190000000000002</v>
      </c>
      <c r="J32" s="5">
        <v>2.2709999999999999</v>
      </c>
      <c r="K32" s="5">
        <v>2.3660000000000001</v>
      </c>
      <c r="L32" s="5">
        <v>2.3439999999999999</v>
      </c>
      <c r="M32" s="5">
        <v>2.5150000000000001</v>
      </c>
      <c r="N32" s="5">
        <v>3.85</v>
      </c>
      <c r="O32" s="34">
        <v>3.8340000000000001</v>
      </c>
      <c r="P32" s="18">
        <v>3.0760000000000001</v>
      </c>
      <c r="Q32" s="18">
        <v>3.0830000000000002</v>
      </c>
      <c r="R32" s="18">
        <v>3.1640000000000001</v>
      </c>
      <c r="S32" s="18">
        <v>3.6429999999999998</v>
      </c>
      <c r="T32" s="18">
        <v>3.915</v>
      </c>
      <c r="U32" s="53">
        <v>7.7939999999999996</v>
      </c>
      <c r="V32" s="53">
        <v>9.2690000000000001</v>
      </c>
      <c r="W32" s="18">
        <v>0.78200000000000003</v>
      </c>
      <c r="X32" s="18">
        <v>0.94499999999999995</v>
      </c>
      <c r="Y32" s="18">
        <v>0.377</v>
      </c>
      <c r="Z32" s="18">
        <v>0.38500000000000001</v>
      </c>
      <c r="AA32" s="18">
        <v>0.70199999999999996</v>
      </c>
      <c r="AB32" s="18">
        <v>0.65900000000000003</v>
      </c>
      <c r="AC32" s="18">
        <v>2.1150000000000002</v>
      </c>
      <c r="AD32" s="18">
        <v>2.468</v>
      </c>
      <c r="AE32" s="18">
        <v>8.9420000000000002</v>
      </c>
      <c r="AF32" s="18">
        <v>8.7530000000000001</v>
      </c>
      <c r="AG32" s="18">
        <v>8.4589999999999996</v>
      </c>
      <c r="AH32" s="18">
        <v>8.173</v>
      </c>
      <c r="AI32" s="18">
        <v>7.899</v>
      </c>
      <c r="AJ32" s="40">
        <v>7.6</v>
      </c>
      <c r="AK32" s="40">
        <v>7.3040000000000003</v>
      </c>
      <c r="AL32" s="40">
        <v>6.3860000000000001</v>
      </c>
      <c r="AM32" s="40">
        <v>5.7110000000000003</v>
      </c>
      <c r="AN32" s="40">
        <v>5.4409999999999998</v>
      </c>
      <c r="AO32" s="168">
        <v>5.1829999999999998</v>
      </c>
      <c r="AP32" s="40">
        <v>4.9329999999999998</v>
      </c>
      <c r="AQ32" s="40">
        <v>4.6829999999999998</v>
      </c>
      <c r="AR32" s="40">
        <v>4.4359999999999999</v>
      </c>
      <c r="AS32" s="40">
        <v>4.1859999999999999</v>
      </c>
      <c r="AT32" s="40">
        <v>4.6689999999999996</v>
      </c>
      <c r="AU32" s="40">
        <v>4.4329999999999998</v>
      </c>
      <c r="AV32" s="40">
        <v>4.0730000000000004</v>
      </c>
      <c r="AW32" s="40">
        <v>4.1390000000000002</v>
      </c>
    </row>
    <row r="33" spans="1:49" ht="15" customHeight="1">
      <c r="A33" t="s">
        <v>176</v>
      </c>
      <c r="B33" s="21" t="str">
        <f>IF('Sumário | Summary'!P1=1,"Intangíveis","Intangible")</f>
        <v>Intangíveis</v>
      </c>
      <c r="C33" s="5">
        <v>1E-3</v>
      </c>
      <c r="D33" s="5">
        <v>1E-3</v>
      </c>
      <c r="E33" s="5">
        <v>1</v>
      </c>
      <c r="F33" s="5">
        <v>0</v>
      </c>
      <c r="G33" s="18">
        <v>0</v>
      </c>
      <c r="H33" s="5">
        <v>0.43</v>
      </c>
      <c r="I33" s="5">
        <v>0.43</v>
      </c>
      <c r="J33" s="5">
        <v>7.2999999999999995E-2</v>
      </c>
      <c r="K33" s="5">
        <v>7.5999999999999998E-2</v>
      </c>
      <c r="L33" s="5">
        <v>7.1999999999999995E-2</v>
      </c>
      <c r="M33" s="5">
        <v>0.185</v>
      </c>
      <c r="N33" s="5">
        <v>0.17499999999999999</v>
      </c>
      <c r="O33" s="34">
        <v>0.17</v>
      </c>
      <c r="P33" s="18">
        <v>0.13600000000000001</v>
      </c>
      <c r="Q33" s="18">
        <v>0.13200000000000001</v>
      </c>
      <c r="R33" s="18">
        <v>0.129</v>
      </c>
      <c r="S33" s="18">
        <v>0.13100000000000001</v>
      </c>
      <c r="T33" s="18">
        <v>0.11600000000000001</v>
      </c>
      <c r="U33" s="53">
        <v>0.14899999999999999</v>
      </c>
      <c r="V33" s="53">
        <v>0.505</v>
      </c>
      <c r="W33" s="18">
        <v>0.47899999999999998</v>
      </c>
      <c r="X33" s="18">
        <v>0.52800000000000002</v>
      </c>
      <c r="Y33" s="18">
        <v>0.46899999999999997</v>
      </c>
      <c r="Z33" s="18">
        <v>3.95</v>
      </c>
      <c r="AA33" s="18">
        <v>3.9990000000000001</v>
      </c>
      <c r="AB33" s="18">
        <v>4.0170000000000003</v>
      </c>
      <c r="AC33" s="18">
        <v>4.0039999999999996</v>
      </c>
      <c r="AD33" s="18">
        <v>0.47899999999999998</v>
      </c>
      <c r="AE33" s="18">
        <v>1.1619999999999999</v>
      </c>
      <c r="AF33" s="18">
        <v>0.39800000000000002</v>
      </c>
      <c r="AG33" s="18">
        <v>0.82</v>
      </c>
      <c r="AH33" s="18">
        <v>2.2799999999999998</v>
      </c>
      <c r="AI33" s="18">
        <v>4.0730000000000004</v>
      </c>
      <c r="AJ33" s="40">
        <v>5.1550000000000002</v>
      </c>
      <c r="AK33" s="40">
        <v>5.9480000000000004</v>
      </c>
      <c r="AL33" s="40">
        <v>6.7080000000000002</v>
      </c>
      <c r="AM33" s="40">
        <v>7.0670000000000002</v>
      </c>
      <c r="AN33" s="40">
        <v>7.4859999999999998</v>
      </c>
      <c r="AO33" s="168">
        <v>7.7590000000000003</v>
      </c>
      <c r="AP33" s="40">
        <v>7.9729999999999999</v>
      </c>
      <c r="AQ33" s="40">
        <v>9.1639999999999997</v>
      </c>
      <c r="AR33" s="40">
        <v>9.0530000000000008</v>
      </c>
      <c r="AS33" s="40">
        <v>8.9789999999999992</v>
      </c>
      <c r="AT33" s="40">
        <v>9.9979999999999993</v>
      </c>
      <c r="AU33" s="40">
        <v>7.1959999999999997</v>
      </c>
      <c r="AV33" s="40">
        <v>1.6279999999999999</v>
      </c>
      <c r="AW33" s="40">
        <v>5.431</v>
      </c>
    </row>
    <row r="34" spans="1:49" ht="15" customHeight="1">
      <c r="A34" t="s">
        <v>179</v>
      </c>
      <c r="B34" s="21" t="str">
        <f>IF('Sumário | Summary'!P1=1,"Outros Investimentos","Other Investments")</f>
        <v>Outros Investimentos</v>
      </c>
      <c r="C34" s="18">
        <v>0</v>
      </c>
      <c r="D34" s="18">
        <v>0</v>
      </c>
      <c r="E34" s="18">
        <v>0</v>
      </c>
      <c r="F34" s="18">
        <v>0</v>
      </c>
      <c r="G34" s="18">
        <v>0</v>
      </c>
      <c r="H34" s="18">
        <v>0</v>
      </c>
      <c r="I34" s="18">
        <v>0</v>
      </c>
      <c r="J34" s="18">
        <v>0</v>
      </c>
      <c r="K34" s="18">
        <v>0</v>
      </c>
      <c r="L34" s="18"/>
      <c r="M34" s="18">
        <v>0</v>
      </c>
      <c r="N34" s="18">
        <v>0</v>
      </c>
      <c r="O34" s="31">
        <v>0</v>
      </c>
      <c r="P34" s="18">
        <v>0</v>
      </c>
      <c r="Q34" s="18">
        <v>0</v>
      </c>
      <c r="R34" s="18">
        <v>0</v>
      </c>
      <c r="S34" s="18">
        <v>0</v>
      </c>
      <c r="T34" s="40">
        <v>0</v>
      </c>
      <c r="U34" s="40">
        <v>0</v>
      </c>
      <c r="V34" s="40">
        <v>0</v>
      </c>
      <c r="W34" s="40">
        <v>0</v>
      </c>
      <c r="X34" s="40">
        <v>0</v>
      </c>
      <c r="Y34" s="40">
        <v>0</v>
      </c>
      <c r="Z34" s="40">
        <v>0</v>
      </c>
      <c r="AA34" s="40">
        <v>0</v>
      </c>
      <c r="AB34" s="40">
        <v>0</v>
      </c>
      <c r="AC34" s="40">
        <v>0</v>
      </c>
      <c r="AD34" s="40">
        <v>0</v>
      </c>
      <c r="AE34" s="40">
        <v>0</v>
      </c>
      <c r="AF34" s="40">
        <v>0</v>
      </c>
      <c r="AG34" s="40">
        <v>0</v>
      </c>
      <c r="AH34" s="40">
        <v>0</v>
      </c>
      <c r="AI34" s="40">
        <v>0</v>
      </c>
      <c r="AJ34" s="40">
        <v>0</v>
      </c>
      <c r="AK34" s="40">
        <v>0</v>
      </c>
      <c r="AL34" s="40">
        <v>0</v>
      </c>
      <c r="AM34" s="40">
        <v>0</v>
      </c>
      <c r="AN34" s="40">
        <v>0</v>
      </c>
      <c r="AO34" s="168">
        <v>0</v>
      </c>
      <c r="AP34" s="40">
        <v>0</v>
      </c>
      <c r="AQ34" s="40">
        <v>0</v>
      </c>
      <c r="AR34" s="40">
        <v>0</v>
      </c>
      <c r="AS34" s="40">
        <v>0</v>
      </c>
      <c r="AT34" s="40">
        <v>0</v>
      </c>
      <c r="AU34" s="40">
        <v>0</v>
      </c>
      <c r="AV34" s="40">
        <v>0</v>
      </c>
      <c r="AW34" s="40">
        <v>0</v>
      </c>
    </row>
    <row r="35" spans="1:49" ht="14.25" customHeight="1">
      <c r="A35" t="s">
        <v>124</v>
      </c>
      <c r="B35" s="22" t="str">
        <f>IF('Sumário | Summary'!P1=1,"PASSIVO","Liabilities")</f>
        <v>PASSIVO</v>
      </c>
      <c r="C35" s="6">
        <v>2143.2750000000001</v>
      </c>
      <c r="D35" s="6">
        <v>2385.2370000000001</v>
      </c>
      <c r="E35" s="6">
        <v>2459.165</v>
      </c>
      <c r="F35" s="6">
        <v>2762.8703000000005</v>
      </c>
      <c r="G35" s="6">
        <v>3123.3249999999998</v>
      </c>
      <c r="H35" s="6">
        <v>3593.3210000000004</v>
      </c>
      <c r="I35" s="6">
        <v>3756.0350000000003</v>
      </c>
      <c r="J35" s="6">
        <v>3892.1059999999998</v>
      </c>
      <c r="K35" s="6">
        <v>4353.4920000000002</v>
      </c>
      <c r="L35" s="6">
        <v>4293.8330000000005</v>
      </c>
      <c r="M35" s="6">
        <v>4310.936999999999</v>
      </c>
      <c r="N35" s="6">
        <v>4839.7110000000002</v>
      </c>
      <c r="O35" s="6">
        <v>4856.1530000000002</v>
      </c>
      <c r="P35" s="6">
        <v>4656.2620000000006</v>
      </c>
      <c r="Q35" s="6">
        <v>4640.3810000000003</v>
      </c>
      <c r="R35" s="6">
        <v>4720.8609999999999</v>
      </c>
      <c r="S35" s="6">
        <v>4832.8990000000003</v>
      </c>
      <c r="T35" s="139">
        <f t="shared" ref="T35:AS35" si="4">T36+T53</f>
        <v>2636.91</v>
      </c>
      <c r="U35" s="139">
        <f t="shared" si="4"/>
        <v>2681.4789999999998</v>
      </c>
      <c r="V35" s="139">
        <f t="shared" si="4"/>
        <v>1976.1290000000001</v>
      </c>
      <c r="W35" s="139">
        <f t="shared" si="4"/>
        <v>1760.9649999999999</v>
      </c>
      <c r="X35" s="139">
        <f t="shared" si="4"/>
        <v>1947.8450000000003</v>
      </c>
      <c r="Y35" s="139">
        <f t="shared" si="4"/>
        <v>1866.0049999999999</v>
      </c>
      <c r="Z35" s="139">
        <f t="shared" si="4"/>
        <v>1842.1949999999997</v>
      </c>
      <c r="AA35" s="139">
        <f t="shared" si="4"/>
        <v>1813.9070000000002</v>
      </c>
      <c r="AB35" s="139">
        <f t="shared" si="4"/>
        <v>1737.778</v>
      </c>
      <c r="AC35" s="139">
        <f t="shared" si="4"/>
        <v>2093.3980000000001</v>
      </c>
      <c r="AD35" s="139">
        <f t="shared" si="4"/>
        <v>1834.0809999999999</v>
      </c>
      <c r="AE35" s="139">
        <f t="shared" si="4"/>
        <v>2148.8109999999997</v>
      </c>
      <c r="AF35" s="139">
        <f t="shared" si="4"/>
        <v>2046.433</v>
      </c>
      <c r="AG35" s="139">
        <f t="shared" si="4"/>
        <v>2034.6490000000001</v>
      </c>
      <c r="AH35" s="139">
        <f t="shared" si="4"/>
        <v>1971.6940000000004</v>
      </c>
      <c r="AI35" s="139">
        <f t="shared" si="4"/>
        <v>1984.7279999999998</v>
      </c>
      <c r="AJ35" s="139">
        <f t="shared" si="4"/>
        <v>1891.38</v>
      </c>
      <c r="AK35" s="139">
        <f t="shared" si="4"/>
        <v>2200.3119999999999</v>
      </c>
      <c r="AL35" s="139">
        <f t="shared" si="4"/>
        <v>2154.2239999999997</v>
      </c>
      <c r="AM35" s="139">
        <f t="shared" si="4"/>
        <v>2118.3890000000001</v>
      </c>
      <c r="AN35" s="139">
        <f t="shared" si="4"/>
        <v>1916.3680000000002</v>
      </c>
      <c r="AO35" s="139">
        <f t="shared" si="4"/>
        <v>1755.5079999999998</v>
      </c>
      <c r="AP35" s="139">
        <f t="shared" si="4"/>
        <v>1512.4639999999997</v>
      </c>
      <c r="AQ35" s="139">
        <f t="shared" si="4"/>
        <v>1500.6030000000001</v>
      </c>
      <c r="AR35" s="139">
        <f t="shared" si="4"/>
        <v>1492.9369999999999</v>
      </c>
      <c r="AS35" s="139">
        <f t="shared" si="4"/>
        <v>1461.2550000000001</v>
      </c>
      <c r="AT35" s="139">
        <v>1466.8850000000002</v>
      </c>
      <c r="AU35" s="139">
        <v>1439.0910000000001</v>
      </c>
      <c r="AV35" s="139">
        <v>1725.394</v>
      </c>
      <c r="AW35" s="139">
        <f>AW36+AW53</f>
        <v>1606.9739999999997</v>
      </c>
    </row>
    <row r="36" spans="1:49" ht="15" customHeight="1">
      <c r="A36" t="s">
        <v>119</v>
      </c>
      <c r="B36" s="11" t="str">
        <f>IF('Sumário | Summary'!P1=1,"Passivo Circulante","Current Liabilities")</f>
        <v>Passivo Circulante</v>
      </c>
      <c r="C36" s="6">
        <v>254.89200000000002</v>
      </c>
      <c r="D36" s="6">
        <v>290.43800000000005</v>
      </c>
      <c r="E36" s="6">
        <v>255.46399999999997</v>
      </c>
      <c r="F36" s="6">
        <v>403.50729999999993</v>
      </c>
      <c r="G36" s="6">
        <v>455.14499999999998</v>
      </c>
      <c r="H36" s="6">
        <v>384.15200000000004</v>
      </c>
      <c r="I36" s="6">
        <v>345.42800000000011</v>
      </c>
      <c r="J36" s="6">
        <v>302.649</v>
      </c>
      <c r="K36" s="6">
        <v>406.78899999999999</v>
      </c>
      <c r="L36" s="6">
        <v>469.82199999999995</v>
      </c>
      <c r="M36" s="6">
        <v>470.23599999999999</v>
      </c>
      <c r="N36" s="6">
        <v>478.66100000000006</v>
      </c>
      <c r="O36" s="6">
        <v>516.8685999999999</v>
      </c>
      <c r="P36" s="6">
        <v>569.45339999999999</v>
      </c>
      <c r="Q36" s="6">
        <v>596.21199999999999</v>
      </c>
      <c r="R36" s="6">
        <v>570.94299999999998</v>
      </c>
      <c r="S36" s="6">
        <v>511.9276000000001</v>
      </c>
      <c r="T36" s="139">
        <f t="shared" ref="T36:AS36" si="5">SUM(T37:T52)</f>
        <v>481.298</v>
      </c>
      <c r="U36" s="139">
        <f t="shared" si="5"/>
        <v>595.1869999999999</v>
      </c>
      <c r="V36" s="139">
        <f t="shared" si="5"/>
        <v>414.827</v>
      </c>
      <c r="W36" s="139">
        <f t="shared" si="5"/>
        <v>331.27899999999994</v>
      </c>
      <c r="X36" s="139">
        <f t="shared" si="5"/>
        <v>354.97500000000008</v>
      </c>
      <c r="Y36" s="139">
        <f t="shared" si="5"/>
        <v>306.03799999999995</v>
      </c>
      <c r="Z36" s="139">
        <f t="shared" si="5"/>
        <v>404.00099999999998</v>
      </c>
      <c r="AA36" s="139">
        <f t="shared" si="5"/>
        <v>366.16800000000006</v>
      </c>
      <c r="AB36" s="139">
        <f t="shared" si="5"/>
        <v>354.24399999999997</v>
      </c>
      <c r="AC36" s="139">
        <f t="shared" si="5"/>
        <v>425.73599999999999</v>
      </c>
      <c r="AD36" s="139">
        <f t="shared" si="5"/>
        <v>291.95400000000001</v>
      </c>
      <c r="AE36" s="139">
        <f t="shared" si="5"/>
        <v>259.22999999999996</v>
      </c>
      <c r="AF36" s="139">
        <f t="shared" si="5"/>
        <v>210.96599999999998</v>
      </c>
      <c r="AG36" s="139">
        <f t="shared" si="5"/>
        <v>199.06799999999998</v>
      </c>
      <c r="AH36" s="139">
        <f t="shared" si="5"/>
        <v>184.48699999999997</v>
      </c>
      <c r="AI36" s="139">
        <f t="shared" si="5"/>
        <v>208.03399999999996</v>
      </c>
      <c r="AJ36" s="139">
        <f t="shared" si="5"/>
        <v>185.55499999999995</v>
      </c>
      <c r="AK36" s="139">
        <f t="shared" si="5"/>
        <v>289.68399999999997</v>
      </c>
      <c r="AL36" s="139">
        <f t="shared" si="5"/>
        <v>288.411</v>
      </c>
      <c r="AM36" s="139">
        <f t="shared" si="5"/>
        <v>331.23200000000003</v>
      </c>
      <c r="AN36" s="139">
        <f t="shared" si="5"/>
        <v>201.827</v>
      </c>
      <c r="AO36" s="139">
        <f t="shared" si="5"/>
        <v>214.39</v>
      </c>
      <c r="AP36" s="139">
        <f t="shared" si="5"/>
        <v>109.79299999999999</v>
      </c>
      <c r="AQ36" s="139">
        <f t="shared" si="5"/>
        <v>94.549000000000007</v>
      </c>
      <c r="AR36" s="139">
        <f t="shared" si="5"/>
        <v>82.95</v>
      </c>
      <c r="AS36" s="139">
        <f t="shared" si="5"/>
        <v>100.047</v>
      </c>
      <c r="AT36" s="139">
        <v>107.726</v>
      </c>
      <c r="AU36" s="139">
        <v>78.88300000000001</v>
      </c>
      <c r="AV36" s="139">
        <v>438.84799999999996</v>
      </c>
      <c r="AW36" s="139">
        <f>SUM(AW37:AW52)</f>
        <v>321.57799999999997</v>
      </c>
    </row>
    <row r="37" spans="1:49" ht="15" customHeight="1">
      <c r="A37" t="s">
        <v>180</v>
      </c>
      <c r="B37" s="28" t="str">
        <f>IF('Sumário | Summary'!P1=1,"Empréstimos e financiamentos","Loans and Financing")</f>
        <v>Empréstimos e financiamentos</v>
      </c>
      <c r="C37" s="18">
        <v>18.065999999999999</v>
      </c>
      <c r="D37" s="18">
        <v>19.396000000000001</v>
      </c>
      <c r="E37" s="18">
        <v>32.094999999999999</v>
      </c>
      <c r="F37" s="18">
        <v>47.648299999999999</v>
      </c>
      <c r="G37" s="18">
        <v>63.804000000000002</v>
      </c>
      <c r="H37" s="18">
        <v>69.914000000000001</v>
      </c>
      <c r="I37" s="18">
        <v>61.176000000000002</v>
      </c>
      <c r="J37" s="18">
        <v>110.876</v>
      </c>
      <c r="K37" s="18">
        <v>152.02699999999999</v>
      </c>
      <c r="L37" s="18">
        <v>171.24600000000001</v>
      </c>
      <c r="M37" s="18">
        <v>181.988</v>
      </c>
      <c r="N37" s="18">
        <v>207.28800000000001</v>
      </c>
      <c r="O37" s="31">
        <v>208.04</v>
      </c>
      <c r="P37" s="18">
        <v>208.541</v>
      </c>
      <c r="Q37" s="18">
        <v>208.33699999999999</v>
      </c>
      <c r="R37" s="18">
        <v>225.51400000000001</v>
      </c>
      <c r="S37" s="18">
        <v>238.17400000000001</v>
      </c>
      <c r="T37" s="18">
        <v>253.31200000000001</v>
      </c>
      <c r="U37" s="18">
        <v>254.375</v>
      </c>
      <c r="V37" s="18">
        <v>72.543999999999997</v>
      </c>
      <c r="W37" s="18">
        <v>70.132000000000005</v>
      </c>
      <c r="X37" s="18">
        <v>74.933999999999997</v>
      </c>
      <c r="Y37" s="18">
        <v>72.441000000000003</v>
      </c>
      <c r="Z37" s="18">
        <v>78.17</v>
      </c>
      <c r="AA37" s="18">
        <v>46.725000000000001</v>
      </c>
      <c r="AB37" s="18">
        <v>55.351999999999997</v>
      </c>
      <c r="AC37" s="18">
        <v>48.021999999999998</v>
      </c>
      <c r="AD37" s="18">
        <v>56.747</v>
      </c>
      <c r="AE37" s="18">
        <v>6.0330000000000004</v>
      </c>
      <c r="AF37" s="18">
        <v>6.51</v>
      </c>
      <c r="AG37" s="18">
        <v>6.6150000000000002</v>
      </c>
      <c r="AH37" s="18">
        <v>6.7450000000000001</v>
      </c>
      <c r="AI37" s="18">
        <v>6.8769999999999998</v>
      </c>
      <c r="AJ37" s="40">
        <v>7.032</v>
      </c>
      <c r="AK37" s="40">
        <v>7.15</v>
      </c>
      <c r="AL37" s="40">
        <v>7.29</v>
      </c>
      <c r="AM37" s="40">
        <v>0</v>
      </c>
      <c r="AN37" s="40">
        <v>0</v>
      </c>
      <c r="AO37" s="168">
        <v>0</v>
      </c>
      <c r="AP37" s="40">
        <v>0</v>
      </c>
      <c r="AQ37" s="40">
        <v>0</v>
      </c>
      <c r="AR37" s="40">
        <v>0</v>
      </c>
      <c r="AS37" s="40">
        <v>0</v>
      </c>
      <c r="AT37" s="40">
        <v>0</v>
      </c>
      <c r="AU37" s="40">
        <v>0</v>
      </c>
      <c r="AV37" s="40">
        <v>0</v>
      </c>
      <c r="AW37" s="40">
        <v>0</v>
      </c>
    </row>
    <row r="38" spans="1:49" ht="15" customHeight="1">
      <c r="A38" t="s">
        <v>181</v>
      </c>
      <c r="B38" s="28" t="str">
        <f>IF('Sumário | Summary'!P1=1,"Debêntures","Debentures")</f>
        <v>Debêntures</v>
      </c>
      <c r="C38" s="18">
        <v>63.901000000000003</v>
      </c>
      <c r="D38" s="18">
        <v>64.631</v>
      </c>
      <c r="E38" s="18">
        <v>69.584000000000003</v>
      </c>
      <c r="F38" s="18">
        <v>158.572</v>
      </c>
      <c r="G38" s="18">
        <v>172.21600000000001</v>
      </c>
      <c r="H38" s="18">
        <v>73.468000000000004</v>
      </c>
      <c r="I38" s="18">
        <v>91.123000000000005</v>
      </c>
      <c r="J38" s="18">
        <v>75.933999999999997</v>
      </c>
      <c r="K38" s="18">
        <v>95.284999999999997</v>
      </c>
      <c r="L38" s="18">
        <v>178.577</v>
      </c>
      <c r="M38" s="18">
        <v>199.73500000000001</v>
      </c>
      <c r="N38" s="18">
        <v>181.35499999999999</v>
      </c>
      <c r="O38" s="31">
        <v>201.53399999999999</v>
      </c>
      <c r="P38" s="18">
        <v>258.84500000000003</v>
      </c>
      <c r="Q38" s="18">
        <v>280.23200000000003</v>
      </c>
      <c r="R38" s="18">
        <v>225.2</v>
      </c>
      <c r="S38" s="18">
        <v>152.761</v>
      </c>
      <c r="T38" s="18">
        <v>98.801000000000002</v>
      </c>
      <c r="U38" s="18">
        <v>83.885999999999996</v>
      </c>
      <c r="V38" s="18">
        <v>141.858</v>
      </c>
      <c r="W38" s="18">
        <v>158.46600000000001</v>
      </c>
      <c r="X38" s="18">
        <v>183.84800000000001</v>
      </c>
      <c r="Y38" s="18">
        <v>189.05500000000001</v>
      </c>
      <c r="Z38" s="18">
        <v>255.50200000000001</v>
      </c>
      <c r="AA38" s="18">
        <v>261.06</v>
      </c>
      <c r="AB38" s="18">
        <v>236.60400000000001</v>
      </c>
      <c r="AC38" s="18">
        <v>243.74799999999999</v>
      </c>
      <c r="AD38" s="18">
        <v>120.00700000000001</v>
      </c>
      <c r="AE38" s="18">
        <v>130.49299999999999</v>
      </c>
      <c r="AF38" s="18">
        <v>135.09299999999999</v>
      </c>
      <c r="AG38" s="18">
        <v>126.568</v>
      </c>
      <c r="AH38" s="18">
        <v>121.95399999999999</v>
      </c>
      <c r="AI38" s="18">
        <v>124.669</v>
      </c>
      <c r="AJ38" s="40">
        <v>118.74</v>
      </c>
      <c r="AK38" s="40">
        <v>221.34100000000001</v>
      </c>
      <c r="AL38" s="40">
        <v>221.45099999999999</v>
      </c>
      <c r="AM38" s="40">
        <v>224.50200000000001</v>
      </c>
      <c r="AN38" s="40">
        <v>125.361</v>
      </c>
      <c r="AO38" s="168">
        <v>116.152</v>
      </c>
      <c r="AP38" s="40">
        <v>53.271999999999998</v>
      </c>
      <c r="AQ38" s="40">
        <v>25.273</v>
      </c>
      <c r="AR38" s="40">
        <v>32.351999999999997</v>
      </c>
      <c r="AS38" s="40">
        <v>51.121000000000002</v>
      </c>
      <c r="AT38" s="40">
        <v>58.866999999999997</v>
      </c>
      <c r="AU38" s="40">
        <v>23.484000000000002</v>
      </c>
      <c r="AV38" s="40">
        <v>103.71</v>
      </c>
      <c r="AW38" s="40">
        <v>119.057</v>
      </c>
    </row>
    <row r="39" spans="1:49" ht="15" customHeight="1">
      <c r="A39" t="s">
        <v>192</v>
      </c>
      <c r="B39" s="39" t="str">
        <f>IF('Sumário | Summary'!P1=1,"Notas Promissórias","Promissory Notes")</f>
        <v>Notas Promissórias</v>
      </c>
      <c r="C39" s="18">
        <v>0</v>
      </c>
      <c r="D39" s="18">
        <v>0</v>
      </c>
      <c r="E39" s="18">
        <v>0</v>
      </c>
      <c r="F39" s="18">
        <v>0</v>
      </c>
      <c r="G39" s="18">
        <v>0</v>
      </c>
      <c r="H39" s="18">
        <v>0</v>
      </c>
      <c r="I39" s="18">
        <v>0</v>
      </c>
      <c r="J39" s="18">
        <v>0</v>
      </c>
      <c r="K39" s="18">
        <v>0</v>
      </c>
      <c r="L39" s="18">
        <v>0</v>
      </c>
      <c r="M39" s="18">
        <v>0</v>
      </c>
      <c r="N39" s="18">
        <v>0</v>
      </c>
      <c r="O39" s="18">
        <v>0</v>
      </c>
      <c r="P39" s="18">
        <v>0</v>
      </c>
      <c r="Q39" s="18">
        <v>0</v>
      </c>
      <c r="R39" s="40">
        <v>19.146999999999998</v>
      </c>
      <c r="S39" s="40">
        <v>24.106999999999999</v>
      </c>
      <c r="T39" s="40">
        <v>28.611999999999998</v>
      </c>
      <c r="U39" s="40">
        <v>168.25399999999999</v>
      </c>
      <c r="V39" s="40">
        <v>35.866</v>
      </c>
      <c r="W39" s="40">
        <v>39.091999999999999</v>
      </c>
      <c r="X39" s="40">
        <v>0</v>
      </c>
      <c r="Y39" s="40">
        <v>0</v>
      </c>
      <c r="Z39" s="18">
        <v>0</v>
      </c>
      <c r="AA39" s="18">
        <v>0</v>
      </c>
      <c r="AB39" s="18">
        <v>0</v>
      </c>
      <c r="AC39" s="18">
        <v>0</v>
      </c>
      <c r="AD39" s="18">
        <v>0</v>
      </c>
      <c r="AE39" s="18">
        <v>0</v>
      </c>
      <c r="AF39" s="18">
        <v>0</v>
      </c>
      <c r="AG39" s="18">
        <v>0</v>
      </c>
      <c r="AH39" s="18">
        <v>0</v>
      </c>
      <c r="AI39" s="18">
        <v>0</v>
      </c>
      <c r="AJ39" s="40">
        <v>0</v>
      </c>
      <c r="AK39" s="40">
        <v>0</v>
      </c>
      <c r="AL39" s="40">
        <v>0</v>
      </c>
      <c r="AM39" s="40">
        <v>0</v>
      </c>
      <c r="AN39" s="40">
        <v>0</v>
      </c>
      <c r="AO39" s="168">
        <v>0</v>
      </c>
      <c r="AP39" s="40">
        <v>0</v>
      </c>
      <c r="AQ39" s="40">
        <v>0</v>
      </c>
      <c r="AR39" s="40">
        <v>0</v>
      </c>
      <c r="AS39" s="40">
        <v>0</v>
      </c>
      <c r="AT39" s="40">
        <v>0</v>
      </c>
      <c r="AU39" s="40">
        <v>0</v>
      </c>
      <c r="AV39" s="40">
        <v>0</v>
      </c>
      <c r="AW39" s="40">
        <v>0</v>
      </c>
    </row>
    <row r="40" spans="1:49" ht="15" customHeight="1">
      <c r="A40" t="s">
        <v>182</v>
      </c>
      <c r="B40" s="28" t="str">
        <f>IF('Sumário | Summary'!P1=1,"Fornecedores","Suppliers")</f>
        <v>Fornecedores</v>
      </c>
      <c r="C40" s="18">
        <v>23.91</v>
      </c>
      <c r="D40" s="18">
        <v>30.120999999999999</v>
      </c>
      <c r="E40" s="18">
        <v>43.576000000000001</v>
      </c>
      <c r="F40" s="18">
        <v>50.3</v>
      </c>
      <c r="G40" s="18">
        <v>37.795999999999999</v>
      </c>
      <c r="H40" s="18">
        <v>41.209000000000003</v>
      </c>
      <c r="I40" s="18">
        <v>36.972999999999999</v>
      </c>
      <c r="J40" s="18">
        <v>37.44</v>
      </c>
      <c r="K40" s="18">
        <v>35.51</v>
      </c>
      <c r="L40" s="18">
        <v>39.098999999999997</v>
      </c>
      <c r="M40" s="18">
        <v>27.992999999999999</v>
      </c>
      <c r="N40" s="18">
        <v>35.161000000000001</v>
      </c>
      <c r="O40" s="31">
        <v>38.201000000000001</v>
      </c>
      <c r="P40" s="18">
        <v>32.137999999999998</v>
      </c>
      <c r="Q40" s="18">
        <v>39.537999999999997</v>
      </c>
      <c r="R40" s="18">
        <v>32.494999999999997</v>
      </c>
      <c r="S40" s="18">
        <v>30.23</v>
      </c>
      <c r="T40" s="18">
        <v>17.058</v>
      </c>
      <c r="U40" s="18">
        <v>15.465</v>
      </c>
      <c r="V40" s="18">
        <v>12.914</v>
      </c>
      <c r="W40" s="18">
        <v>12.385</v>
      </c>
      <c r="X40" s="18">
        <v>10.271000000000001</v>
      </c>
      <c r="Y40" s="18">
        <v>7.843</v>
      </c>
      <c r="Z40" s="18">
        <v>7.6639999999999997</v>
      </c>
      <c r="AA40" s="18">
        <v>10.021000000000001</v>
      </c>
      <c r="AB40" s="18">
        <v>7.6420000000000003</v>
      </c>
      <c r="AC40" s="18">
        <v>8.7040000000000006</v>
      </c>
      <c r="AD40" s="18">
        <v>8.5779999999999994</v>
      </c>
      <c r="AE40" s="18">
        <v>12.398999999999999</v>
      </c>
      <c r="AF40" s="18">
        <v>8.734</v>
      </c>
      <c r="AG40" s="18">
        <v>6.7869999999999999</v>
      </c>
      <c r="AH40" s="18">
        <v>7.0819999999999999</v>
      </c>
      <c r="AI40" s="18">
        <v>10.808999999999999</v>
      </c>
      <c r="AJ40" s="40">
        <v>7.1580000000000004</v>
      </c>
      <c r="AK40" s="40">
        <v>9.9359999999999999</v>
      </c>
      <c r="AL40" s="40">
        <v>11.853</v>
      </c>
      <c r="AM40" s="40">
        <v>20.050999999999998</v>
      </c>
      <c r="AN40" s="40">
        <v>11.396000000000001</v>
      </c>
      <c r="AO40" s="168">
        <v>11.613</v>
      </c>
      <c r="AP40" s="40">
        <v>12.548</v>
      </c>
      <c r="AQ40" s="40">
        <v>29.175000000000001</v>
      </c>
      <c r="AR40" s="40">
        <v>24.463000000000001</v>
      </c>
      <c r="AS40" s="40">
        <v>10.074</v>
      </c>
      <c r="AT40" s="40">
        <v>10.132</v>
      </c>
      <c r="AU40" s="40">
        <v>11.89</v>
      </c>
      <c r="AV40" s="40">
        <v>8.6460000000000008</v>
      </c>
      <c r="AW40" s="40">
        <v>21.248999999999999</v>
      </c>
    </row>
    <row r="41" spans="1:49" ht="15" customHeight="1">
      <c r="A41" t="s">
        <v>287</v>
      </c>
      <c r="B41" s="28" t="str">
        <f>IF('Sumário | Summary'!P1=1,"Contas a pagar por aquisição de imóveis","Accounts payable due to real estate acquisition ")</f>
        <v>Contas a pagar por aquisição de imóveis</v>
      </c>
      <c r="C41" s="18">
        <v>0</v>
      </c>
      <c r="D41" s="18">
        <v>0</v>
      </c>
      <c r="E41" s="18">
        <v>0</v>
      </c>
      <c r="F41" s="18">
        <v>65.548000000000002</v>
      </c>
      <c r="G41" s="18">
        <v>59.871000000000002</v>
      </c>
      <c r="H41" s="18">
        <v>54.375</v>
      </c>
      <c r="I41" s="18">
        <v>46.81</v>
      </c>
      <c r="J41" s="18">
        <v>34.947000000000003</v>
      </c>
      <c r="K41" s="18">
        <v>21.087</v>
      </c>
      <c r="L41" s="18">
        <v>9.7880000000000003</v>
      </c>
      <c r="M41" s="18">
        <v>0.621</v>
      </c>
      <c r="N41" s="18">
        <v>0</v>
      </c>
      <c r="O41" s="31">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3.0000000000000001E-3</v>
      </c>
      <c r="AI41" s="18">
        <v>0</v>
      </c>
      <c r="AJ41" s="40">
        <v>0</v>
      </c>
      <c r="AK41" s="40">
        <v>0</v>
      </c>
      <c r="AL41" s="40">
        <v>0</v>
      </c>
      <c r="AM41" s="40">
        <v>0</v>
      </c>
      <c r="AN41" s="40">
        <v>0</v>
      </c>
      <c r="AO41" s="168">
        <v>0.64300000000000002</v>
      </c>
      <c r="AP41" s="40">
        <v>0.88600000000000001</v>
      </c>
      <c r="AQ41" s="40">
        <v>0.88600000000000001</v>
      </c>
      <c r="AR41" s="40">
        <v>0.88600000000000001</v>
      </c>
      <c r="AS41" s="40">
        <v>0.88600000000000001</v>
      </c>
      <c r="AT41" s="40">
        <v>0.83</v>
      </c>
      <c r="AU41" s="40">
        <v>0.57999999999999996</v>
      </c>
      <c r="AV41" s="40">
        <v>0.53800000000000003</v>
      </c>
      <c r="AW41" s="40">
        <v>0.52700000000000002</v>
      </c>
    </row>
    <row r="42" spans="1:49" ht="15" customHeight="1">
      <c r="A42" t="s">
        <v>183</v>
      </c>
      <c r="B42" s="28" t="str">
        <f>IF('Sumário | Summary'!P1=1,"Impostos e contribuições a recolher","Tax and Contributions")</f>
        <v>Impostos e contribuições a recolher</v>
      </c>
      <c r="C42" s="18">
        <v>7.9589999999999996</v>
      </c>
      <c r="D42" s="18">
        <v>8.3160000000000007</v>
      </c>
      <c r="E42" s="18">
        <v>11.475</v>
      </c>
      <c r="F42" s="18">
        <v>8.6999999999999993</v>
      </c>
      <c r="G42" s="18">
        <v>9.8949999999999996</v>
      </c>
      <c r="H42" s="18">
        <v>15.047000000000001</v>
      </c>
      <c r="I42" s="18">
        <v>13.77</v>
      </c>
      <c r="J42" s="18">
        <v>11.24</v>
      </c>
      <c r="K42" s="18">
        <v>13.962</v>
      </c>
      <c r="L42" s="18">
        <v>16.585999999999999</v>
      </c>
      <c r="M42" s="18">
        <v>15.907999999999999</v>
      </c>
      <c r="N42" s="18">
        <v>12.675000000000001</v>
      </c>
      <c r="O42" s="31">
        <v>13.872999999999999</v>
      </c>
      <c r="P42" s="18">
        <v>14.952</v>
      </c>
      <c r="Q42" s="18">
        <v>12.477</v>
      </c>
      <c r="R42" s="18">
        <v>13.061</v>
      </c>
      <c r="S42" s="18">
        <v>11.944000000000001</v>
      </c>
      <c r="T42" s="18">
        <v>17.702999999999999</v>
      </c>
      <c r="U42" s="18">
        <v>15.068</v>
      </c>
      <c r="V42" s="18">
        <v>105.919</v>
      </c>
      <c r="W42" s="18">
        <v>11.496</v>
      </c>
      <c r="X42" s="18">
        <v>20.096</v>
      </c>
      <c r="Y42" s="18">
        <v>13.241</v>
      </c>
      <c r="Z42" s="18">
        <v>12.147</v>
      </c>
      <c r="AA42" s="18">
        <v>13.457000000000001</v>
      </c>
      <c r="AB42" s="18">
        <v>14.715</v>
      </c>
      <c r="AC42" s="18">
        <v>19.766999999999999</v>
      </c>
      <c r="AD42" s="18">
        <v>23.844999999999999</v>
      </c>
      <c r="AE42" s="18">
        <v>28.896999999999998</v>
      </c>
      <c r="AF42" s="18">
        <v>11.057</v>
      </c>
      <c r="AG42" s="18">
        <v>12.276999999999999</v>
      </c>
      <c r="AH42" s="18">
        <v>12.311999999999999</v>
      </c>
      <c r="AI42" s="18">
        <v>11.558999999999999</v>
      </c>
      <c r="AJ42" s="40">
        <v>10.29</v>
      </c>
      <c r="AK42" s="40">
        <v>11.565</v>
      </c>
      <c r="AL42" s="40">
        <v>11.714</v>
      </c>
      <c r="AM42" s="40">
        <v>21.64</v>
      </c>
      <c r="AN42" s="40">
        <v>14.824</v>
      </c>
      <c r="AO42" s="168">
        <v>11.866</v>
      </c>
      <c r="AP42" s="40">
        <v>13.645</v>
      </c>
      <c r="AQ42" s="40">
        <v>13.282</v>
      </c>
      <c r="AR42" s="40">
        <v>11.22</v>
      </c>
      <c r="AS42" s="40">
        <v>13.015000000000001</v>
      </c>
      <c r="AT42" s="168">
        <v>14.016</v>
      </c>
      <c r="AU42" s="168">
        <v>17.117000000000001</v>
      </c>
      <c r="AV42" s="168">
        <v>7.6710000000000003</v>
      </c>
      <c r="AW42" s="168">
        <v>150.33000000000001</v>
      </c>
    </row>
    <row r="43" spans="1:49" ht="15" customHeight="1">
      <c r="A43" t="s">
        <v>184</v>
      </c>
      <c r="B43" s="28" t="str">
        <f>IF('Sumário | Summary'!P1=1,"Debitos com parceiros nos empreendimentos","Current accounts with venture partners ")</f>
        <v>Debitos com parceiros nos empreendimentos</v>
      </c>
      <c r="C43" s="18">
        <v>7.89</v>
      </c>
      <c r="D43" s="18">
        <v>7.8879999999999999</v>
      </c>
      <c r="E43" s="18">
        <v>15.493</v>
      </c>
      <c r="F43" s="18">
        <v>10.289</v>
      </c>
      <c r="G43" s="18">
        <v>7.8819999999999997</v>
      </c>
      <c r="H43" s="18">
        <v>7.88</v>
      </c>
      <c r="I43" s="18">
        <v>9.3010000000000002</v>
      </c>
      <c r="J43" s="18">
        <v>7.8650000000000002</v>
      </c>
      <c r="K43" s="18">
        <v>10.551</v>
      </c>
      <c r="L43" s="18">
        <v>10.109</v>
      </c>
      <c r="M43" s="18">
        <v>7.87</v>
      </c>
      <c r="N43" s="18">
        <v>7.9489999999999998</v>
      </c>
      <c r="O43" s="31">
        <v>6.2169999999999996</v>
      </c>
      <c r="P43" s="18">
        <v>0</v>
      </c>
      <c r="Q43" s="18">
        <v>1.641</v>
      </c>
      <c r="R43" s="18">
        <v>0</v>
      </c>
      <c r="S43" s="18">
        <v>0</v>
      </c>
      <c r="T43" s="18">
        <v>0</v>
      </c>
      <c r="U43" s="18">
        <v>0</v>
      </c>
      <c r="V43" s="18">
        <v>0</v>
      </c>
      <c r="W43" s="18">
        <v>0</v>
      </c>
      <c r="X43" s="18">
        <v>0</v>
      </c>
      <c r="Y43" s="18">
        <v>0</v>
      </c>
      <c r="Z43" s="18">
        <v>0</v>
      </c>
      <c r="AA43" s="18">
        <v>0</v>
      </c>
      <c r="AB43" s="18">
        <v>0</v>
      </c>
      <c r="AC43" s="18">
        <v>1.2999999999999999E-2</v>
      </c>
      <c r="AD43" s="18">
        <v>0.03</v>
      </c>
      <c r="AE43" s="18">
        <v>0</v>
      </c>
      <c r="AF43" s="18">
        <v>0</v>
      </c>
      <c r="AG43" s="18">
        <v>0</v>
      </c>
      <c r="AH43" s="18">
        <v>0</v>
      </c>
      <c r="AI43" s="18">
        <v>0</v>
      </c>
      <c r="AJ43" s="40">
        <v>0</v>
      </c>
      <c r="AK43" s="40">
        <v>0</v>
      </c>
      <c r="AL43" s="40">
        <v>0</v>
      </c>
      <c r="AM43" s="40">
        <v>0</v>
      </c>
      <c r="AN43" s="40">
        <v>2.2770000000000001</v>
      </c>
      <c r="AO43" s="168">
        <v>0</v>
      </c>
      <c r="AP43" s="40">
        <v>0</v>
      </c>
      <c r="AQ43" s="40">
        <v>0</v>
      </c>
      <c r="AR43" s="40">
        <v>0.11600000000000001</v>
      </c>
      <c r="AS43" s="40">
        <v>0</v>
      </c>
      <c r="AT43" s="40">
        <v>0.161</v>
      </c>
      <c r="AU43" s="40">
        <v>0</v>
      </c>
      <c r="AV43" s="40">
        <v>0</v>
      </c>
      <c r="AW43" s="40">
        <v>0</v>
      </c>
    </row>
    <row r="44" spans="1:49" ht="15" customHeight="1">
      <c r="A44" t="s">
        <v>185</v>
      </c>
      <c r="B44" s="28" t="str">
        <f>IF('Sumário | Summary'!P1=1,"Impostos e contribuições diferidos","Tax and Contributions - Deferred")</f>
        <v>Impostos e contribuições diferidos</v>
      </c>
      <c r="C44" s="18">
        <v>2.37</v>
      </c>
      <c r="D44" s="18">
        <v>3.0129999999999999</v>
      </c>
      <c r="E44" s="18">
        <v>3.1909999999999998</v>
      </c>
      <c r="F44" s="18">
        <v>4.2</v>
      </c>
      <c r="G44" s="18">
        <v>6.6070000000000002</v>
      </c>
      <c r="H44" s="18">
        <v>4.5129999999999999</v>
      </c>
      <c r="I44" s="18">
        <v>4.47</v>
      </c>
      <c r="J44" s="18">
        <v>4.4660000000000002</v>
      </c>
      <c r="K44" s="18">
        <v>2.3730000000000002</v>
      </c>
      <c r="L44" s="18">
        <v>1.895</v>
      </c>
      <c r="M44" s="18">
        <v>1.48</v>
      </c>
      <c r="N44" s="18">
        <v>1.6120000000000001</v>
      </c>
      <c r="O44" s="31">
        <v>1.76</v>
      </c>
      <c r="P44" s="18">
        <v>0.40699999999999997</v>
      </c>
      <c r="Q44" s="18">
        <v>0</v>
      </c>
      <c r="R44" s="18">
        <v>2.0870000000000002</v>
      </c>
      <c r="S44" s="18">
        <v>1.6439999999999999</v>
      </c>
      <c r="T44" s="18">
        <v>1.3859999999999999</v>
      </c>
      <c r="U44" s="18">
        <v>1.115</v>
      </c>
      <c r="V44" s="18">
        <v>0.61499999999999999</v>
      </c>
      <c r="W44" s="18">
        <v>0.35099999999999998</v>
      </c>
      <c r="X44" s="18">
        <v>0.61699999999999999</v>
      </c>
      <c r="Y44" s="18">
        <v>0.57899999999999996</v>
      </c>
      <c r="Z44" s="18">
        <v>0.60699999999999998</v>
      </c>
      <c r="AA44" s="18">
        <v>0.56000000000000005</v>
      </c>
      <c r="AB44" s="18">
        <v>0.41799999999999998</v>
      </c>
      <c r="AC44" s="18">
        <v>0.40300000000000002</v>
      </c>
      <c r="AD44" s="18">
        <v>0.38700000000000001</v>
      </c>
      <c r="AE44" s="18">
        <v>0.372</v>
      </c>
      <c r="AF44" s="18">
        <v>0.34699999999999998</v>
      </c>
      <c r="AG44" s="18">
        <v>0.30299999999999999</v>
      </c>
      <c r="AH44" s="18">
        <v>0.28100000000000003</v>
      </c>
      <c r="AI44" s="18">
        <v>0.25900000000000001</v>
      </c>
      <c r="AJ44" s="40">
        <v>0.11600000000000001</v>
      </c>
      <c r="AK44" s="40">
        <v>0.105</v>
      </c>
      <c r="AL44" s="40">
        <v>0.13600000000000001</v>
      </c>
      <c r="AM44" s="40">
        <v>0.12</v>
      </c>
      <c r="AN44" s="40">
        <v>0.158</v>
      </c>
      <c r="AO44" s="168">
        <v>0.18</v>
      </c>
      <c r="AP44" s="40">
        <v>0.13500000000000001</v>
      </c>
      <c r="AQ44" s="40">
        <v>0.14599999999999999</v>
      </c>
      <c r="AR44" s="40">
        <v>0.10100000000000001</v>
      </c>
      <c r="AS44" s="40">
        <v>0.107</v>
      </c>
      <c r="AT44" s="168">
        <v>0.105</v>
      </c>
      <c r="AU44" s="168">
        <v>0.105</v>
      </c>
      <c r="AV44" s="168">
        <v>0.1</v>
      </c>
      <c r="AW44" s="168">
        <v>9.6000000000000002E-2</v>
      </c>
    </row>
    <row r="45" spans="1:49" ht="15" customHeight="1">
      <c r="A45" t="s">
        <v>186</v>
      </c>
      <c r="B45" s="28" t="str">
        <f>IF('Sumário | Summary'!P1=1,"Adiantamentos de clientes","Advancement from Clients")</f>
        <v>Adiantamentos de clientes</v>
      </c>
      <c r="C45" s="18">
        <v>40.469000000000001</v>
      </c>
      <c r="D45" s="18">
        <v>37.234000000000002</v>
      </c>
      <c r="E45" s="18">
        <v>30.33</v>
      </c>
      <c r="F45" s="18">
        <v>14.507999999999999</v>
      </c>
      <c r="G45" s="18">
        <v>24.227</v>
      </c>
      <c r="H45" s="18">
        <v>22.257000000000001</v>
      </c>
      <c r="I45" s="18">
        <v>19.434000000000001</v>
      </c>
      <c r="J45" s="18">
        <v>0.55100000000000005</v>
      </c>
      <c r="K45" s="18">
        <v>0.5</v>
      </c>
      <c r="L45" s="18">
        <v>0.55100000000000005</v>
      </c>
      <c r="M45" s="18">
        <v>3.9510000000000001</v>
      </c>
      <c r="N45" s="18">
        <v>0</v>
      </c>
      <c r="O45" s="31">
        <v>13.638</v>
      </c>
      <c r="P45" s="18">
        <v>0.52100000000000002</v>
      </c>
      <c r="Q45" s="18">
        <v>1.0009999999999999</v>
      </c>
      <c r="R45" s="18">
        <v>0.94499999999999995</v>
      </c>
      <c r="S45" s="18">
        <v>0.79500000000000004</v>
      </c>
      <c r="T45" s="18">
        <v>0.78300000000000003</v>
      </c>
      <c r="U45" s="18">
        <v>3.3380000000000001</v>
      </c>
      <c r="V45" s="18">
        <v>0</v>
      </c>
      <c r="W45" s="18">
        <v>0</v>
      </c>
      <c r="X45" s="18">
        <v>35.243000000000002</v>
      </c>
      <c r="Y45" s="18">
        <v>3.5</v>
      </c>
      <c r="Z45" s="18">
        <v>0</v>
      </c>
      <c r="AA45" s="18">
        <v>7.3999999999999996E-2</v>
      </c>
      <c r="AB45" s="18">
        <v>0.13500000000000001</v>
      </c>
      <c r="AC45" s="18">
        <v>0.24199999999999999</v>
      </c>
      <c r="AD45" s="18">
        <v>0.185</v>
      </c>
      <c r="AE45" s="18">
        <v>0.59499999999999997</v>
      </c>
      <c r="AF45" s="18">
        <v>0.13600000000000001</v>
      </c>
      <c r="AG45" s="18">
        <v>6.5000000000000002E-2</v>
      </c>
      <c r="AH45" s="18">
        <v>0.71499999999999997</v>
      </c>
      <c r="AI45" s="18">
        <v>0.155</v>
      </c>
      <c r="AJ45" s="40">
        <v>7.4999999999999997E-2</v>
      </c>
      <c r="AK45" s="40">
        <v>1.629</v>
      </c>
      <c r="AL45" s="40">
        <v>2.6389999999999998</v>
      </c>
      <c r="AM45" s="40">
        <v>0.183</v>
      </c>
      <c r="AN45" s="40">
        <v>0.24199999999999999</v>
      </c>
      <c r="AO45" s="168">
        <v>0.17799999999999999</v>
      </c>
      <c r="AP45" s="40">
        <v>0.21199999999999999</v>
      </c>
      <c r="AQ45" s="40">
        <v>0.20200000000000001</v>
      </c>
      <c r="AR45" s="40">
        <v>0.21</v>
      </c>
      <c r="AS45" s="40">
        <v>0.69399999999999995</v>
      </c>
      <c r="AT45" s="40">
        <v>0.61599999999999999</v>
      </c>
      <c r="AU45" s="40">
        <v>0.65200000000000002</v>
      </c>
      <c r="AV45" s="40">
        <v>300.62</v>
      </c>
      <c r="AW45" s="40">
        <v>0.51</v>
      </c>
    </row>
    <row r="46" spans="1:49" ht="15" customHeight="1">
      <c r="A46" t="s">
        <v>187</v>
      </c>
      <c r="B46" s="28" t="str">
        <f>IF('Sumário | Summary'!P1=1,"Adiantamentos de clientes - Permutas","Advancement from Clients - Swap")</f>
        <v>Adiantamentos de clientes - Permutas</v>
      </c>
      <c r="C46" s="18">
        <v>24.276</v>
      </c>
      <c r="D46" s="18">
        <v>21.757999999999999</v>
      </c>
      <c r="E46" s="18">
        <v>17.504000000000001</v>
      </c>
      <c r="F46" s="18">
        <v>14.5</v>
      </c>
      <c r="G46" s="18">
        <v>12.852</v>
      </c>
      <c r="H46" s="18">
        <v>11.388999999999999</v>
      </c>
      <c r="I46" s="18">
        <v>9.452</v>
      </c>
      <c r="J46" s="18">
        <v>0.20399999999999999</v>
      </c>
      <c r="K46" s="18">
        <v>0.104</v>
      </c>
      <c r="L46" s="18">
        <v>5.8000000000000003E-2</v>
      </c>
      <c r="M46" s="18">
        <v>2.4E-2</v>
      </c>
      <c r="N46" s="18">
        <v>0.55100000000000005</v>
      </c>
      <c r="O46" s="31">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40">
        <v>0</v>
      </c>
      <c r="AK46" s="40">
        <v>0</v>
      </c>
      <c r="AL46" s="40">
        <v>0</v>
      </c>
      <c r="AM46" s="40">
        <v>0</v>
      </c>
      <c r="AN46" s="40">
        <v>0</v>
      </c>
      <c r="AO46" s="168">
        <v>0</v>
      </c>
      <c r="AP46" s="40">
        <v>0</v>
      </c>
      <c r="AQ46" s="40">
        <v>0</v>
      </c>
      <c r="AR46" s="40">
        <v>0</v>
      </c>
      <c r="AS46" s="40">
        <v>0</v>
      </c>
      <c r="AT46" s="40">
        <v>0</v>
      </c>
      <c r="AU46" s="40">
        <v>0</v>
      </c>
      <c r="AV46" s="40">
        <v>0</v>
      </c>
      <c r="AW46" s="40">
        <v>0</v>
      </c>
    </row>
    <row r="47" spans="1:49" ht="15" customHeight="1">
      <c r="A47" t="s">
        <v>188</v>
      </c>
      <c r="B47" s="39" t="str">
        <f>IF('Sumário | Summary'!P1=1,"Partes relacionadas","Related parties")</f>
        <v>Partes relacionadas</v>
      </c>
      <c r="C47" s="18">
        <v>0</v>
      </c>
      <c r="D47" s="18">
        <v>0</v>
      </c>
      <c r="E47" s="18">
        <v>0</v>
      </c>
      <c r="F47" s="18">
        <v>0</v>
      </c>
      <c r="G47" s="18">
        <v>0</v>
      </c>
      <c r="H47" s="18">
        <v>0</v>
      </c>
      <c r="I47" s="18">
        <v>0</v>
      </c>
      <c r="J47" s="18">
        <v>0</v>
      </c>
      <c r="K47" s="18">
        <v>0</v>
      </c>
      <c r="L47" s="18">
        <v>0</v>
      </c>
      <c r="M47" s="18">
        <v>0</v>
      </c>
      <c r="N47" s="18">
        <v>0</v>
      </c>
      <c r="O47" s="18">
        <v>0</v>
      </c>
      <c r="P47" s="18">
        <v>0</v>
      </c>
      <c r="Q47" s="18">
        <v>0</v>
      </c>
      <c r="R47" s="40">
        <v>13.981</v>
      </c>
      <c r="S47" s="40">
        <v>0</v>
      </c>
      <c r="T47" s="40">
        <v>0</v>
      </c>
      <c r="U47" s="40">
        <v>0</v>
      </c>
      <c r="V47" s="40">
        <v>0</v>
      </c>
      <c r="W47" s="40">
        <v>0</v>
      </c>
      <c r="X47" s="40">
        <v>0</v>
      </c>
      <c r="Y47" s="40">
        <v>0</v>
      </c>
      <c r="Z47" s="18">
        <v>0</v>
      </c>
      <c r="AA47" s="18">
        <v>0</v>
      </c>
      <c r="AB47" s="18">
        <v>0</v>
      </c>
      <c r="AC47" s="18">
        <v>0</v>
      </c>
      <c r="AD47" s="18">
        <v>0</v>
      </c>
      <c r="AE47" s="18">
        <v>0</v>
      </c>
      <c r="AF47" s="18">
        <v>0</v>
      </c>
      <c r="AG47" s="18">
        <v>0</v>
      </c>
      <c r="AH47" s="18">
        <v>0</v>
      </c>
      <c r="AI47" s="18">
        <v>0</v>
      </c>
      <c r="AJ47" s="40">
        <v>0</v>
      </c>
      <c r="AK47" s="40">
        <v>0</v>
      </c>
      <c r="AL47" s="40">
        <v>0</v>
      </c>
      <c r="AM47" s="40">
        <v>0</v>
      </c>
      <c r="AN47" s="40">
        <v>0</v>
      </c>
      <c r="AO47" s="168">
        <v>0</v>
      </c>
      <c r="AP47" s="40">
        <v>0</v>
      </c>
      <c r="AQ47" s="40">
        <v>0</v>
      </c>
      <c r="AR47" s="40">
        <v>0</v>
      </c>
      <c r="AS47" s="40">
        <v>0</v>
      </c>
      <c r="AT47" s="40">
        <v>0</v>
      </c>
      <c r="AU47" s="40">
        <v>0</v>
      </c>
      <c r="AV47" s="40">
        <v>0</v>
      </c>
      <c r="AW47" s="40">
        <v>0</v>
      </c>
    </row>
    <row r="48" spans="1:49" ht="15" customHeight="1">
      <c r="A48" t="s">
        <v>189</v>
      </c>
      <c r="B48" s="28" t="str">
        <f>IF('Sumário | Summary'!P1=1,"Receita res-sperata a apropriar","Key Money to be Recognized")</f>
        <v>Receita res-sperata a apropriar</v>
      </c>
      <c r="C48" s="18">
        <v>0</v>
      </c>
      <c r="D48" s="18">
        <v>0</v>
      </c>
      <c r="E48" s="18">
        <v>0</v>
      </c>
      <c r="F48" s="18">
        <v>0</v>
      </c>
      <c r="G48" s="18">
        <v>6.2309999999999999</v>
      </c>
      <c r="H48" s="18">
        <v>0</v>
      </c>
      <c r="I48" s="18">
        <v>0</v>
      </c>
      <c r="J48" s="18">
        <v>0</v>
      </c>
      <c r="K48" s="18">
        <v>5.6050000000000004</v>
      </c>
      <c r="L48" s="18">
        <v>10.986000000000001</v>
      </c>
      <c r="M48" s="18">
        <v>15.404999999999999</v>
      </c>
      <c r="N48" s="18">
        <v>14.651</v>
      </c>
      <c r="O48" s="31">
        <v>13.7186</v>
      </c>
      <c r="P48" s="18">
        <v>13.337400000000001</v>
      </c>
      <c r="Q48" s="18">
        <v>12.589</v>
      </c>
      <c r="R48" s="18">
        <v>11.836</v>
      </c>
      <c r="S48" s="18">
        <v>10.6616</v>
      </c>
      <c r="T48" s="18">
        <v>9.69</v>
      </c>
      <c r="U48" s="18">
        <v>8.8219999999999992</v>
      </c>
      <c r="V48" s="18">
        <v>8.0280000000000005</v>
      </c>
      <c r="W48" s="18">
        <v>7.3689999999999998</v>
      </c>
      <c r="X48" s="18">
        <v>6.4130000000000003</v>
      </c>
      <c r="Y48" s="18">
        <v>5.7169999999999996</v>
      </c>
      <c r="Z48" s="18">
        <v>4.5179999999999998</v>
      </c>
      <c r="AA48" s="18">
        <v>4.1479999999999997</v>
      </c>
      <c r="AB48" s="18">
        <v>10.452</v>
      </c>
      <c r="AC48" s="18">
        <v>9.4009999999999998</v>
      </c>
      <c r="AD48" s="18">
        <v>8.7249999999999996</v>
      </c>
      <c r="AE48" s="18">
        <v>8.06</v>
      </c>
      <c r="AF48" s="18">
        <v>5.2930000000000001</v>
      </c>
      <c r="AG48" s="18">
        <v>4.883</v>
      </c>
      <c r="AH48" s="18">
        <v>4.6189999999999998</v>
      </c>
      <c r="AI48" s="18">
        <v>4.4290000000000003</v>
      </c>
      <c r="AJ48" s="40">
        <v>4.3680000000000003</v>
      </c>
      <c r="AK48" s="40">
        <v>3.9390000000000001</v>
      </c>
      <c r="AL48" s="40">
        <v>4.1509999999999998</v>
      </c>
      <c r="AM48" s="40">
        <v>3.8959999999999999</v>
      </c>
      <c r="AN48" s="40">
        <v>3.9910000000000001</v>
      </c>
      <c r="AO48" s="168">
        <v>3.7480000000000002</v>
      </c>
      <c r="AP48" s="40">
        <v>3.7549999999999999</v>
      </c>
      <c r="AQ48" s="40">
        <v>1.9710000000000001</v>
      </c>
      <c r="AR48" s="40">
        <v>1.8320000000000001</v>
      </c>
      <c r="AS48" s="40">
        <v>3.0920000000000001</v>
      </c>
      <c r="AT48" s="40">
        <v>2.8359999999999999</v>
      </c>
      <c r="AU48" s="40">
        <v>2.9380000000000002</v>
      </c>
      <c r="AV48" s="40">
        <v>2.867</v>
      </c>
      <c r="AW48" s="40">
        <v>1.375</v>
      </c>
    </row>
    <row r="49" spans="1:49" ht="15" customHeight="1">
      <c r="A49" t="s">
        <v>190</v>
      </c>
      <c r="B49" s="28" t="str">
        <f>IF('Sumário | Summary'!P1=1,"Dividendos a pagar","Dividends Payable")</f>
        <v>Dividendos a pagar</v>
      </c>
      <c r="C49" s="18">
        <v>36.345999999999997</v>
      </c>
      <c r="D49" s="18">
        <v>72.691999999999993</v>
      </c>
      <c r="E49" s="18">
        <v>4</v>
      </c>
      <c r="F49" s="18">
        <v>4</v>
      </c>
      <c r="G49" s="18">
        <v>35.368000000000002</v>
      </c>
      <c r="H49" s="18">
        <v>35.368000000000002</v>
      </c>
      <c r="I49" s="18">
        <v>0.05</v>
      </c>
      <c r="J49" s="18">
        <v>5.0000000000000001E-3</v>
      </c>
      <c r="K49" s="18">
        <v>23.271000000000001</v>
      </c>
      <c r="L49" s="18">
        <v>23.271000000000001</v>
      </c>
      <c r="M49" s="18">
        <v>6.0000000000000001E-3</v>
      </c>
      <c r="N49" s="18">
        <v>6.0000000000000001E-3</v>
      </c>
      <c r="O49" s="31">
        <v>5.5419999999999998</v>
      </c>
      <c r="P49" s="18">
        <v>5.5419999999999998</v>
      </c>
      <c r="Q49" s="18">
        <v>0.7</v>
      </c>
      <c r="R49" s="18">
        <v>7.0000000000000001E-3</v>
      </c>
      <c r="S49" s="18">
        <v>7.0000000000000001E-3</v>
      </c>
      <c r="T49" s="18">
        <v>7.0000000000000001E-3</v>
      </c>
      <c r="U49" s="18">
        <v>7.0000000000000001E-3</v>
      </c>
      <c r="V49" s="18">
        <v>1.2E-2</v>
      </c>
      <c r="W49" s="18">
        <v>1.2E-2</v>
      </c>
      <c r="X49" s="18">
        <v>1.2E-2</v>
      </c>
      <c r="Y49" s="18">
        <v>1.2E-2</v>
      </c>
      <c r="Z49" s="18">
        <v>1.2E-2</v>
      </c>
      <c r="AA49" s="18">
        <v>1.7000000000000001E-2</v>
      </c>
      <c r="AB49" s="18">
        <v>1.7000000000000001E-2</v>
      </c>
      <c r="AC49" s="18">
        <v>1.7000000000000001E-2</v>
      </c>
      <c r="AD49" s="18">
        <v>1.4999999999999999E-2</v>
      </c>
      <c r="AE49" s="18">
        <v>7.8070000000000004</v>
      </c>
      <c r="AF49" s="18">
        <v>7.8070000000000004</v>
      </c>
      <c r="AG49" s="18">
        <v>1.4999999999999999E-2</v>
      </c>
      <c r="AH49" s="18">
        <v>1.4999999999999999E-2</v>
      </c>
      <c r="AI49" s="18">
        <v>12.045999999999999</v>
      </c>
      <c r="AJ49" s="40">
        <v>12.045999999999999</v>
      </c>
      <c r="AK49" s="40">
        <v>5.0000000000000001E-3</v>
      </c>
      <c r="AL49" s="40">
        <v>5.0000000000000001E-3</v>
      </c>
      <c r="AM49" s="40">
        <v>4.4999999999999998E-2</v>
      </c>
      <c r="AN49" s="40">
        <v>12.090999999999999</v>
      </c>
      <c r="AO49" s="168">
        <v>4.4999999999999998E-2</v>
      </c>
      <c r="AP49" s="40">
        <v>4.5999999999999999E-2</v>
      </c>
      <c r="AQ49" s="40">
        <v>4.5999999999999999E-2</v>
      </c>
      <c r="AR49" s="40">
        <v>4.5999999999999999E-2</v>
      </c>
      <c r="AS49" s="40">
        <v>4.2999999999999997E-2</v>
      </c>
      <c r="AT49" s="40">
        <v>4.2000000000000003E-2</v>
      </c>
      <c r="AU49" s="40">
        <v>4.2000000000000003E-2</v>
      </c>
      <c r="AV49" s="40">
        <v>0.28000000000000003</v>
      </c>
      <c r="AW49" s="40">
        <v>0.28000000000000003</v>
      </c>
    </row>
    <row r="50" spans="1:49" ht="15" customHeight="1">
      <c r="A50" t="s">
        <v>120</v>
      </c>
      <c r="B50" s="28" t="str">
        <f>IF('Sumário | Summary'!P1=1,"CDU a apropriar","Key Money to Recognize ")</f>
        <v>CDU a apropriar</v>
      </c>
      <c r="C50" s="18">
        <v>4.633</v>
      </c>
      <c r="D50" s="18">
        <v>5.5140000000000002</v>
      </c>
      <c r="E50" s="18">
        <v>5.9429999999999996</v>
      </c>
      <c r="F50" s="18">
        <v>6.1189999999999998</v>
      </c>
      <c r="G50" s="18">
        <v>0</v>
      </c>
      <c r="H50" s="18">
        <v>42.112000000000002</v>
      </c>
      <c r="I50" s="18">
        <v>40.805</v>
      </c>
      <c r="J50" s="18">
        <v>5.9930000000000003</v>
      </c>
      <c r="K50" s="18">
        <v>0</v>
      </c>
      <c r="L50" s="18">
        <v>0</v>
      </c>
      <c r="M50" s="18">
        <v>0</v>
      </c>
      <c r="N50" s="18">
        <v>0</v>
      </c>
      <c r="O50" s="31">
        <v>0</v>
      </c>
      <c r="P50" s="18">
        <v>0</v>
      </c>
      <c r="Q50" s="18">
        <v>0</v>
      </c>
      <c r="R50" s="18">
        <v>0</v>
      </c>
      <c r="S50" s="18">
        <v>0</v>
      </c>
      <c r="T50" s="18">
        <v>0</v>
      </c>
      <c r="U50" s="18">
        <v>0</v>
      </c>
      <c r="V50" s="18">
        <v>0</v>
      </c>
      <c r="W50" s="18">
        <v>0</v>
      </c>
      <c r="X50" s="18">
        <v>0</v>
      </c>
      <c r="Y50" s="18">
        <v>0</v>
      </c>
      <c r="Z50" s="18">
        <v>0</v>
      </c>
      <c r="AA50" s="18">
        <v>0</v>
      </c>
      <c r="AB50" s="40">
        <v>0</v>
      </c>
      <c r="AC50" s="40">
        <v>0</v>
      </c>
      <c r="AD50" s="40">
        <v>0</v>
      </c>
      <c r="AE50" s="40">
        <v>0</v>
      </c>
      <c r="AF50" s="40">
        <v>0</v>
      </c>
      <c r="AG50" s="40">
        <v>0</v>
      </c>
      <c r="AH50" s="40">
        <v>0</v>
      </c>
      <c r="AI50" s="40">
        <v>0</v>
      </c>
      <c r="AJ50" s="40">
        <v>0</v>
      </c>
      <c r="AK50" s="40">
        <v>0</v>
      </c>
      <c r="AL50" s="40">
        <v>0</v>
      </c>
      <c r="AM50" s="40">
        <v>0</v>
      </c>
      <c r="AN50" s="40">
        <v>0</v>
      </c>
      <c r="AO50" s="168">
        <v>0</v>
      </c>
      <c r="AP50" s="40">
        <v>0</v>
      </c>
      <c r="AQ50" s="40">
        <v>0</v>
      </c>
      <c r="AR50" s="40">
        <v>0</v>
      </c>
      <c r="AS50" s="40">
        <v>0</v>
      </c>
      <c r="AT50" s="40">
        <v>0</v>
      </c>
      <c r="AU50" s="40">
        <v>0</v>
      </c>
      <c r="AV50" s="40">
        <v>0</v>
      </c>
      <c r="AW50" s="40">
        <v>0</v>
      </c>
    </row>
    <row r="51" spans="1:49" ht="15" customHeight="1">
      <c r="A51" t="s">
        <v>278</v>
      </c>
      <c r="B51" s="28" t="str">
        <f>IF('Sumário | Summary'!P1=1,"Passivo de arrendamento","Lease liability ")</f>
        <v>Passivo de arrendamento</v>
      </c>
      <c r="C51" s="40">
        <v>0</v>
      </c>
      <c r="D51" s="40">
        <v>0</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c r="AQ51" s="40">
        <v>1.95</v>
      </c>
      <c r="AR51" s="40">
        <v>0.98</v>
      </c>
      <c r="AS51" s="40">
        <v>0.96599999999999997</v>
      </c>
      <c r="AT51" s="40">
        <v>0.95199999999999996</v>
      </c>
      <c r="AU51" s="40">
        <v>0.93799999999999994</v>
      </c>
      <c r="AV51" s="40">
        <v>0.92400000000000004</v>
      </c>
      <c r="AW51" s="40">
        <v>0.91</v>
      </c>
    </row>
    <row r="52" spans="1:49" ht="15" customHeight="1">
      <c r="A52" t="s">
        <v>191</v>
      </c>
      <c r="B52" s="28" t="str">
        <f>IF('Sumário | Summary'!P1=1,"Demais contas a pagar","Other Accounts Payable")</f>
        <v>Demais contas a pagar</v>
      </c>
      <c r="C52" s="18">
        <v>25.071999999999999</v>
      </c>
      <c r="D52" s="18">
        <v>19.875</v>
      </c>
      <c r="E52" s="18">
        <v>22.273</v>
      </c>
      <c r="F52" s="18">
        <v>19.123000000000001</v>
      </c>
      <c r="G52" s="18">
        <v>18.396000000000001</v>
      </c>
      <c r="H52" s="18">
        <v>6.62</v>
      </c>
      <c r="I52" s="18">
        <v>12.064</v>
      </c>
      <c r="J52" s="18">
        <v>13.128</v>
      </c>
      <c r="K52" s="18">
        <v>46.514000000000003</v>
      </c>
      <c r="L52" s="18">
        <v>7.6559999999999997</v>
      </c>
      <c r="M52" s="18">
        <v>15.255000000000001</v>
      </c>
      <c r="N52" s="18">
        <v>17.413</v>
      </c>
      <c r="O52" s="31">
        <v>14.345000000000001</v>
      </c>
      <c r="P52" s="18">
        <v>35.17</v>
      </c>
      <c r="Q52" s="18">
        <v>39.697000000000003</v>
      </c>
      <c r="R52" s="18">
        <v>26.67</v>
      </c>
      <c r="S52" s="18">
        <v>41.603999999999999</v>
      </c>
      <c r="T52" s="18">
        <v>53.945999999999998</v>
      </c>
      <c r="U52" s="18">
        <v>44.856999999999999</v>
      </c>
      <c r="V52" s="18">
        <v>37.070999999999998</v>
      </c>
      <c r="W52" s="18">
        <v>31.975999999999999</v>
      </c>
      <c r="X52" s="18">
        <v>23.541</v>
      </c>
      <c r="Y52" s="18">
        <v>13.65</v>
      </c>
      <c r="Z52" s="18">
        <v>45.381</v>
      </c>
      <c r="AA52" s="18">
        <v>30.106000000000002</v>
      </c>
      <c r="AB52" s="18">
        <v>28.908999999999999</v>
      </c>
      <c r="AC52" s="18">
        <v>95.418999999999997</v>
      </c>
      <c r="AD52" s="18">
        <v>73.435000000000002</v>
      </c>
      <c r="AE52" s="18">
        <v>64.573999999999998</v>
      </c>
      <c r="AF52" s="18">
        <v>35.988999999999997</v>
      </c>
      <c r="AG52" s="18">
        <v>41.555</v>
      </c>
      <c r="AH52" s="18">
        <v>30.760999999999999</v>
      </c>
      <c r="AI52" s="18">
        <v>37.231000000000002</v>
      </c>
      <c r="AJ52" s="40">
        <v>25.73</v>
      </c>
      <c r="AK52" s="40">
        <v>34.014000000000003</v>
      </c>
      <c r="AL52" s="40">
        <v>29.172000000000001</v>
      </c>
      <c r="AM52" s="40">
        <v>60.795000000000002</v>
      </c>
      <c r="AN52" s="40">
        <v>31.486999999999998</v>
      </c>
      <c r="AO52" s="168">
        <v>69.965000000000003</v>
      </c>
      <c r="AP52" s="40">
        <v>25.294</v>
      </c>
      <c r="AQ52" s="40">
        <v>21.617999999999999</v>
      </c>
      <c r="AR52" s="40">
        <v>10.744</v>
      </c>
      <c r="AS52" s="40">
        <v>20.048999999999999</v>
      </c>
      <c r="AT52" s="40">
        <v>19.169</v>
      </c>
      <c r="AU52" s="40">
        <v>21.137</v>
      </c>
      <c r="AV52" s="40">
        <v>13.492000000000001</v>
      </c>
      <c r="AW52" s="40">
        <v>27.244</v>
      </c>
    </row>
    <row r="53" spans="1:49" ht="15" customHeight="1">
      <c r="A53" t="s">
        <v>121</v>
      </c>
      <c r="B53" s="11" t="str">
        <f>IF('Sumário | Summary'!P1=1,"Exigível a longo prazo","Long-term liabilities")</f>
        <v>Exigível a longo prazo</v>
      </c>
      <c r="C53" s="6">
        <v>849.88999999999987</v>
      </c>
      <c r="D53" s="6">
        <v>1036.7629999999999</v>
      </c>
      <c r="E53" s="6">
        <v>1121.2190000000001</v>
      </c>
      <c r="F53" s="6">
        <v>1183.4150000000004</v>
      </c>
      <c r="G53" s="6">
        <v>1423.271</v>
      </c>
      <c r="H53" s="6">
        <v>1774.0260000000003</v>
      </c>
      <c r="I53" s="6">
        <v>1938.386</v>
      </c>
      <c r="J53" s="6">
        <v>2029.2399999999998</v>
      </c>
      <c r="K53" s="6">
        <v>2404.7489999999998</v>
      </c>
      <c r="L53" s="6">
        <v>2252.9990000000003</v>
      </c>
      <c r="M53" s="6">
        <v>2220.1319999999996</v>
      </c>
      <c r="N53" s="6">
        <v>2279.5700000000006</v>
      </c>
      <c r="O53" s="6">
        <v>2254.4614000000001</v>
      </c>
      <c r="P53" s="6">
        <v>1980.0796</v>
      </c>
      <c r="Q53" s="6">
        <v>1937.6210000000001</v>
      </c>
      <c r="R53" s="6">
        <v>2038.31</v>
      </c>
      <c r="S53" s="6">
        <v>2208.6614</v>
      </c>
      <c r="T53" s="139">
        <f t="shared" ref="T53:AS53" si="6">SUM(T54:T64)</f>
        <v>2155.6120000000001</v>
      </c>
      <c r="U53" s="139">
        <f t="shared" si="6"/>
        <v>2086.2919999999999</v>
      </c>
      <c r="V53" s="139">
        <f t="shared" si="6"/>
        <v>1561.3020000000001</v>
      </c>
      <c r="W53" s="139">
        <f t="shared" si="6"/>
        <v>1429.6859999999999</v>
      </c>
      <c r="X53" s="139">
        <f t="shared" si="6"/>
        <v>1592.8700000000001</v>
      </c>
      <c r="Y53" s="139">
        <f t="shared" si="6"/>
        <v>1559.9669999999999</v>
      </c>
      <c r="Z53" s="139">
        <f t="shared" si="6"/>
        <v>1438.1939999999997</v>
      </c>
      <c r="AA53" s="139">
        <f t="shared" si="6"/>
        <v>1447.739</v>
      </c>
      <c r="AB53" s="139">
        <f t="shared" si="6"/>
        <v>1383.5340000000001</v>
      </c>
      <c r="AC53" s="139">
        <f t="shared" si="6"/>
        <v>1667.6620000000003</v>
      </c>
      <c r="AD53" s="139">
        <f t="shared" si="6"/>
        <v>1542.127</v>
      </c>
      <c r="AE53" s="139">
        <f t="shared" si="6"/>
        <v>1889.5809999999997</v>
      </c>
      <c r="AF53" s="139">
        <f t="shared" si="6"/>
        <v>1835.4670000000001</v>
      </c>
      <c r="AG53" s="139">
        <f t="shared" si="6"/>
        <v>1835.5810000000001</v>
      </c>
      <c r="AH53" s="139">
        <f t="shared" si="6"/>
        <v>1787.2070000000003</v>
      </c>
      <c r="AI53" s="139">
        <f t="shared" si="6"/>
        <v>1776.694</v>
      </c>
      <c r="AJ53" s="139">
        <f t="shared" si="6"/>
        <v>1705.825</v>
      </c>
      <c r="AK53" s="139">
        <f t="shared" si="6"/>
        <v>1910.6279999999999</v>
      </c>
      <c r="AL53" s="139">
        <f t="shared" si="6"/>
        <v>1865.8129999999999</v>
      </c>
      <c r="AM53" s="139">
        <f t="shared" si="6"/>
        <v>1787.1570000000002</v>
      </c>
      <c r="AN53" s="139">
        <f t="shared" si="6"/>
        <v>1714.5410000000002</v>
      </c>
      <c r="AO53" s="139">
        <f t="shared" si="6"/>
        <v>1541.1179999999999</v>
      </c>
      <c r="AP53" s="139">
        <f t="shared" si="6"/>
        <v>1402.6709999999998</v>
      </c>
      <c r="AQ53" s="139">
        <f t="shared" si="6"/>
        <v>1406.0540000000001</v>
      </c>
      <c r="AR53" s="139">
        <f t="shared" si="6"/>
        <v>1409.9869999999999</v>
      </c>
      <c r="AS53" s="139">
        <f t="shared" si="6"/>
        <v>1361.2080000000001</v>
      </c>
      <c r="AT53" s="139">
        <v>1359.1590000000001</v>
      </c>
      <c r="AU53" s="139">
        <v>1360.2080000000001</v>
      </c>
      <c r="AV53" s="139">
        <v>1286.546</v>
      </c>
      <c r="AW53" s="139">
        <f>SUM(AW54:AW64)</f>
        <v>1285.3959999999997</v>
      </c>
    </row>
    <row r="54" spans="1:49" ht="15" customHeight="1">
      <c r="A54" t="s">
        <v>194</v>
      </c>
      <c r="B54" s="21" t="str">
        <f>IF('Sumário | Summary'!P1=1,"Empréstimos e financiamentos","Loans and Financing")</f>
        <v>Empréstimos e financiamentos</v>
      </c>
      <c r="C54" s="5">
        <v>355.90699999999998</v>
      </c>
      <c r="D54" s="5">
        <v>413.642</v>
      </c>
      <c r="E54" s="5">
        <v>507.94</v>
      </c>
      <c r="F54" s="5">
        <v>580.01700000000005</v>
      </c>
      <c r="G54" s="5">
        <v>638.01199999999994</v>
      </c>
      <c r="H54" s="5">
        <v>870.61300000000006</v>
      </c>
      <c r="I54" s="5">
        <v>939.12599999999998</v>
      </c>
      <c r="J54" s="5">
        <v>1007.885</v>
      </c>
      <c r="K54" s="5">
        <v>1396.1289999999999</v>
      </c>
      <c r="L54" s="5">
        <v>1364.7909999999999</v>
      </c>
      <c r="M54" s="5">
        <v>1327.4380000000001</v>
      </c>
      <c r="N54" s="5">
        <v>1405.711</v>
      </c>
      <c r="O54" s="34">
        <v>1398.7370000000001</v>
      </c>
      <c r="P54" s="18">
        <v>1323.7339999999999</v>
      </c>
      <c r="Q54" s="18">
        <v>1303.21</v>
      </c>
      <c r="R54" s="18">
        <v>1295.383</v>
      </c>
      <c r="S54" s="18">
        <v>1268.972</v>
      </c>
      <c r="T54" s="18">
        <v>1264.2860000000001</v>
      </c>
      <c r="U54" s="18">
        <v>1200.076</v>
      </c>
      <c r="V54" s="18">
        <v>910.90599999999995</v>
      </c>
      <c r="W54" s="18">
        <v>895.82399999999996</v>
      </c>
      <c r="X54" s="18">
        <v>890.06500000000005</v>
      </c>
      <c r="Y54" s="18">
        <v>862.18200000000002</v>
      </c>
      <c r="Z54" s="18">
        <v>853.01300000000003</v>
      </c>
      <c r="AA54" s="18">
        <v>633.49599999999998</v>
      </c>
      <c r="AB54" s="18">
        <v>625.779</v>
      </c>
      <c r="AC54" s="18">
        <v>610.14300000000003</v>
      </c>
      <c r="AD54" s="18">
        <v>602.40700000000004</v>
      </c>
      <c r="AE54" s="40">
        <v>88.328999999999994</v>
      </c>
      <c r="AF54" s="18">
        <v>86.409000000000006</v>
      </c>
      <c r="AG54" s="18">
        <v>84.784999999999997</v>
      </c>
      <c r="AH54" s="18">
        <v>83.125</v>
      </c>
      <c r="AI54" s="18">
        <v>81.430999999999997</v>
      </c>
      <c r="AJ54" s="40">
        <v>79.7</v>
      </c>
      <c r="AK54" s="40">
        <v>77.932000000000002</v>
      </c>
      <c r="AL54" s="168">
        <v>76.126999999999995</v>
      </c>
      <c r="AM54" s="168">
        <v>0</v>
      </c>
      <c r="AN54" s="168">
        <v>0</v>
      </c>
      <c r="AO54" s="168">
        <v>0</v>
      </c>
      <c r="AP54" s="40">
        <v>0</v>
      </c>
      <c r="AQ54" s="40">
        <v>0</v>
      </c>
      <c r="AR54" s="40">
        <v>0</v>
      </c>
      <c r="AS54" s="40">
        <v>0</v>
      </c>
      <c r="AT54" s="40">
        <v>0</v>
      </c>
      <c r="AU54" s="40">
        <v>0</v>
      </c>
      <c r="AV54" s="40">
        <v>0</v>
      </c>
      <c r="AW54" s="40">
        <v>0</v>
      </c>
    </row>
    <row r="55" spans="1:49" ht="15" customHeight="1">
      <c r="A55" t="s">
        <v>195</v>
      </c>
      <c r="B55" s="21" t="str">
        <f>IF('Sumário | Summary'!P1=1,"Debêntures","Debentures")</f>
        <v>Debêntures</v>
      </c>
      <c r="C55" s="5">
        <v>470.12200000000001</v>
      </c>
      <c r="D55" s="5">
        <v>600.428</v>
      </c>
      <c r="E55" s="5">
        <v>587.58500000000004</v>
      </c>
      <c r="F55" s="5">
        <v>568.93700000000001</v>
      </c>
      <c r="G55" s="5">
        <v>752.01499999999999</v>
      </c>
      <c r="H55" s="5">
        <v>886.18200000000002</v>
      </c>
      <c r="I55" s="5">
        <v>870.81600000000003</v>
      </c>
      <c r="J55" s="5">
        <v>855.65599999999995</v>
      </c>
      <c r="K55" s="5">
        <v>840.38599999999997</v>
      </c>
      <c r="L55" s="5">
        <v>722.90899999999999</v>
      </c>
      <c r="M55" s="5">
        <v>707.62900000000002</v>
      </c>
      <c r="N55" s="5">
        <v>692.31700000000001</v>
      </c>
      <c r="O55" s="34">
        <v>680.13300000000004</v>
      </c>
      <c r="P55" s="18">
        <v>479.839</v>
      </c>
      <c r="Q55" s="18">
        <v>462.55200000000002</v>
      </c>
      <c r="R55" s="18">
        <v>439.70400000000001</v>
      </c>
      <c r="S55" s="18">
        <v>643.06600000000003</v>
      </c>
      <c r="T55" s="18">
        <v>606.89400000000001</v>
      </c>
      <c r="U55" s="18">
        <v>606.06600000000003</v>
      </c>
      <c r="V55" s="18">
        <v>490.238</v>
      </c>
      <c r="W55" s="18">
        <v>376.51299999999998</v>
      </c>
      <c r="X55" s="18">
        <v>670.27099999999996</v>
      </c>
      <c r="Y55" s="18">
        <v>669.351</v>
      </c>
      <c r="Z55" s="18">
        <v>560.81700000000001</v>
      </c>
      <c r="AA55" s="18">
        <v>792.5</v>
      </c>
      <c r="AB55" s="18">
        <v>744.61199999999997</v>
      </c>
      <c r="AC55" s="18">
        <v>1046.002</v>
      </c>
      <c r="AD55" s="18">
        <v>929.00699999999995</v>
      </c>
      <c r="AE55" s="40">
        <v>1384.9179999999999</v>
      </c>
      <c r="AF55" s="18">
        <v>1331.2650000000001</v>
      </c>
      <c r="AG55" s="18">
        <v>1334.83</v>
      </c>
      <c r="AH55" s="18">
        <v>1288.96</v>
      </c>
      <c r="AI55" s="18">
        <v>1277.8820000000001</v>
      </c>
      <c r="AJ55" s="40">
        <v>1208.3610000000001</v>
      </c>
      <c r="AK55" s="40">
        <v>1414.548</v>
      </c>
      <c r="AL55" s="40">
        <v>1374.654</v>
      </c>
      <c r="AM55" s="40">
        <v>1375.9760000000001</v>
      </c>
      <c r="AN55" s="40">
        <v>1302.6300000000001</v>
      </c>
      <c r="AO55" s="168">
        <v>1131.0519999999999</v>
      </c>
      <c r="AP55" s="40">
        <v>992.18399999999997</v>
      </c>
      <c r="AQ55" s="40">
        <v>993.26700000000005</v>
      </c>
      <c r="AR55" s="40">
        <v>997.30600000000004</v>
      </c>
      <c r="AS55" s="40">
        <v>952.04300000000001</v>
      </c>
      <c r="AT55" s="40">
        <v>949.899</v>
      </c>
      <c r="AU55" s="40">
        <v>949.78800000000001</v>
      </c>
      <c r="AV55" s="40">
        <v>878</v>
      </c>
      <c r="AW55" s="40">
        <v>878.18499999999995</v>
      </c>
    </row>
    <row r="56" spans="1:49" ht="15" customHeight="1">
      <c r="A56" t="s">
        <v>202</v>
      </c>
      <c r="B56" s="39" t="str">
        <f>IF('Sumário | Summary'!P1=1,"Notas Promissórias","Promissory Notes")</f>
        <v>Notas Promissórias</v>
      </c>
      <c r="C56" s="18">
        <v>0</v>
      </c>
      <c r="D56" s="18">
        <v>0</v>
      </c>
      <c r="E56" s="18">
        <v>0</v>
      </c>
      <c r="F56" s="18">
        <v>0</v>
      </c>
      <c r="G56" s="18">
        <v>0</v>
      </c>
      <c r="H56" s="18">
        <v>0</v>
      </c>
      <c r="I56" s="18">
        <v>0</v>
      </c>
      <c r="J56" s="18">
        <v>0</v>
      </c>
      <c r="K56" s="18">
        <v>0</v>
      </c>
      <c r="L56" s="18">
        <v>0</v>
      </c>
      <c r="M56" s="18">
        <v>0</v>
      </c>
      <c r="N56" s="18">
        <v>0</v>
      </c>
      <c r="O56" s="18">
        <v>0</v>
      </c>
      <c r="P56" s="18">
        <v>0</v>
      </c>
      <c r="Q56" s="18">
        <v>0</v>
      </c>
      <c r="R56" s="40">
        <v>135</v>
      </c>
      <c r="S56">
        <v>135</v>
      </c>
      <c r="T56" s="48">
        <v>127.5</v>
      </c>
      <c r="U56" s="48">
        <v>127.5</v>
      </c>
      <c r="V56" s="48">
        <v>120</v>
      </c>
      <c r="W56" s="40">
        <v>120</v>
      </c>
      <c r="X56" s="40">
        <v>0</v>
      </c>
      <c r="Y56" s="40">
        <v>0</v>
      </c>
      <c r="Z56" s="18">
        <v>0</v>
      </c>
      <c r="AA56" s="18">
        <v>0</v>
      </c>
      <c r="AB56" s="18">
        <v>0</v>
      </c>
      <c r="AC56" s="18">
        <v>0</v>
      </c>
      <c r="AD56" s="18">
        <v>0</v>
      </c>
      <c r="AE56" s="40">
        <v>0</v>
      </c>
      <c r="AF56" s="18">
        <v>0</v>
      </c>
      <c r="AG56" s="18">
        <v>0</v>
      </c>
      <c r="AH56" s="18">
        <v>0</v>
      </c>
      <c r="AI56" s="18">
        <v>0</v>
      </c>
      <c r="AJ56" s="40">
        <v>0</v>
      </c>
      <c r="AK56" s="40">
        <v>0</v>
      </c>
      <c r="AL56" s="40">
        <v>0</v>
      </c>
      <c r="AM56" s="40">
        <v>0</v>
      </c>
      <c r="AN56" s="40">
        <v>0</v>
      </c>
      <c r="AO56" s="168">
        <v>0</v>
      </c>
      <c r="AP56" s="40">
        <v>0</v>
      </c>
      <c r="AQ56" s="40">
        <v>0</v>
      </c>
      <c r="AR56" s="40">
        <v>0</v>
      </c>
      <c r="AS56" s="40">
        <v>0</v>
      </c>
      <c r="AT56" s="40">
        <v>0</v>
      </c>
      <c r="AU56" s="40">
        <v>0</v>
      </c>
      <c r="AV56" s="40">
        <v>0</v>
      </c>
      <c r="AW56" s="40">
        <v>0</v>
      </c>
    </row>
    <row r="57" spans="1:49" ht="15" customHeight="1">
      <c r="A57" t="s">
        <v>197</v>
      </c>
      <c r="B57" s="21" t="str">
        <f>IF('Sumário | Summary'!P1=1,"Impostos e contribuições diferidos","Tax and Contributions - Deferred")</f>
        <v>Impostos e contribuições diferidos</v>
      </c>
      <c r="C57" s="5">
        <v>3.6930000000000001</v>
      </c>
      <c r="D57" s="5">
        <v>2.9529999999999998</v>
      </c>
      <c r="E57" s="5">
        <v>3.5230000000000001</v>
      </c>
      <c r="F57" s="5">
        <v>3.8140000000000001</v>
      </c>
      <c r="G57" s="5">
        <v>4.242</v>
      </c>
      <c r="H57" s="5">
        <v>7.2210000000000001</v>
      </c>
      <c r="I57" s="5">
        <v>7.6319999999999997</v>
      </c>
      <c r="J57" s="5">
        <v>8.0440000000000005</v>
      </c>
      <c r="K57" s="5">
        <v>8.1560000000000006</v>
      </c>
      <c r="L57" s="5">
        <v>8.4849999999999994</v>
      </c>
      <c r="M57" s="5">
        <v>10.58</v>
      </c>
      <c r="N57" s="5">
        <v>10.146000000000001</v>
      </c>
      <c r="O57" s="34">
        <v>9.4740000000000002</v>
      </c>
      <c r="P57" s="18">
        <v>10.834</v>
      </c>
      <c r="Q57" s="18">
        <v>10.26</v>
      </c>
      <c r="R57" s="18">
        <v>9.7110000000000003</v>
      </c>
      <c r="S57" s="18">
        <v>8.8040000000000003</v>
      </c>
      <c r="T57" s="18">
        <v>8.0690000000000008</v>
      </c>
      <c r="U57" s="18">
        <v>7.423</v>
      </c>
      <c r="V57" s="18">
        <v>6.8239999999999998</v>
      </c>
      <c r="W57" s="18">
        <v>6.2640000000000002</v>
      </c>
      <c r="X57" s="18">
        <v>5.4509999999999996</v>
      </c>
      <c r="Y57" s="18">
        <v>4.859</v>
      </c>
      <c r="Z57" s="18">
        <v>4.0419999999999998</v>
      </c>
      <c r="AA57" s="18">
        <v>3.5249999999999999</v>
      </c>
      <c r="AB57" s="18">
        <v>3.1920000000000002</v>
      </c>
      <c r="AC57" s="18">
        <v>2.8039999999999998</v>
      </c>
      <c r="AD57" s="18">
        <v>2.4180000000000001</v>
      </c>
      <c r="AE57" s="40">
        <v>2.2010000000000001</v>
      </c>
      <c r="AF57" s="18">
        <v>1.9139999999999999</v>
      </c>
      <c r="AG57" s="18">
        <v>1.7470000000000001</v>
      </c>
      <c r="AH57" s="18">
        <v>1.641</v>
      </c>
      <c r="AI57" s="18">
        <v>1.54</v>
      </c>
      <c r="AJ57" s="40">
        <v>1.536</v>
      </c>
      <c r="AK57" s="40">
        <v>1.373</v>
      </c>
      <c r="AL57" s="40">
        <v>1.446</v>
      </c>
      <c r="AM57" s="40">
        <v>1.3480000000000001</v>
      </c>
      <c r="AN57" s="40">
        <v>1.407</v>
      </c>
      <c r="AO57" s="168">
        <v>1.3</v>
      </c>
      <c r="AP57" s="40">
        <v>1.2629999999999999</v>
      </c>
      <c r="AQ57" s="40">
        <v>1.2070000000000001</v>
      </c>
      <c r="AR57" s="40">
        <v>1.131</v>
      </c>
      <c r="AS57" s="40">
        <v>1.1339999999999999</v>
      </c>
      <c r="AT57" s="40">
        <v>1.1890000000000001</v>
      </c>
      <c r="AU57" s="40">
        <v>1.1830000000000001</v>
      </c>
      <c r="AV57" s="40">
        <v>1.119</v>
      </c>
      <c r="AW57" s="40">
        <v>0.59099999999999997</v>
      </c>
    </row>
    <row r="58" spans="1:49">
      <c r="A58" t="s">
        <v>198</v>
      </c>
      <c r="B58" s="28" t="str">
        <f>IF('Sumário | Summary'!P1=1,"Receita res-sperata a apropriar","Key Money to be Recognized")</f>
        <v>Receita res-sperata a apropriar</v>
      </c>
      <c r="C58" s="5">
        <v>0</v>
      </c>
      <c r="D58" s="5">
        <v>0</v>
      </c>
      <c r="E58" s="5">
        <v>0</v>
      </c>
      <c r="F58" s="5">
        <v>0</v>
      </c>
      <c r="G58" s="5">
        <v>21.782</v>
      </c>
      <c r="H58" s="5">
        <v>4.4390000000000001</v>
      </c>
      <c r="I58" s="5">
        <v>7.9489999999999998</v>
      </c>
      <c r="J58" s="5">
        <v>44.792000000000002</v>
      </c>
      <c r="K58" s="5">
        <v>47.207000000000001</v>
      </c>
      <c r="L58" s="5">
        <v>43.942999999999998</v>
      </c>
      <c r="M58" s="5">
        <v>61.622</v>
      </c>
      <c r="N58" s="5">
        <v>58.603000000000002</v>
      </c>
      <c r="O58" s="34">
        <v>53.465400000000002</v>
      </c>
      <c r="P58" s="18">
        <v>53.349599999999995</v>
      </c>
      <c r="Q58" s="18">
        <v>50.357999999999997</v>
      </c>
      <c r="R58" s="18">
        <v>47.341999999999999</v>
      </c>
      <c r="S58" s="18">
        <v>42.6464</v>
      </c>
      <c r="T58" s="18">
        <v>38.761000000000003</v>
      </c>
      <c r="U58" s="18">
        <v>35.29</v>
      </c>
      <c r="V58" s="18">
        <v>32.113</v>
      </c>
      <c r="W58" s="18">
        <v>29.477</v>
      </c>
      <c r="X58" s="18">
        <v>25.651</v>
      </c>
      <c r="Y58" s="18">
        <v>22.867000000000001</v>
      </c>
      <c r="Z58" s="18">
        <v>18.07</v>
      </c>
      <c r="AA58" s="18">
        <v>16.59</v>
      </c>
      <c r="AB58" s="18">
        <v>8.3230000000000004</v>
      </c>
      <c r="AC58" s="18">
        <v>7.0919999999999996</v>
      </c>
      <c r="AD58" s="18">
        <v>6.5819999999999999</v>
      </c>
      <c r="AE58" s="40">
        <v>6.08</v>
      </c>
      <c r="AF58" s="18">
        <v>7.016</v>
      </c>
      <c r="AG58" s="18">
        <v>6.4729999999999999</v>
      </c>
      <c r="AH58" s="18">
        <v>6.1219999999999999</v>
      </c>
      <c r="AI58" s="18">
        <v>5.8710000000000004</v>
      </c>
      <c r="AJ58" s="40">
        <v>5.79</v>
      </c>
      <c r="AK58" s="40">
        <v>5.2220000000000004</v>
      </c>
      <c r="AL58" s="40">
        <v>5.9889999999999999</v>
      </c>
      <c r="AM58" s="40">
        <v>5.4989999999999997</v>
      </c>
      <c r="AN58" s="40">
        <v>5.64</v>
      </c>
      <c r="AO58" s="168">
        <v>4.968</v>
      </c>
      <c r="AP58" s="40">
        <v>4.9770000000000003</v>
      </c>
      <c r="AQ58" s="40">
        <v>5.79</v>
      </c>
      <c r="AR58" s="40">
        <v>5.3810000000000002</v>
      </c>
      <c r="AS58" s="40">
        <v>4.0629999999999997</v>
      </c>
      <c r="AT58" s="40">
        <v>4.5620000000000003</v>
      </c>
      <c r="AU58" s="40">
        <v>4.3010000000000002</v>
      </c>
      <c r="AV58" s="40">
        <v>3.7170000000000001</v>
      </c>
      <c r="AW58" s="40">
        <v>2.1440000000000001</v>
      </c>
    </row>
    <row r="59" spans="1:49">
      <c r="A59" t="s">
        <v>199</v>
      </c>
      <c r="B59" s="28" t="str">
        <f>IF('Sumário | Summary'!P1=1,"Demais contas a pagar","Other accounts payable")</f>
        <v>Demais contas a pagar</v>
      </c>
      <c r="C59" s="5">
        <v>5.9349999999999996</v>
      </c>
      <c r="D59" s="5">
        <v>2.415</v>
      </c>
      <c r="E59" s="5">
        <v>0.73099999999999998</v>
      </c>
      <c r="F59" s="5">
        <v>0.44</v>
      </c>
      <c r="G59" s="5">
        <v>0.86699999999999999</v>
      </c>
      <c r="H59" s="5">
        <v>0.48699999999999999</v>
      </c>
      <c r="I59" s="5">
        <v>0</v>
      </c>
      <c r="J59" s="5">
        <v>0</v>
      </c>
      <c r="K59" s="5">
        <v>0</v>
      </c>
      <c r="L59" s="5" t="s">
        <v>18</v>
      </c>
      <c r="M59" s="5">
        <v>0</v>
      </c>
      <c r="N59" s="5">
        <v>0</v>
      </c>
      <c r="O59" s="31">
        <v>0</v>
      </c>
      <c r="P59" s="18">
        <v>0.97699999999999998</v>
      </c>
      <c r="Q59" s="18">
        <v>0</v>
      </c>
      <c r="R59" s="18">
        <v>0</v>
      </c>
      <c r="S59" s="18">
        <v>0</v>
      </c>
      <c r="T59" s="18">
        <v>0</v>
      </c>
      <c r="U59" s="18">
        <v>0</v>
      </c>
      <c r="V59" s="18">
        <v>0</v>
      </c>
      <c r="W59" s="18">
        <v>0</v>
      </c>
      <c r="X59" s="18">
        <v>0</v>
      </c>
      <c r="Y59" s="18">
        <v>0</v>
      </c>
      <c r="Z59" s="18">
        <v>0</v>
      </c>
      <c r="AA59" s="18">
        <v>0</v>
      </c>
      <c r="AB59" s="18">
        <v>0</v>
      </c>
      <c r="AC59" s="18">
        <v>0</v>
      </c>
      <c r="AD59" s="18">
        <v>0</v>
      </c>
      <c r="AE59" s="40">
        <v>5.2489999999999997</v>
      </c>
      <c r="AF59" s="18">
        <v>4.96</v>
      </c>
      <c r="AG59" s="18">
        <v>4.7309999999999999</v>
      </c>
      <c r="AH59" s="18">
        <v>4.5049999999999999</v>
      </c>
      <c r="AI59" s="18">
        <v>4.282</v>
      </c>
      <c r="AJ59" s="40">
        <v>3.9910000000000001</v>
      </c>
      <c r="AK59" s="40">
        <v>3.8479999999999999</v>
      </c>
      <c r="AL59" s="40">
        <v>4.4669999999999996</v>
      </c>
      <c r="AM59" s="40">
        <v>4.2089999999999996</v>
      </c>
      <c r="AN59" s="40">
        <v>4.21</v>
      </c>
      <c r="AO59" s="168">
        <v>3.7050000000000001</v>
      </c>
      <c r="AP59" s="40">
        <v>3.4580000000000002</v>
      </c>
      <c r="AQ59" s="40">
        <v>3.2149999999999999</v>
      </c>
      <c r="AR59" s="40">
        <v>2.9750000000000001</v>
      </c>
      <c r="AS59" s="40">
        <v>0</v>
      </c>
      <c r="AT59" s="40">
        <v>0</v>
      </c>
      <c r="AU59" s="40">
        <v>1.083</v>
      </c>
      <c r="AV59" s="40">
        <v>0.94199999999999995</v>
      </c>
      <c r="AW59" s="40">
        <v>1.829</v>
      </c>
    </row>
    <row r="60" spans="1:49" ht="15" customHeight="1">
      <c r="A60" t="s">
        <v>196</v>
      </c>
      <c r="B60" s="28" t="str">
        <f>IF('Sumário | Summary'!P1=1,"Contas a pagar por aquisição de imóveis","Accounts payable due to real estate acquisition")</f>
        <v>Contas a pagar por aquisição de imóveis</v>
      </c>
      <c r="C60" s="5">
        <v>0</v>
      </c>
      <c r="D60" s="5">
        <v>0</v>
      </c>
      <c r="E60" s="5">
        <v>0</v>
      </c>
      <c r="F60" s="5">
        <v>6.226</v>
      </c>
      <c r="G60" s="5">
        <v>1.2689999999999999</v>
      </c>
      <c r="H60" s="5">
        <v>0</v>
      </c>
      <c r="I60" s="5">
        <v>108.51300000000001</v>
      </c>
      <c r="J60" s="5">
        <v>0</v>
      </c>
      <c r="K60" s="5">
        <v>0</v>
      </c>
      <c r="L60" s="5" t="s">
        <v>18</v>
      </c>
      <c r="M60" s="5">
        <v>0</v>
      </c>
      <c r="N60" s="5">
        <v>0</v>
      </c>
      <c r="O60" s="31">
        <v>0</v>
      </c>
      <c r="P60" s="18">
        <v>0</v>
      </c>
      <c r="Q60" s="18">
        <v>0</v>
      </c>
      <c r="R60" s="18">
        <v>0</v>
      </c>
      <c r="S60" s="18">
        <v>0</v>
      </c>
      <c r="T60" s="18">
        <v>0</v>
      </c>
      <c r="U60" s="18">
        <v>0</v>
      </c>
      <c r="V60" s="18">
        <v>0</v>
      </c>
      <c r="W60" s="18">
        <v>0</v>
      </c>
      <c r="X60" s="18">
        <v>0</v>
      </c>
      <c r="Y60" s="18">
        <v>0</v>
      </c>
      <c r="Z60" s="18">
        <v>0</v>
      </c>
      <c r="AA60" s="18">
        <v>0</v>
      </c>
      <c r="AB60" s="40">
        <v>0</v>
      </c>
      <c r="AC60" s="18">
        <v>0</v>
      </c>
      <c r="AD60" s="18">
        <v>0</v>
      </c>
      <c r="AE60" s="40">
        <v>394.98399999999998</v>
      </c>
      <c r="AF60" s="18">
        <v>396.08199999999999</v>
      </c>
      <c r="AG60" s="18">
        <v>395.93700000000001</v>
      </c>
      <c r="AH60" s="18">
        <v>395.77600000000001</v>
      </c>
      <c r="AI60" s="18">
        <v>395.92500000000001</v>
      </c>
      <c r="AJ60" s="40">
        <v>396.02100000000002</v>
      </c>
      <c r="AK60" s="40">
        <v>396.02800000000002</v>
      </c>
      <c r="AL60" s="40">
        <v>396.11799999999999</v>
      </c>
      <c r="AM60" s="40">
        <v>396.40800000000002</v>
      </c>
      <c r="AN60" s="40">
        <v>396.55</v>
      </c>
      <c r="AO60" s="168">
        <v>395.77600000000001</v>
      </c>
      <c r="AP60" s="40">
        <v>395.77600000000001</v>
      </c>
      <c r="AQ60" s="40">
        <v>395.77600000000001</v>
      </c>
      <c r="AR60" s="40">
        <v>395.77600000000001</v>
      </c>
      <c r="AS60" s="40">
        <v>395.77600000000001</v>
      </c>
      <c r="AT60" s="40">
        <v>395.77600000000001</v>
      </c>
      <c r="AU60" s="40">
        <v>395.77600000000001</v>
      </c>
      <c r="AV60" s="40">
        <v>395.77600000000001</v>
      </c>
      <c r="AW60" s="40">
        <v>395.77600000000001</v>
      </c>
    </row>
    <row r="61" spans="1:49" ht="15" customHeight="1">
      <c r="A61" t="s">
        <v>200</v>
      </c>
      <c r="B61" s="21" t="str">
        <f>IF('Sumário | Summary'!P1=1,"Provisões para riscos trabalhistas, fiscais e cíveis","Provisions for labor, tax and civil contingencies")</f>
        <v>Provisões para riscos trabalhistas, fiscais e cíveis</v>
      </c>
      <c r="C61" s="5">
        <v>6.6020000000000003</v>
      </c>
      <c r="D61" s="5">
        <v>6.6020000000000003</v>
      </c>
      <c r="E61" s="5">
        <v>6.6020000000000003</v>
      </c>
      <c r="F61" s="5">
        <v>5.1219999999999999</v>
      </c>
      <c r="G61" s="5">
        <v>5.0839999999999996</v>
      </c>
      <c r="H61" s="5">
        <v>5.0839999999999996</v>
      </c>
      <c r="I61" s="5">
        <v>4.3499999999999996</v>
      </c>
      <c r="J61" s="5">
        <v>4.3499999999999996</v>
      </c>
      <c r="K61" s="5">
        <v>4.3579999999999997</v>
      </c>
      <c r="L61" s="5">
        <v>4.3579999999999997</v>
      </c>
      <c r="M61" s="5">
        <v>4.3499999999999996</v>
      </c>
      <c r="N61" s="5">
        <v>4.28</v>
      </c>
      <c r="O61" s="34">
        <v>4.1390000000000002</v>
      </c>
      <c r="P61" s="18">
        <v>2.8330000000000002</v>
      </c>
      <c r="Q61" s="18">
        <v>2.7280000000000002</v>
      </c>
      <c r="R61" s="18">
        <v>2.657</v>
      </c>
      <c r="S61" s="40">
        <v>1.66</v>
      </c>
      <c r="T61" s="40">
        <v>1.589</v>
      </c>
      <c r="U61" s="40">
        <v>1.4239999999999999</v>
      </c>
      <c r="V61" s="40">
        <v>1.2210000000000001</v>
      </c>
      <c r="W61" s="18">
        <v>1.6080000000000001</v>
      </c>
      <c r="X61" s="18">
        <v>1.4319999999999999</v>
      </c>
      <c r="Y61" s="18">
        <v>0.70799999999999996</v>
      </c>
      <c r="Z61" s="18">
        <v>2.2519999999999998</v>
      </c>
      <c r="AA61" s="18">
        <v>1.6279999999999999</v>
      </c>
      <c r="AB61" s="40">
        <v>1.6279999999999999</v>
      </c>
      <c r="AC61" s="18">
        <v>1.621</v>
      </c>
      <c r="AD61" s="18">
        <v>1.7130000000000001</v>
      </c>
      <c r="AE61" s="40">
        <v>7.82</v>
      </c>
      <c r="AF61" s="18">
        <v>7.8209999999999997</v>
      </c>
      <c r="AG61" s="18">
        <v>7.0780000000000003</v>
      </c>
      <c r="AH61" s="18">
        <v>7.0780000000000003</v>
      </c>
      <c r="AI61" s="18">
        <v>9.7629999999999999</v>
      </c>
      <c r="AJ61" s="40">
        <v>10.426</v>
      </c>
      <c r="AK61" s="40">
        <v>11.677</v>
      </c>
      <c r="AL61" s="40">
        <v>7.0119999999999996</v>
      </c>
      <c r="AM61" s="40">
        <v>3.7170000000000001</v>
      </c>
      <c r="AN61" s="40">
        <v>4.1040000000000001</v>
      </c>
      <c r="AO61" s="168">
        <v>4.3170000000000002</v>
      </c>
      <c r="AP61" s="40">
        <v>5.0129999999999999</v>
      </c>
      <c r="AQ61" s="40">
        <v>4.54</v>
      </c>
      <c r="AR61" s="40">
        <v>4.4429999999999996</v>
      </c>
      <c r="AS61" s="40">
        <v>5.4530000000000003</v>
      </c>
      <c r="AT61" s="40">
        <v>5.2270000000000003</v>
      </c>
      <c r="AU61" s="40">
        <v>5.8</v>
      </c>
      <c r="AV61" s="40">
        <v>4.9409999999999998</v>
      </c>
      <c r="AW61" s="40">
        <v>5.0419999999999998</v>
      </c>
    </row>
    <row r="62" spans="1:49">
      <c r="A62" t="s">
        <v>201</v>
      </c>
      <c r="B62" s="28" t="str">
        <f>IF('Sumário | Summary'!P1=1,"Adiantamentos de clientes - permuta","Advances from customers - exchange")</f>
        <v>Adiantamentos de clientes - permuta</v>
      </c>
      <c r="C62" s="5">
        <v>0</v>
      </c>
      <c r="D62" s="5">
        <v>0</v>
      </c>
      <c r="E62" s="5">
        <v>0</v>
      </c>
      <c r="F62" s="5">
        <v>0</v>
      </c>
      <c r="G62" s="5">
        <v>0</v>
      </c>
      <c r="H62" s="5">
        <v>0</v>
      </c>
      <c r="I62" s="5">
        <v>0</v>
      </c>
      <c r="J62" s="5">
        <v>108.51300000000001</v>
      </c>
      <c r="K62" s="5">
        <v>108.51300000000001</v>
      </c>
      <c r="L62" s="5">
        <v>108.51300000000001</v>
      </c>
      <c r="M62" s="5">
        <v>108.51300000000001</v>
      </c>
      <c r="N62" s="5">
        <v>108.51300000000001</v>
      </c>
      <c r="O62" s="34">
        <v>108.51300000000001</v>
      </c>
      <c r="P62" s="18">
        <v>108.51300000000001</v>
      </c>
      <c r="Q62" s="18">
        <v>108.51300000000001</v>
      </c>
      <c r="R62" s="18">
        <v>108.51300000000001</v>
      </c>
      <c r="S62" s="18">
        <v>108.51300000000001</v>
      </c>
      <c r="T62" s="18">
        <v>108.51300000000001</v>
      </c>
      <c r="U62" s="18">
        <v>108.51300000000001</v>
      </c>
      <c r="V62" s="18">
        <v>0</v>
      </c>
      <c r="W62" s="18">
        <v>0</v>
      </c>
      <c r="X62" s="18">
        <v>0</v>
      </c>
      <c r="Y62" s="18">
        <v>0</v>
      </c>
      <c r="Z62" s="18">
        <v>0</v>
      </c>
      <c r="AA62" s="18">
        <v>0</v>
      </c>
      <c r="AB62" s="18">
        <v>0</v>
      </c>
      <c r="AC62" s="18">
        <v>0</v>
      </c>
      <c r="AD62" s="18">
        <v>0</v>
      </c>
      <c r="AE62" s="40">
        <v>0</v>
      </c>
      <c r="AF62" s="18">
        <v>0</v>
      </c>
      <c r="AG62" s="18">
        <v>0</v>
      </c>
      <c r="AH62" s="18">
        <v>0</v>
      </c>
      <c r="AI62" s="18">
        <v>0</v>
      </c>
      <c r="AJ62" s="40">
        <v>0</v>
      </c>
      <c r="AK62" s="40">
        <v>0</v>
      </c>
      <c r="AL62" s="40">
        <v>0</v>
      </c>
      <c r="AM62" s="40">
        <v>0</v>
      </c>
      <c r="AN62" s="40">
        <v>0</v>
      </c>
      <c r="AO62" s="168">
        <v>0</v>
      </c>
      <c r="AP62" s="40">
        <v>0</v>
      </c>
      <c r="AQ62" s="40">
        <v>0</v>
      </c>
      <c r="AR62" s="40">
        <v>0</v>
      </c>
      <c r="AS62" s="40">
        <v>0</v>
      </c>
      <c r="AT62" s="40">
        <v>0</v>
      </c>
      <c r="AU62" s="40">
        <v>0</v>
      </c>
      <c r="AV62" s="40">
        <v>0</v>
      </c>
      <c r="AW62" s="40">
        <v>0</v>
      </c>
    </row>
    <row r="63" spans="1:49" ht="15.75" customHeight="1">
      <c r="A63" t="s">
        <v>120</v>
      </c>
      <c r="B63" s="28" t="str">
        <f>IF('Sumário | Summary'!P1=1,"CDU a apropriar","Key Money to Recognize ")</f>
        <v>CDU a apropriar</v>
      </c>
      <c r="C63" s="5">
        <v>7.6310000000000002</v>
      </c>
      <c r="D63" s="5">
        <v>10.723000000000001</v>
      </c>
      <c r="E63" s="5">
        <v>14.837999999999999</v>
      </c>
      <c r="F63" s="5">
        <v>18.859000000000002</v>
      </c>
      <c r="G63" s="5">
        <v>0</v>
      </c>
      <c r="H63" s="5">
        <v>0</v>
      </c>
      <c r="I63" s="5">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40">
        <v>0</v>
      </c>
      <c r="AF63" s="130">
        <v>0</v>
      </c>
      <c r="AG63" s="130">
        <v>0</v>
      </c>
      <c r="AH63" s="130">
        <v>0</v>
      </c>
      <c r="AI63" s="130">
        <v>0</v>
      </c>
      <c r="AJ63" s="132">
        <v>0</v>
      </c>
      <c r="AK63" s="40">
        <v>0</v>
      </c>
      <c r="AL63" s="40">
        <v>0</v>
      </c>
      <c r="AM63" s="40">
        <v>0</v>
      </c>
      <c r="AN63" s="40">
        <v>0</v>
      </c>
      <c r="AO63" s="168">
        <v>0</v>
      </c>
      <c r="AP63" s="40">
        <v>0</v>
      </c>
      <c r="AQ63" s="40">
        <v>0</v>
      </c>
      <c r="AR63" s="40">
        <v>0</v>
      </c>
      <c r="AS63" s="40">
        <v>0</v>
      </c>
      <c r="AT63" s="40">
        <v>0</v>
      </c>
      <c r="AU63" s="40">
        <v>0</v>
      </c>
      <c r="AV63" s="40">
        <v>0</v>
      </c>
      <c r="AW63" s="40">
        <v>0</v>
      </c>
    </row>
    <row r="64" spans="1:49" ht="15" customHeight="1">
      <c r="A64" t="s">
        <v>279</v>
      </c>
      <c r="B64" s="28" t="str">
        <f>IF('Sumário | Summary'!P1=1,"Passivo de arrendamento","Lease liability ")</f>
        <v>Passivo de arrendamento</v>
      </c>
      <c r="C64" s="40">
        <v>0</v>
      </c>
      <c r="D64" s="40">
        <v>0</v>
      </c>
      <c r="E64" s="40">
        <v>0</v>
      </c>
      <c r="F64" s="40">
        <v>0</v>
      </c>
      <c r="G64" s="40">
        <v>0</v>
      </c>
      <c r="H64" s="40">
        <v>0</v>
      </c>
      <c r="I64" s="40">
        <v>0</v>
      </c>
      <c r="J64" s="40">
        <v>0</v>
      </c>
      <c r="K64" s="40">
        <v>0</v>
      </c>
      <c r="L64" s="40">
        <v>0</v>
      </c>
      <c r="M64" s="40">
        <v>0</v>
      </c>
      <c r="N64" s="40">
        <v>0</v>
      </c>
      <c r="O64" s="40">
        <v>0</v>
      </c>
      <c r="P64" s="40">
        <v>0</v>
      </c>
      <c r="Q64" s="40">
        <v>0</v>
      </c>
      <c r="R64" s="40">
        <v>0</v>
      </c>
      <c r="S64" s="40">
        <v>0</v>
      </c>
      <c r="T64" s="40">
        <v>0</v>
      </c>
      <c r="U64" s="40">
        <v>0</v>
      </c>
      <c r="V64" s="40">
        <v>0</v>
      </c>
      <c r="W64" s="40">
        <v>0</v>
      </c>
      <c r="X64" s="40">
        <v>0</v>
      </c>
      <c r="Y64" s="40">
        <v>0</v>
      </c>
      <c r="Z64" s="40">
        <v>0</v>
      </c>
      <c r="AA64" s="40">
        <v>0</v>
      </c>
      <c r="AB64" s="40">
        <v>0</v>
      </c>
      <c r="AC64" s="40">
        <v>0</v>
      </c>
      <c r="AD64" s="40">
        <v>0</v>
      </c>
      <c r="AE64" s="40">
        <v>0</v>
      </c>
      <c r="AF64" s="40">
        <v>0</v>
      </c>
      <c r="AG64" s="40">
        <v>0</v>
      </c>
      <c r="AH64" s="40">
        <v>0</v>
      </c>
      <c r="AI64" s="40">
        <v>0</v>
      </c>
      <c r="AJ64" s="40">
        <v>0</v>
      </c>
      <c r="AK64" s="40">
        <v>0</v>
      </c>
      <c r="AL64" s="40">
        <v>0</v>
      </c>
      <c r="AM64" s="40">
        <v>0</v>
      </c>
      <c r="AN64" s="40">
        <v>0</v>
      </c>
      <c r="AO64" s="40">
        <v>0</v>
      </c>
      <c r="AP64" s="40">
        <v>0</v>
      </c>
      <c r="AQ64" s="40">
        <v>2.2589999999999999</v>
      </c>
      <c r="AR64" s="40">
        <v>2.9750000000000001</v>
      </c>
      <c r="AS64" s="40">
        <v>2.7389999999999999</v>
      </c>
      <c r="AT64" s="40">
        <v>2.5059999999999998</v>
      </c>
      <c r="AU64" s="40">
        <v>2.2770000000000001</v>
      </c>
      <c r="AV64" s="40">
        <v>2.0510000000000002</v>
      </c>
      <c r="AW64" s="40">
        <v>1.829</v>
      </c>
    </row>
    <row r="65" spans="1:49" s="30" customFormat="1">
      <c r="A65" t="s">
        <v>122</v>
      </c>
      <c r="B65" s="11" t="str">
        <f>IF('Sumário | Summary'!P1=1,"Participação de não controladores","Minority Shareholders")</f>
        <v>Participação de não controladores</v>
      </c>
      <c r="C65" s="6">
        <v>409.99</v>
      </c>
      <c r="D65" s="6">
        <v>420.42</v>
      </c>
      <c r="E65" s="6">
        <v>413.36200000000002</v>
      </c>
      <c r="F65" s="6">
        <v>466.14400000000001</v>
      </c>
      <c r="G65" s="6">
        <v>545.76700000000005</v>
      </c>
      <c r="H65" s="6">
        <v>697.33799999999997</v>
      </c>
      <c r="I65" s="6">
        <v>714.53099999999995</v>
      </c>
      <c r="J65" s="6">
        <v>772.90899999999999</v>
      </c>
      <c r="K65" s="6">
        <v>768.11699999999996</v>
      </c>
      <c r="L65" s="6">
        <v>800.54100000000005</v>
      </c>
      <c r="M65" s="6">
        <v>831.77599999999995</v>
      </c>
      <c r="N65" s="6">
        <v>879.56399999999996</v>
      </c>
      <c r="O65" s="33">
        <v>884.22299999999996</v>
      </c>
      <c r="P65" s="6">
        <v>903.64200000000005</v>
      </c>
      <c r="Q65" s="6">
        <v>916.37699999999995</v>
      </c>
      <c r="R65" s="6">
        <v>938.375</v>
      </c>
      <c r="S65" s="6">
        <v>936.63</v>
      </c>
      <c r="T65" s="6">
        <v>936.37</v>
      </c>
      <c r="U65" s="6">
        <v>941.95</v>
      </c>
      <c r="V65" s="6">
        <v>707.90499999999997</v>
      </c>
      <c r="W65" s="6">
        <v>717.45500000000004</v>
      </c>
      <c r="X65" s="6">
        <v>719.96799999999996</v>
      </c>
      <c r="Y65" s="6">
        <v>719.81100000000004</v>
      </c>
      <c r="Z65" s="6">
        <v>732.30899999999997</v>
      </c>
      <c r="AA65" s="6">
        <v>729.09500000000003</v>
      </c>
      <c r="AB65" s="6">
        <v>732.47199999999998</v>
      </c>
      <c r="AC65" s="6">
        <v>735.63300000000004</v>
      </c>
      <c r="AD65" s="6">
        <v>739.80799999999999</v>
      </c>
      <c r="AE65" s="6">
        <v>1258.77</v>
      </c>
      <c r="AF65" s="6">
        <v>1285.597</v>
      </c>
      <c r="AG65" s="6">
        <v>1281.511</v>
      </c>
      <c r="AH65" s="6">
        <v>1284.133</v>
      </c>
      <c r="AI65" s="6">
        <v>1312.596</v>
      </c>
      <c r="AJ65" s="139">
        <v>1318.375</v>
      </c>
      <c r="AK65" s="139">
        <v>1313.288</v>
      </c>
      <c r="AL65" s="139">
        <v>1324.175</v>
      </c>
      <c r="AM65" s="139">
        <v>1109.2070000000001</v>
      </c>
      <c r="AN65" s="139">
        <v>1148.595</v>
      </c>
      <c r="AO65" s="190">
        <v>1139.096</v>
      </c>
      <c r="AP65" s="139">
        <v>1138.4649999999999</v>
      </c>
      <c r="AQ65" s="139">
        <v>1048.019324592</v>
      </c>
      <c r="AR65" s="139">
        <v>1050.2380000000001</v>
      </c>
      <c r="AS65" s="139">
        <v>1042.1880000000001</v>
      </c>
      <c r="AT65" s="139">
        <v>1049.606</v>
      </c>
      <c r="AU65" s="139">
        <v>1049.0989999999999</v>
      </c>
      <c r="AV65" s="139">
        <v>853.23099999999999</v>
      </c>
      <c r="AW65" s="139">
        <v>916.47199999999998</v>
      </c>
    </row>
    <row r="66" spans="1:49">
      <c r="A66" t="s">
        <v>123</v>
      </c>
      <c r="B66" s="11" t="str">
        <f>IF('Sumário | Summary'!P1=1,"Patrimônio Líquido","Shareholders' Equity")</f>
        <v>Patrimônio Líquido</v>
      </c>
      <c r="C66" s="6">
        <v>628.50300000000004</v>
      </c>
      <c r="D66" s="6">
        <v>637.61599999999999</v>
      </c>
      <c r="E66" s="6">
        <v>669.12</v>
      </c>
      <c r="F66" s="6">
        <v>709.80399999999997</v>
      </c>
      <c r="G66" s="6">
        <v>699.14200000000005</v>
      </c>
      <c r="H66" s="6">
        <v>737.80499999999995</v>
      </c>
      <c r="I66" s="6">
        <v>757.69</v>
      </c>
      <c r="J66" s="6">
        <v>787.30799999999999</v>
      </c>
      <c r="K66" s="6">
        <v>773.83699999999999</v>
      </c>
      <c r="L66" s="6">
        <v>770.471</v>
      </c>
      <c r="M66" s="6">
        <v>788.79300000000001</v>
      </c>
      <c r="N66" s="6">
        <v>1201.9159999999999</v>
      </c>
      <c r="O66" s="33">
        <v>1200.5999999999999</v>
      </c>
      <c r="P66" s="6">
        <v>1203.087</v>
      </c>
      <c r="Q66" s="6">
        <v>1190.171</v>
      </c>
      <c r="R66" s="6">
        <v>1173.2329999999999</v>
      </c>
      <c r="S66" s="6">
        <v>1175.68</v>
      </c>
      <c r="T66" s="139">
        <f t="shared" ref="T66:AS66" si="7">T6-T35-T65</f>
        <v>1155.4390000000003</v>
      </c>
      <c r="U66" s="139">
        <f t="shared" si="7"/>
        <v>1132.8179999999995</v>
      </c>
      <c r="V66" s="139">
        <f t="shared" si="7"/>
        <v>1168.0679999999998</v>
      </c>
      <c r="W66" s="139">
        <f t="shared" si="7"/>
        <v>1161.0079999999998</v>
      </c>
      <c r="X66" s="139">
        <f t="shared" si="7"/>
        <v>1168.5549999999994</v>
      </c>
      <c r="Y66" s="139">
        <f t="shared" si="7"/>
        <v>1194.58</v>
      </c>
      <c r="Z66" s="139">
        <f t="shared" si="7"/>
        <v>1179.2020000000005</v>
      </c>
      <c r="AA66" s="139">
        <f t="shared" si="7"/>
        <v>1045.4229999999991</v>
      </c>
      <c r="AB66" s="139">
        <f t="shared" si="7"/>
        <v>1048.6219999999998</v>
      </c>
      <c r="AC66" s="139">
        <f t="shared" si="7"/>
        <v>1031.3539999999991</v>
      </c>
      <c r="AD66" s="139">
        <f t="shared" si="7"/>
        <v>1040.751</v>
      </c>
      <c r="AE66" s="139">
        <f t="shared" si="7"/>
        <v>1904.0270000000005</v>
      </c>
      <c r="AF66" s="139">
        <f t="shared" si="7"/>
        <v>1907.0539999999999</v>
      </c>
      <c r="AG66" s="139">
        <f t="shared" si="7"/>
        <v>1830.5299999999993</v>
      </c>
      <c r="AH66" s="139">
        <f t="shared" si="7"/>
        <v>1790.7089999999996</v>
      </c>
      <c r="AI66" s="139">
        <f t="shared" si="7"/>
        <v>1627.6470000000004</v>
      </c>
      <c r="AJ66" s="139">
        <f t="shared" si="7"/>
        <v>1636.107</v>
      </c>
      <c r="AK66" s="139">
        <f t="shared" si="7"/>
        <v>1641.226000000001</v>
      </c>
      <c r="AL66" s="139">
        <f t="shared" si="7"/>
        <v>1651.6640000000004</v>
      </c>
      <c r="AM66" s="139">
        <f t="shared" si="7"/>
        <v>1665.289</v>
      </c>
      <c r="AN66" s="139">
        <f t="shared" si="7"/>
        <v>1652.1439999999986</v>
      </c>
      <c r="AO66" s="139">
        <f t="shared" si="7"/>
        <v>1543.3449999999998</v>
      </c>
      <c r="AP66" s="139">
        <f t="shared" si="7"/>
        <v>1550.4640000000002</v>
      </c>
      <c r="AQ66" s="139">
        <f t="shared" si="7"/>
        <v>1526.454285408</v>
      </c>
      <c r="AR66" s="139">
        <f t="shared" si="7"/>
        <v>1511.3999999999999</v>
      </c>
      <c r="AS66" s="139">
        <f t="shared" si="7"/>
        <v>1507.0659999999998</v>
      </c>
      <c r="AT66" s="139">
        <v>1510.7309999999995</v>
      </c>
      <c r="AU66" s="139">
        <v>1516.2769999999994</v>
      </c>
      <c r="AV66" s="139">
        <v>1523.1239999999996</v>
      </c>
      <c r="AW66" s="139">
        <f>AW6-AW35-AW65</f>
        <v>2005.9420000000002</v>
      </c>
    </row>
    <row r="67" spans="1:49">
      <c r="AN67" s="192"/>
      <c r="AO67" s="192"/>
    </row>
  </sheetData>
  <pageMargins left="0.25" right="0.25" top="0.75" bottom="0.75" header="0.3" footer="0.3"/>
  <pageSetup paperSize="9" scale="95" orientation="landscape" r:id="rId1"/>
  <ignoredErrors>
    <ignoredError sqref="AW29 AW5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AJ65"/>
  <sheetViews>
    <sheetView showGridLines="0" showRowColHeaders="0" zoomScaleNormal="100" workbookViewId="0">
      <pane xSplit="2" ySplit="5" topLeftCell="AC6" activePane="bottomRight" state="frozen"/>
      <selection activeCell="P1" sqref="P1"/>
      <selection pane="topRight" activeCell="P1" sqref="P1"/>
      <selection pane="bottomLeft" activeCell="P1" sqref="P1"/>
      <selection pane="bottomRight" activeCell="AJ5" sqref="AJ5"/>
    </sheetView>
  </sheetViews>
  <sheetFormatPr defaultRowHeight="14.4" outlineLevelCol="1"/>
  <cols>
    <col min="1" max="1" width="10.6640625" hidden="1" customWidth="1"/>
    <col min="2" max="2" width="58.44140625" customWidth="1"/>
    <col min="3" max="6" width="13.88671875" style="2" hidden="1" customWidth="1" outlineLevel="1"/>
    <col min="7" max="7" width="13.88671875" style="2" hidden="1" customWidth="1" outlineLevel="1" collapsed="1"/>
    <col min="8" max="14" width="13.88671875" style="2" hidden="1" customWidth="1" outlineLevel="1"/>
    <col min="15" max="15" width="14.44140625" style="2" bestFit="1" customWidth="1" collapsed="1"/>
    <col min="16" max="17" width="14.44140625" bestFit="1" customWidth="1"/>
    <col min="18" max="25" width="17.5546875" bestFit="1" customWidth="1"/>
    <col min="26" max="36" width="17.5546875" style="163" bestFit="1" customWidth="1"/>
  </cols>
  <sheetData>
    <row r="1" spans="1:36">
      <c r="B1" s="115" t="s">
        <v>42</v>
      </c>
      <c r="C1"/>
      <c r="D1"/>
      <c r="E1"/>
      <c r="F1"/>
      <c r="G1"/>
      <c r="H1"/>
      <c r="I1"/>
      <c r="J1"/>
      <c r="K1"/>
      <c r="L1"/>
      <c r="M1"/>
      <c r="N1"/>
      <c r="O1" s="237"/>
      <c r="P1" s="237"/>
      <c r="Q1" s="237"/>
      <c r="R1" s="237"/>
      <c r="S1" s="237"/>
      <c r="T1" s="237"/>
      <c r="U1" s="237"/>
      <c r="V1" s="237"/>
      <c r="W1" s="237"/>
      <c r="X1" s="237"/>
      <c r="Y1" s="237"/>
      <c r="Z1" s="237"/>
      <c r="AA1" s="237"/>
      <c r="AB1" s="237"/>
      <c r="AC1" s="237"/>
      <c r="AD1" s="237"/>
      <c r="AE1" s="237"/>
      <c r="AF1" s="237"/>
      <c r="AG1" s="237"/>
      <c r="AH1" s="237"/>
      <c r="AI1" s="237"/>
      <c r="AJ1" s="237"/>
    </row>
    <row r="2" spans="1:36">
      <c r="B2" s="115" t="s">
        <v>41</v>
      </c>
      <c r="C2"/>
      <c r="D2"/>
      <c r="E2"/>
      <c r="F2"/>
      <c r="G2"/>
      <c r="H2"/>
      <c r="I2"/>
      <c r="J2"/>
      <c r="K2"/>
      <c r="L2"/>
      <c r="M2"/>
      <c r="N2"/>
      <c r="O2" s="237"/>
      <c r="P2" s="237"/>
      <c r="Q2" s="237"/>
      <c r="R2" s="237"/>
      <c r="S2" s="237"/>
      <c r="T2" s="237"/>
      <c r="U2" s="237"/>
      <c r="V2" s="237"/>
      <c r="W2" s="237"/>
      <c r="X2" s="237"/>
      <c r="Y2" s="237"/>
      <c r="Z2" s="237"/>
      <c r="AA2" s="237"/>
      <c r="AB2" s="237"/>
      <c r="AC2" s="237"/>
      <c r="AD2" s="237"/>
      <c r="AE2" s="237"/>
      <c r="AF2" s="237"/>
      <c r="AG2" s="237"/>
      <c r="AH2" s="237"/>
      <c r="AI2" s="237"/>
      <c r="AJ2" s="237"/>
    </row>
    <row r="3" spans="1:36" s="239" customFormat="1">
      <c r="B3" s="240">
        <v>1</v>
      </c>
      <c r="O3" s="238"/>
      <c r="P3" s="238"/>
      <c r="Q3" s="238"/>
      <c r="R3" s="238"/>
      <c r="S3" s="238"/>
      <c r="T3" s="238"/>
      <c r="U3" s="238"/>
      <c r="V3" s="238"/>
      <c r="W3" s="238"/>
      <c r="X3" s="238"/>
      <c r="Y3" s="238"/>
      <c r="Z3" s="238"/>
      <c r="AA3" s="238"/>
      <c r="AB3" s="238"/>
      <c r="AC3" s="238"/>
      <c r="AD3" s="238"/>
      <c r="AE3" s="238"/>
      <c r="AF3" s="238"/>
      <c r="AG3" s="238"/>
      <c r="AH3" s="238"/>
      <c r="AI3" s="238"/>
      <c r="AJ3" s="238"/>
    </row>
    <row r="4" spans="1:36" ht="3" customHeight="1">
      <c r="B4" s="12"/>
      <c r="C4" s="12"/>
      <c r="D4" s="12"/>
      <c r="E4" s="12"/>
      <c r="F4" s="12"/>
      <c r="G4" s="12"/>
      <c r="H4" s="12"/>
      <c r="I4" s="12"/>
      <c r="J4" s="12"/>
      <c r="K4" s="12"/>
      <c r="L4" s="12"/>
      <c r="M4" s="12"/>
      <c r="N4" s="12"/>
      <c r="O4" s="12"/>
      <c r="P4" s="12"/>
      <c r="Q4" s="12"/>
      <c r="R4" s="12"/>
      <c r="S4" s="12"/>
      <c r="T4" s="12"/>
      <c r="U4" s="12"/>
      <c r="V4" s="12"/>
      <c r="W4" s="12"/>
      <c r="X4" s="12"/>
      <c r="Y4" s="12"/>
      <c r="Z4" s="164"/>
      <c r="AA4" s="164"/>
      <c r="AB4" s="164"/>
      <c r="AC4" s="164"/>
      <c r="AD4" s="164"/>
      <c r="AE4" s="164"/>
      <c r="AF4" s="164"/>
      <c r="AG4" s="164"/>
      <c r="AH4" s="164"/>
      <c r="AI4" s="164"/>
      <c r="AJ4" s="164"/>
    </row>
    <row r="5" spans="1:36" s="7" customFormat="1" ht="18.75" customHeight="1">
      <c r="B5" s="195" t="str">
        <f>IF('Sumário | Summary'!P1=1,"Balanço Patrimonial - Proforma (R$ MM)","Balance Sheet - Proforma (R$ million)")</f>
        <v>Balanço Patrimonial - Proforma (R$ MM)</v>
      </c>
      <c r="C5" s="194" t="s">
        <v>59</v>
      </c>
      <c r="D5" s="194" t="s">
        <v>60</v>
      </c>
      <c r="E5" s="194" t="s">
        <v>61</v>
      </c>
      <c r="F5" s="194" t="s">
        <v>62</v>
      </c>
      <c r="G5" s="194" t="s">
        <v>55</v>
      </c>
      <c r="H5" s="194" t="s">
        <v>56</v>
      </c>
      <c r="I5" s="194" t="s">
        <v>57</v>
      </c>
      <c r="J5" s="194" t="s">
        <v>58</v>
      </c>
      <c r="K5" s="194" t="s">
        <v>54</v>
      </c>
      <c r="L5" s="194" t="s">
        <v>53</v>
      </c>
      <c r="M5" s="194" t="s">
        <v>52</v>
      </c>
      <c r="N5" s="194" t="s">
        <v>51</v>
      </c>
      <c r="O5" s="194" t="s">
        <v>43</v>
      </c>
      <c r="P5" s="194" t="s">
        <v>44</v>
      </c>
      <c r="Q5" s="194" t="s">
        <v>46</v>
      </c>
      <c r="R5" s="194" t="s">
        <v>47</v>
      </c>
      <c r="S5" s="194" t="s">
        <v>50</v>
      </c>
      <c r="T5" s="194" t="s">
        <v>63</v>
      </c>
      <c r="U5" s="194" t="s">
        <v>64</v>
      </c>
      <c r="V5" s="194" t="s">
        <v>65</v>
      </c>
      <c r="W5" s="194" t="s">
        <v>98</v>
      </c>
      <c r="X5" s="194" t="s">
        <v>99</v>
      </c>
      <c r="Y5" s="194" t="s">
        <v>114</v>
      </c>
      <c r="Z5" s="194" t="s">
        <v>115</v>
      </c>
      <c r="AA5" s="194" t="s">
        <v>126</v>
      </c>
      <c r="AB5" s="194" t="s">
        <v>267</v>
      </c>
      <c r="AC5" s="194" t="s">
        <v>268</v>
      </c>
      <c r="AD5" s="194" t="s">
        <v>274</v>
      </c>
      <c r="AE5" s="194" t="s">
        <v>286</v>
      </c>
      <c r="AF5" s="194" t="s">
        <v>289</v>
      </c>
      <c r="AG5" s="194" t="s">
        <v>291</v>
      </c>
      <c r="AH5" s="194" t="s">
        <v>315</v>
      </c>
      <c r="AI5" s="194" t="s">
        <v>321</v>
      </c>
      <c r="AJ5" s="194" t="s">
        <v>323</v>
      </c>
    </row>
    <row r="6" spans="1:36" ht="15" customHeight="1">
      <c r="A6" t="s">
        <v>116</v>
      </c>
      <c r="B6" s="20" t="str">
        <f>IF('Sumário | Summary'!P1=1,"ATIVOS","ASSETS")</f>
        <v>ATIVOS</v>
      </c>
      <c r="C6" s="6">
        <v>3899.5279999999998</v>
      </c>
      <c r="D6" s="6">
        <v>3861.3530000000001</v>
      </c>
      <c r="E6" s="6">
        <v>3917.0419999999999</v>
      </c>
      <c r="F6" s="6">
        <v>4028.0250000000001</v>
      </c>
      <c r="G6" s="6">
        <v>3741.134</v>
      </c>
      <c r="H6" s="6">
        <v>3752.8649999999998</v>
      </c>
      <c r="I6" s="6">
        <v>3030.6860000000001</v>
      </c>
      <c r="J6" s="6">
        <v>2807.078</v>
      </c>
      <c r="K6" s="6">
        <v>2966.8780000000002</v>
      </c>
      <c r="L6" s="6">
        <v>2918.76</v>
      </c>
      <c r="M6" s="6">
        <v>2872.5079999999998</v>
      </c>
      <c r="N6" s="6">
        <v>2712.0210000000002</v>
      </c>
      <c r="O6" s="139">
        <f t="shared" ref="O6:AF6" si="0">O7+O18+O28</f>
        <v>2646.011</v>
      </c>
      <c r="P6" s="139">
        <f t="shared" si="0"/>
        <v>2962.1880000000001</v>
      </c>
      <c r="Q6" s="139">
        <f t="shared" si="0"/>
        <v>2716.9640000000004</v>
      </c>
      <c r="R6" s="139">
        <f t="shared" si="0"/>
        <v>3651.1150000000002</v>
      </c>
      <c r="S6" s="139">
        <f t="shared" si="0"/>
        <v>3551.0649999999996</v>
      </c>
      <c r="T6" s="139">
        <f t="shared" si="0"/>
        <v>3454.6419999999998</v>
      </c>
      <c r="U6" s="139">
        <f t="shared" si="0"/>
        <v>3367.4429999999998</v>
      </c>
      <c r="V6" s="139">
        <f t="shared" si="0"/>
        <v>3208.7220000000002</v>
      </c>
      <c r="W6" s="139">
        <f t="shared" si="0"/>
        <v>3137.085</v>
      </c>
      <c r="X6" s="139">
        <f t="shared" si="0"/>
        <v>3442.777</v>
      </c>
      <c r="Y6" s="139">
        <f t="shared" si="0"/>
        <v>3419.5600000000004</v>
      </c>
      <c r="Z6" s="139">
        <f t="shared" si="0"/>
        <v>3421.27</v>
      </c>
      <c r="AA6" s="139">
        <f t="shared" si="0"/>
        <v>3219.0299999999997</v>
      </c>
      <c r="AB6" s="139">
        <f t="shared" si="0"/>
        <v>2945.3959999999997</v>
      </c>
      <c r="AC6" s="139">
        <f t="shared" si="0"/>
        <v>2733.1680000000001</v>
      </c>
      <c r="AD6" s="139">
        <f t="shared" si="0"/>
        <v>2705.7432829999998</v>
      </c>
      <c r="AE6" s="139">
        <f t="shared" si="0"/>
        <v>2685.6930000000002</v>
      </c>
      <c r="AF6" s="139">
        <f t="shared" si="0"/>
        <v>2651.0839999999998</v>
      </c>
      <c r="AG6" s="139">
        <v>2671.817</v>
      </c>
      <c r="AH6" s="139">
        <v>2643.8580000000002</v>
      </c>
      <c r="AI6" s="139">
        <f>AI7+AI18+AI28</f>
        <v>2942.8420000000001</v>
      </c>
      <c r="AJ6" s="139">
        <f>AJ7+AJ18+AJ28</f>
        <v>3237.5109999999995</v>
      </c>
    </row>
    <row r="7" spans="1:36" ht="15" customHeight="1">
      <c r="A7" t="s">
        <v>117</v>
      </c>
      <c r="B7" s="11" t="str">
        <f>IF('Sumário | Summary'!P1=1,"Total Circulante","Total Current Assets")</f>
        <v>Total Circulante</v>
      </c>
      <c r="C7" s="6">
        <v>898.06500000000005</v>
      </c>
      <c r="D7" s="6">
        <v>862.45899999999995</v>
      </c>
      <c r="E7" s="6">
        <v>545.81799999999998</v>
      </c>
      <c r="F7" s="6">
        <v>619.57799999999997</v>
      </c>
      <c r="G7" s="6">
        <v>437.291</v>
      </c>
      <c r="H7" s="6">
        <v>501.25099999999998</v>
      </c>
      <c r="I7" s="6">
        <v>616.47299999999996</v>
      </c>
      <c r="J7" s="6">
        <v>445.94900000000001</v>
      </c>
      <c r="K7" s="6">
        <v>622.06100000000004</v>
      </c>
      <c r="L7" s="6">
        <v>692.26800000000003</v>
      </c>
      <c r="M7" s="6">
        <v>630.66300000000001</v>
      </c>
      <c r="N7" s="6">
        <v>505.88900000000001</v>
      </c>
      <c r="O7" s="139">
        <f t="shared" ref="O7:AF7" si="1">SUM(O8:O17)</f>
        <v>467.72200000000004</v>
      </c>
      <c r="P7" s="139">
        <f t="shared" si="1"/>
        <v>696.24699999999996</v>
      </c>
      <c r="Q7" s="139">
        <f t="shared" si="1"/>
        <v>401.31699999999995</v>
      </c>
      <c r="R7" s="139">
        <f t="shared" si="1"/>
        <v>982.13299999999981</v>
      </c>
      <c r="S7" s="139">
        <f t="shared" si="1"/>
        <v>903.20799999999997</v>
      </c>
      <c r="T7" s="139">
        <f t="shared" si="1"/>
        <v>806.69299999999998</v>
      </c>
      <c r="U7" s="139">
        <f t="shared" si="1"/>
        <v>735.50599999999997</v>
      </c>
      <c r="V7" s="139">
        <f t="shared" si="1"/>
        <v>526.78100000000006</v>
      </c>
      <c r="W7" s="139">
        <f t="shared" si="1"/>
        <v>453.99400000000003</v>
      </c>
      <c r="X7" s="139">
        <f t="shared" si="1"/>
        <v>738.46900000000005</v>
      </c>
      <c r="Y7" s="139">
        <f t="shared" si="1"/>
        <v>1204.4840000000002</v>
      </c>
      <c r="Z7" s="139">
        <f t="shared" si="1"/>
        <v>904.21199999999999</v>
      </c>
      <c r="AA7" s="139">
        <f t="shared" si="1"/>
        <v>823.12799999999993</v>
      </c>
      <c r="AB7" s="139">
        <f t="shared" si="1"/>
        <v>898.45399999999995</v>
      </c>
      <c r="AC7" s="139">
        <f t="shared" si="1"/>
        <v>661.69799999999998</v>
      </c>
      <c r="AD7" s="139">
        <f t="shared" si="1"/>
        <v>436.71328299999999</v>
      </c>
      <c r="AE7" s="139">
        <f t="shared" si="1"/>
        <v>413.92900000000003</v>
      </c>
      <c r="AF7" s="139">
        <f t="shared" si="1"/>
        <v>392.65600000000001</v>
      </c>
      <c r="AG7" s="139">
        <v>398.73399999999998</v>
      </c>
      <c r="AH7" s="139">
        <v>382.60399999999998</v>
      </c>
      <c r="AI7" s="139">
        <f>SUM(AI8:AI17)</f>
        <v>1862.059</v>
      </c>
      <c r="AJ7" s="139">
        <f>SUM(AJ8:AJ17)</f>
        <v>2111.7869999999998</v>
      </c>
    </row>
    <row r="8" spans="1:36" ht="15" customHeight="1">
      <c r="A8" t="s">
        <v>156</v>
      </c>
      <c r="B8" s="21" t="str">
        <f>IF('Sumário | Summary'!P1=1,"Caixa e equivalentes de caixa","Cash and Cash Equivalents")</f>
        <v>Caixa e equivalentes de caixa</v>
      </c>
      <c r="C8" s="18">
        <v>484.61900000000003</v>
      </c>
      <c r="D8" s="18">
        <v>283.57400000000001</v>
      </c>
      <c r="E8" s="18">
        <v>233.245</v>
      </c>
      <c r="F8" s="18">
        <v>344.55099999999999</v>
      </c>
      <c r="G8" s="18">
        <v>225.39</v>
      </c>
      <c r="H8" s="18">
        <v>226.15100000000001</v>
      </c>
      <c r="I8" s="18">
        <v>388.714</v>
      </c>
      <c r="J8" s="18">
        <v>154.911</v>
      </c>
      <c r="K8" s="18">
        <v>275.27699999999999</v>
      </c>
      <c r="L8" s="18">
        <v>521.22500000000002</v>
      </c>
      <c r="M8" s="18">
        <v>231.547</v>
      </c>
      <c r="N8" s="18">
        <v>242.88900000000001</v>
      </c>
      <c r="O8" s="18">
        <v>310.53500000000003</v>
      </c>
      <c r="P8" s="18">
        <v>541.87900000000002</v>
      </c>
      <c r="Q8" s="18">
        <v>304.89400000000001</v>
      </c>
      <c r="R8" s="18">
        <v>866.87199999999996</v>
      </c>
      <c r="S8" s="18">
        <v>785.596</v>
      </c>
      <c r="T8" s="18">
        <v>675.69</v>
      </c>
      <c r="U8" s="18">
        <v>580.91099999999994</v>
      </c>
      <c r="V8" s="18">
        <v>388.97800000000001</v>
      </c>
      <c r="W8" s="40">
        <v>121.48</v>
      </c>
      <c r="X8" s="40">
        <v>418.84899999999999</v>
      </c>
      <c r="Y8" s="40">
        <v>383.41199999999998</v>
      </c>
      <c r="Z8" s="40">
        <v>413.94400000000002</v>
      </c>
      <c r="AA8" s="40">
        <v>245.56</v>
      </c>
      <c r="AB8" s="40">
        <v>303.37099999999998</v>
      </c>
      <c r="AC8" s="40">
        <v>77.918000000000006</v>
      </c>
      <c r="AD8" s="40">
        <v>37.408000000000001</v>
      </c>
      <c r="AE8" s="40">
        <v>48.811</v>
      </c>
      <c r="AF8" s="40">
        <v>145.87100000000001</v>
      </c>
      <c r="AG8" s="40">
        <v>153.91</v>
      </c>
      <c r="AH8" s="40">
        <v>133.24799999999999</v>
      </c>
      <c r="AI8" s="40">
        <v>405.67200000000003</v>
      </c>
      <c r="AJ8" s="40">
        <v>1065.6289999999999</v>
      </c>
    </row>
    <row r="9" spans="1:36" ht="15" customHeight="1">
      <c r="A9" t="s">
        <v>157</v>
      </c>
      <c r="B9" s="21" t="str">
        <f>IF('Sumário | Summary'!P1=1,"Títulos e valores mobiliários","Securities")</f>
        <v>Títulos e valores mobiliários</v>
      </c>
      <c r="C9" s="18">
        <v>0</v>
      </c>
      <c r="D9" s="18">
        <v>12.731999999999999</v>
      </c>
      <c r="E9" s="18">
        <v>71.852999999999994</v>
      </c>
      <c r="F9" s="18">
        <v>64.861999999999995</v>
      </c>
      <c r="G9" s="18">
        <v>54.366</v>
      </c>
      <c r="H9" s="18">
        <v>85.876000000000005</v>
      </c>
      <c r="I9" s="18">
        <v>44.61</v>
      </c>
      <c r="J9" s="18">
        <v>170.90799999999999</v>
      </c>
      <c r="K9" s="18">
        <v>216.279</v>
      </c>
      <c r="L9" s="18">
        <v>7.6189999999999998</v>
      </c>
      <c r="M9" s="18">
        <v>236.251</v>
      </c>
      <c r="N9" s="18">
        <v>123.892</v>
      </c>
      <c r="O9" s="18">
        <v>2.944</v>
      </c>
      <c r="P9" s="18">
        <v>3.01</v>
      </c>
      <c r="Q9" s="18">
        <v>0.01</v>
      </c>
      <c r="R9" s="18">
        <v>0.56000000000000005</v>
      </c>
      <c r="S9" s="18">
        <v>0.56499999999999995</v>
      </c>
      <c r="T9" s="18">
        <v>0.41699999999999998</v>
      </c>
      <c r="U9" s="18">
        <v>0.01</v>
      </c>
      <c r="V9" s="18">
        <v>0.01</v>
      </c>
      <c r="W9" s="40">
        <v>200.155</v>
      </c>
      <c r="X9" s="40">
        <v>200.155</v>
      </c>
      <c r="Y9" s="40">
        <v>212.14500000000001</v>
      </c>
      <c r="Z9" s="40">
        <v>293.69900000000001</v>
      </c>
      <c r="AA9" s="40">
        <v>301.24799999999999</v>
      </c>
      <c r="AB9" s="40">
        <v>317.95800000000003</v>
      </c>
      <c r="AC9" s="40">
        <v>327.08199999999999</v>
      </c>
      <c r="AD9" s="40">
        <v>279.51100000000002</v>
      </c>
      <c r="AE9" s="40">
        <v>278.899</v>
      </c>
      <c r="AF9" s="40">
        <v>150.76400000000001</v>
      </c>
      <c r="AG9" s="40">
        <v>153.51599999999999</v>
      </c>
      <c r="AH9" s="40">
        <v>158.09399999999999</v>
      </c>
      <c r="AI9" s="40">
        <v>157.66900000000001</v>
      </c>
      <c r="AJ9" s="40">
        <v>155.95699999999999</v>
      </c>
    </row>
    <row r="10" spans="1:36" ht="15" customHeight="1">
      <c r="A10" t="s">
        <v>158</v>
      </c>
      <c r="B10" s="21" t="str">
        <f>IF('Sumário | Summary'!P1=1,"Contas a receber","Accounts Receivable")</f>
        <v>Contas a receber</v>
      </c>
      <c r="C10" s="18">
        <v>93.837000000000003</v>
      </c>
      <c r="D10" s="18">
        <v>92.858000000000004</v>
      </c>
      <c r="E10" s="18">
        <v>122.651</v>
      </c>
      <c r="F10" s="18">
        <v>104.438</v>
      </c>
      <c r="G10" s="18">
        <v>89.712000000000003</v>
      </c>
      <c r="H10" s="18">
        <v>103.166</v>
      </c>
      <c r="I10" s="18">
        <v>75.177000000000007</v>
      </c>
      <c r="J10" s="18">
        <v>78.584999999999994</v>
      </c>
      <c r="K10" s="18">
        <v>71.436000000000007</v>
      </c>
      <c r="L10" s="18">
        <v>92.209000000000003</v>
      </c>
      <c r="M10" s="18">
        <v>91.879000000000005</v>
      </c>
      <c r="N10" s="18">
        <v>60.154000000000003</v>
      </c>
      <c r="O10" s="18">
        <v>57.95</v>
      </c>
      <c r="P10" s="18">
        <v>62.131</v>
      </c>
      <c r="Q10" s="18">
        <v>37.823</v>
      </c>
      <c r="R10" s="18">
        <v>55.031999999999996</v>
      </c>
      <c r="S10" s="18">
        <v>39.154000000000003</v>
      </c>
      <c r="T10" s="18">
        <v>46.98</v>
      </c>
      <c r="U10" s="18">
        <v>62.131</v>
      </c>
      <c r="V10" s="18">
        <v>64.438999999999993</v>
      </c>
      <c r="W10" s="40">
        <v>58.164000000000001</v>
      </c>
      <c r="X10" s="40">
        <v>66.210999999999999</v>
      </c>
      <c r="Y10" s="40">
        <v>68.763000000000005</v>
      </c>
      <c r="Z10" s="40">
        <v>58.183999999999997</v>
      </c>
      <c r="AA10" s="40">
        <v>54.884</v>
      </c>
      <c r="AB10" s="40">
        <v>49.756</v>
      </c>
      <c r="AC10" s="40">
        <v>46.884999999999998</v>
      </c>
      <c r="AD10" s="40">
        <v>44.501283000000001</v>
      </c>
      <c r="AE10" s="40">
        <v>32.206000000000003</v>
      </c>
      <c r="AF10" s="40">
        <v>29.437999999999999</v>
      </c>
      <c r="AG10" s="40">
        <v>32.194000000000003</v>
      </c>
      <c r="AH10" s="40">
        <v>35.86</v>
      </c>
      <c r="AI10" s="40">
        <v>8.1620000000000008</v>
      </c>
      <c r="AJ10" s="40">
        <v>573.38800000000003</v>
      </c>
    </row>
    <row r="11" spans="1:36" ht="15" customHeight="1">
      <c r="A11" t="s">
        <v>159</v>
      </c>
      <c r="B11" s="21" t="str">
        <f>IF('Sumário | Summary'!P1=1,"Estoques","Inventory")</f>
        <v>Estoques</v>
      </c>
      <c r="C11" s="18">
        <v>305.43299999999999</v>
      </c>
      <c r="D11" s="18">
        <v>456.108</v>
      </c>
      <c r="E11" s="18">
        <v>102.99299999999999</v>
      </c>
      <c r="F11" s="18">
        <v>42.066000000000003</v>
      </c>
      <c r="G11" s="18">
        <v>5.6459999999999999</v>
      </c>
      <c r="H11" s="18">
        <v>22.87</v>
      </c>
      <c r="I11" s="18">
        <v>4.2389999999999999</v>
      </c>
      <c r="J11" s="18">
        <v>28.073</v>
      </c>
      <c r="K11" s="18">
        <v>45.445</v>
      </c>
      <c r="L11" s="18">
        <v>29.405000000000001</v>
      </c>
      <c r="M11" s="18">
        <v>0.94399999999999995</v>
      </c>
      <c r="N11" s="18">
        <v>42.398000000000003</v>
      </c>
      <c r="O11" s="18">
        <v>43.064999999999998</v>
      </c>
      <c r="P11" s="18">
        <v>43.52</v>
      </c>
      <c r="Q11" s="18">
        <v>44.62</v>
      </c>
      <c r="R11" s="18">
        <v>46.610999999999997</v>
      </c>
      <c r="S11" s="18">
        <v>44.62</v>
      </c>
      <c r="T11" s="18">
        <v>44.366999999999997</v>
      </c>
      <c r="U11" s="18">
        <v>44.923000000000002</v>
      </c>
      <c r="V11" s="18">
        <v>44.366999999999997</v>
      </c>
      <c r="W11" s="40">
        <v>44.366999999999997</v>
      </c>
      <c r="X11" s="40">
        <v>19.391999999999999</v>
      </c>
      <c r="Y11" s="40">
        <v>14.882999999999999</v>
      </c>
      <c r="Z11" s="40">
        <v>56.985999999999997</v>
      </c>
      <c r="AA11" s="40">
        <v>34.170123010000012</v>
      </c>
      <c r="AB11" s="40">
        <v>10.849</v>
      </c>
      <c r="AC11" s="40">
        <v>0</v>
      </c>
      <c r="AD11" s="40">
        <v>26.053999999999998</v>
      </c>
      <c r="AE11" s="40">
        <v>25.925999999999998</v>
      </c>
      <c r="AF11" s="40">
        <v>25.324000000000002</v>
      </c>
      <c r="AG11" s="40">
        <v>24.463999999999999</v>
      </c>
      <c r="AH11" s="40">
        <v>24.44</v>
      </c>
      <c r="AI11" s="40">
        <v>24.442</v>
      </c>
      <c r="AJ11" s="40">
        <v>24.228999999999999</v>
      </c>
    </row>
    <row r="12" spans="1:36" ht="15" customHeight="1">
      <c r="A12" t="s">
        <v>160</v>
      </c>
      <c r="B12" s="21" t="str">
        <f>IF('Sumário | Summary'!P1=1,"Impostos a compensar","Tax to be Compensated")</f>
        <v>Impostos a compensar</v>
      </c>
      <c r="C12" s="18">
        <v>0</v>
      </c>
      <c r="D12" s="18">
        <v>0</v>
      </c>
      <c r="E12" s="18">
        <v>0</v>
      </c>
      <c r="F12" s="18">
        <v>44.155999999999999</v>
      </c>
      <c r="G12" s="18">
        <v>44.155999999999999</v>
      </c>
      <c r="H12" s="18">
        <v>44.155999999999999</v>
      </c>
      <c r="I12" s="18">
        <v>91.655000000000001</v>
      </c>
      <c r="J12" s="18">
        <v>4.8220000000000001</v>
      </c>
      <c r="K12" s="18">
        <v>5.5069999999999997</v>
      </c>
      <c r="L12" s="18">
        <v>5.5069999999999997</v>
      </c>
      <c r="M12" s="18">
        <v>6.3780000000000001</v>
      </c>
      <c r="N12" s="18">
        <v>6.7830000000000004</v>
      </c>
      <c r="O12" s="18">
        <v>4.0000000000000001E-3</v>
      </c>
      <c r="P12" s="18">
        <v>4.0000000000000001E-3</v>
      </c>
      <c r="Q12" s="18">
        <v>0</v>
      </c>
      <c r="R12" s="18">
        <v>0</v>
      </c>
      <c r="S12" s="18">
        <v>23.613</v>
      </c>
      <c r="T12" s="18">
        <v>31.17</v>
      </c>
      <c r="U12" s="18">
        <v>36.14</v>
      </c>
      <c r="V12" s="18">
        <v>17.911000000000001</v>
      </c>
      <c r="W12" s="40">
        <v>14.878</v>
      </c>
      <c r="X12" s="40">
        <v>23.010999999999999</v>
      </c>
      <c r="Y12" s="40">
        <v>19.143000000000001</v>
      </c>
      <c r="Z12" s="40">
        <v>11.340999999999999</v>
      </c>
      <c r="AA12" s="40">
        <v>10.404999999999999</v>
      </c>
      <c r="AB12" s="40">
        <v>28.044</v>
      </c>
      <c r="AC12" s="40">
        <v>25.039000000000001</v>
      </c>
      <c r="AD12" s="40">
        <v>16.933</v>
      </c>
      <c r="AE12" s="40">
        <v>15.49</v>
      </c>
      <c r="AF12" s="40">
        <v>13.81</v>
      </c>
      <c r="AG12" s="40">
        <v>12.901999999999999</v>
      </c>
      <c r="AH12" s="40">
        <v>8.8759999999999994</v>
      </c>
      <c r="AI12" s="40">
        <v>8.9149999999999991</v>
      </c>
      <c r="AJ12" s="40">
        <v>14.917999999999999</v>
      </c>
    </row>
    <row r="13" spans="1:36" ht="15" customHeight="1">
      <c r="A13" t="s">
        <v>161</v>
      </c>
      <c r="B13" s="21" t="str">
        <f>IF('Sumário | Summary'!P1=1,"Adiantamento a fornecedores","Advancements from Suppliers")</f>
        <v>Adiantamento a fornecedores</v>
      </c>
      <c r="C13" s="18">
        <v>9.1479999999999997</v>
      </c>
      <c r="D13" s="18">
        <v>9.6829999999999998</v>
      </c>
      <c r="E13" s="18">
        <v>10.054</v>
      </c>
      <c r="F13" s="18">
        <v>10.021000000000001</v>
      </c>
      <c r="G13" s="18">
        <v>7.9480000000000004</v>
      </c>
      <c r="H13" s="18">
        <v>7.5659999999999998</v>
      </c>
      <c r="I13" s="18">
        <v>4.6840000000000002</v>
      </c>
      <c r="J13" s="18">
        <v>2.2469999999999999</v>
      </c>
      <c r="K13" s="18">
        <v>2.2570000000000001</v>
      </c>
      <c r="L13" s="18">
        <v>2.2589999999999999</v>
      </c>
      <c r="M13" s="18">
        <v>2.2440000000000002</v>
      </c>
      <c r="N13" s="18">
        <v>2.226</v>
      </c>
      <c r="O13" s="18">
        <v>2.226</v>
      </c>
      <c r="P13" s="18">
        <v>2.2269999999999999</v>
      </c>
      <c r="Q13" s="18">
        <v>2.226</v>
      </c>
      <c r="R13" s="18">
        <v>2.242</v>
      </c>
      <c r="S13" s="18">
        <v>2.2210000000000001</v>
      </c>
      <c r="T13" s="18">
        <v>2.2200000000000002</v>
      </c>
      <c r="U13" s="18">
        <v>2.2200000000000002</v>
      </c>
      <c r="V13" s="18">
        <v>2.2200000000000002</v>
      </c>
      <c r="W13" s="40">
        <v>2.2200000000000002</v>
      </c>
      <c r="X13" s="40">
        <v>2.2200000000000002</v>
      </c>
      <c r="Y13" s="40">
        <v>2.23</v>
      </c>
      <c r="Z13" s="40">
        <v>14.648</v>
      </c>
      <c r="AA13" s="40">
        <v>1.8</v>
      </c>
      <c r="AB13" s="40">
        <v>1.7729999999999999</v>
      </c>
      <c r="AC13" s="40">
        <v>2.0169999999999999</v>
      </c>
      <c r="AD13" s="40">
        <v>2.9380000000000002</v>
      </c>
      <c r="AE13" s="40">
        <v>2.2109999999999999</v>
      </c>
      <c r="AF13" s="40">
        <v>2.6869999999999998</v>
      </c>
      <c r="AG13" s="40">
        <v>0.436</v>
      </c>
      <c r="AH13" s="40">
        <v>0.32100000000000001</v>
      </c>
      <c r="AI13" s="40">
        <v>5.8999999999999997E-2</v>
      </c>
      <c r="AJ13" s="40">
        <v>0.01</v>
      </c>
    </row>
    <row r="14" spans="1:36" ht="15" customHeight="1">
      <c r="A14" t="s">
        <v>162</v>
      </c>
      <c r="B14" s="28" t="str">
        <f>IF('Sumário | Summary'!P1=1,"Dividendos a receber","Dividends receivable")</f>
        <v>Dividendos a receber</v>
      </c>
      <c r="C14" s="18">
        <v>0</v>
      </c>
      <c r="D14" s="18">
        <v>0</v>
      </c>
      <c r="E14" s="18">
        <v>8.0000000000000002E-3</v>
      </c>
      <c r="F14" s="18">
        <v>8.0000000000000002E-3</v>
      </c>
      <c r="G14" s="18">
        <v>0</v>
      </c>
      <c r="H14" s="18">
        <v>0.51700000000000002</v>
      </c>
      <c r="I14" s="18">
        <v>0.51700000000000002</v>
      </c>
      <c r="J14" s="18">
        <v>0</v>
      </c>
      <c r="K14" s="18">
        <v>0</v>
      </c>
      <c r="L14" s="18">
        <v>1E-3</v>
      </c>
      <c r="M14" s="18">
        <v>1E-3</v>
      </c>
      <c r="N14" s="18">
        <v>1E-3</v>
      </c>
      <c r="O14" s="18">
        <v>4.33</v>
      </c>
      <c r="P14" s="18">
        <v>1E-3</v>
      </c>
      <c r="Q14" s="18">
        <v>1E-3</v>
      </c>
      <c r="R14" s="18">
        <v>2E-3</v>
      </c>
      <c r="S14" s="18">
        <v>2E-3</v>
      </c>
      <c r="T14" s="18">
        <v>2E-3</v>
      </c>
      <c r="U14" s="18">
        <v>2.7770000000000001</v>
      </c>
      <c r="V14" s="18">
        <v>0.03</v>
      </c>
      <c r="W14" s="40">
        <v>2E-3</v>
      </c>
      <c r="X14" s="40">
        <v>2E-3</v>
      </c>
      <c r="Y14" s="40">
        <v>2E-3</v>
      </c>
      <c r="Z14" s="40">
        <v>2E-3</v>
      </c>
      <c r="AA14" s="40">
        <v>5.58</v>
      </c>
      <c r="AB14" s="40">
        <v>2E-3</v>
      </c>
      <c r="AC14" s="40">
        <v>2E-3</v>
      </c>
      <c r="AD14" s="40">
        <v>2E-3</v>
      </c>
      <c r="AE14" s="40">
        <v>2E-3</v>
      </c>
      <c r="AF14" s="40">
        <v>0</v>
      </c>
      <c r="AG14" s="40">
        <v>0</v>
      </c>
      <c r="AH14" s="40">
        <v>0</v>
      </c>
      <c r="AI14" s="40">
        <v>0.17199999999999999</v>
      </c>
      <c r="AJ14" s="40">
        <v>0.17199999999999999</v>
      </c>
    </row>
    <row r="15" spans="1:36" ht="15" customHeight="1">
      <c r="A15" t="s">
        <v>163</v>
      </c>
      <c r="B15" s="39" t="str">
        <f>IF('Sumário | Summary'!P1=1,"Ativo não circulante mantido para venda",
"Non-current assets held for sale")</f>
        <v>Ativo não circulante mantido para venda</v>
      </c>
      <c r="C15" s="18" t="s">
        <v>18</v>
      </c>
      <c r="D15" s="18" t="s">
        <v>18</v>
      </c>
      <c r="E15" s="18" t="s">
        <v>18</v>
      </c>
      <c r="F15" s="18" t="s">
        <v>18</v>
      </c>
      <c r="G15" s="18" t="s">
        <v>18</v>
      </c>
      <c r="H15" s="18" t="s">
        <v>18</v>
      </c>
      <c r="I15" s="18" t="s">
        <v>18</v>
      </c>
      <c r="J15" s="18" t="s">
        <v>18</v>
      </c>
      <c r="K15" s="18" t="s">
        <v>18</v>
      </c>
      <c r="L15" s="18" t="s">
        <v>18</v>
      </c>
      <c r="M15" s="18" t="s">
        <v>18</v>
      </c>
      <c r="N15" s="18" t="s">
        <v>18</v>
      </c>
      <c r="O15" s="18">
        <v>0</v>
      </c>
      <c r="P15" s="18">
        <v>0</v>
      </c>
      <c r="Q15" s="18">
        <v>0</v>
      </c>
      <c r="R15" s="18">
        <v>0</v>
      </c>
      <c r="S15" s="18">
        <v>0</v>
      </c>
      <c r="T15" s="18">
        <v>0</v>
      </c>
      <c r="U15" s="18">
        <v>0</v>
      </c>
      <c r="V15" s="18">
        <v>0</v>
      </c>
      <c r="W15" s="18">
        <v>0</v>
      </c>
      <c r="X15" s="18">
        <v>0</v>
      </c>
      <c r="Y15" s="40">
        <v>495.35300000000001</v>
      </c>
      <c r="Z15" s="40">
        <v>0</v>
      </c>
      <c r="AA15" s="40">
        <v>150.25887698999998</v>
      </c>
      <c r="AB15" s="40">
        <v>151.23400000000001</v>
      </c>
      <c r="AC15" s="40">
        <v>153.714</v>
      </c>
      <c r="AD15" s="40">
        <v>0</v>
      </c>
      <c r="AE15" s="40">
        <v>0</v>
      </c>
      <c r="AF15" s="40">
        <v>0</v>
      </c>
      <c r="AG15" s="40">
        <v>0</v>
      </c>
      <c r="AH15" s="40">
        <v>0</v>
      </c>
      <c r="AI15" s="40">
        <v>1238.741</v>
      </c>
      <c r="AJ15" s="40">
        <v>0</v>
      </c>
    </row>
    <row r="16" spans="1:36" ht="15" customHeight="1">
      <c r="A16" t="s">
        <v>165</v>
      </c>
      <c r="B16" s="39" t="s">
        <v>125</v>
      </c>
      <c r="C16" s="40"/>
      <c r="D16" s="40"/>
      <c r="E16" s="40"/>
      <c r="F16" s="40"/>
      <c r="G16" s="40"/>
      <c r="H16" s="40"/>
      <c r="I16" s="40"/>
      <c r="J16" s="40"/>
      <c r="K16" s="40"/>
      <c r="L16" s="40"/>
      <c r="M16" s="40"/>
      <c r="N16" s="40"/>
      <c r="O16" s="18">
        <v>0</v>
      </c>
      <c r="P16" s="18">
        <v>0</v>
      </c>
      <c r="Q16" s="18">
        <v>0</v>
      </c>
      <c r="R16" s="18">
        <v>0</v>
      </c>
      <c r="S16" s="18">
        <v>0</v>
      </c>
      <c r="T16" s="18">
        <v>0</v>
      </c>
      <c r="U16" s="18">
        <v>0</v>
      </c>
      <c r="V16" s="18">
        <v>0</v>
      </c>
      <c r="W16" s="18">
        <v>0</v>
      </c>
      <c r="X16" s="18">
        <v>0</v>
      </c>
      <c r="Y16" s="18">
        <v>0</v>
      </c>
      <c r="Z16" s="18">
        <v>0</v>
      </c>
      <c r="AA16" s="40">
        <v>0</v>
      </c>
      <c r="AB16" s="40">
        <v>0</v>
      </c>
      <c r="AC16" s="40">
        <v>0</v>
      </c>
      <c r="AD16" s="40">
        <v>0</v>
      </c>
      <c r="AE16" s="40">
        <v>0</v>
      </c>
      <c r="AF16" s="40">
        <v>0</v>
      </c>
      <c r="AG16" s="40">
        <v>0</v>
      </c>
      <c r="AH16" s="40">
        <v>0</v>
      </c>
      <c r="AI16" s="40">
        <v>0</v>
      </c>
      <c r="AJ16" s="40">
        <v>0</v>
      </c>
    </row>
    <row r="17" spans="1:36" ht="15" customHeight="1">
      <c r="A17" t="s">
        <v>164</v>
      </c>
      <c r="B17" s="28" t="str">
        <f>IF('Sumário | Summary'!P1=1,"Demais contas a receber","Other receivables")</f>
        <v>Demais contas a receber</v>
      </c>
      <c r="C17" s="18">
        <v>5.0279999999999996</v>
      </c>
      <c r="D17" s="18">
        <v>7.5039999999999996</v>
      </c>
      <c r="E17" s="18">
        <v>5.0140000000000002</v>
      </c>
      <c r="F17" s="18">
        <v>9.4760000000000009</v>
      </c>
      <c r="G17" s="18">
        <v>10.073</v>
      </c>
      <c r="H17" s="18">
        <v>10.949</v>
      </c>
      <c r="I17" s="18">
        <v>6.8769999999999998</v>
      </c>
      <c r="J17" s="18">
        <v>6.4029999999999996</v>
      </c>
      <c r="K17" s="18">
        <v>5.86</v>
      </c>
      <c r="L17" s="18">
        <v>34.042999999999999</v>
      </c>
      <c r="M17" s="18">
        <v>61.418999999999997</v>
      </c>
      <c r="N17" s="18">
        <v>27.545999999999999</v>
      </c>
      <c r="O17" s="18">
        <v>46.667999999999999</v>
      </c>
      <c r="P17" s="18">
        <v>43.475000000000001</v>
      </c>
      <c r="Q17" s="18">
        <v>11.743</v>
      </c>
      <c r="R17" s="18">
        <v>10.814</v>
      </c>
      <c r="S17" s="18">
        <v>7.4370000000000003</v>
      </c>
      <c r="T17" s="18">
        <v>5.8470000000000004</v>
      </c>
      <c r="U17" s="18">
        <v>6.3940000000000001</v>
      </c>
      <c r="V17" s="18">
        <v>8.8260000000000005</v>
      </c>
      <c r="W17" s="40">
        <v>12.728</v>
      </c>
      <c r="X17" s="40">
        <v>8.6289999999999996</v>
      </c>
      <c r="Y17" s="40">
        <v>8.5530000000000008</v>
      </c>
      <c r="Z17" s="40">
        <v>55.408000000000001</v>
      </c>
      <c r="AA17" s="40">
        <v>19.222000000000001</v>
      </c>
      <c r="AB17" s="40">
        <v>35.466999999999999</v>
      </c>
      <c r="AC17" s="40">
        <v>29.041</v>
      </c>
      <c r="AD17" s="40">
        <v>29.366</v>
      </c>
      <c r="AE17" s="40">
        <v>10.384</v>
      </c>
      <c r="AF17" s="40">
        <v>24.762</v>
      </c>
      <c r="AG17" s="40">
        <v>21.312000000000001</v>
      </c>
      <c r="AH17" s="40">
        <v>21.765000000000001</v>
      </c>
      <c r="AI17" s="40">
        <v>18.227</v>
      </c>
      <c r="AJ17" s="40">
        <v>277.48399999999998</v>
      </c>
    </row>
    <row r="18" spans="1:36" ht="15" customHeight="1">
      <c r="A18" t="s">
        <v>118</v>
      </c>
      <c r="B18" s="11" t="str">
        <f>IF('Sumário | Summary'!P1=1,"Realizável a longo prazo","Long term")</f>
        <v>Realizável a longo prazo</v>
      </c>
      <c r="C18" s="6">
        <v>1400.6980000000001</v>
      </c>
      <c r="D18" s="6">
        <v>1217.5269999999998</v>
      </c>
      <c r="E18" s="6">
        <v>995.88099999999997</v>
      </c>
      <c r="F18" s="6">
        <v>923.21399999999994</v>
      </c>
      <c r="G18" s="6">
        <v>1005.2380000000001</v>
      </c>
      <c r="H18" s="6">
        <v>732.88300000000004</v>
      </c>
      <c r="I18" s="6">
        <v>387.36600000000004</v>
      </c>
      <c r="J18" s="6">
        <v>146.125</v>
      </c>
      <c r="K18" s="6">
        <v>176.83999999999997</v>
      </c>
      <c r="L18" s="6">
        <v>92.347000000000008</v>
      </c>
      <c r="M18" s="6">
        <v>159.04000000000002</v>
      </c>
      <c r="N18" s="6">
        <v>116.95000000000002</v>
      </c>
      <c r="O18" s="139">
        <f t="shared" ref="O18:AF18" si="2">SUM(O19:O27)</f>
        <v>99.270999999999987</v>
      </c>
      <c r="P18" s="139">
        <f t="shared" si="2"/>
        <v>101.23499999999999</v>
      </c>
      <c r="Q18" s="139">
        <f t="shared" si="2"/>
        <v>160.09399999999999</v>
      </c>
      <c r="R18" s="139">
        <f t="shared" si="2"/>
        <v>167.03799999999998</v>
      </c>
      <c r="S18" s="139">
        <f t="shared" si="2"/>
        <v>129.00799999999998</v>
      </c>
      <c r="T18" s="139">
        <f t="shared" si="2"/>
        <v>138.048</v>
      </c>
      <c r="U18" s="139">
        <f t="shared" si="2"/>
        <v>131.24800000000002</v>
      </c>
      <c r="V18" s="139">
        <f t="shared" si="2"/>
        <v>153.11500000000001</v>
      </c>
      <c r="W18" s="139">
        <f t="shared" si="2"/>
        <v>159.07900000000004</v>
      </c>
      <c r="X18" s="139">
        <f t="shared" si="2"/>
        <v>190.07400000000001</v>
      </c>
      <c r="Y18" s="139">
        <f t="shared" si="2"/>
        <v>200.56600000000003</v>
      </c>
      <c r="Z18" s="139">
        <f t="shared" si="2"/>
        <v>227.54300000000001</v>
      </c>
      <c r="AA18" s="139">
        <f t="shared" si="2"/>
        <v>222.202</v>
      </c>
      <c r="AB18" s="139">
        <f t="shared" si="2"/>
        <v>200.947</v>
      </c>
      <c r="AC18" s="139">
        <f t="shared" si="2"/>
        <v>197.43499999999997</v>
      </c>
      <c r="AD18" s="139">
        <f t="shared" si="2"/>
        <v>227.99299999999999</v>
      </c>
      <c r="AE18" s="139">
        <f t="shared" si="2"/>
        <v>229.59100000000001</v>
      </c>
      <c r="AF18" s="139">
        <f t="shared" si="2"/>
        <v>217.62799999999999</v>
      </c>
      <c r="AG18" s="139">
        <v>222.60599999999999</v>
      </c>
      <c r="AH18" s="139">
        <v>225.679</v>
      </c>
      <c r="AI18" s="139">
        <f>SUM(AI19:AI27)</f>
        <v>185.78699999999998</v>
      </c>
      <c r="AJ18" s="139">
        <f>SUM(AJ19:AJ27)</f>
        <v>266.92</v>
      </c>
    </row>
    <row r="19" spans="1:36" ht="15" customHeight="1">
      <c r="A19" t="s">
        <v>166</v>
      </c>
      <c r="B19" s="21" t="str">
        <f>IF('Sumário | Summary'!P1=1,"Contas a receber ","Accounts Receivable")</f>
        <v xml:space="preserve">Contas a receber </v>
      </c>
      <c r="C19" s="31">
        <v>3.9039999999999999</v>
      </c>
      <c r="D19" s="31">
        <v>3.1379999999999999</v>
      </c>
      <c r="E19" s="31">
        <v>2.8540000000000001</v>
      </c>
      <c r="F19" s="31">
        <v>12.082000000000001</v>
      </c>
      <c r="G19" s="31">
        <v>14.808999999999999</v>
      </c>
      <c r="H19" s="31">
        <v>0</v>
      </c>
      <c r="I19" s="31">
        <v>5.95</v>
      </c>
      <c r="J19" s="31">
        <v>4.5679999999999996</v>
      </c>
      <c r="K19" s="31">
        <v>3.4289999999999998</v>
      </c>
      <c r="L19" s="31">
        <v>0.89200000000000002</v>
      </c>
      <c r="M19" s="31">
        <v>3.0129999999999999</v>
      </c>
      <c r="N19" s="31">
        <v>3.0659999999999998</v>
      </c>
      <c r="O19" s="18">
        <v>0.57799999999999996</v>
      </c>
      <c r="P19" s="31">
        <v>1.875</v>
      </c>
      <c r="Q19" s="31">
        <v>27.725999999999999</v>
      </c>
      <c r="R19" s="31">
        <v>24.504000000000001</v>
      </c>
      <c r="S19" s="18">
        <v>24.869</v>
      </c>
      <c r="T19" s="18">
        <v>40.430999999999997</v>
      </c>
      <c r="U19" s="18">
        <v>33.884</v>
      </c>
      <c r="V19" s="18">
        <v>40.204000000000001</v>
      </c>
      <c r="W19" s="40">
        <v>43.264000000000003</v>
      </c>
      <c r="X19" s="40">
        <v>51.287999999999997</v>
      </c>
      <c r="Y19" s="40">
        <v>50.322000000000003</v>
      </c>
      <c r="Z19" s="40">
        <v>35.68</v>
      </c>
      <c r="AA19" s="193">
        <v>35.656999999999996</v>
      </c>
      <c r="AB19" s="193">
        <v>35.652000000000001</v>
      </c>
      <c r="AC19" s="193">
        <v>35.610999999999997</v>
      </c>
      <c r="AD19" s="193">
        <v>35.597000000000001</v>
      </c>
      <c r="AE19" s="193">
        <v>35.588000000000001</v>
      </c>
      <c r="AF19" s="193">
        <v>35.698999999999998</v>
      </c>
      <c r="AG19" s="193">
        <v>35.682000000000002</v>
      </c>
      <c r="AH19" s="193">
        <v>36.113</v>
      </c>
      <c r="AI19" s="193">
        <v>36.097999999999999</v>
      </c>
      <c r="AJ19" s="193">
        <v>36.073999999999998</v>
      </c>
    </row>
    <row r="20" spans="1:36" ht="15" customHeight="1">
      <c r="A20" t="s">
        <v>167</v>
      </c>
      <c r="B20" s="21" t="str">
        <f>IF('Sumário | Summary'!P1=1,"Estoques","Inventory")</f>
        <v>Estoques</v>
      </c>
      <c r="C20" s="31">
        <v>1246.0930000000001</v>
      </c>
      <c r="D20" s="31">
        <v>1050.02</v>
      </c>
      <c r="E20" s="31">
        <v>832.42100000000005</v>
      </c>
      <c r="F20" s="31">
        <v>787.60299999999995</v>
      </c>
      <c r="G20" s="31">
        <v>860.95</v>
      </c>
      <c r="H20" s="31">
        <v>595.16600000000005</v>
      </c>
      <c r="I20" s="31">
        <v>296.22800000000001</v>
      </c>
      <c r="J20" s="31">
        <v>59.46</v>
      </c>
      <c r="K20" s="31">
        <v>84.590999999999994</v>
      </c>
      <c r="L20" s="31">
        <v>59.83</v>
      </c>
      <c r="M20" s="31">
        <v>84.861999999999995</v>
      </c>
      <c r="N20" s="31">
        <v>43.95</v>
      </c>
      <c r="O20" s="18">
        <v>44.366999999999997</v>
      </c>
      <c r="P20" s="31">
        <v>44.366999999999997</v>
      </c>
      <c r="Q20" s="31">
        <v>44.366999999999997</v>
      </c>
      <c r="R20" s="31">
        <v>44.366999999999997</v>
      </c>
      <c r="S20" s="18">
        <v>47.281999999999996</v>
      </c>
      <c r="T20" s="18">
        <v>48.033999999999999</v>
      </c>
      <c r="U20" s="18">
        <v>48.033999999999999</v>
      </c>
      <c r="V20" s="18">
        <v>48.048999999999999</v>
      </c>
      <c r="W20" s="40">
        <v>47.125</v>
      </c>
      <c r="X20" s="40">
        <v>71.805999999999997</v>
      </c>
      <c r="Y20" s="40">
        <v>71.805999999999997</v>
      </c>
      <c r="Z20" s="40">
        <v>16.795000000000002</v>
      </c>
      <c r="AA20" s="40">
        <v>16.795000000000002</v>
      </c>
      <c r="AB20" s="40">
        <v>44.234000000000002</v>
      </c>
      <c r="AC20" s="40">
        <v>36.796999999999997</v>
      </c>
      <c r="AD20" s="40">
        <v>45.962000000000003</v>
      </c>
      <c r="AE20" s="40">
        <v>45.652999999999999</v>
      </c>
      <c r="AF20" s="40">
        <v>45.884999999999998</v>
      </c>
      <c r="AG20" s="40">
        <v>46.063000000000002</v>
      </c>
      <c r="AH20" s="40">
        <v>46.228000000000002</v>
      </c>
      <c r="AI20" s="40">
        <v>46.530999999999999</v>
      </c>
      <c r="AJ20" s="40">
        <v>30.468</v>
      </c>
    </row>
    <row r="21" spans="1:36" ht="15" customHeight="1">
      <c r="A21" t="s">
        <v>168</v>
      </c>
      <c r="B21" s="21" t="str">
        <f>IF('Sumário | Summary'!P1=1,"Adiantamento para futuro aumento de capital","Advance for future capital increase")</f>
        <v>Adiantamento para futuro aumento de capital</v>
      </c>
      <c r="C21" s="31">
        <v>26.45</v>
      </c>
      <c r="D21" s="31">
        <v>21.587</v>
      </c>
      <c r="E21" s="31">
        <v>22.146000000000001</v>
      </c>
      <c r="F21" s="31">
        <v>23.125</v>
      </c>
      <c r="G21" s="31">
        <v>24.581</v>
      </c>
      <c r="H21" s="31">
        <v>25.068000000000001</v>
      </c>
      <c r="I21" s="31">
        <v>25.608000000000001</v>
      </c>
      <c r="J21" s="31">
        <v>24.341999999999999</v>
      </c>
      <c r="K21" s="31">
        <v>24.882999999999999</v>
      </c>
      <c r="L21" s="31">
        <v>4.5999999999999999E-2</v>
      </c>
      <c r="M21" s="31">
        <v>4.5999999999999999E-2</v>
      </c>
      <c r="N21" s="31">
        <v>0</v>
      </c>
      <c r="O21" s="18">
        <v>4.5999999999999999E-2</v>
      </c>
      <c r="P21" s="31">
        <v>4.5999999999999999E-2</v>
      </c>
      <c r="Q21" s="31">
        <v>0.29199999999999998</v>
      </c>
      <c r="R21" s="31">
        <v>0.37</v>
      </c>
      <c r="S21" s="18">
        <v>0.45200000000000001</v>
      </c>
      <c r="T21" s="18">
        <v>0.29099999999999998</v>
      </c>
      <c r="U21" s="18">
        <v>0.40300000000000002</v>
      </c>
      <c r="V21" s="18">
        <v>0.33600000000000002</v>
      </c>
      <c r="W21" s="40">
        <v>0.32500000000000001</v>
      </c>
      <c r="X21" s="40">
        <v>0.33100000000000002</v>
      </c>
      <c r="Y21" s="40">
        <v>0.33600000000000002</v>
      </c>
      <c r="Z21" s="40">
        <v>4.0949999999999998</v>
      </c>
      <c r="AA21" s="40">
        <v>0.58199999999999996</v>
      </c>
      <c r="AB21" s="40">
        <v>0.47499999999999998</v>
      </c>
      <c r="AC21" s="40">
        <v>0.443</v>
      </c>
      <c r="AD21" s="40">
        <v>1.04</v>
      </c>
      <c r="AE21" s="40">
        <v>1.038</v>
      </c>
      <c r="AF21" s="40">
        <v>1.0740000000000001</v>
      </c>
      <c r="AG21" s="40">
        <v>1.0660000000000001</v>
      </c>
      <c r="AH21" s="40">
        <v>0.47899999999999998</v>
      </c>
      <c r="AI21" s="40">
        <v>0.48899999999999999</v>
      </c>
      <c r="AJ21" s="40">
        <v>0.23</v>
      </c>
    </row>
    <row r="22" spans="1:36" ht="15" customHeight="1">
      <c r="A22" t="s">
        <v>169</v>
      </c>
      <c r="B22" s="21" t="str">
        <f>IF('Sumário | Summary'!P1=1,"Contas-correntes com parceiros nos empreendimentos","Current accounts with partners in projects ")</f>
        <v>Contas-correntes com parceiros nos empreendimentos</v>
      </c>
      <c r="C22" s="31">
        <v>0</v>
      </c>
      <c r="D22" s="31">
        <v>0</v>
      </c>
      <c r="E22" s="31">
        <v>0.109</v>
      </c>
      <c r="F22" s="31">
        <v>0</v>
      </c>
      <c r="G22" s="31">
        <v>0</v>
      </c>
      <c r="H22" s="31">
        <v>0</v>
      </c>
      <c r="I22" s="31">
        <v>0</v>
      </c>
      <c r="J22" s="31">
        <v>0</v>
      </c>
      <c r="K22" s="31">
        <v>0</v>
      </c>
      <c r="L22" s="31">
        <v>0</v>
      </c>
      <c r="M22" s="31">
        <v>0</v>
      </c>
      <c r="N22" s="31">
        <v>0</v>
      </c>
      <c r="O22" s="18">
        <v>0</v>
      </c>
      <c r="P22" s="31">
        <v>0</v>
      </c>
      <c r="Q22" s="31">
        <v>0.375</v>
      </c>
      <c r="R22" s="31">
        <v>0.61199999999999999</v>
      </c>
      <c r="S22" s="18">
        <v>3.5920000000000001</v>
      </c>
      <c r="T22" s="18">
        <v>5.1920000000000002</v>
      </c>
      <c r="U22" s="18">
        <v>3.7170000000000001</v>
      </c>
      <c r="V22" s="18">
        <v>4.5529999999999999</v>
      </c>
      <c r="W22" s="40">
        <v>6.5490000000000004</v>
      </c>
      <c r="X22" s="40">
        <v>6.3079999999999998</v>
      </c>
      <c r="Y22" s="40">
        <v>6.9130000000000003</v>
      </c>
      <c r="Z22" s="40">
        <v>5.7080000000000002</v>
      </c>
      <c r="AA22" s="40">
        <v>5.3840000000000003</v>
      </c>
      <c r="AB22" s="40">
        <v>5.6360000000000001</v>
      </c>
      <c r="AC22" s="40">
        <v>4.7859999999999996</v>
      </c>
      <c r="AD22" s="40">
        <v>5.8949999999999996</v>
      </c>
      <c r="AE22" s="40">
        <v>10.656000000000001</v>
      </c>
      <c r="AF22" s="40">
        <v>8.5329999999999995</v>
      </c>
      <c r="AG22" s="40">
        <v>7.6970000000000001</v>
      </c>
      <c r="AH22" s="40">
        <v>4.0419999999999998</v>
      </c>
      <c r="AI22" s="40">
        <v>1.0549999999999999</v>
      </c>
      <c r="AJ22" s="40">
        <v>2.069</v>
      </c>
    </row>
    <row r="23" spans="1:36" ht="15" customHeight="1">
      <c r="A23" t="s">
        <v>177</v>
      </c>
      <c r="B23" s="28" t="str">
        <f>IF('Sumário | Summary'!P1=1,"Mútuo a receber","Loan receivables")</f>
        <v>Mútuo a receber</v>
      </c>
      <c r="C23" s="31">
        <v>6.8250000000000002</v>
      </c>
      <c r="D23" s="31">
        <v>7.3369999999999997</v>
      </c>
      <c r="E23" s="31">
        <v>6.8140000000000001</v>
      </c>
      <c r="F23" s="31">
        <v>7.141</v>
      </c>
      <c r="G23" s="31">
        <v>7.4829999999999997</v>
      </c>
      <c r="H23" s="31">
        <v>6.9960000000000004</v>
      </c>
      <c r="I23" s="31">
        <v>5.7709999999999999</v>
      </c>
      <c r="J23" s="31">
        <v>0</v>
      </c>
      <c r="K23" s="31">
        <v>0</v>
      </c>
      <c r="L23" s="31">
        <v>0</v>
      </c>
      <c r="M23" s="31">
        <v>0</v>
      </c>
      <c r="N23" s="31">
        <v>0</v>
      </c>
      <c r="O23" s="18">
        <v>0</v>
      </c>
      <c r="P23" s="31">
        <v>0</v>
      </c>
      <c r="Q23" s="31">
        <v>0</v>
      </c>
      <c r="R23" s="31">
        <v>0</v>
      </c>
      <c r="S23" s="18">
        <v>0</v>
      </c>
      <c r="T23" s="18">
        <v>0</v>
      </c>
      <c r="U23" s="18">
        <v>0</v>
      </c>
      <c r="V23" s="18">
        <v>0</v>
      </c>
      <c r="W23" s="40">
        <v>0</v>
      </c>
      <c r="X23" s="40">
        <v>0</v>
      </c>
      <c r="Y23" s="40">
        <v>0</v>
      </c>
      <c r="Z23" s="40">
        <v>0</v>
      </c>
      <c r="AA23" s="40">
        <v>0</v>
      </c>
      <c r="AB23" s="40">
        <v>0</v>
      </c>
      <c r="AC23" s="40">
        <v>0</v>
      </c>
      <c r="AD23" s="40">
        <v>0</v>
      </c>
      <c r="AE23" s="40">
        <v>0</v>
      </c>
      <c r="AF23" s="40">
        <v>0</v>
      </c>
      <c r="AG23" s="40">
        <v>0</v>
      </c>
      <c r="AH23" s="40">
        <v>0</v>
      </c>
      <c r="AI23" s="40">
        <v>0</v>
      </c>
      <c r="AJ23" s="40">
        <v>0</v>
      </c>
    </row>
    <row r="24" spans="1:36" ht="15" customHeight="1">
      <c r="A24" t="s">
        <v>170</v>
      </c>
      <c r="B24" s="28" t="str">
        <f>IF('Sumário | Summary'!P1=1,"Impostos a compensar","Tax to be Compensated")</f>
        <v>Impostos a compensar</v>
      </c>
      <c r="C24" s="31">
        <v>92.989000000000004</v>
      </c>
      <c r="D24" s="31">
        <v>98.057000000000002</v>
      </c>
      <c r="E24" s="31">
        <v>100.669</v>
      </c>
      <c r="F24" s="31">
        <v>63.451000000000001</v>
      </c>
      <c r="G24" s="31">
        <v>71.61</v>
      </c>
      <c r="H24" s="31">
        <v>76.007000000000005</v>
      </c>
      <c r="I24" s="31">
        <v>31.501999999999999</v>
      </c>
      <c r="J24" s="31">
        <v>33.701999999999998</v>
      </c>
      <c r="K24" s="31">
        <v>33.229999999999997</v>
      </c>
      <c r="L24" s="31">
        <v>31.539000000000001</v>
      </c>
      <c r="M24" s="31">
        <v>33.024000000000001</v>
      </c>
      <c r="N24" s="31">
        <v>35.979999999999997</v>
      </c>
      <c r="O24" s="18">
        <v>46.984000000000002</v>
      </c>
      <c r="P24" s="31">
        <v>51.677999999999997</v>
      </c>
      <c r="Q24" s="31">
        <v>58.588000000000001</v>
      </c>
      <c r="R24" s="31">
        <v>65.652000000000001</v>
      </c>
      <c r="S24" s="18">
        <v>26.620999999999999</v>
      </c>
      <c r="T24" s="18">
        <v>18.66</v>
      </c>
      <c r="U24" s="18">
        <v>14.622999999999999</v>
      </c>
      <c r="V24" s="18">
        <v>35.246000000000002</v>
      </c>
      <c r="W24" s="40">
        <v>39.152999999999999</v>
      </c>
      <c r="X24" s="40">
        <v>32.283999999999999</v>
      </c>
      <c r="Y24" s="40">
        <v>38.706000000000003</v>
      </c>
      <c r="Z24" s="40">
        <v>52.570999999999998</v>
      </c>
      <c r="AA24" s="40">
        <v>56.332999999999998</v>
      </c>
      <c r="AB24" s="40">
        <v>35.930999999999997</v>
      </c>
      <c r="AC24" s="40">
        <v>42.006999999999998</v>
      </c>
      <c r="AD24" s="40">
        <v>59.744999999999997</v>
      </c>
      <c r="AE24" s="40">
        <v>56.192</v>
      </c>
      <c r="AF24" s="40">
        <v>60.228000000000002</v>
      </c>
      <c r="AG24" s="40">
        <v>63.881</v>
      </c>
      <c r="AH24" s="40">
        <v>70.867000000000004</v>
      </c>
      <c r="AI24" s="40">
        <v>65.5</v>
      </c>
      <c r="AJ24" s="40">
        <v>58.250999999999998</v>
      </c>
    </row>
    <row r="25" spans="1:36" ht="15" customHeight="1">
      <c r="A25" t="s">
        <v>171</v>
      </c>
      <c r="B25" s="21" t="str">
        <f>IF('Sumário | Summary'!P1=1,"Depósitos judiciais","Judicial Deposits")</f>
        <v>Depósitos judiciais</v>
      </c>
      <c r="C25" s="31">
        <v>0</v>
      </c>
      <c r="D25" s="31">
        <v>0.39300000000000002</v>
      </c>
      <c r="E25" s="31">
        <v>0.39100000000000001</v>
      </c>
      <c r="F25" s="31">
        <v>0.40500000000000003</v>
      </c>
      <c r="G25" s="31">
        <v>0.27200000000000002</v>
      </c>
      <c r="H25" s="31">
        <v>0.246</v>
      </c>
      <c r="I25" s="31">
        <v>0</v>
      </c>
      <c r="J25" s="31">
        <v>0</v>
      </c>
      <c r="K25" s="31">
        <v>0</v>
      </c>
      <c r="L25" s="31">
        <v>0</v>
      </c>
      <c r="M25" s="31">
        <v>0</v>
      </c>
      <c r="N25" s="31">
        <v>0</v>
      </c>
      <c r="O25" s="18">
        <v>0.113</v>
      </c>
      <c r="P25" s="31">
        <v>0.1</v>
      </c>
      <c r="Q25" s="31">
        <v>8.5999999999999993E-2</v>
      </c>
      <c r="R25" s="31">
        <v>0.16400000000000001</v>
      </c>
      <c r="S25" s="18">
        <v>0.16600000000000001</v>
      </c>
      <c r="T25" s="18">
        <v>0.16400000000000001</v>
      </c>
      <c r="U25" s="18">
        <v>6.9000000000000006E-2</v>
      </c>
      <c r="V25" s="18">
        <v>6.2E-2</v>
      </c>
      <c r="W25" s="40">
        <v>6.0999999999999999E-2</v>
      </c>
      <c r="X25" s="40">
        <v>3.2749999999999999</v>
      </c>
      <c r="Y25" s="40">
        <v>3.2749999999999999</v>
      </c>
      <c r="Z25" s="40">
        <v>3.2629999999999999</v>
      </c>
      <c r="AA25" s="40">
        <v>3.2629999999999999</v>
      </c>
      <c r="AB25" s="40">
        <v>3.3130000000000002</v>
      </c>
      <c r="AC25" s="40">
        <v>3.3239999999999998</v>
      </c>
      <c r="AD25" s="40">
        <v>3.3130000000000002</v>
      </c>
      <c r="AE25" s="40">
        <v>3.3130000000000002</v>
      </c>
      <c r="AF25" s="40">
        <v>3.3130000000000002</v>
      </c>
      <c r="AG25" s="40">
        <v>3.3130000000000002</v>
      </c>
      <c r="AH25" s="40">
        <v>3.3130000000000002</v>
      </c>
      <c r="AI25" s="40">
        <v>3.3130000000000002</v>
      </c>
      <c r="AJ25" s="40">
        <v>3.3519999999999999</v>
      </c>
    </row>
    <row r="26" spans="1:36" ht="15" customHeight="1">
      <c r="A26" t="s">
        <v>172</v>
      </c>
      <c r="B26" s="21" t="str">
        <f>IF('Sumário | Summary'!P1=1,"Demais contas a receber","Other receivables")</f>
        <v>Demais contas a receber</v>
      </c>
      <c r="C26" s="31">
        <v>24.437000000000001</v>
      </c>
      <c r="D26" s="31">
        <v>36.994999999999997</v>
      </c>
      <c r="E26" s="31">
        <v>30.477</v>
      </c>
      <c r="F26" s="31">
        <v>29.407</v>
      </c>
      <c r="G26" s="31">
        <v>25.533000000000001</v>
      </c>
      <c r="H26" s="31">
        <v>29.4</v>
      </c>
      <c r="I26" s="31">
        <v>22.306999999999999</v>
      </c>
      <c r="J26" s="31">
        <v>24.053000000000001</v>
      </c>
      <c r="K26" s="31">
        <v>30.707000000000001</v>
      </c>
      <c r="L26" s="31">
        <v>0.04</v>
      </c>
      <c r="M26" s="31">
        <v>38.094999999999999</v>
      </c>
      <c r="N26" s="31">
        <v>33.954000000000001</v>
      </c>
      <c r="O26" s="18">
        <v>7.1829999999999998</v>
      </c>
      <c r="P26" s="31">
        <v>3.169</v>
      </c>
      <c r="Q26" s="31">
        <v>28.66</v>
      </c>
      <c r="R26" s="31">
        <v>31.369</v>
      </c>
      <c r="S26" s="18">
        <v>26.026</v>
      </c>
      <c r="T26" s="18">
        <v>25.276</v>
      </c>
      <c r="U26" s="18">
        <v>30.518000000000001</v>
      </c>
      <c r="V26" s="18">
        <v>24.664999999999999</v>
      </c>
      <c r="W26" s="40">
        <v>22.602</v>
      </c>
      <c r="X26" s="40">
        <v>24.782</v>
      </c>
      <c r="Y26" s="40">
        <v>29.207999999999998</v>
      </c>
      <c r="Z26" s="40">
        <v>109.431</v>
      </c>
      <c r="AA26" s="40">
        <v>104.188</v>
      </c>
      <c r="AB26" s="40">
        <v>75.706000000000003</v>
      </c>
      <c r="AC26" s="40">
        <v>74.466999999999999</v>
      </c>
      <c r="AD26" s="40">
        <v>76.441000000000003</v>
      </c>
      <c r="AE26" s="40">
        <v>77.150999999999996</v>
      </c>
      <c r="AF26" s="40">
        <v>62.896000000000001</v>
      </c>
      <c r="AG26" s="40">
        <v>64.903999999999996</v>
      </c>
      <c r="AH26" s="40">
        <v>64.637</v>
      </c>
      <c r="AI26" s="40">
        <v>32.801000000000002</v>
      </c>
      <c r="AJ26" s="40">
        <v>136.476</v>
      </c>
    </row>
    <row r="27" spans="1:36" ht="15" customHeight="1">
      <c r="A27" t="s">
        <v>178</v>
      </c>
      <c r="B27" s="21" t="str">
        <f>IF('Sumário | Summary'!P1=1,"Títulos e valores imobiliários ","Marketable Securities")</f>
        <v xml:space="preserve">Títulos e valores imobiliários </v>
      </c>
      <c r="C27" s="31">
        <v>0</v>
      </c>
      <c r="D27" s="31">
        <v>0</v>
      </c>
      <c r="E27" s="31">
        <v>0</v>
      </c>
      <c r="F27" s="31">
        <v>0</v>
      </c>
      <c r="G27" s="31">
        <v>0</v>
      </c>
      <c r="H27" s="31">
        <v>0</v>
      </c>
      <c r="I27" s="31">
        <v>0</v>
      </c>
      <c r="J27" s="31">
        <v>0</v>
      </c>
      <c r="K27" s="31">
        <v>0</v>
      </c>
      <c r="L27" s="31">
        <v>0</v>
      </c>
      <c r="M27" s="31">
        <v>0</v>
      </c>
      <c r="N27" s="31">
        <v>0</v>
      </c>
      <c r="O27" s="18">
        <v>0</v>
      </c>
      <c r="P27" s="31">
        <v>0</v>
      </c>
      <c r="Q27" s="31">
        <v>0</v>
      </c>
      <c r="R27" s="31">
        <v>0</v>
      </c>
      <c r="S27" s="18">
        <v>0</v>
      </c>
      <c r="T27" s="18">
        <v>0</v>
      </c>
      <c r="U27" s="18">
        <v>0</v>
      </c>
      <c r="V27" s="18">
        <v>0</v>
      </c>
      <c r="W27" s="40">
        <v>0</v>
      </c>
      <c r="X27" s="40">
        <v>0</v>
      </c>
      <c r="Y27" s="40">
        <v>0</v>
      </c>
      <c r="Z27" s="40">
        <v>0</v>
      </c>
      <c r="AA27" s="40">
        <v>0</v>
      </c>
      <c r="AB27" s="40">
        <v>0</v>
      </c>
      <c r="AC27" s="40">
        <v>0</v>
      </c>
      <c r="AD27" s="40">
        <v>0</v>
      </c>
      <c r="AE27" s="40">
        <v>0</v>
      </c>
      <c r="AF27" s="40">
        <v>0</v>
      </c>
      <c r="AG27" s="40">
        <v>0</v>
      </c>
      <c r="AH27" s="40">
        <v>0</v>
      </c>
      <c r="AI27" s="40">
        <v>0</v>
      </c>
      <c r="AJ27" s="40">
        <v>0</v>
      </c>
    </row>
    <row r="28" spans="1:36" ht="15" customHeight="1">
      <c r="B28" s="11" t="str">
        <f>IF('Sumário | Summary'!P1=1,"Ativo Permanente","Permanent assets " )</f>
        <v>Ativo Permanente</v>
      </c>
      <c r="C28" s="6">
        <v>1600.7650000000001</v>
      </c>
      <c r="D28" s="6">
        <v>1781.367</v>
      </c>
      <c r="E28" s="6">
        <v>2375.3430000000003</v>
      </c>
      <c r="F28" s="6">
        <v>2485.2330000000002</v>
      </c>
      <c r="G28" s="6">
        <v>2298.605</v>
      </c>
      <c r="H28" s="6">
        <v>2518.7309999999998</v>
      </c>
      <c r="I28" s="6">
        <v>2026.847</v>
      </c>
      <c r="J28" s="6">
        <v>2215.0040000000004</v>
      </c>
      <c r="K28" s="6">
        <v>2167.9769999999999</v>
      </c>
      <c r="L28" s="6">
        <v>2134.1450000000004</v>
      </c>
      <c r="M28" s="6">
        <v>2082.8050000000003</v>
      </c>
      <c r="N28" s="6">
        <v>2089.1819999999998</v>
      </c>
      <c r="O28" s="139">
        <f t="shared" ref="O28:AF28" si="3">SUM(O29:O33)</f>
        <v>2079.018</v>
      </c>
      <c r="P28" s="139">
        <f t="shared" si="3"/>
        <v>2164.7060000000001</v>
      </c>
      <c r="Q28" s="139">
        <f t="shared" si="3"/>
        <v>2155.5530000000003</v>
      </c>
      <c r="R28" s="139">
        <f t="shared" si="3"/>
        <v>2501.9440000000004</v>
      </c>
      <c r="S28" s="139">
        <f t="shared" si="3"/>
        <v>2518.8489999999997</v>
      </c>
      <c r="T28" s="139">
        <f t="shared" si="3"/>
        <v>2509.9009999999998</v>
      </c>
      <c r="U28" s="139">
        <f t="shared" si="3"/>
        <v>2500.6889999999999</v>
      </c>
      <c r="V28" s="139">
        <f t="shared" si="3"/>
        <v>2528.826</v>
      </c>
      <c r="W28" s="139">
        <f t="shared" si="3"/>
        <v>2524.0120000000002</v>
      </c>
      <c r="X28" s="139">
        <f t="shared" si="3"/>
        <v>2514.2339999999999</v>
      </c>
      <c r="Y28" s="139">
        <f t="shared" si="3"/>
        <v>2014.51</v>
      </c>
      <c r="Z28" s="139">
        <f t="shared" si="3"/>
        <v>2289.5149999999999</v>
      </c>
      <c r="AA28" s="139">
        <f t="shared" si="3"/>
        <v>2173.6999999999998</v>
      </c>
      <c r="AB28" s="139">
        <f t="shared" si="3"/>
        <v>1845.9950000000001</v>
      </c>
      <c r="AC28" s="139">
        <f t="shared" si="3"/>
        <v>1874.0350000000001</v>
      </c>
      <c r="AD28" s="139">
        <f t="shared" si="3"/>
        <v>2041.037</v>
      </c>
      <c r="AE28" s="139">
        <f t="shared" si="3"/>
        <v>2042.173</v>
      </c>
      <c r="AF28" s="139">
        <f t="shared" si="3"/>
        <v>2040.8</v>
      </c>
      <c r="AG28" s="139">
        <v>2050.4769999999999</v>
      </c>
      <c r="AH28" s="139">
        <v>2035.5750000000003</v>
      </c>
      <c r="AI28" s="139">
        <f>SUM(AI29:AI33)</f>
        <v>894.99599999999998</v>
      </c>
      <c r="AJ28" s="139">
        <f>SUM(AJ29:AJ33)</f>
        <v>858.80399999999986</v>
      </c>
    </row>
    <row r="29" spans="1:36" ht="15" customHeight="1">
      <c r="A29" t="s">
        <v>173</v>
      </c>
      <c r="B29" s="21" t="str">
        <f>IF('Sumário | Summary'!P1=1,"Investimentos","Investments")</f>
        <v>Investimentos</v>
      </c>
      <c r="C29" s="18">
        <v>15.801</v>
      </c>
      <c r="D29" s="18">
        <v>19.161999999999999</v>
      </c>
      <c r="E29" s="18">
        <v>22.952000000000002</v>
      </c>
      <c r="F29" s="18">
        <v>24.045999999999999</v>
      </c>
      <c r="G29" s="18">
        <v>32.521999999999998</v>
      </c>
      <c r="H29" s="18">
        <v>31.117999999999999</v>
      </c>
      <c r="I29" s="18">
        <v>30.215</v>
      </c>
      <c r="J29" s="18">
        <v>30.100999999999999</v>
      </c>
      <c r="K29" s="18">
        <v>29.402000000000001</v>
      </c>
      <c r="L29" s="18">
        <v>29.818000000000001</v>
      </c>
      <c r="M29" s="18">
        <v>19.783999999999999</v>
      </c>
      <c r="N29" s="18">
        <v>18.696999999999999</v>
      </c>
      <c r="O29" s="18">
        <v>17.893000000000001</v>
      </c>
      <c r="P29" s="18">
        <v>17.266999999999999</v>
      </c>
      <c r="Q29" s="18">
        <v>17.931000000000001</v>
      </c>
      <c r="R29" s="18">
        <v>39.948999999999998</v>
      </c>
      <c r="S29" s="18">
        <v>39.97</v>
      </c>
      <c r="T29" s="18">
        <v>39.905000000000001</v>
      </c>
      <c r="U29" s="18">
        <v>39.668999999999997</v>
      </c>
      <c r="V29" s="18">
        <v>35.244</v>
      </c>
      <c r="W29" s="40">
        <v>39.345999999999997</v>
      </c>
      <c r="X29" s="40">
        <v>38.622999999999998</v>
      </c>
      <c r="Y29" s="40">
        <v>37.996000000000002</v>
      </c>
      <c r="Z29" s="40">
        <v>374.12099999999998</v>
      </c>
      <c r="AA29" s="40">
        <v>373.19900000000001</v>
      </c>
      <c r="AB29" s="40">
        <v>52.335999999999999</v>
      </c>
      <c r="AC29" s="40">
        <v>53.404000000000003</v>
      </c>
      <c r="AD29" s="40">
        <v>92.948999999999998</v>
      </c>
      <c r="AE29" s="40">
        <v>95.626000000000005</v>
      </c>
      <c r="AF29" s="40">
        <v>94.03</v>
      </c>
      <c r="AG29" s="40">
        <v>97.631</v>
      </c>
      <c r="AH29" s="40">
        <v>92.468999999999994</v>
      </c>
      <c r="AI29" s="40">
        <v>95.331000000000003</v>
      </c>
      <c r="AJ29" s="40">
        <v>95.381</v>
      </c>
    </row>
    <row r="30" spans="1:36" ht="15" customHeight="1">
      <c r="A30" t="s">
        <v>174</v>
      </c>
      <c r="B30" s="21" t="str">
        <f>IF('Sumário | Summary'!P1=1,"Propriedades para investimento","Investment properties")</f>
        <v>Propriedades para investimento</v>
      </c>
      <c r="C30" s="18">
        <v>1581.232</v>
      </c>
      <c r="D30" s="18">
        <v>1757.6949999999999</v>
      </c>
      <c r="E30" s="18">
        <v>2347.681</v>
      </c>
      <c r="F30" s="18">
        <v>2455.9760000000001</v>
      </c>
      <c r="G30" s="18">
        <v>2259.3389999999999</v>
      </c>
      <c r="H30" s="18">
        <v>2478.5149999999999</v>
      </c>
      <c r="I30" s="18">
        <v>1989.8150000000001</v>
      </c>
      <c r="J30" s="18">
        <v>2184</v>
      </c>
      <c r="K30" s="18">
        <v>2137.5479999999998</v>
      </c>
      <c r="L30" s="18">
        <v>2103.5120000000002</v>
      </c>
      <c r="M30" s="18">
        <v>2058.7620000000002</v>
      </c>
      <c r="N30" s="18">
        <v>1875.117</v>
      </c>
      <c r="O30" s="18">
        <v>1866.8579999999999</v>
      </c>
      <c r="P30" s="18">
        <v>1953.0540000000001</v>
      </c>
      <c r="Q30" s="18">
        <v>1947.578</v>
      </c>
      <c r="R30" s="18">
        <v>2451.7040000000002</v>
      </c>
      <c r="S30" s="18">
        <v>2471.2959999999998</v>
      </c>
      <c r="T30" s="18">
        <v>2461.1909999999998</v>
      </c>
      <c r="U30" s="18">
        <v>2452.105</v>
      </c>
      <c r="V30" s="18">
        <v>2482.0549999999998</v>
      </c>
      <c r="W30" s="40">
        <v>2472.3420000000001</v>
      </c>
      <c r="X30" s="40">
        <v>2462.7750000000001</v>
      </c>
      <c r="Y30" s="40">
        <v>1963.5550000000001</v>
      </c>
      <c r="Z30" s="40">
        <v>1902.643</v>
      </c>
      <c r="AA30" s="40">
        <v>1787.597</v>
      </c>
      <c r="AB30" s="40">
        <v>1780.7380000000001</v>
      </c>
      <c r="AC30" s="40">
        <v>1807.7460000000001</v>
      </c>
      <c r="AD30" s="40">
        <v>1934.26</v>
      </c>
      <c r="AE30" s="40">
        <v>1933.077</v>
      </c>
      <c r="AF30" s="40">
        <v>1933.6220000000001</v>
      </c>
      <c r="AG30" s="40">
        <v>1938.2909999999999</v>
      </c>
      <c r="AH30" s="40">
        <v>1931.65</v>
      </c>
      <c r="AI30" s="40">
        <v>793.96299999999997</v>
      </c>
      <c r="AJ30" s="40">
        <v>753.86699999999996</v>
      </c>
    </row>
    <row r="31" spans="1:36" ht="15" customHeight="1">
      <c r="A31" t="s">
        <v>175</v>
      </c>
      <c r="B31" s="21" t="str">
        <f>IF('Sumário | Summary'!P1=1,"Imobilizado","Fixed Assets")</f>
        <v>Imobilizado</v>
      </c>
      <c r="C31" s="18">
        <v>3.2549999999999999</v>
      </c>
      <c r="D31" s="18">
        <v>3.2349999999999999</v>
      </c>
      <c r="E31" s="18">
        <v>3.2210000000000001</v>
      </c>
      <c r="F31" s="18">
        <v>3.641</v>
      </c>
      <c r="G31" s="18">
        <v>5.2729999999999997</v>
      </c>
      <c r="H31" s="18">
        <v>7.6769999999999996</v>
      </c>
      <c r="I31" s="18">
        <v>6.367</v>
      </c>
      <c r="J31" s="18">
        <v>0.47799999999999998</v>
      </c>
      <c r="K31" s="18">
        <v>0.55600000000000005</v>
      </c>
      <c r="L31" s="18">
        <v>0.36399999999999999</v>
      </c>
      <c r="M31" s="18">
        <v>0.32600000000000001</v>
      </c>
      <c r="N31" s="18">
        <v>191.38499999999999</v>
      </c>
      <c r="O31" s="18">
        <v>190.26499999999999</v>
      </c>
      <c r="P31" s="18">
        <v>190.39400000000001</v>
      </c>
      <c r="Q31" s="18">
        <v>189.577</v>
      </c>
      <c r="R31" s="18">
        <v>2.5270000000000001</v>
      </c>
      <c r="S31" s="18">
        <v>1.121</v>
      </c>
      <c r="T31" s="18">
        <v>2.1219999999999999</v>
      </c>
      <c r="U31" s="18">
        <v>0.97299999999999998</v>
      </c>
      <c r="V31" s="18">
        <v>1.9930000000000001</v>
      </c>
      <c r="W31" s="40">
        <v>1.91</v>
      </c>
      <c r="X31" s="40">
        <v>1.83</v>
      </c>
      <c r="Y31" s="40">
        <v>0.65800000000000003</v>
      </c>
      <c r="Z31" s="40">
        <v>0.32300000000000001</v>
      </c>
      <c r="AA31" s="40">
        <v>0.28899999999999998</v>
      </c>
      <c r="AB31" s="40">
        <v>0.26500000000000001</v>
      </c>
      <c r="AC31" s="40">
        <v>0.249</v>
      </c>
      <c r="AD31" s="40">
        <v>0.23300000000000001</v>
      </c>
      <c r="AE31" s="40">
        <v>0.22</v>
      </c>
      <c r="AF31" s="40">
        <v>0.20499999999999999</v>
      </c>
      <c r="AG31" s="40">
        <v>0.92200000000000004</v>
      </c>
      <c r="AH31" s="40">
        <v>0.92</v>
      </c>
      <c r="AI31" s="40">
        <v>0.80900000000000005</v>
      </c>
      <c r="AJ31" s="40">
        <v>1.1080000000000001</v>
      </c>
    </row>
    <row r="32" spans="1:36" ht="15" customHeight="1">
      <c r="A32" t="s">
        <v>176</v>
      </c>
      <c r="B32" s="21" t="str">
        <f>IF('Sumário | Summary'!P1=1,"Intangíveis","Intangible")</f>
        <v>Intangíveis</v>
      </c>
      <c r="C32" s="18">
        <v>0.47699999999999998</v>
      </c>
      <c r="D32" s="18">
        <v>1.2749999999999999</v>
      </c>
      <c r="E32" s="18">
        <v>1.4890000000000001</v>
      </c>
      <c r="F32" s="18">
        <v>1.57</v>
      </c>
      <c r="G32" s="18">
        <v>1.4710000000000001</v>
      </c>
      <c r="H32" s="18">
        <v>1.421</v>
      </c>
      <c r="I32" s="18">
        <v>0.45</v>
      </c>
      <c r="J32" s="18">
        <v>0.42499999999999999</v>
      </c>
      <c r="K32" s="18">
        <v>0.47099999999999997</v>
      </c>
      <c r="L32" s="18">
        <v>0.45100000000000001</v>
      </c>
      <c r="M32" s="18">
        <v>3.9329999999999998</v>
      </c>
      <c r="N32" s="18">
        <v>3.9830000000000001</v>
      </c>
      <c r="O32" s="18">
        <v>4.0019999999999998</v>
      </c>
      <c r="P32" s="18">
        <v>3.9910000000000001</v>
      </c>
      <c r="Q32" s="18">
        <v>0.46700000000000003</v>
      </c>
      <c r="R32" s="18">
        <v>7.7640000000000002</v>
      </c>
      <c r="S32" s="18">
        <v>6.4619999999999997</v>
      </c>
      <c r="T32" s="18">
        <v>6.6829999999999998</v>
      </c>
      <c r="U32" s="18">
        <v>7.9420000000000002</v>
      </c>
      <c r="V32" s="18">
        <v>9.5340000000000007</v>
      </c>
      <c r="W32" s="40">
        <v>10.414</v>
      </c>
      <c r="X32" s="40">
        <v>11.006</v>
      </c>
      <c r="Y32" s="40">
        <v>12.301</v>
      </c>
      <c r="Z32" s="40">
        <v>12.428000000000001</v>
      </c>
      <c r="AA32" s="40">
        <v>12.615</v>
      </c>
      <c r="AB32" s="40">
        <v>12.656000000000001</v>
      </c>
      <c r="AC32" s="40">
        <v>12.635999999999999</v>
      </c>
      <c r="AD32" s="40">
        <v>13.595000000000001</v>
      </c>
      <c r="AE32" s="40">
        <v>13.25</v>
      </c>
      <c r="AF32" s="40">
        <v>12.943</v>
      </c>
      <c r="AG32" s="40">
        <v>13.632999999999999</v>
      </c>
      <c r="AH32" s="40">
        <v>10.536</v>
      </c>
      <c r="AI32" s="40">
        <v>4.8929999999999998</v>
      </c>
      <c r="AJ32" s="40">
        <v>8.4480000000000004</v>
      </c>
    </row>
    <row r="33" spans="1:36" ht="15" customHeight="1">
      <c r="A33" t="s">
        <v>179</v>
      </c>
      <c r="B33" s="21" t="str">
        <f>IF('Sumário | Summary'!P1=1,"Outros Investimentos","Other Investments")</f>
        <v>Outros Investimentos</v>
      </c>
      <c r="C33" s="18" t="s">
        <v>18</v>
      </c>
      <c r="D33" s="18" t="s">
        <v>18</v>
      </c>
      <c r="E33" s="18" t="s">
        <v>18</v>
      </c>
      <c r="F33" s="18" t="s">
        <v>18</v>
      </c>
      <c r="G33" s="18" t="s">
        <v>18</v>
      </c>
      <c r="H33" s="18" t="s">
        <v>18</v>
      </c>
      <c r="I33" s="18" t="s">
        <v>18</v>
      </c>
      <c r="J33" s="18" t="s">
        <v>18</v>
      </c>
      <c r="K33" s="18" t="s">
        <v>18</v>
      </c>
      <c r="L33" s="18" t="s">
        <v>18</v>
      </c>
      <c r="M33" s="18" t="s">
        <v>18</v>
      </c>
      <c r="N33" s="18" t="s">
        <v>18</v>
      </c>
      <c r="O33" s="18">
        <v>0</v>
      </c>
      <c r="P33" s="18">
        <v>0</v>
      </c>
      <c r="Q33" s="18">
        <v>0</v>
      </c>
      <c r="R33" s="18">
        <v>0</v>
      </c>
      <c r="S33" s="18">
        <v>0</v>
      </c>
      <c r="T33" s="18">
        <v>0</v>
      </c>
      <c r="U33" s="18">
        <v>0</v>
      </c>
      <c r="V33" s="18">
        <v>0</v>
      </c>
      <c r="W33" s="18">
        <v>0</v>
      </c>
      <c r="X33" s="18">
        <v>0</v>
      </c>
      <c r="Y33" s="18">
        <v>0</v>
      </c>
      <c r="Z33" s="18">
        <v>0</v>
      </c>
      <c r="AA33" s="40">
        <v>0</v>
      </c>
      <c r="AB33" s="40">
        <v>0</v>
      </c>
      <c r="AC33" s="40">
        <v>0</v>
      </c>
      <c r="AD33" s="40">
        <v>0</v>
      </c>
      <c r="AE33" s="40">
        <v>0</v>
      </c>
      <c r="AF33" s="40">
        <v>0</v>
      </c>
      <c r="AG33" s="40">
        <v>0</v>
      </c>
      <c r="AH33" s="40">
        <v>0</v>
      </c>
      <c r="AI33" s="40">
        <v>0</v>
      </c>
      <c r="AJ33" s="40">
        <v>0</v>
      </c>
    </row>
    <row r="34" spans="1:36" ht="14.25" customHeight="1">
      <c r="A34" t="s">
        <v>124</v>
      </c>
      <c r="B34" s="22" t="str">
        <f>IF('Sumário | Summary'!P1=1,"PASSIVO","Liabilities")</f>
        <v>PASSIVO</v>
      </c>
      <c r="C34" s="139">
        <v>2510.6990000000001</v>
      </c>
      <c r="D34" s="139">
        <v>2486.3599999999997</v>
      </c>
      <c r="E34" s="139">
        <v>2558.1240000000003</v>
      </c>
      <c r="F34" s="139">
        <v>2668.7550000000001</v>
      </c>
      <c r="G34" s="139">
        <v>2585.6760000000004</v>
      </c>
      <c r="H34" s="139">
        <v>2613.5970000000002</v>
      </c>
      <c r="I34" s="139">
        <v>1862.61</v>
      </c>
      <c r="J34" s="139">
        <v>1646.046</v>
      </c>
      <c r="K34" s="139">
        <v>1798.29</v>
      </c>
      <c r="L34" s="139">
        <v>1724.1379999999999</v>
      </c>
      <c r="M34" s="139">
        <v>1693.259</v>
      </c>
      <c r="N34" s="139">
        <v>1666.547</v>
      </c>
      <c r="O34" s="139">
        <f t="shared" ref="O34:AF34" si="4">O35+O52</f>
        <v>1597.3339999999998</v>
      </c>
      <c r="P34" s="139">
        <f t="shared" si="4"/>
        <v>1930.7729999999997</v>
      </c>
      <c r="Q34" s="139">
        <f t="shared" si="4"/>
        <v>1676.1459999999997</v>
      </c>
      <c r="R34" s="139">
        <f t="shared" si="4"/>
        <v>1747.0169999999998</v>
      </c>
      <c r="S34" s="139">
        <f t="shared" si="4"/>
        <v>1644.4619999999998</v>
      </c>
      <c r="T34" s="139">
        <f t="shared" si="4"/>
        <v>1624.8650000000002</v>
      </c>
      <c r="U34" s="139">
        <f t="shared" si="4"/>
        <v>1577.1019999999996</v>
      </c>
      <c r="V34" s="139">
        <f t="shared" si="4"/>
        <v>1583.0309999999999</v>
      </c>
      <c r="W34" s="139">
        <f t="shared" si="4"/>
        <v>1500.6830000000002</v>
      </c>
      <c r="X34" s="139">
        <f t="shared" si="4"/>
        <v>1801.3019999999999</v>
      </c>
      <c r="Y34" s="139">
        <f t="shared" si="4"/>
        <v>1769.2219999999998</v>
      </c>
      <c r="Z34" s="139">
        <f t="shared" si="4"/>
        <v>1755.8650000000002</v>
      </c>
      <c r="AA34" s="139">
        <f t="shared" si="4"/>
        <v>1566.8760000000002</v>
      </c>
      <c r="AB34" s="139">
        <f t="shared" si="4"/>
        <v>1402.095</v>
      </c>
      <c r="AC34" s="139">
        <f t="shared" si="4"/>
        <v>1183.067</v>
      </c>
      <c r="AD34" s="139">
        <f t="shared" si="4"/>
        <v>1177.0559999999998</v>
      </c>
      <c r="AE34" s="139">
        <f t="shared" si="4"/>
        <v>1174.1799999999998</v>
      </c>
      <c r="AF34" s="139">
        <f t="shared" si="4"/>
        <v>1142.8220000000001</v>
      </c>
      <c r="AG34" s="139">
        <v>1159.297</v>
      </c>
      <c r="AH34" s="139">
        <v>1127.0930000000001</v>
      </c>
      <c r="AI34" s="139">
        <f>AI35+AI52</f>
        <v>1419.212</v>
      </c>
      <c r="AJ34" s="139">
        <f>AJ35+AJ52</f>
        <v>1223.3400000000001</v>
      </c>
    </row>
    <row r="35" spans="1:36" ht="15" customHeight="1">
      <c r="A35" t="s">
        <v>119</v>
      </c>
      <c r="B35" s="11" t="str">
        <f>IF('Sumário | Summary'!P1=1,"Passivo Circulante","Current Liabilities")</f>
        <v>Passivo Circulante</v>
      </c>
      <c r="C35" s="6">
        <v>460.916</v>
      </c>
      <c r="D35" s="6">
        <v>606.85659999999996</v>
      </c>
      <c r="E35" s="6">
        <v>595.7894</v>
      </c>
      <c r="F35" s="6">
        <v>533.60580000000004</v>
      </c>
      <c r="G35" s="6">
        <v>504.8254</v>
      </c>
      <c r="H35" s="6">
        <v>601.41800000000001</v>
      </c>
      <c r="I35" s="6">
        <v>402.66300000000001</v>
      </c>
      <c r="J35" s="6">
        <v>317.79599999999999</v>
      </c>
      <c r="K35" s="6">
        <v>335.97699999999998</v>
      </c>
      <c r="L35" s="6">
        <v>303.19200000000001</v>
      </c>
      <c r="M35" s="6">
        <v>384.80099999999999</v>
      </c>
      <c r="N35" s="6">
        <v>348.971</v>
      </c>
      <c r="O35" s="139">
        <f t="shared" ref="O35:AF35" si="5">SUM(O36:O51)</f>
        <v>334.47600000000006</v>
      </c>
      <c r="P35" s="139">
        <f t="shared" si="5"/>
        <v>406.28399999999999</v>
      </c>
      <c r="Q35" s="139">
        <f t="shared" si="5"/>
        <v>271.55099999999999</v>
      </c>
      <c r="R35" s="139">
        <f t="shared" si="5"/>
        <v>255.59599999999998</v>
      </c>
      <c r="S35" s="139">
        <f t="shared" si="5"/>
        <v>207.38799999999998</v>
      </c>
      <c r="T35" s="139">
        <f t="shared" si="5"/>
        <v>183.27599999999998</v>
      </c>
      <c r="U35" s="139">
        <f t="shared" si="5"/>
        <v>185.94799999999995</v>
      </c>
      <c r="V35" s="139">
        <f t="shared" si="5"/>
        <v>194.36</v>
      </c>
      <c r="W35" s="139">
        <f t="shared" si="5"/>
        <v>175.41299999999998</v>
      </c>
      <c r="X35" s="139">
        <f t="shared" si="5"/>
        <v>287.19900000000001</v>
      </c>
      <c r="Y35" s="139">
        <f t="shared" si="5"/>
        <v>295.81</v>
      </c>
      <c r="Z35" s="139">
        <f t="shared" si="5"/>
        <v>335.23000000000013</v>
      </c>
      <c r="AA35" s="139">
        <f t="shared" si="5"/>
        <v>215.68099999999998</v>
      </c>
      <c r="AB35" s="139">
        <f t="shared" si="5"/>
        <v>200.35699999999997</v>
      </c>
      <c r="AC35" s="139">
        <f t="shared" si="5"/>
        <v>71.72999999999999</v>
      </c>
      <c r="AD35" s="139">
        <f t="shared" si="5"/>
        <v>87.616</v>
      </c>
      <c r="AE35" s="139">
        <f t="shared" si="5"/>
        <v>76.451999999999984</v>
      </c>
      <c r="AF35" s="139">
        <f t="shared" si="5"/>
        <v>95.182999999999993</v>
      </c>
      <c r="AG35" s="139">
        <v>108.99400000000001</v>
      </c>
      <c r="AH35" s="139">
        <v>75.873000000000005</v>
      </c>
      <c r="AI35" s="139">
        <f>SUM(AI36:AI51)</f>
        <v>459.94599999999991</v>
      </c>
      <c r="AJ35" s="139">
        <f>SUM(AJ36:AJ51)</f>
        <v>326.90900000000011</v>
      </c>
    </row>
    <row r="36" spans="1:36" ht="15" customHeight="1">
      <c r="A36" t="s">
        <v>180</v>
      </c>
      <c r="B36" s="21" t="str">
        <f>IF('Sumário | Summary'!P1=1,"Empréstimos e financiamentos","Loans and Financing")</f>
        <v>Empréstimos e financiamentos</v>
      </c>
      <c r="C36" s="18">
        <v>68.334000000000003</v>
      </c>
      <c r="D36" s="18">
        <v>194.434</v>
      </c>
      <c r="E36" s="18">
        <v>227.84299999999999</v>
      </c>
      <c r="F36" s="18">
        <v>238.17400000000001</v>
      </c>
      <c r="G36" s="18">
        <v>253.31200000000001</v>
      </c>
      <c r="H36" s="18">
        <v>254.375</v>
      </c>
      <c r="I36" s="18">
        <v>64.619</v>
      </c>
      <c r="J36" s="18">
        <v>62.280999999999999</v>
      </c>
      <c r="K36" s="18">
        <v>63.908999999999999</v>
      </c>
      <c r="L36" s="18">
        <v>63.378999999999998</v>
      </c>
      <c r="M36" s="18">
        <v>66.486000000000004</v>
      </c>
      <c r="N36" s="18">
        <v>37.26</v>
      </c>
      <c r="O36" s="18">
        <v>46.152999999999999</v>
      </c>
      <c r="P36" s="18">
        <v>36.819000000000003</v>
      </c>
      <c r="Q36" s="18">
        <v>43.877000000000002</v>
      </c>
      <c r="R36" s="18">
        <v>2.2349999999999999</v>
      </c>
      <c r="S36" s="18">
        <v>4.3330000000000002</v>
      </c>
      <c r="T36" s="18">
        <v>4.4039999999999999</v>
      </c>
      <c r="U36" s="18">
        <v>4.49</v>
      </c>
      <c r="V36" s="18">
        <v>4.5780000000000003</v>
      </c>
      <c r="W36" s="40">
        <v>4.681</v>
      </c>
      <c r="X36" s="40">
        <v>4.76</v>
      </c>
      <c r="Y36" s="40">
        <v>4.8529999999999998</v>
      </c>
      <c r="Z36" s="40">
        <v>0</v>
      </c>
      <c r="AA36" s="40">
        <v>0</v>
      </c>
      <c r="AB36" s="40">
        <v>0</v>
      </c>
      <c r="AC36" s="40">
        <v>0</v>
      </c>
      <c r="AD36" s="40">
        <v>0</v>
      </c>
      <c r="AE36" s="40">
        <v>0</v>
      </c>
      <c r="AF36" s="40">
        <v>0</v>
      </c>
      <c r="AG36" s="40">
        <v>0</v>
      </c>
      <c r="AH36" s="40">
        <v>0</v>
      </c>
      <c r="AI36" s="40">
        <v>0</v>
      </c>
      <c r="AJ36" s="40">
        <v>0</v>
      </c>
    </row>
    <row r="37" spans="1:36" ht="15" customHeight="1">
      <c r="A37" t="s">
        <v>181</v>
      </c>
      <c r="B37" s="21" t="str">
        <f>IF('Sumário | Summary'!P1=1,"Debêntures","Debentures")</f>
        <v>Debêntures</v>
      </c>
      <c r="C37" s="18">
        <v>258.84500000000003</v>
      </c>
      <c r="D37" s="18">
        <v>280.23200000000003</v>
      </c>
      <c r="E37" s="18">
        <v>225.2</v>
      </c>
      <c r="F37" s="18">
        <v>152.761</v>
      </c>
      <c r="G37" s="18">
        <v>98.801000000000002</v>
      </c>
      <c r="H37" s="18">
        <v>83.885999999999996</v>
      </c>
      <c r="I37" s="18">
        <v>141.858</v>
      </c>
      <c r="J37" s="18">
        <v>158.46600000000001</v>
      </c>
      <c r="K37" s="18">
        <v>183.84800000000001</v>
      </c>
      <c r="L37" s="18">
        <v>194.01300000000001</v>
      </c>
      <c r="M37" s="18">
        <v>255.50200000000001</v>
      </c>
      <c r="N37" s="18">
        <v>261.05900000000003</v>
      </c>
      <c r="O37" s="18">
        <v>236.60400000000001</v>
      </c>
      <c r="P37" s="18">
        <v>243.74799999999999</v>
      </c>
      <c r="Q37" s="18">
        <v>120.00700000000001</v>
      </c>
      <c r="R37" s="18">
        <v>134.505</v>
      </c>
      <c r="S37" s="18">
        <v>140.07599999999999</v>
      </c>
      <c r="T37" s="18">
        <v>130.655</v>
      </c>
      <c r="U37" s="18">
        <v>131.654</v>
      </c>
      <c r="V37" s="18">
        <v>129.15899999999999</v>
      </c>
      <c r="W37" s="40">
        <v>122.914</v>
      </c>
      <c r="X37" s="40">
        <v>244.339</v>
      </c>
      <c r="Y37" s="40">
        <v>245.52099999999999</v>
      </c>
      <c r="Z37" s="40">
        <v>251.095</v>
      </c>
      <c r="AA37" s="40">
        <v>151.87799999999999</v>
      </c>
      <c r="AB37" s="40">
        <v>122.285</v>
      </c>
      <c r="AC37" s="40">
        <v>13.502000000000001</v>
      </c>
      <c r="AD37" s="40">
        <v>13.502000000000001</v>
      </c>
      <c r="AE37" s="40">
        <v>19.172000000000001</v>
      </c>
      <c r="AF37" s="40">
        <v>41.597000000000001</v>
      </c>
      <c r="AG37" s="40">
        <v>47.570999999999998</v>
      </c>
      <c r="AH37" s="40">
        <v>13.744999999999999</v>
      </c>
      <c r="AI37" s="40">
        <v>115.467</v>
      </c>
      <c r="AJ37" s="40">
        <v>137.292</v>
      </c>
    </row>
    <row r="38" spans="1:36" ht="15" customHeight="1">
      <c r="A38" t="s">
        <v>192</v>
      </c>
      <c r="B38" s="39" t="str">
        <f>IF('Sumário | Summary'!P1=1,"Notas Promissórias","Promissory Notes")</f>
        <v>Notas Promissórias</v>
      </c>
      <c r="C38" s="18">
        <v>0</v>
      </c>
      <c r="D38" s="18">
        <v>0</v>
      </c>
      <c r="E38" s="18">
        <v>19.146999999999998</v>
      </c>
      <c r="F38" s="18">
        <v>24.106999999999999</v>
      </c>
      <c r="G38" s="18">
        <v>28.611999999999998</v>
      </c>
      <c r="H38" s="18">
        <v>168.25399999999999</v>
      </c>
      <c r="I38" s="18">
        <v>35.866</v>
      </c>
      <c r="J38" s="18">
        <v>39.091999999999999</v>
      </c>
      <c r="K38" s="18">
        <v>0</v>
      </c>
      <c r="L38" s="18">
        <v>0</v>
      </c>
      <c r="M38" s="18">
        <v>0</v>
      </c>
      <c r="N38" s="18">
        <v>0</v>
      </c>
      <c r="O38" s="18">
        <v>0</v>
      </c>
      <c r="P38" s="18">
        <v>0</v>
      </c>
      <c r="Q38" s="18">
        <v>0</v>
      </c>
      <c r="R38" s="18">
        <v>0</v>
      </c>
      <c r="S38" s="18">
        <v>0</v>
      </c>
      <c r="T38" s="18">
        <v>0</v>
      </c>
      <c r="U38" s="18">
        <v>0</v>
      </c>
      <c r="V38" s="18">
        <v>0</v>
      </c>
      <c r="W38" s="40">
        <v>0</v>
      </c>
      <c r="X38" s="40">
        <v>0</v>
      </c>
      <c r="Y38" s="40">
        <v>0</v>
      </c>
      <c r="Z38" s="40">
        <v>0</v>
      </c>
      <c r="AA38" s="40">
        <v>0</v>
      </c>
      <c r="AB38" s="40">
        <v>0</v>
      </c>
      <c r="AC38" s="40">
        <v>0</v>
      </c>
      <c r="AD38" s="40">
        <v>0</v>
      </c>
      <c r="AE38" s="40">
        <v>0</v>
      </c>
      <c r="AF38" s="40">
        <v>0</v>
      </c>
      <c r="AG38" s="40">
        <v>0</v>
      </c>
      <c r="AH38" s="40">
        <v>0</v>
      </c>
      <c r="AI38" s="40">
        <v>0</v>
      </c>
      <c r="AJ38" s="40">
        <v>0</v>
      </c>
    </row>
    <row r="39" spans="1:36" ht="15" customHeight="1">
      <c r="A39" t="s">
        <v>182</v>
      </c>
      <c r="B39" s="21" t="str">
        <f>IF('Sumário | Summary'!P1=1,"Fornecedores","Suppliers")</f>
        <v>Fornecedores</v>
      </c>
      <c r="C39" s="18">
        <v>30.667999999999999</v>
      </c>
      <c r="D39" s="18">
        <v>31.76</v>
      </c>
      <c r="E39" s="18">
        <v>25.312999999999999</v>
      </c>
      <c r="F39" s="18">
        <v>19.702999999999999</v>
      </c>
      <c r="G39" s="18">
        <v>17.247</v>
      </c>
      <c r="H39" s="18">
        <v>16.114000000000001</v>
      </c>
      <c r="I39" s="18">
        <v>11.127000000000001</v>
      </c>
      <c r="J39" s="18">
        <v>11.151</v>
      </c>
      <c r="K39" s="18">
        <v>9.4469999999999992</v>
      </c>
      <c r="L39" s="18">
        <v>7.7430000000000003</v>
      </c>
      <c r="M39" s="18">
        <v>7.649</v>
      </c>
      <c r="N39" s="18">
        <v>9.8859999999999992</v>
      </c>
      <c r="O39" s="18">
        <v>7.5229999999999997</v>
      </c>
      <c r="P39" s="18">
        <v>8.6430000000000007</v>
      </c>
      <c r="Q39" s="18">
        <v>8.3439999999999994</v>
      </c>
      <c r="R39" s="18">
        <v>11.446</v>
      </c>
      <c r="S39" s="18">
        <v>7.7169999999999996</v>
      </c>
      <c r="T39" s="18">
        <v>6.0540000000000003</v>
      </c>
      <c r="U39" s="18">
        <v>7.1550000000000002</v>
      </c>
      <c r="V39" s="18">
        <v>10.096</v>
      </c>
      <c r="W39" s="40">
        <v>6.7130000000000001</v>
      </c>
      <c r="X39" s="40">
        <v>8.8130000000000006</v>
      </c>
      <c r="Y39" s="40">
        <v>10.601000000000001</v>
      </c>
      <c r="Z39" s="40">
        <v>18.045999999999999</v>
      </c>
      <c r="AA39" s="40">
        <v>10.391999999999999</v>
      </c>
      <c r="AB39" s="40">
        <v>10.455</v>
      </c>
      <c r="AC39" s="40">
        <v>11.792999999999999</v>
      </c>
      <c r="AD39" s="40">
        <v>28.811</v>
      </c>
      <c r="AE39" s="40">
        <v>24.338999999999999</v>
      </c>
      <c r="AF39" s="40">
        <v>11.112</v>
      </c>
      <c r="AG39" s="40">
        <v>9.2620000000000005</v>
      </c>
      <c r="AH39" s="40">
        <v>11.468</v>
      </c>
      <c r="AI39" s="40">
        <v>9.3010000000000002</v>
      </c>
      <c r="AJ39" s="40">
        <v>21.425000000000001</v>
      </c>
    </row>
    <row r="40" spans="1:36" ht="15" customHeight="1">
      <c r="A40" t="s">
        <v>193</v>
      </c>
      <c r="B40" s="21" t="str">
        <f>IF('Sumário | Summary'!P1=1,"Contas a pagar por aquisição de imóveis","Accounts payable due to real estate acquisition ")</f>
        <v>Contas a pagar por aquisição de imóveis</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40">
        <v>0</v>
      </c>
      <c r="X40" s="40">
        <v>0</v>
      </c>
      <c r="Y40" s="40">
        <v>0</v>
      </c>
      <c r="Z40" s="40">
        <v>0</v>
      </c>
      <c r="AA40" s="40">
        <v>0</v>
      </c>
      <c r="AB40" s="40">
        <v>0</v>
      </c>
      <c r="AC40" s="40">
        <v>0</v>
      </c>
      <c r="AD40" s="40">
        <v>0</v>
      </c>
      <c r="AE40" s="40">
        <v>0</v>
      </c>
      <c r="AF40" s="40">
        <v>0</v>
      </c>
      <c r="AG40" s="40">
        <v>0</v>
      </c>
      <c r="AH40" s="40">
        <v>0</v>
      </c>
      <c r="AI40" s="40">
        <v>0</v>
      </c>
      <c r="AJ40" s="40">
        <v>0</v>
      </c>
    </row>
    <row r="41" spans="1:36" ht="15" customHeight="1">
      <c r="A41" t="s">
        <v>183</v>
      </c>
      <c r="B41" s="21" t="str">
        <f>IF('Sumário | Summary'!P1=1,"Impostos e contribuições a recolher","Tax and Contributions")</f>
        <v>Impostos e contribuições a recolher</v>
      </c>
      <c r="C41" s="18">
        <v>13.601000000000001</v>
      </c>
      <c r="D41" s="18">
        <v>11.872999999999999</v>
      </c>
      <c r="E41" s="18">
        <v>13.28</v>
      </c>
      <c r="F41" s="18">
        <v>13.345000000000001</v>
      </c>
      <c r="G41" s="18">
        <v>14.234999999999999</v>
      </c>
      <c r="H41" s="18">
        <v>13.214</v>
      </c>
      <c r="I41" s="18">
        <v>103.042</v>
      </c>
      <c r="J41" s="18">
        <v>9.4009999999999998</v>
      </c>
      <c r="K41" s="18">
        <v>14.776</v>
      </c>
      <c r="L41" s="18">
        <v>11.441000000000001</v>
      </c>
      <c r="M41" s="18">
        <v>10.044</v>
      </c>
      <c r="N41" s="18">
        <v>11.170999999999999</v>
      </c>
      <c r="O41" s="18">
        <v>12.779</v>
      </c>
      <c r="P41" s="18">
        <v>17.561</v>
      </c>
      <c r="Q41" s="18">
        <v>21.454000000000001</v>
      </c>
      <c r="R41" s="18">
        <v>26.462</v>
      </c>
      <c r="S41" s="18">
        <v>9.3040000000000003</v>
      </c>
      <c r="T41" s="18">
        <v>9.9890000000000008</v>
      </c>
      <c r="U41" s="18">
        <v>9.2059999999999995</v>
      </c>
      <c r="V41" s="18">
        <v>8.7710000000000008</v>
      </c>
      <c r="W41" s="40">
        <v>8.5139999999999993</v>
      </c>
      <c r="X41" s="40">
        <v>9.0269999999999992</v>
      </c>
      <c r="Y41" s="40">
        <v>9.3059999999999992</v>
      </c>
      <c r="Z41" s="40">
        <v>19.760999999999999</v>
      </c>
      <c r="AA41" s="40">
        <v>13.387</v>
      </c>
      <c r="AB41" s="40">
        <v>10.159000000000001</v>
      </c>
      <c r="AC41" s="40">
        <v>11.878</v>
      </c>
      <c r="AD41" s="40">
        <v>11.599</v>
      </c>
      <c r="AE41" s="40">
        <v>9.5069999999999997</v>
      </c>
      <c r="AF41" s="40">
        <v>11.214</v>
      </c>
      <c r="AG41" s="40">
        <v>12.167</v>
      </c>
      <c r="AH41" s="40">
        <v>15.239000000000001</v>
      </c>
      <c r="AI41" s="40">
        <v>5.99</v>
      </c>
      <c r="AJ41" s="40">
        <v>133.12700000000001</v>
      </c>
    </row>
    <row r="42" spans="1:36" ht="15" customHeight="1">
      <c r="A42" t="s">
        <v>184</v>
      </c>
      <c r="B42" s="28" t="str">
        <f>IF('Sumário | Summary'!P1=1,"Debitos com parceiros nos empreendimentos","Current accounts with venture partners ")</f>
        <v>Debitos com parceiros nos empreendimentos</v>
      </c>
      <c r="C42" s="18">
        <v>0</v>
      </c>
      <c r="D42" s="18">
        <v>0</v>
      </c>
      <c r="E42" s="18">
        <v>0</v>
      </c>
      <c r="F42" s="18">
        <v>0</v>
      </c>
      <c r="G42" s="18">
        <v>0</v>
      </c>
      <c r="H42" s="18">
        <v>0</v>
      </c>
      <c r="I42" s="18">
        <v>0</v>
      </c>
      <c r="J42" s="18">
        <v>0</v>
      </c>
      <c r="K42" s="18">
        <v>0</v>
      </c>
      <c r="L42" s="18">
        <v>0</v>
      </c>
      <c r="M42" s="18">
        <v>0</v>
      </c>
      <c r="N42" s="18">
        <v>0</v>
      </c>
      <c r="O42" s="18">
        <v>0</v>
      </c>
      <c r="P42" s="18">
        <v>0</v>
      </c>
      <c r="Q42" s="18">
        <v>-6.0999999999999999E-2</v>
      </c>
      <c r="R42" s="18">
        <v>-1.1259999999999999</v>
      </c>
      <c r="S42" s="18">
        <v>2.0840000000000001</v>
      </c>
      <c r="T42" s="18">
        <v>5.1479999999999997</v>
      </c>
      <c r="U42" s="18">
        <v>1.3779999999999999</v>
      </c>
      <c r="V42" s="18">
        <v>1.4910000000000001</v>
      </c>
      <c r="W42" s="40">
        <v>1.5249999999999999</v>
      </c>
      <c r="X42" s="40">
        <v>2.0680000000000001</v>
      </c>
      <c r="Y42" s="40">
        <v>3.145</v>
      </c>
      <c r="Z42" s="40">
        <v>1.4219999999999999</v>
      </c>
      <c r="AA42" s="40">
        <v>3.4369999999999998</v>
      </c>
      <c r="AB42" s="40">
        <v>3.1859999999999999</v>
      </c>
      <c r="AC42" s="40">
        <v>3.2909999999999999</v>
      </c>
      <c r="AD42" s="40">
        <v>3.464</v>
      </c>
      <c r="AE42" s="40">
        <v>3</v>
      </c>
      <c r="AF42" s="40">
        <v>2.6459999999999999</v>
      </c>
      <c r="AG42" s="40">
        <v>2.1389999999999998</v>
      </c>
      <c r="AH42" s="40">
        <v>1.4910000000000001</v>
      </c>
      <c r="AI42" s="40">
        <v>0.81799999999999995</v>
      </c>
      <c r="AJ42" s="40">
        <v>0.41599999999999998</v>
      </c>
    </row>
    <row r="43" spans="1:36" ht="15" customHeight="1">
      <c r="A43" t="s">
        <v>185</v>
      </c>
      <c r="B43" s="21" t="str">
        <f>IF('Sumário | Summary'!P1=1,"Impostos e contribuições diferidos","Tax and Contributions - Deferred")</f>
        <v>Impostos e contribuições diferidos</v>
      </c>
      <c r="C43" s="18">
        <v>1.377</v>
      </c>
      <c r="D43" s="18">
        <v>1.3460000000000001</v>
      </c>
      <c r="E43" s="18">
        <v>3.2280000000000002</v>
      </c>
      <c r="F43" s="18">
        <v>2.8860000000000001</v>
      </c>
      <c r="G43" s="18">
        <v>2.673</v>
      </c>
      <c r="H43" s="18">
        <v>2.2210000000000001</v>
      </c>
      <c r="I43" s="18">
        <v>0.69899999999999995</v>
      </c>
      <c r="J43" s="18">
        <v>0.434</v>
      </c>
      <c r="K43" s="18">
        <v>0.34599999999999997</v>
      </c>
      <c r="L43" s="18">
        <v>0.314</v>
      </c>
      <c r="M43" s="18">
        <v>0.309</v>
      </c>
      <c r="N43" s="18">
        <v>0.26400000000000001</v>
      </c>
      <c r="O43" s="18">
        <v>0.127</v>
      </c>
      <c r="P43" s="18">
        <v>0.123</v>
      </c>
      <c r="Q43" s="18">
        <v>0.104</v>
      </c>
      <c r="R43" s="18">
        <v>9.8000000000000004E-2</v>
      </c>
      <c r="S43" s="18">
        <v>9.2999999999999999E-2</v>
      </c>
      <c r="T43" s="18">
        <v>0.08</v>
      </c>
      <c r="U43" s="18">
        <v>7.4999999999999997E-2</v>
      </c>
      <c r="V43" s="18">
        <v>7.8E-2</v>
      </c>
      <c r="W43" s="40">
        <v>4.9000000000000002E-2</v>
      </c>
      <c r="X43" s="40">
        <v>0.05</v>
      </c>
      <c r="Y43" s="40">
        <v>5.1999999999999998E-2</v>
      </c>
      <c r="Z43" s="40">
        <v>4.4999999999999998E-2</v>
      </c>
      <c r="AA43" s="40">
        <v>5.1999999999999998E-2</v>
      </c>
      <c r="AB43" s="40">
        <v>5.2999999999999999E-2</v>
      </c>
      <c r="AC43" s="40">
        <v>4.1000000000000002E-2</v>
      </c>
      <c r="AD43" s="40">
        <v>4.3999999999999997E-2</v>
      </c>
      <c r="AE43" s="40">
        <v>3.5000000000000003E-2</v>
      </c>
      <c r="AF43" s="40">
        <v>3.5000000000000003E-2</v>
      </c>
      <c r="AG43" s="40">
        <v>4.5999999999999999E-2</v>
      </c>
      <c r="AH43" s="40">
        <v>3.3000000000000002E-2</v>
      </c>
      <c r="AI43" s="40">
        <v>3.2000000000000001E-2</v>
      </c>
      <c r="AJ43" s="40">
        <v>3.5000000000000003E-2</v>
      </c>
    </row>
    <row r="44" spans="1:36" ht="15" customHeight="1">
      <c r="A44" t="s">
        <v>186</v>
      </c>
      <c r="B44" s="21" t="str">
        <f>IF('Sumário | Summary'!P1=1,"Adiantamentos de clientes","Advancement from Clients")</f>
        <v>Adiantamentos de clientes</v>
      </c>
      <c r="C44" s="18">
        <v>0.70599999999999996</v>
      </c>
      <c r="D44" s="18">
        <v>2.879</v>
      </c>
      <c r="E44" s="18">
        <v>2.2000000000000002</v>
      </c>
      <c r="F44" s="18">
        <v>1.9039999999999999</v>
      </c>
      <c r="G44" s="18">
        <v>1.8</v>
      </c>
      <c r="H44" s="18">
        <v>4.01</v>
      </c>
      <c r="I44" s="18">
        <v>0.51800000000000002</v>
      </c>
      <c r="J44" s="18">
        <v>0.7</v>
      </c>
      <c r="K44" s="18">
        <v>35.875</v>
      </c>
      <c r="L44" s="18">
        <v>4.157</v>
      </c>
      <c r="M44" s="18">
        <v>0.77400000000000002</v>
      </c>
      <c r="N44" s="18">
        <v>0.75900000000000001</v>
      </c>
      <c r="O44" s="18">
        <v>0.33100000000000002</v>
      </c>
      <c r="P44" s="18">
        <v>0.36399999999999999</v>
      </c>
      <c r="Q44" s="18">
        <v>0.40100000000000002</v>
      </c>
      <c r="R44" s="18">
        <v>0.45200000000000001</v>
      </c>
      <c r="S44" s="18">
        <v>0.185</v>
      </c>
      <c r="T44" s="18">
        <v>0.13100000000000001</v>
      </c>
      <c r="U44" s="18">
        <v>0.63900000000000001</v>
      </c>
      <c r="V44" s="18">
        <v>0.214</v>
      </c>
      <c r="W44" s="40">
        <v>0.16500000000000001</v>
      </c>
      <c r="X44" s="40">
        <v>1.147</v>
      </c>
      <c r="Y44" s="40">
        <v>1.454</v>
      </c>
      <c r="Z44" s="40">
        <v>0</v>
      </c>
      <c r="AA44" s="40">
        <v>0</v>
      </c>
      <c r="AB44" s="40">
        <v>0</v>
      </c>
      <c r="AC44" s="40">
        <v>2.4E-2</v>
      </c>
      <c r="AD44" s="40">
        <v>0</v>
      </c>
      <c r="AE44" s="40">
        <v>0</v>
      </c>
      <c r="AF44" s="40">
        <v>0</v>
      </c>
      <c r="AG44" s="40">
        <v>0.16500000000000001</v>
      </c>
      <c r="AH44" s="40">
        <v>0.20200000000000001</v>
      </c>
      <c r="AI44" s="40">
        <v>299.613</v>
      </c>
      <c r="AJ44" s="40">
        <v>0.06</v>
      </c>
    </row>
    <row r="45" spans="1:36" ht="15" customHeight="1">
      <c r="A45" t="s">
        <v>187</v>
      </c>
      <c r="B45" s="21" t="str">
        <f>IF('Sumário | Summary'!P1=1,"Adiantamentos de clientes - Permutas","Advancement from Clients - Swap")</f>
        <v>Adiantamentos de clientes - Permutas</v>
      </c>
      <c r="C45" s="18">
        <v>27.613</v>
      </c>
      <c r="D45" s="18">
        <v>27.613</v>
      </c>
      <c r="E45" s="18">
        <v>27.613</v>
      </c>
      <c r="F45" s="18">
        <v>27.613</v>
      </c>
      <c r="G45" s="18">
        <v>27.613</v>
      </c>
      <c r="H45" s="18">
        <v>0.55700000000000005</v>
      </c>
      <c r="I45" s="18">
        <v>0</v>
      </c>
      <c r="J45" s="18">
        <v>0</v>
      </c>
      <c r="K45" s="18">
        <v>0</v>
      </c>
      <c r="L45" s="18">
        <v>0</v>
      </c>
      <c r="M45" s="18">
        <v>0</v>
      </c>
      <c r="N45" s="18">
        <v>0</v>
      </c>
      <c r="O45" s="18">
        <v>0.55700000000000005</v>
      </c>
      <c r="P45" s="18">
        <v>0.55700000000000005</v>
      </c>
      <c r="Q45" s="18">
        <v>0.55700000000000005</v>
      </c>
      <c r="R45" s="18">
        <v>0.55700000000000005</v>
      </c>
      <c r="S45" s="18">
        <v>0.55700000000000005</v>
      </c>
      <c r="T45" s="18">
        <v>0.55700000000000005</v>
      </c>
      <c r="U45" s="18">
        <v>0.55700000000000005</v>
      </c>
      <c r="V45" s="18">
        <v>0.55700000000000005</v>
      </c>
      <c r="W45" s="40">
        <v>0.55700000000000005</v>
      </c>
      <c r="X45" s="40">
        <v>0.55700000000000005</v>
      </c>
      <c r="Y45" s="40">
        <v>0.55700000000000005</v>
      </c>
      <c r="Z45" s="40">
        <v>0.55700000000000005</v>
      </c>
      <c r="AA45" s="40">
        <v>0.55700000000000005</v>
      </c>
      <c r="AB45" s="40">
        <v>0.55700000000000005</v>
      </c>
      <c r="AC45" s="40">
        <v>0.55700000000000005</v>
      </c>
      <c r="AD45" s="40">
        <v>0.55700000000000005</v>
      </c>
      <c r="AE45" s="40">
        <v>0.55700000000000005</v>
      </c>
      <c r="AF45" s="40">
        <v>0.55700000000000005</v>
      </c>
      <c r="AG45" s="40">
        <v>0</v>
      </c>
      <c r="AH45" s="40">
        <v>0</v>
      </c>
      <c r="AI45" s="40">
        <v>0.55700000000000005</v>
      </c>
      <c r="AJ45" s="40">
        <v>0</v>
      </c>
    </row>
    <row r="46" spans="1:36" ht="15" customHeight="1">
      <c r="A46" t="s">
        <v>188</v>
      </c>
      <c r="B46" s="39" t="str">
        <f>IF('Sumário | Summary'!P1=1,"Partes relacionadas","Related parties")</f>
        <v>Partes relacionadas</v>
      </c>
      <c r="C46" s="18">
        <v>0</v>
      </c>
      <c r="D46" s="18">
        <v>0</v>
      </c>
      <c r="E46" s="18">
        <v>13.571</v>
      </c>
      <c r="F46" s="18">
        <v>0</v>
      </c>
      <c r="G46" s="18">
        <v>0</v>
      </c>
      <c r="H46" s="18">
        <v>0</v>
      </c>
      <c r="I46" s="18">
        <v>0</v>
      </c>
      <c r="J46" s="18">
        <v>0</v>
      </c>
      <c r="K46" s="18">
        <v>0</v>
      </c>
      <c r="L46" s="18">
        <v>0</v>
      </c>
      <c r="M46" s="18">
        <v>0</v>
      </c>
      <c r="N46" s="18">
        <v>0</v>
      </c>
      <c r="O46" s="18">
        <v>0</v>
      </c>
      <c r="P46" s="18">
        <v>0</v>
      </c>
      <c r="Q46" s="18">
        <v>0.2</v>
      </c>
      <c r="R46" s="18">
        <v>0.191</v>
      </c>
      <c r="S46" s="18">
        <v>0.06</v>
      </c>
      <c r="T46" s="18">
        <v>0.126</v>
      </c>
      <c r="U46" s="18">
        <v>0.13700000000000001</v>
      </c>
      <c r="V46" s="18">
        <v>0.16700000000000001</v>
      </c>
      <c r="W46" s="40">
        <v>0.158</v>
      </c>
      <c r="X46" s="40">
        <v>0.17499999999999999</v>
      </c>
      <c r="Y46" s="40">
        <v>0.17100000000000001</v>
      </c>
      <c r="Z46" s="40">
        <v>2.298</v>
      </c>
      <c r="AA46" s="40">
        <v>0.27500000000000002</v>
      </c>
      <c r="AB46" s="40">
        <v>0.34300000000000003</v>
      </c>
      <c r="AC46" s="40">
        <v>0.26800000000000002</v>
      </c>
      <c r="AD46" s="40">
        <v>0.23899999999999999</v>
      </c>
      <c r="AE46" s="40">
        <v>0.13500000000000001</v>
      </c>
      <c r="AF46" s="40">
        <v>0.05</v>
      </c>
      <c r="AG46" s="40">
        <v>4.2000000000000003E-2</v>
      </c>
      <c r="AH46" s="40">
        <v>0.09</v>
      </c>
      <c r="AI46" s="40">
        <v>2.7E-2</v>
      </c>
      <c r="AJ46" s="40">
        <v>0.57499999999999996</v>
      </c>
    </row>
    <row r="47" spans="1:36" ht="15" customHeight="1">
      <c r="A47" t="s">
        <v>189</v>
      </c>
      <c r="B47" s="21" t="str">
        <f>IF('Sumário | Summary'!P1=1,"Receita res-sperata a apropriar","Key Money to be Recognized")</f>
        <v>Receita res-sperata a apropriar</v>
      </c>
      <c r="C47" s="18">
        <v>11.66</v>
      </c>
      <c r="D47" s="18">
        <v>10.909600000000001</v>
      </c>
      <c r="E47" s="18">
        <v>10.265400000000001</v>
      </c>
      <c r="F47" s="18">
        <v>9.2997999999999994</v>
      </c>
      <c r="G47" s="18">
        <v>8.2873999999999999</v>
      </c>
      <c r="H47" s="18">
        <v>7.6429999999999998</v>
      </c>
      <c r="I47" s="18">
        <v>7.0540000000000003</v>
      </c>
      <c r="J47" s="18">
        <v>6.56</v>
      </c>
      <c r="K47" s="18">
        <v>5.7610000000000001</v>
      </c>
      <c r="L47" s="18">
        <v>5.1440000000000001</v>
      </c>
      <c r="M47" s="18">
        <v>4.1150000000000002</v>
      </c>
      <c r="N47" s="18">
        <v>3.706</v>
      </c>
      <c r="O47" s="18">
        <v>3.347</v>
      </c>
      <c r="P47" s="18">
        <v>8.3439999999999994</v>
      </c>
      <c r="Q47" s="18">
        <v>7.4470000000000001</v>
      </c>
      <c r="R47" s="18">
        <v>6.718</v>
      </c>
      <c r="S47" s="18">
        <v>4.3920000000000003</v>
      </c>
      <c r="T47" s="18">
        <v>4.0590000000000002</v>
      </c>
      <c r="U47" s="18">
        <v>3.85</v>
      </c>
      <c r="V47" s="18">
        <v>3.7170000000000001</v>
      </c>
      <c r="W47" s="40">
        <v>3.7330000000000001</v>
      </c>
      <c r="X47" s="40">
        <v>3.3860000000000001</v>
      </c>
      <c r="Y47" s="40">
        <v>3.8180000000000001</v>
      </c>
      <c r="Z47" s="40">
        <v>3.3940000000000001</v>
      </c>
      <c r="AA47" s="40">
        <v>3.548</v>
      </c>
      <c r="AB47" s="40">
        <v>3.2959999999999998</v>
      </c>
      <c r="AC47" s="40">
        <v>3.2810000000000001</v>
      </c>
      <c r="AD47" s="40">
        <v>1.8180000000000001</v>
      </c>
      <c r="AE47" s="40">
        <v>1.7050000000000001</v>
      </c>
      <c r="AF47" s="40">
        <v>2.9049999999999998</v>
      </c>
      <c r="AG47" s="40">
        <v>2.6709999999999998</v>
      </c>
      <c r="AH47" s="40">
        <v>2.7719999999999998</v>
      </c>
      <c r="AI47" s="40">
        <v>2.722</v>
      </c>
      <c r="AJ47" s="40">
        <v>1.3859999999999999</v>
      </c>
    </row>
    <row r="48" spans="1:36" ht="15" customHeight="1">
      <c r="A48" t="s">
        <v>190</v>
      </c>
      <c r="B48" s="21" t="str">
        <f>IF('Sumário | Summary'!P1=1,"Dividendos a pagar","Dividends Payable")</f>
        <v>Dividendos a pagar</v>
      </c>
      <c r="C48" s="18">
        <v>5.5419999999999998</v>
      </c>
      <c r="D48" s="18">
        <v>7.0000000000000001E-3</v>
      </c>
      <c r="E48" s="18">
        <v>7.0000000000000001E-3</v>
      </c>
      <c r="F48" s="18">
        <v>7.0000000000000001E-3</v>
      </c>
      <c r="G48" s="18">
        <v>7.0000000000000001E-3</v>
      </c>
      <c r="H48" s="18">
        <v>7.0000000000000001E-3</v>
      </c>
      <c r="I48" s="18">
        <v>1.2E-2</v>
      </c>
      <c r="J48" s="18">
        <v>1.2E-2</v>
      </c>
      <c r="K48" s="18">
        <v>1.2E-2</v>
      </c>
      <c r="L48" s="18">
        <v>1.2E-2</v>
      </c>
      <c r="M48" s="18">
        <v>1.2E-2</v>
      </c>
      <c r="N48" s="18">
        <v>1.7000000000000001E-2</v>
      </c>
      <c r="O48" s="18">
        <v>2.621</v>
      </c>
      <c r="P48" s="18">
        <v>1.7000000000000001E-2</v>
      </c>
      <c r="Q48" s="18">
        <v>1.4999999999999999E-2</v>
      </c>
      <c r="R48" s="18">
        <v>7.8070000000000004</v>
      </c>
      <c r="S48" s="18">
        <v>7.8070000000000004</v>
      </c>
      <c r="T48" s="18">
        <v>1.4999999999999999E-2</v>
      </c>
      <c r="U48" s="18">
        <v>1.708</v>
      </c>
      <c r="V48" s="18">
        <v>10.941000000000001</v>
      </c>
      <c r="W48" s="40">
        <v>12.045999999999999</v>
      </c>
      <c r="X48" s="40">
        <v>5.0000000000000001E-3</v>
      </c>
      <c r="Y48" s="40">
        <v>5.0000000000000001E-3</v>
      </c>
      <c r="Z48" s="40">
        <v>4.4999999999999998E-2</v>
      </c>
      <c r="AA48" s="40">
        <v>5.6230000000000002</v>
      </c>
      <c r="AB48" s="40">
        <v>4.4999999999999998E-2</v>
      </c>
      <c r="AC48" s="40">
        <v>4.5999999999999999E-2</v>
      </c>
      <c r="AD48" s="40">
        <v>4.5999999999999999E-2</v>
      </c>
      <c r="AE48" s="40">
        <v>4.5999999999999999E-2</v>
      </c>
      <c r="AF48" s="40">
        <v>4.2999999999999997E-2</v>
      </c>
      <c r="AG48" s="40">
        <v>4.2000000000000003E-2</v>
      </c>
      <c r="AH48" s="40">
        <v>4.2000000000000003E-2</v>
      </c>
      <c r="AI48" s="40">
        <v>0.28000000000000003</v>
      </c>
      <c r="AJ48" s="40">
        <v>0.28000000000000003</v>
      </c>
    </row>
    <row r="49" spans="1:36" ht="15" customHeight="1">
      <c r="A49" t="s">
        <v>120</v>
      </c>
      <c r="B49" s="21" t="str">
        <f>IF('Sumário | Summary'!P1=1,"CDU a apropriar","Key Money to Recognize ")</f>
        <v>CDU a apropriar</v>
      </c>
      <c r="C49" s="18" t="s">
        <v>18</v>
      </c>
      <c r="D49" s="18" t="s">
        <v>18</v>
      </c>
      <c r="E49" s="18" t="s">
        <v>18</v>
      </c>
      <c r="F49" s="18" t="s">
        <v>18</v>
      </c>
      <c r="G49" s="18" t="s">
        <v>18</v>
      </c>
      <c r="H49" s="18" t="s">
        <v>18</v>
      </c>
      <c r="I49" s="18" t="s">
        <v>18</v>
      </c>
      <c r="J49" s="18" t="s">
        <v>18</v>
      </c>
      <c r="K49" s="18" t="s">
        <v>18</v>
      </c>
      <c r="L49" s="18" t="s">
        <v>18</v>
      </c>
      <c r="M49" s="18" t="s">
        <v>18</v>
      </c>
      <c r="N49" s="18" t="s">
        <v>18</v>
      </c>
      <c r="O49" s="18">
        <v>0</v>
      </c>
      <c r="P49" s="18">
        <v>0</v>
      </c>
      <c r="Q49" s="18">
        <v>0</v>
      </c>
      <c r="R49" s="18">
        <v>0</v>
      </c>
      <c r="S49" s="18">
        <v>0</v>
      </c>
      <c r="T49" s="18">
        <v>0</v>
      </c>
      <c r="U49" s="18">
        <v>0</v>
      </c>
      <c r="V49" s="18">
        <v>0</v>
      </c>
      <c r="W49" s="40">
        <v>0</v>
      </c>
      <c r="X49" s="40">
        <v>0</v>
      </c>
      <c r="Y49" s="40">
        <v>0</v>
      </c>
      <c r="Z49" s="40">
        <v>0</v>
      </c>
      <c r="AA49" s="40">
        <v>0</v>
      </c>
      <c r="AB49" s="40">
        <v>0</v>
      </c>
      <c r="AC49" s="40">
        <v>0</v>
      </c>
      <c r="AD49" s="40">
        <v>0</v>
      </c>
      <c r="AE49" s="40">
        <v>0</v>
      </c>
      <c r="AF49" s="40">
        <v>0</v>
      </c>
      <c r="AG49" s="40">
        <v>0</v>
      </c>
      <c r="AH49" s="40">
        <v>0</v>
      </c>
      <c r="AI49" s="40">
        <v>0</v>
      </c>
      <c r="AJ49" s="40">
        <v>0</v>
      </c>
    </row>
    <row r="50" spans="1:36" ht="15" customHeight="1">
      <c r="A50" t="s">
        <v>278</v>
      </c>
      <c r="B50" s="21" t="str">
        <f>IF('Sumário | Summary'!P1=1,"Passivo de arrendamento","Lease liability")</f>
        <v>Passivo de arrendamento</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1.95</v>
      </c>
      <c r="AE50" s="40">
        <v>0.98</v>
      </c>
      <c r="AF50" s="40">
        <v>0.96599999999999997</v>
      </c>
      <c r="AG50" s="40">
        <v>0.95199999999999996</v>
      </c>
      <c r="AH50" s="40">
        <v>0.93799999999999994</v>
      </c>
      <c r="AI50" s="40">
        <v>0.92400000000000004</v>
      </c>
      <c r="AJ50" s="40">
        <v>0.91</v>
      </c>
    </row>
    <row r="51" spans="1:36" ht="15" customHeight="1">
      <c r="A51" t="s">
        <v>191</v>
      </c>
      <c r="B51" s="21" t="str">
        <f>IF('Sumário | Summary'!P1=1,"Demais contas a pagar","Other Accounts Payable")</f>
        <v>Demais contas a pagar</v>
      </c>
      <c r="C51" s="18">
        <v>42.57</v>
      </c>
      <c r="D51" s="18">
        <v>45.802999999999997</v>
      </c>
      <c r="E51" s="18">
        <v>28.122</v>
      </c>
      <c r="F51" s="18">
        <v>43.805999999999997</v>
      </c>
      <c r="G51" s="18">
        <v>52.238</v>
      </c>
      <c r="H51" s="18">
        <v>51.137</v>
      </c>
      <c r="I51" s="18">
        <v>37.868000000000002</v>
      </c>
      <c r="J51" s="18">
        <v>29.699000000000002</v>
      </c>
      <c r="K51" s="18">
        <v>22.003</v>
      </c>
      <c r="L51" s="18">
        <v>16.989000000000001</v>
      </c>
      <c r="M51" s="18">
        <v>39.909999999999997</v>
      </c>
      <c r="N51" s="18">
        <v>24.849</v>
      </c>
      <c r="O51" s="18">
        <v>24.434000000000001</v>
      </c>
      <c r="P51" s="18">
        <v>90.108000000000004</v>
      </c>
      <c r="Q51" s="18">
        <v>69.206000000000003</v>
      </c>
      <c r="R51" s="18">
        <v>66.251000000000005</v>
      </c>
      <c r="S51" s="18">
        <v>30.78</v>
      </c>
      <c r="T51" s="18">
        <v>22.058</v>
      </c>
      <c r="U51" s="18">
        <v>25.099</v>
      </c>
      <c r="V51" s="18">
        <v>24.591000000000001</v>
      </c>
      <c r="W51" s="40">
        <v>14.358000000000001</v>
      </c>
      <c r="X51" s="40">
        <v>12.872</v>
      </c>
      <c r="Y51" s="40">
        <v>16.327000000000002</v>
      </c>
      <c r="Z51" s="40">
        <v>38.567</v>
      </c>
      <c r="AA51" s="40">
        <v>26.532</v>
      </c>
      <c r="AB51" s="40">
        <v>49.978000000000002</v>
      </c>
      <c r="AC51" s="40">
        <v>27.048999999999999</v>
      </c>
      <c r="AD51" s="40">
        <v>25.585999999999999</v>
      </c>
      <c r="AE51" s="40">
        <v>16.975999999999999</v>
      </c>
      <c r="AF51" s="40">
        <v>24.058</v>
      </c>
      <c r="AG51" s="40">
        <v>33.936999999999998</v>
      </c>
      <c r="AH51" s="40">
        <v>29.853000000000002</v>
      </c>
      <c r="AI51" s="40">
        <v>24.215</v>
      </c>
      <c r="AJ51" s="40">
        <v>31.402999999999999</v>
      </c>
    </row>
    <row r="52" spans="1:36" ht="15" customHeight="1">
      <c r="A52" t="s">
        <v>121</v>
      </c>
      <c r="B52" s="11" t="str">
        <f>IF('Sumário | Summary'!P1=1,"Exigível a longo prazo","Long-term liabilities")</f>
        <v>Exigível a longo prazo</v>
      </c>
      <c r="C52" s="6">
        <v>2049.7829999999999</v>
      </c>
      <c r="D52" s="6">
        <v>1879.5033999999998</v>
      </c>
      <c r="E52" s="6">
        <v>1962.3346000000001</v>
      </c>
      <c r="F52" s="6">
        <v>2135.1492000000003</v>
      </c>
      <c r="G52" s="6">
        <v>2080.8506000000002</v>
      </c>
      <c r="H52" s="6">
        <v>2012.1790000000001</v>
      </c>
      <c r="I52" s="6">
        <v>1459.9469999999999</v>
      </c>
      <c r="J52" s="6">
        <v>1328.25</v>
      </c>
      <c r="K52" s="6">
        <v>1462.3130000000001</v>
      </c>
      <c r="L52" s="6">
        <v>1420.9459999999999</v>
      </c>
      <c r="M52" s="6">
        <v>1308.4580000000001</v>
      </c>
      <c r="N52" s="6">
        <v>1317.576</v>
      </c>
      <c r="O52" s="139">
        <f t="shared" ref="O52:AF52" si="6">SUM(O53:O63)</f>
        <v>1262.8579999999997</v>
      </c>
      <c r="P52" s="139">
        <f t="shared" si="6"/>
        <v>1524.4889999999998</v>
      </c>
      <c r="Q52" s="139">
        <f t="shared" si="6"/>
        <v>1404.5949999999998</v>
      </c>
      <c r="R52" s="139">
        <f t="shared" si="6"/>
        <v>1491.4209999999998</v>
      </c>
      <c r="S52" s="139">
        <f t="shared" si="6"/>
        <v>1437.0739999999998</v>
      </c>
      <c r="T52" s="139">
        <f t="shared" si="6"/>
        <v>1441.5890000000002</v>
      </c>
      <c r="U52" s="139">
        <f t="shared" si="6"/>
        <v>1391.1539999999998</v>
      </c>
      <c r="V52" s="139">
        <f t="shared" si="6"/>
        <v>1388.671</v>
      </c>
      <c r="W52" s="139">
        <f t="shared" si="6"/>
        <v>1325.2700000000002</v>
      </c>
      <c r="X52" s="139">
        <f t="shared" si="6"/>
        <v>1514.1029999999998</v>
      </c>
      <c r="Y52" s="139">
        <f t="shared" si="6"/>
        <v>1473.4119999999998</v>
      </c>
      <c r="Z52" s="139">
        <f t="shared" si="6"/>
        <v>1420.635</v>
      </c>
      <c r="AA52" s="139">
        <f t="shared" si="6"/>
        <v>1351.1950000000002</v>
      </c>
      <c r="AB52" s="139">
        <f t="shared" si="6"/>
        <v>1201.7380000000001</v>
      </c>
      <c r="AC52" s="139">
        <f t="shared" si="6"/>
        <v>1111.337</v>
      </c>
      <c r="AD52" s="139">
        <f t="shared" si="6"/>
        <v>1089.4399999999998</v>
      </c>
      <c r="AE52" s="139">
        <f t="shared" si="6"/>
        <v>1097.7279999999998</v>
      </c>
      <c r="AF52" s="139">
        <f t="shared" si="6"/>
        <v>1047.6390000000001</v>
      </c>
      <c r="AG52" s="139">
        <v>1050.3030000000001</v>
      </c>
      <c r="AH52" s="139">
        <v>1051.22</v>
      </c>
      <c r="AI52" s="139">
        <f>SUM(AI53:AI63)</f>
        <v>959.26600000000008</v>
      </c>
      <c r="AJ52" s="139">
        <f>SUM(AJ53:AJ63)</f>
        <v>896.43100000000004</v>
      </c>
    </row>
    <row r="53" spans="1:36" ht="15" customHeight="1">
      <c r="A53" t="s">
        <v>194</v>
      </c>
      <c r="B53" s="21" t="str">
        <f>IF('Sumário | Summary'!P1=1,"Empréstimos e financiamentos","Loans and Financing")</f>
        <v>Empréstimos e financiamentos</v>
      </c>
      <c r="C53" s="18">
        <v>1399.104</v>
      </c>
      <c r="D53" s="18">
        <v>1251.203</v>
      </c>
      <c r="E53" s="18">
        <v>1224.5419999999999</v>
      </c>
      <c r="F53" s="18">
        <v>1199.443</v>
      </c>
      <c r="G53" s="18">
        <v>1193.7950000000001</v>
      </c>
      <c r="H53" s="18">
        <v>1128.961</v>
      </c>
      <c r="I53" s="18">
        <v>811.38599999999997</v>
      </c>
      <c r="J53" s="18">
        <v>795.53599999999994</v>
      </c>
      <c r="K53" s="18">
        <v>759.10799999999995</v>
      </c>
      <c r="L53" s="18">
        <v>730.29899999999998</v>
      </c>
      <c r="M53" s="18">
        <v>725.51400000000001</v>
      </c>
      <c r="N53" s="18">
        <v>505.15600000000001</v>
      </c>
      <c r="O53" s="18">
        <v>500.07299999999998</v>
      </c>
      <c r="P53" s="18">
        <v>467.79899999999998</v>
      </c>
      <c r="Q53" s="18">
        <v>465.77800000000002</v>
      </c>
      <c r="R53" s="18">
        <v>179.077</v>
      </c>
      <c r="S53" s="18">
        <v>57.521999999999998</v>
      </c>
      <c r="T53" s="18">
        <v>56.441000000000003</v>
      </c>
      <c r="U53" s="18">
        <v>55.337000000000003</v>
      </c>
      <c r="V53" s="18">
        <v>54.209000000000003</v>
      </c>
      <c r="W53" s="40">
        <v>53.055999999999997</v>
      </c>
      <c r="X53" s="40">
        <v>51.878999999999998</v>
      </c>
      <c r="Y53" s="40">
        <v>50.677</v>
      </c>
      <c r="Z53" s="40">
        <v>0</v>
      </c>
      <c r="AA53" s="40">
        <v>0</v>
      </c>
      <c r="AB53" s="40">
        <v>0</v>
      </c>
      <c r="AC53" s="40">
        <v>0</v>
      </c>
      <c r="AD53" s="40">
        <v>0</v>
      </c>
      <c r="AE53" s="40">
        <v>0</v>
      </c>
      <c r="AF53" s="40">
        <v>0</v>
      </c>
      <c r="AG53" s="40">
        <v>0</v>
      </c>
      <c r="AH53" s="40">
        <v>0</v>
      </c>
      <c r="AI53" s="40">
        <v>0</v>
      </c>
      <c r="AJ53" s="40">
        <v>0</v>
      </c>
    </row>
    <row r="54" spans="1:36" ht="15" customHeight="1">
      <c r="A54" t="s">
        <v>195</v>
      </c>
      <c r="B54" s="21" t="str">
        <f>IF('Sumário | Summary'!P1=1,"Debêntures","Debentures")</f>
        <v>Debêntures</v>
      </c>
      <c r="C54" s="18">
        <v>479.839</v>
      </c>
      <c r="D54" s="18">
        <v>462.55200000000002</v>
      </c>
      <c r="E54" s="18">
        <v>439.70400000000001</v>
      </c>
      <c r="F54" s="18">
        <v>643.06600000000003</v>
      </c>
      <c r="G54" s="18">
        <v>606.89400000000001</v>
      </c>
      <c r="H54" s="18">
        <v>606.06600000000003</v>
      </c>
      <c r="I54" s="18">
        <v>490.238</v>
      </c>
      <c r="J54" s="18">
        <v>376.51299999999998</v>
      </c>
      <c r="K54" s="18">
        <v>670.27099999999996</v>
      </c>
      <c r="L54" s="18">
        <v>664.39400000000001</v>
      </c>
      <c r="M54" s="18">
        <v>560.81700000000001</v>
      </c>
      <c r="N54" s="18">
        <v>792.5</v>
      </c>
      <c r="O54" s="18">
        <v>744.61199999999997</v>
      </c>
      <c r="P54" s="18">
        <v>1046.002</v>
      </c>
      <c r="Q54" s="18">
        <v>929.00699999999995</v>
      </c>
      <c r="R54" s="18">
        <v>1299.21</v>
      </c>
      <c r="S54" s="18">
        <v>1247.047</v>
      </c>
      <c r="T54" s="18">
        <v>1254.1020000000001</v>
      </c>
      <c r="U54" s="18">
        <v>1205.1869999999999</v>
      </c>
      <c r="V54" s="18">
        <v>1201.873</v>
      </c>
      <c r="W54" s="40">
        <v>1135.1959999999999</v>
      </c>
      <c r="X54" s="40">
        <v>1325.079</v>
      </c>
      <c r="Y54" s="40">
        <v>1286.627</v>
      </c>
      <c r="Z54" s="40">
        <v>1287.8679999999999</v>
      </c>
      <c r="AA54" s="40">
        <v>1217.1010000000001</v>
      </c>
      <c r="AB54" s="40">
        <v>1068.4929999999999</v>
      </c>
      <c r="AC54" s="40">
        <v>978.05200000000002</v>
      </c>
      <c r="AD54" s="40">
        <v>953.70100000000002</v>
      </c>
      <c r="AE54" s="40">
        <v>961.68799999999999</v>
      </c>
      <c r="AF54" s="40">
        <v>915.36099999999999</v>
      </c>
      <c r="AG54" s="40">
        <v>917.59199999999998</v>
      </c>
      <c r="AH54" s="40">
        <v>918.524</v>
      </c>
      <c r="AI54" s="40">
        <v>827.81200000000001</v>
      </c>
      <c r="AJ54" s="40">
        <v>842.01800000000003</v>
      </c>
    </row>
    <row r="55" spans="1:36" ht="15" customHeight="1">
      <c r="A55" t="s">
        <v>202</v>
      </c>
      <c r="B55" s="39" t="str">
        <f>IF('Sumário | Summary'!P1=1,"Notas Promissórias","Promissory Notes")</f>
        <v>Notas Promissórias</v>
      </c>
      <c r="C55" s="18">
        <v>0</v>
      </c>
      <c r="D55" s="18">
        <v>0</v>
      </c>
      <c r="E55" s="18">
        <v>135</v>
      </c>
      <c r="F55" s="18">
        <v>135</v>
      </c>
      <c r="G55" s="18">
        <v>127.5</v>
      </c>
      <c r="H55" s="18">
        <v>127.5</v>
      </c>
      <c r="I55" s="18">
        <v>120</v>
      </c>
      <c r="J55" s="18">
        <v>120</v>
      </c>
      <c r="K55" s="18">
        <v>0</v>
      </c>
      <c r="L55" s="18">
        <v>0</v>
      </c>
      <c r="M55" s="18">
        <v>0</v>
      </c>
      <c r="N55" s="18">
        <v>0</v>
      </c>
      <c r="O55" s="18">
        <v>0</v>
      </c>
      <c r="P55" s="18">
        <v>0</v>
      </c>
      <c r="Q55" s="18">
        <v>0</v>
      </c>
      <c r="R55" s="18">
        <v>0</v>
      </c>
      <c r="S55" s="18">
        <v>0</v>
      </c>
      <c r="T55" s="18">
        <v>0</v>
      </c>
      <c r="U55" s="18">
        <v>0</v>
      </c>
      <c r="V55" s="18">
        <v>0</v>
      </c>
      <c r="W55" s="40">
        <v>0</v>
      </c>
      <c r="X55" s="40">
        <v>0</v>
      </c>
      <c r="Y55" s="40">
        <v>0</v>
      </c>
      <c r="Z55" s="40">
        <v>0</v>
      </c>
      <c r="AA55" s="40">
        <v>0</v>
      </c>
      <c r="AB55" s="40">
        <v>0</v>
      </c>
      <c r="AC55" s="40">
        <v>0</v>
      </c>
      <c r="AD55" s="40">
        <v>0</v>
      </c>
      <c r="AE55" s="40">
        <v>0</v>
      </c>
      <c r="AF55" s="40">
        <v>0</v>
      </c>
      <c r="AG55" s="40">
        <v>0</v>
      </c>
      <c r="AH55" s="40">
        <v>0</v>
      </c>
      <c r="AI55" s="40">
        <v>0</v>
      </c>
      <c r="AJ55" s="40">
        <v>0</v>
      </c>
    </row>
    <row r="56" spans="1:36" ht="15" customHeight="1">
      <c r="A56" t="s">
        <v>197</v>
      </c>
      <c r="B56" s="21" t="str">
        <f>IF('Sumário | Summary'!P1=1,"Impostos e contribuições diferidos","Tax and Contributions - Deferred")</f>
        <v>Impostos e contribuições diferidos</v>
      </c>
      <c r="C56" s="18">
        <v>11.08</v>
      </c>
      <c r="D56" s="18">
        <v>10.6</v>
      </c>
      <c r="E56" s="18">
        <v>10.260999999999999</v>
      </c>
      <c r="F56" s="18">
        <v>9.6660000000000004</v>
      </c>
      <c r="G56" s="18">
        <v>9.1180000000000003</v>
      </c>
      <c r="H56" s="18">
        <v>8.76</v>
      </c>
      <c r="I56" s="18">
        <v>8.4369999999999994</v>
      </c>
      <c r="J56" s="18">
        <v>8.1349999999999998</v>
      </c>
      <c r="K56" s="18">
        <v>7.5890000000000004</v>
      </c>
      <c r="L56" s="18">
        <v>4.4080000000000004</v>
      </c>
      <c r="M56" s="18">
        <v>3.6110000000000002</v>
      </c>
      <c r="N56" s="18">
        <v>3.2</v>
      </c>
      <c r="O56" s="18">
        <v>2.8889999999999998</v>
      </c>
      <c r="P56" s="18">
        <v>2.524</v>
      </c>
      <c r="Q56" s="18">
        <v>2.1309999999999998</v>
      </c>
      <c r="R56" s="18">
        <v>1.8979999999999999</v>
      </c>
      <c r="S56" s="18">
        <v>1.6379999999999999</v>
      </c>
      <c r="T56" s="18">
        <v>1.502</v>
      </c>
      <c r="U56" s="18">
        <v>1.417</v>
      </c>
      <c r="V56" s="18">
        <v>1.3540000000000001</v>
      </c>
      <c r="W56" s="40">
        <v>1.381</v>
      </c>
      <c r="X56" s="40">
        <v>1.262</v>
      </c>
      <c r="Y56" s="40">
        <v>1.3480000000000001</v>
      </c>
      <c r="Z56" s="40">
        <v>1.258</v>
      </c>
      <c r="AA56" s="40">
        <v>1.3280000000000001</v>
      </c>
      <c r="AB56" s="40">
        <v>1.218</v>
      </c>
      <c r="AC56" s="40">
        <v>1.1819999999999999</v>
      </c>
      <c r="AD56" s="40">
        <v>1.125</v>
      </c>
      <c r="AE56" s="40">
        <v>1.052</v>
      </c>
      <c r="AF56" s="40">
        <v>1.071</v>
      </c>
      <c r="AG56" s="40">
        <v>1.1499999999999999</v>
      </c>
      <c r="AH56" s="40">
        <v>1.1499999999999999</v>
      </c>
      <c r="AI56" s="40">
        <v>1.099</v>
      </c>
      <c r="AJ56" s="40">
        <v>0.63300000000000001</v>
      </c>
    </row>
    <row r="57" spans="1:36">
      <c r="A57" t="s">
        <v>198</v>
      </c>
      <c r="B57" s="28" t="str">
        <f>IF('Sumário | Summary'!P1=1,"Receita res-sperata a apropriar","Key Money to be Recognized")</f>
        <v>Receita res-sperata a apropriar</v>
      </c>
      <c r="C57" s="18">
        <v>46.64</v>
      </c>
      <c r="D57" s="18">
        <v>43.638400000000004</v>
      </c>
      <c r="E57" s="18">
        <v>41.061599999999999</v>
      </c>
      <c r="F57" s="18">
        <v>37.199199999999998</v>
      </c>
      <c r="G57" s="18">
        <v>33.1496</v>
      </c>
      <c r="H57" s="18">
        <v>30.571999999999999</v>
      </c>
      <c r="I57" s="18">
        <v>28.216000000000001</v>
      </c>
      <c r="J57" s="18">
        <v>26.24</v>
      </c>
      <c r="K57" s="18">
        <v>23.045000000000002</v>
      </c>
      <c r="L57" s="18">
        <v>20.576000000000001</v>
      </c>
      <c r="M57" s="18">
        <v>16.457999999999998</v>
      </c>
      <c r="N57" s="18">
        <v>14.824</v>
      </c>
      <c r="O57" s="18">
        <v>13.388</v>
      </c>
      <c r="P57" s="18">
        <v>6.2939999999999996</v>
      </c>
      <c r="Q57" s="18">
        <v>5.6180000000000003</v>
      </c>
      <c r="R57" s="18">
        <v>5.0679999999999996</v>
      </c>
      <c r="S57" s="18">
        <v>5.8209999999999997</v>
      </c>
      <c r="T57" s="18">
        <v>5.3810000000000002</v>
      </c>
      <c r="U57" s="18">
        <v>5.1029999999999998</v>
      </c>
      <c r="V57" s="18">
        <v>4.9269999999999996</v>
      </c>
      <c r="W57" s="40">
        <v>4.9480000000000004</v>
      </c>
      <c r="X57" s="40">
        <v>4.4880000000000004</v>
      </c>
      <c r="Y57" s="40">
        <v>5.5490000000000004</v>
      </c>
      <c r="Z57" s="40">
        <v>4.8339999999999996</v>
      </c>
      <c r="AA57" s="40">
        <v>5.0529999999999999</v>
      </c>
      <c r="AB57" s="40">
        <v>4.6929999999999996</v>
      </c>
      <c r="AC57" s="40">
        <v>4.7290000000000001</v>
      </c>
      <c r="AD57" s="40">
        <v>5.7119999999999997</v>
      </c>
      <c r="AE57" s="40">
        <v>5.6689999999999996</v>
      </c>
      <c r="AF57" s="40">
        <v>4.4610000000000003</v>
      </c>
      <c r="AG57" s="40">
        <v>5.0430000000000001</v>
      </c>
      <c r="AH57" s="40">
        <v>5.0019999999999998</v>
      </c>
      <c r="AI57" s="40">
        <v>4.4770000000000003</v>
      </c>
      <c r="AJ57" s="40">
        <v>7.22</v>
      </c>
    </row>
    <row r="58" spans="1:36">
      <c r="A58" t="s">
        <v>199</v>
      </c>
      <c r="B58" s="28" t="str">
        <f>IF('Sumário | Summary'!P1=1,"Demais contas a pagar","Other accounts payable")</f>
        <v>Demais contas a pagar</v>
      </c>
      <c r="C58" s="18">
        <v>1.504</v>
      </c>
      <c r="D58" s="18">
        <v>0</v>
      </c>
      <c r="E58" s="18">
        <v>0.33400000000000002</v>
      </c>
      <c r="F58" s="18">
        <v>0.32100000000000001</v>
      </c>
      <c r="G58" s="18">
        <v>0</v>
      </c>
      <c r="H58" s="18">
        <v>0</v>
      </c>
      <c r="I58" s="18">
        <v>0</v>
      </c>
      <c r="J58" s="18">
        <v>0</v>
      </c>
      <c r="K58" s="18">
        <v>0</v>
      </c>
      <c r="L58" s="18">
        <v>4.0000000000000001E-3</v>
      </c>
      <c r="M58" s="18">
        <v>0</v>
      </c>
      <c r="N58" s="18">
        <v>0</v>
      </c>
      <c r="O58" s="18">
        <v>0</v>
      </c>
      <c r="P58" s="18">
        <v>0</v>
      </c>
      <c r="Q58" s="18">
        <v>0</v>
      </c>
      <c r="R58" s="18">
        <v>2E-3</v>
      </c>
      <c r="S58" s="18">
        <v>1E-3</v>
      </c>
      <c r="T58" s="18">
        <v>1E-3</v>
      </c>
      <c r="U58" s="18">
        <v>2E-3</v>
      </c>
      <c r="V58" s="18">
        <v>0</v>
      </c>
      <c r="W58" s="40">
        <v>3.992</v>
      </c>
      <c r="X58" s="40">
        <v>3.847</v>
      </c>
      <c r="Y58" s="40">
        <v>4.468</v>
      </c>
      <c r="Z58" s="40">
        <v>4.2130000000000001</v>
      </c>
      <c r="AA58" s="40">
        <v>4.2119999999999997</v>
      </c>
      <c r="AB58" s="40">
        <v>3.7069999999999999</v>
      </c>
      <c r="AC58" s="40">
        <v>3.4609999999999999</v>
      </c>
      <c r="AD58" s="40">
        <v>3.2170000000000001</v>
      </c>
      <c r="AE58" s="40">
        <v>2.98</v>
      </c>
      <c r="AF58" s="40">
        <v>0</v>
      </c>
      <c r="AG58" s="40">
        <v>0.01</v>
      </c>
      <c r="AH58" s="40">
        <v>1.7999999999999999E-2</v>
      </c>
      <c r="AI58" s="40">
        <v>0.02</v>
      </c>
      <c r="AJ58" s="40">
        <v>0.122</v>
      </c>
    </row>
    <row r="59" spans="1:36" ht="15" customHeight="1">
      <c r="A59" t="s">
        <v>196</v>
      </c>
      <c r="B59" s="28" t="str">
        <f>IF('Sumário | Summary'!P1=1,"Contas a pagar por aquisição de imóveis","Accounts payable due to real estate acquisition")</f>
        <v>Contas a pagar por aquisição de imóveis</v>
      </c>
      <c r="C59" s="18" t="s">
        <v>18</v>
      </c>
      <c r="D59" s="18" t="s">
        <v>18</v>
      </c>
      <c r="E59" s="18" t="s">
        <v>18</v>
      </c>
      <c r="F59" s="18" t="s">
        <v>18</v>
      </c>
      <c r="G59" s="18" t="s">
        <v>18</v>
      </c>
      <c r="H59" s="18" t="s">
        <v>18</v>
      </c>
      <c r="I59" s="18" t="s">
        <v>18</v>
      </c>
      <c r="J59" s="18" t="s">
        <v>18</v>
      </c>
      <c r="K59" s="18" t="s">
        <v>18</v>
      </c>
      <c r="L59" s="18" t="s">
        <v>18</v>
      </c>
      <c r="M59" s="18" t="s">
        <v>18</v>
      </c>
      <c r="N59" s="18" t="s">
        <v>18</v>
      </c>
      <c r="O59" s="18">
        <v>0</v>
      </c>
      <c r="P59" s="18" t="s">
        <v>18</v>
      </c>
      <c r="Q59" s="18">
        <v>0</v>
      </c>
      <c r="R59" s="18">
        <v>0</v>
      </c>
      <c r="S59" s="18">
        <v>118.825</v>
      </c>
      <c r="T59" s="18">
        <v>118.78100000000001</v>
      </c>
      <c r="U59" s="18">
        <v>118.733</v>
      </c>
      <c r="V59" s="18">
        <v>118.77800000000001</v>
      </c>
      <c r="W59" s="40">
        <v>118.806</v>
      </c>
      <c r="X59" s="40">
        <v>118.809</v>
      </c>
      <c r="Y59" s="40">
        <v>118.83499999999999</v>
      </c>
      <c r="Z59" s="40">
        <v>118.922</v>
      </c>
      <c r="AA59" s="40">
        <v>118.965</v>
      </c>
      <c r="AB59" s="40">
        <v>118.926</v>
      </c>
      <c r="AC59" s="40">
        <v>118.999</v>
      </c>
      <c r="AD59" s="40">
        <v>118.999</v>
      </c>
      <c r="AE59" s="40">
        <v>118.999</v>
      </c>
      <c r="AF59" s="40">
        <v>118.999</v>
      </c>
      <c r="AG59" s="40">
        <v>118.982</v>
      </c>
      <c r="AH59" s="40">
        <v>118.907</v>
      </c>
      <c r="AI59" s="40">
        <v>118.89400000000001</v>
      </c>
      <c r="AJ59" s="40">
        <v>39.630000000000003</v>
      </c>
    </row>
    <row r="60" spans="1:36" ht="15" customHeight="1">
      <c r="A60" t="s">
        <v>200</v>
      </c>
      <c r="B60" s="21" t="str">
        <f>IF('Sumário | Summary'!P1=1,"Provisões para riscos trabalhistas, fiscais e cíveis","Provisions for labor, tax and civil contingencies")</f>
        <v>Provisões para riscos trabalhistas, fiscais e cíveis</v>
      </c>
      <c r="C60" s="18">
        <v>3.1030000000000002</v>
      </c>
      <c r="D60" s="18">
        <v>2.9969999999999999</v>
      </c>
      <c r="E60" s="18">
        <v>2.919</v>
      </c>
      <c r="F60" s="18">
        <v>1.9410000000000001</v>
      </c>
      <c r="G60" s="18">
        <v>1.881</v>
      </c>
      <c r="H60" s="18">
        <v>1.8069999999999999</v>
      </c>
      <c r="I60" s="18">
        <v>1.67</v>
      </c>
      <c r="J60" s="18">
        <v>1.8260000000000001</v>
      </c>
      <c r="K60" s="18">
        <v>2.2999999999999998</v>
      </c>
      <c r="L60" s="18">
        <v>1.2649999999999999</v>
      </c>
      <c r="M60" s="18">
        <v>2.0579999999999998</v>
      </c>
      <c r="N60" s="18">
        <v>1.8959999999999999</v>
      </c>
      <c r="O60" s="18">
        <v>1.8959999999999999</v>
      </c>
      <c r="P60" s="18">
        <v>1.87</v>
      </c>
      <c r="Q60" s="18">
        <v>2.0609999999999999</v>
      </c>
      <c r="R60" s="18">
        <v>6.1660000000000004</v>
      </c>
      <c r="S60" s="18">
        <v>6.22</v>
      </c>
      <c r="T60" s="18">
        <v>5.3810000000000002</v>
      </c>
      <c r="U60" s="18">
        <v>5.375</v>
      </c>
      <c r="V60" s="18">
        <v>7.53</v>
      </c>
      <c r="W60" s="40">
        <v>7.891</v>
      </c>
      <c r="X60" s="40">
        <v>8.7390000000000008</v>
      </c>
      <c r="Y60" s="40">
        <v>5.9080000000000004</v>
      </c>
      <c r="Z60" s="40">
        <v>3.54</v>
      </c>
      <c r="AA60" s="40">
        <v>4.5359999999999996</v>
      </c>
      <c r="AB60" s="40">
        <v>4.7009999999999996</v>
      </c>
      <c r="AC60" s="40">
        <v>4.9139999999999997</v>
      </c>
      <c r="AD60" s="40">
        <v>4.4269999999999996</v>
      </c>
      <c r="AE60" s="40">
        <v>4.3650000000000002</v>
      </c>
      <c r="AF60" s="40">
        <v>5.008</v>
      </c>
      <c r="AG60" s="40">
        <v>5.0199999999999996</v>
      </c>
      <c r="AH60" s="40">
        <v>5.3419999999999996</v>
      </c>
      <c r="AI60" s="40">
        <v>4.9130000000000003</v>
      </c>
      <c r="AJ60" s="40">
        <v>4.9790000000000001</v>
      </c>
    </row>
    <row r="61" spans="1:36">
      <c r="A61" t="s">
        <v>201</v>
      </c>
      <c r="B61" s="28" t="str">
        <f>IF('Sumário | Summary'!P1=1,"Adiantamentos de clientes - permuta","Advances from customers - exchange")</f>
        <v>Adiantamentos de clientes - permuta</v>
      </c>
      <c r="C61" s="18">
        <v>108.51300000000001</v>
      </c>
      <c r="D61" s="18">
        <v>108.51300000000001</v>
      </c>
      <c r="E61" s="18">
        <v>108.51300000000001</v>
      </c>
      <c r="F61" s="18">
        <v>108.51300000000001</v>
      </c>
      <c r="G61" s="18">
        <v>108.51300000000001</v>
      </c>
      <c r="H61" s="18">
        <v>108.51300000000001</v>
      </c>
      <c r="I61" s="18" t="s">
        <v>18</v>
      </c>
      <c r="J61" s="18" t="s">
        <v>18</v>
      </c>
      <c r="K61" s="18" t="s">
        <v>18</v>
      </c>
      <c r="L61" s="18" t="s">
        <v>18</v>
      </c>
      <c r="M61" s="18" t="s">
        <v>18</v>
      </c>
      <c r="N61" s="18" t="s">
        <v>18</v>
      </c>
      <c r="O61" s="130">
        <v>0</v>
      </c>
      <c r="P61" s="18">
        <v>0</v>
      </c>
      <c r="Q61" s="18">
        <v>0</v>
      </c>
      <c r="R61" s="18">
        <v>0</v>
      </c>
      <c r="S61" s="130">
        <v>0</v>
      </c>
      <c r="T61" s="130">
        <v>0</v>
      </c>
      <c r="U61" s="130">
        <v>0</v>
      </c>
      <c r="V61" s="130">
        <v>0</v>
      </c>
      <c r="W61" s="40">
        <v>0</v>
      </c>
      <c r="X61" s="40">
        <v>0</v>
      </c>
      <c r="Y61" s="40">
        <v>0</v>
      </c>
      <c r="Z61" s="40">
        <v>0</v>
      </c>
      <c r="AA61" s="40">
        <v>0</v>
      </c>
      <c r="AB61" s="40">
        <v>0</v>
      </c>
      <c r="AC61" s="40">
        <v>0</v>
      </c>
      <c r="AD61" s="40">
        <v>0</v>
      </c>
      <c r="AE61" s="40">
        <v>0</v>
      </c>
      <c r="AF61" s="40">
        <v>0</v>
      </c>
      <c r="AG61" s="40">
        <v>0</v>
      </c>
      <c r="AH61" s="40">
        <v>0</v>
      </c>
      <c r="AI61" s="40">
        <v>0</v>
      </c>
      <c r="AJ61" s="40">
        <v>0</v>
      </c>
    </row>
    <row r="62" spans="1:36" ht="15.75" customHeight="1">
      <c r="A62" t="s">
        <v>120</v>
      </c>
      <c r="B62" s="28" t="str">
        <f>IF('Sumário | Summary'!P1=1,"CDU a apropriar","Key Money to Recognize ")</f>
        <v>CDU a apropriar</v>
      </c>
      <c r="C62" s="18" t="s">
        <v>18</v>
      </c>
      <c r="D62" s="18" t="s">
        <v>18</v>
      </c>
      <c r="E62" s="18" t="s">
        <v>18</v>
      </c>
      <c r="F62" s="18" t="s">
        <v>18</v>
      </c>
      <c r="G62" s="18" t="s">
        <v>18</v>
      </c>
      <c r="H62" s="18" t="s">
        <v>18</v>
      </c>
      <c r="I62" s="18" t="s">
        <v>18</v>
      </c>
      <c r="J62" s="18" t="s">
        <v>18</v>
      </c>
      <c r="K62" s="18" t="s">
        <v>18</v>
      </c>
      <c r="L62" s="18" t="s">
        <v>18</v>
      </c>
      <c r="M62" s="18" t="s">
        <v>18</v>
      </c>
      <c r="N62" s="18" t="s">
        <v>18</v>
      </c>
      <c r="O62" s="130">
        <v>0</v>
      </c>
      <c r="P62" s="18">
        <v>0</v>
      </c>
      <c r="Q62" s="18">
        <v>0</v>
      </c>
      <c r="R62" s="18">
        <v>0</v>
      </c>
      <c r="S62" s="130">
        <v>0</v>
      </c>
      <c r="T62" s="130">
        <v>0</v>
      </c>
      <c r="U62" s="130">
        <v>0</v>
      </c>
      <c r="V62" s="130">
        <v>0</v>
      </c>
      <c r="W62" s="132">
        <v>0</v>
      </c>
      <c r="X62" s="132">
        <v>0</v>
      </c>
      <c r="Y62" s="132">
        <v>0</v>
      </c>
      <c r="Z62" s="132">
        <v>0</v>
      </c>
      <c r="AA62" s="132">
        <v>0</v>
      </c>
      <c r="AB62" s="132">
        <v>0</v>
      </c>
      <c r="AC62" s="132">
        <v>0</v>
      </c>
      <c r="AD62" s="132">
        <v>0</v>
      </c>
      <c r="AE62" s="132">
        <v>0</v>
      </c>
      <c r="AF62" s="132">
        <v>0</v>
      </c>
      <c r="AG62" s="132">
        <v>0</v>
      </c>
      <c r="AH62" s="132">
        <v>0</v>
      </c>
      <c r="AI62" s="132">
        <v>0</v>
      </c>
      <c r="AJ62" s="132">
        <v>0</v>
      </c>
    </row>
    <row r="63" spans="1:36" ht="15" customHeight="1">
      <c r="A63" t="s">
        <v>279</v>
      </c>
      <c r="B63" s="21" t="str">
        <f>IF('Sumário | Summary'!P1=1,"Passivo de arrendamento","Lease liability")</f>
        <v>Passivo de arrendamento</v>
      </c>
      <c r="C63" s="40">
        <v>0</v>
      </c>
      <c r="D63" s="40">
        <v>0</v>
      </c>
      <c r="E63" s="40">
        <v>0</v>
      </c>
      <c r="F63" s="40">
        <v>0</v>
      </c>
      <c r="G63" s="40">
        <v>0</v>
      </c>
      <c r="H63" s="40">
        <v>0</v>
      </c>
      <c r="I63" s="40">
        <v>0</v>
      </c>
      <c r="J63" s="40">
        <v>0</v>
      </c>
      <c r="K63" s="40">
        <v>0</v>
      </c>
      <c r="L63" s="40">
        <v>0</v>
      </c>
      <c r="M63" s="40">
        <v>0</v>
      </c>
      <c r="N63" s="40">
        <v>0</v>
      </c>
      <c r="O63" s="40">
        <v>0</v>
      </c>
      <c r="P63" s="40">
        <v>0</v>
      </c>
      <c r="Q63" s="40">
        <v>0</v>
      </c>
      <c r="R63" s="40">
        <v>0</v>
      </c>
      <c r="S63" s="40">
        <v>0</v>
      </c>
      <c r="T63" s="40">
        <v>0</v>
      </c>
      <c r="U63" s="40">
        <v>0</v>
      </c>
      <c r="V63" s="40">
        <v>0</v>
      </c>
      <c r="W63" s="40">
        <v>0</v>
      </c>
      <c r="X63" s="40">
        <v>0</v>
      </c>
      <c r="Y63" s="40">
        <v>0</v>
      </c>
      <c r="Z63" s="40">
        <v>0</v>
      </c>
      <c r="AA63" s="40">
        <v>0</v>
      </c>
      <c r="AB63" s="40">
        <v>0</v>
      </c>
      <c r="AC63" s="40">
        <v>0</v>
      </c>
      <c r="AD63" s="40">
        <v>2.2589999999999999</v>
      </c>
      <c r="AE63" s="40">
        <v>2.9750000000000001</v>
      </c>
      <c r="AF63" s="40">
        <v>2.7389999999999999</v>
      </c>
      <c r="AG63" s="40">
        <v>2.5059999999999998</v>
      </c>
      <c r="AH63" s="40">
        <v>2.2770000000000001</v>
      </c>
      <c r="AI63" s="40">
        <v>2.0510000000000002</v>
      </c>
      <c r="AJ63" s="40">
        <v>1.829</v>
      </c>
    </row>
    <row r="64" spans="1:36" s="30" customFormat="1">
      <c r="A64" t="s">
        <v>122</v>
      </c>
      <c r="B64" s="11" t="str">
        <f>IF('Sumário | Summary'!P1=1,"Participação de não controladores","Minority Shareholders")</f>
        <v>Participação de não controladores</v>
      </c>
      <c r="C64" s="6">
        <v>185.74199999999999</v>
      </c>
      <c r="D64" s="6">
        <v>184.822</v>
      </c>
      <c r="E64" s="6">
        <v>185.685</v>
      </c>
      <c r="F64" s="6">
        <v>183.59</v>
      </c>
      <c r="G64" s="6">
        <v>1.9E-2</v>
      </c>
      <c r="H64" s="6">
        <v>2.1999999999999999E-2</v>
      </c>
      <c r="I64" s="6">
        <v>8.0000000000000002E-3</v>
      </c>
      <c r="J64" s="6">
        <v>2.4E-2</v>
      </c>
      <c r="K64" s="6">
        <v>3.3000000000000002E-2</v>
      </c>
      <c r="L64" s="6">
        <v>4.2000000000000003E-2</v>
      </c>
      <c r="M64" s="6">
        <v>4.7E-2</v>
      </c>
      <c r="N64" s="6">
        <v>0.05</v>
      </c>
      <c r="O64" s="6">
        <v>5.5E-2</v>
      </c>
      <c r="P64" s="6">
        <v>6.0999999999999999E-2</v>
      </c>
      <c r="Q64" s="6">
        <v>6.7000000000000004E-2</v>
      </c>
      <c r="R64" s="6">
        <v>7.1999999999999995E-2</v>
      </c>
      <c r="S64" s="6">
        <v>-0.45100000000000001</v>
      </c>
      <c r="T64" s="6">
        <v>-0.753</v>
      </c>
      <c r="U64" s="6">
        <v>0.311</v>
      </c>
      <c r="V64" s="6">
        <v>-1.956</v>
      </c>
      <c r="W64" s="139">
        <v>0.29499999999999998</v>
      </c>
      <c r="X64" s="139">
        <v>0.249</v>
      </c>
      <c r="Y64" s="139">
        <v>-1.3260000000000001</v>
      </c>
      <c r="Z64" s="139">
        <v>0.11600000000000001</v>
      </c>
      <c r="AA64" s="139">
        <v>0.01</v>
      </c>
      <c r="AB64" s="139">
        <v>-4.3999999999999997E-2</v>
      </c>
      <c r="AC64" s="139">
        <v>-0.36299999999999999</v>
      </c>
      <c r="AD64" s="139">
        <v>2.2330000000000001</v>
      </c>
      <c r="AE64" s="139">
        <v>0.113</v>
      </c>
      <c r="AF64" s="139">
        <v>1.196</v>
      </c>
      <c r="AG64" s="139">
        <v>1.7889999999999999</v>
      </c>
      <c r="AH64" s="139">
        <v>0.48799999999999999</v>
      </c>
      <c r="AI64" s="139">
        <v>0.50600000000000001</v>
      </c>
      <c r="AJ64" s="139">
        <v>8.2289999999999992</v>
      </c>
    </row>
    <row r="65" spans="1:36">
      <c r="A65" t="s">
        <v>123</v>
      </c>
      <c r="B65" s="11" t="str">
        <f>IF('Sumário | Summary'!P1=1,"Patrimônio Líquido","Shareholders' Equity")</f>
        <v>Patrimônio Líquido</v>
      </c>
      <c r="C65" s="6">
        <v>1203.087</v>
      </c>
      <c r="D65" s="6">
        <v>1190.171</v>
      </c>
      <c r="E65" s="6">
        <v>1173.2329999999999</v>
      </c>
      <c r="F65" s="6">
        <v>1175.68</v>
      </c>
      <c r="G65" s="6">
        <v>1155.4390000000001</v>
      </c>
      <c r="H65" s="6">
        <v>1139.2460000000001</v>
      </c>
      <c r="I65" s="6">
        <v>1168.068</v>
      </c>
      <c r="J65" s="6">
        <v>1161.008</v>
      </c>
      <c r="K65" s="6">
        <v>1168.5550000000001</v>
      </c>
      <c r="L65" s="6">
        <v>1194.58</v>
      </c>
      <c r="M65" s="6">
        <v>1179.202</v>
      </c>
      <c r="N65" s="6">
        <v>1045.423</v>
      </c>
      <c r="O65" s="139">
        <f t="shared" ref="O65:AF65" si="7">O6-O34-O64</f>
        <v>1048.6220000000001</v>
      </c>
      <c r="P65" s="139">
        <f t="shared" si="7"/>
        <v>1031.3540000000005</v>
      </c>
      <c r="Q65" s="139">
        <f t="shared" si="7"/>
        <v>1040.7510000000007</v>
      </c>
      <c r="R65" s="139">
        <f t="shared" si="7"/>
        <v>1904.0260000000005</v>
      </c>
      <c r="S65" s="139">
        <f t="shared" si="7"/>
        <v>1907.0539999999999</v>
      </c>
      <c r="T65" s="139">
        <f t="shared" si="7"/>
        <v>1830.5299999999995</v>
      </c>
      <c r="U65" s="139">
        <f t="shared" si="7"/>
        <v>1790.0300000000002</v>
      </c>
      <c r="V65" s="139">
        <f t="shared" si="7"/>
        <v>1627.6470000000002</v>
      </c>
      <c r="W65" s="139">
        <f t="shared" si="7"/>
        <v>1636.1069999999997</v>
      </c>
      <c r="X65" s="139">
        <f t="shared" si="7"/>
        <v>1641.2260000000001</v>
      </c>
      <c r="Y65" s="139">
        <f t="shared" si="7"/>
        <v>1651.6640000000007</v>
      </c>
      <c r="Z65" s="139">
        <f t="shared" si="7"/>
        <v>1665.2889999999998</v>
      </c>
      <c r="AA65" s="139">
        <f t="shared" si="7"/>
        <v>1652.1439999999996</v>
      </c>
      <c r="AB65" s="139">
        <f t="shared" si="7"/>
        <v>1543.3449999999998</v>
      </c>
      <c r="AC65" s="139">
        <f t="shared" si="7"/>
        <v>1550.4640000000002</v>
      </c>
      <c r="AD65" s="139">
        <f t="shared" si="7"/>
        <v>1526.454283</v>
      </c>
      <c r="AE65" s="139">
        <f t="shared" si="7"/>
        <v>1511.4000000000003</v>
      </c>
      <c r="AF65" s="139">
        <f t="shared" si="7"/>
        <v>1507.0659999999998</v>
      </c>
      <c r="AG65" s="139">
        <v>1510.731</v>
      </c>
      <c r="AH65" s="139">
        <v>1516.277</v>
      </c>
      <c r="AI65" s="139">
        <f>AI6-AI34-AI64</f>
        <v>1523.124</v>
      </c>
      <c r="AJ65" s="139">
        <f>AJ6-AJ34-AJ64</f>
        <v>2005.9419999999993</v>
      </c>
    </row>
  </sheetData>
  <phoneticPr fontId="158" type="noConversion"/>
  <pageMargins left="0.511811024" right="0.511811024" top="0.78740157499999996" bottom="0.78740157499999996" header="0.31496062000000002" footer="0.31496062000000002"/>
  <pageSetup paperSize="9" orientation="portrait" r:id="rId1"/>
  <ignoredErrors>
    <ignoredError sqref="AI1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DDC9-2F36-42FA-ABB1-BC84060FC581}">
  <sheetPr codeName="Planilha7"/>
  <dimension ref="A1:WVB197"/>
  <sheetViews>
    <sheetView showGridLines="0" showRowColHeaders="0" zoomScaleNormal="100" workbookViewId="0">
      <pane xSplit="2" ySplit="5" topLeftCell="BG6" activePane="bottomRight" state="frozen"/>
      <selection activeCell="P1" sqref="P1"/>
      <selection pane="topRight" activeCell="P1" sqref="P1"/>
      <selection pane="bottomLeft" activeCell="P1" sqref="P1"/>
      <selection pane="bottomRight" activeCell="BP5" sqref="BP5"/>
    </sheetView>
  </sheetViews>
  <sheetFormatPr defaultRowHeight="14.4" outlineLevelRow="1" outlineLevelCol="1"/>
  <cols>
    <col min="1" max="1" width="23.44140625" hidden="1" customWidth="1"/>
    <col min="2" max="2" width="43.21875" customWidth="1"/>
    <col min="3" max="37" width="14.33203125" style="2" hidden="1" customWidth="1" outlineLevel="1"/>
    <col min="38" max="38" width="14.33203125" style="2" customWidth="1" collapsed="1"/>
    <col min="39" max="46" width="14.33203125" style="2" customWidth="1"/>
    <col min="47" max="47" width="14.6640625" style="2" bestFit="1" customWidth="1"/>
    <col min="48" max="60" width="14.6640625" bestFit="1" customWidth="1"/>
    <col min="61" max="68" width="15.33203125" bestFit="1" customWidth="1"/>
  </cols>
  <sheetData>
    <row r="1" spans="1:68">
      <c r="B1" s="115" t="s">
        <v>42</v>
      </c>
      <c r="AM1" s="2" t="s">
        <v>26</v>
      </c>
      <c r="AN1" s="2" t="s">
        <v>26</v>
      </c>
      <c r="AO1" s="2" t="s">
        <v>26</v>
      </c>
      <c r="BG1" s="237"/>
      <c r="BH1" s="237"/>
      <c r="BI1" s="237"/>
      <c r="BJ1" s="237"/>
      <c r="BK1" s="237"/>
      <c r="BL1" s="237"/>
      <c r="BM1" s="237"/>
      <c r="BN1" s="237"/>
      <c r="BO1" s="237"/>
      <c r="BP1" s="237"/>
    </row>
    <row r="2" spans="1:68">
      <c r="B2" s="115" t="s">
        <v>41</v>
      </c>
      <c r="BD2" s="242"/>
      <c r="BG2" s="237"/>
      <c r="BH2" s="237"/>
      <c r="BI2" s="237"/>
      <c r="BJ2" s="237"/>
      <c r="BK2" s="237"/>
      <c r="BL2" s="237"/>
      <c r="BM2" s="237"/>
      <c r="BN2" s="237"/>
      <c r="BO2" s="237"/>
      <c r="BP2" s="237"/>
    </row>
    <row r="3" spans="1:68" s="239" customFormat="1">
      <c r="B3" s="240">
        <v>1</v>
      </c>
      <c r="AU3" s="238"/>
      <c r="AV3" s="238"/>
      <c r="AW3" s="238"/>
      <c r="AX3" s="238"/>
      <c r="AY3" s="238"/>
      <c r="AZ3" s="238"/>
      <c r="BA3" s="238"/>
      <c r="BB3" s="238"/>
      <c r="BC3" s="238"/>
      <c r="BD3" s="238"/>
      <c r="BE3" s="238"/>
      <c r="BF3" s="238"/>
      <c r="BG3" s="238"/>
      <c r="BH3" s="238"/>
      <c r="BI3" s="238"/>
      <c r="BJ3" s="238"/>
      <c r="BK3" s="238"/>
      <c r="BL3" s="238"/>
      <c r="BM3" s="238"/>
      <c r="BN3" s="238"/>
      <c r="BO3" s="238"/>
      <c r="BP3" s="238"/>
    </row>
    <row r="4" spans="1:68" ht="6.75" customHeight="1">
      <c r="B4" s="12"/>
      <c r="W4" s="16"/>
      <c r="X4" s="16"/>
      <c r="Y4" s="16"/>
      <c r="Z4" s="16"/>
      <c r="AA4" s="16"/>
      <c r="AB4" s="16"/>
      <c r="AC4" s="16"/>
      <c r="AD4" s="16"/>
      <c r="AE4" s="16"/>
      <c r="AF4" s="16"/>
      <c r="AG4" s="16"/>
      <c r="AH4" s="16"/>
      <c r="AI4" s="16"/>
      <c r="AJ4" s="16"/>
      <c r="AK4" s="16"/>
      <c r="AL4" s="16"/>
      <c r="AM4" s="16"/>
      <c r="AN4" s="16"/>
      <c r="AO4" s="16"/>
      <c r="AP4" s="16"/>
      <c r="AQ4" s="16"/>
      <c r="AR4" s="16"/>
      <c r="AS4" s="16"/>
      <c r="AT4" s="16"/>
      <c r="AU4" s="16"/>
      <c r="BN4" s="164"/>
      <c r="BO4" s="164"/>
      <c r="BP4" s="164"/>
    </row>
    <row r="5" spans="1:68" s="7" customFormat="1" ht="18.75" customHeight="1">
      <c r="B5" s="200" t="str">
        <f>IF('Sumário | Summary'!P1=1,"Portfólio em Operação","Portfolio in Operation")</f>
        <v>Portfólio em Operação</v>
      </c>
      <c r="C5" s="201">
        <v>39508</v>
      </c>
      <c r="D5" s="201">
        <v>39600</v>
      </c>
      <c r="E5" s="201">
        <v>39692</v>
      </c>
      <c r="F5" s="201">
        <v>39783</v>
      </c>
      <c r="G5" s="201">
        <v>39873</v>
      </c>
      <c r="H5" s="201">
        <v>39965</v>
      </c>
      <c r="I5" s="201">
        <v>40057</v>
      </c>
      <c r="J5" s="201">
        <v>40148</v>
      </c>
      <c r="K5" s="201">
        <v>40238</v>
      </c>
      <c r="L5" s="201">
        <v>40330</v>
      </c>
      <c r="M5" s="201">
        <v>40422</v>
      </c>
      <c r="N5" s="201">
        <v>40513</v>
      </c>
      <c r="O5" s="201">
        <v>40603</v>
      </c>
      <c r="P5" s="201">
        <v>40695</v>
      </c>
      <c r="Q5" s="201">
        <v>40787</v>
      </c>
      <c r="R5" s="201">
        <v>40878</v>
      </c>
      <c r="S5" s="201">
        <v>40969</v>
      </c>
      <c r="T5" s="201">
        <v>41061</v>
      </c>
      <c r="U5" s="201">
        <v>41153</v>
      </c>
      <c r="V5" s="201">
        <v>41244</v>
      </c>
      <c r="W5" s="201">
        <v>41334</v>
      </c>
      <c r="X5" s="201">
        <v>41426</v>
      </c>
      <c r="Y5" s="201">
        <v>41518</v>
      </c>
      <c r="Z5" s="201">
        <v>41609</v>
      </c>
      <c r="AA5" s="201">
        <v>41699</v>
      </c>
      <c r="AB5" s="201">
        <v>41791</v>
      </c>
      <c r="AC5" s="201">
        <v>41883</v>
      </c>
      <c r="AD5" s="201">
        <v>41974</v>
      </c>
      <c r="AE5" s="201">
        <v>42064</v>
      </c>
      <c r="AF5" s="201">
        <v>42156</v>
      </c>
      <c r="AG5" s="201">
        <v>42248</v>
      </c>
      <c r="AH5" s="201">
        <v>42339</v>
      </c>
      <c r="AI5" s="201">
        <v>42430</v>
      </c>
      <c r="AJ5" s="201">
        <v>42522</v>
      </c>
      <c r="AK5" s="201">
        <v>42614</v>
      </c>
      <c r="AL5" s="201">
        <v>42705</v>
      </c>
      <c r="AM5" s="201">
        <v>42795</v>
      </c>
      <c r="AN5" s="201">
        <v>42887</v>
      </c>
      <c r="AO5" s="201">
        <v>42979</v>
      </c>
      <c r="AP5" s="201">
        <v>43070</v>
      </c>
      <c r="AQ5" s="201">
        <v>43160</v>
      </c>
      <c r="AR5" s="201">
        <v>43252</v>
      </c>
      <c r="AS5" s="201">
        <v>43344</v>
      </c>
      <c r="AT5" s="201">
        <v>43435</v>
      </c>
      <c r="AU5" s="201">
        <v>43525</v>
      </c>
      <c r="AV5" s="201">
        <v>43618</v>
      </c>
      <c r="AW5" s="201">
        <v>43710</v>
      </c>
      <c r="AX5" s="201">
        <v>43800</v>
      </c>
      <c r="AY5" s="201">
        <v>43891</v>
      </c>
      <c r="AZ5" s="201">
        <v>43983</v>
      </c>
      <c r="BA5" s="201">
        <v>44075</v>
      </c>
      <c r="BB5" s="201">
        <v>44166</v>
      </c>
      <c r="BC5" s="201">
        <v>44256</v>
      </c>
      <c r="BD5" s="201">
        <v>44348</v>
      </c>
      <c r="BE5" s="201">
        <v>44440</v>
      </c>
      <c r="BF5" s="201">
        <v>44561</v>
      </c>
      <c r="BG5" s="201">
        <v>44651</v>
      </c>
      <c r="BH5" s="201">
        <v>44742</v>
      </c>
      <c r="BI5" s="201">
        <v>44834</v>
      </c>
      <c r="BJ5" s="201">
        <v>44926</v>
      </c>
      <c r="BK5" s="201">
        <v>45016</v>
      </c>
      <c r="BL5" s="201">
        <v>45107</v>
      </c>
      <c r="BM5" s="201">
        <v>45199</v>
      </c>
      <c r="BN5" s="201">
        <v>45291</v>
      </c>
      <c r="BO5" s="201">
        <v>45382</v>
      </c>
      <c r="BP5" s="201">
        <v>45473</v>
      </c>
    </row>
    <row r="6" spans="1:68" s="7" customFormat="1" ht="18.75" customHeight="1">
      <c r="B6" s="202" t="str">
        <f>IF('Sumário | Summary'!P1=1,"ABL Total do Empreendimento (m²)","Total building GLA (sqm)")</f>
        <v>ABL Total do Empreendimento (m²)</v>
      </c>
      <c r="C6" s="203" t="s">
        <v>82</v>
      </c>
      <c r="D6" s="203" t="s">
        <v>83</v>
      </c>
      <c r="E6" s="203" t="s">
        <v>84</v>
      </c>
      <c r="F6" s="203" t="s">
        <v>85</v>
      </c>
      <c r="G6" s="203" t="s">
        <v>86</v>
      </c>
      <c r="H6" s="203" t="s">
        <v>87</v>
      </c>
      <c r="I6" s="203" t="s">
        <v>88</v>
      </c>
      <c r="J6" s="203" t="s">
        <v>89</v>
      </c>
      <c r="K6" s="203" t="s">
        <v>90</v>
      </c>
      <c r="L6" s="203" t="s">
        <v>91</v>
      </c>
      <c r="M6" s="203" t="s">
        <v>92</v>
      </c>
      <c r="N6" s="203" t="s">
        <v>93</v>
      </c>
      <c r="O6" s="203" t="s">
        <v>94</v>
      </c>
      <c r="P6" s="203" t="s">
        <v>95</v>
      </c>
      <c r="Q6" s="203" t="s">
        <v>96</v>
      </c>
      <c r="R6" s="203" t="s">
        <v>97</v>
      </c>
      <c r="S6" s="203" t="s">
        <v>78</v>
      </c>
      <c r="T6" s="203" t="s">
        <v>79</v>
      </c>
      <c r="U6" s="203" t="s">
        <v>80</v>
      </c>
      <c r="V6" s="203" t="s">
        <v>81</v>
      </c>
      <c r="W6" s="203" t="s">
        <v>77</v>
      </c>
      <c r="X6" s="203" t="s">
        <v>76</v>
      </c>
      <c r="Y6" s="203" t="s">
        <v>75</v>
      </c>
      <c r="Z6" s="203" t="s">
        <v>74</v>
      </c>
      <c r="AA6" s="203" t="s">
        <v>73</v>
      </c>
      <c r="AB6" s="203" t="s">
        <v>72</v>
      </c>
      <c r="AC6" s="203" t="s">
        <v>71</v>
      </c>
      <c r="AD6" s="203" t="s">
        <v>70</v>
      </c>
      <c r="AE6" s="203" t="s">
        <v>69</v>
      </c>
      <c r="AF6" s="203" t="s">
        <v>68</v>
      </c>
      <c r="AG6" s="203" t="s">
        <v>67</v>
      </c>
      <c r="AH6" s="203" t="s">
        <v>66</v>
      </c>
      <c r="AI6" s="203" t="s">
        <v>59</v>
      </c>
      <c r="AJ6" s="203" t="s">
        <v>60</v>
      </c>
      <c r="AK6" s="203" t="s">
        <v>61</v>
      </c>
      <c r="AL6" s="203" t="s">
        <v>62</v>
      </c>
      <c r="AM6" s="203" t="s">
        <v>55</v>
      </c>
      <c r="AN6" s="203" t="s">
        <v>56</v>
      </c>
      <c r="AO6" s="203" t="s">
        <v>57</v>
      </c>
      <c r="AP6" s="203" t="s">
        <v>58</v>
      </c>
      <c r="AQ6" s="203" t="s">
        <v>54</v>
      </c>
      <c r="AR6" s="203" t="s">
        <v>53</v>
      </c>
      <c r="AS6" s="203" t="s">
        <v>52</v>
      </c>
      <c r="AT6" s="203" t="s">
        <v>51</v>
      </c>
      <c r="AU6" s="203" t="s">
        <v>43</v>
      </c>
      <c r="AV6" s="203" t="s">
        <v>44</v>
      </c>
      <c r="AW6" s="203" t="s">
        <v>46</v>
      </c>
      <c r="AX6" s="203" t="s">
        <v>47</v>
      </c>
      <c r="AY6" s="203" t="s">
        <v>50</v>
      </c>
      <c r="AZ6" s="203" t="s">
        <v>63</v>
      </c>
      <c r="BA6" s="203" t="s">
        <v>64</v>
      </c>
      <c r="BB6" s="203" t="s">
        <v>65</v>
      </c>
      <c r="BC6" s="203" t="s">
        <v>98</v>
      </c>
      <c r="BD6" s="203" t="s">
        <v>99</v>
      </c>
      <c r="BE6" s="203" t="s">
        <v>114</v>
      </c>
      <c r="BF6" s="203" t="s">
        <v>115</v>
      </c>
      <c r="BG6" s="203" t="s">
        <v>126</v>
      </c>
      <c r="BH6" s="203" t="s">
        <v>267</v>
      </c>
      <c r="BI6" s="203" t="s">
        <v>268</v>
      </c>
      <c r="BJ6" s="203" t="s">
        <v>274</v>
      </c>
      <c r="BK6" s="203" t="s">
        <v>286</v>
      </c>
      <c r="BL6" s="203" t="s">
        <v>289</v>
      </c>
      <c r="BM6" s="203" t="s">
        <v>291</v>
      </c>
      <c r="BN6" s="203" t="s">
        <v>315</v>
      </c>
      <c r="BO6" s="203" t="s">
        <v>321</v>
      </c>
      <c r="BP6" s="203" t="s">
        <v>323</v>
      </c>
    </row>
    <row r="7" spans="1:68" s="15" customFormat="1" ht="15" customHeight="1">
      <c r="B7" s="148" t="str">
        <f>IF('Sumário | Summary'!P1=1,"Escritórios","Offices")</f>
        <v>Escritórios</v>
      </c>
      <c r="C7" s="140">
        <f t="shared" ref="C7:BN7" si="0">C8+C20</f>
        <v>66302.016000000003</v>
      </c>
      <c r="D7" s="140">
        <f t="shared" si="0"/>
        <v>81328.579999999987</v>
      </c>
      <c r="E7" s="140">
        <f t="shared" si="0"/>
        <v>81328.579999999987</v>
      </c>
      <c r="F7" s="140">
        <f t="shared" si="0"/>
        <v>81328.579999999987</v>
      </c>
      <c r="G7" s="140">
        <f t="shared" si="0"/>
        <v>88634.579999999987</v>
      </c>
      <c r="H7" s="140">
        <f t="shared" si="0"/>
        <v>88379.579999999987</v>
      </c>
      <c r="I7" s="140">
        <f t="shared" si="0"/>
        <v>88379.579999999987</v>
      </c>
      <c r="J7" s="140">
        <f t="shared" si="0"/>
        <v>87608.579999999987</v>
      </c>
      <c r="K7" s="140">
        <f t="shared" si="0"/>
        <v>85809.579999999987</v>
      </c>
      <c r="L7" s="140">
        <f t="shared" si="0"/>
        <v>83094.579999999987</v>
      </c>
      <c r="M7" s="140">
        <f t="shared" si="0"/>
        <v>83094.579999999987</v>
      </c>
      <c r="N7" s="140">
        <f t="shared" si="0"/>
        <v>83094.579999999987</v>
      </c>
      <c r="O7" s="140">
        <f t="shared" si="0"/>
        <v>83094.579999999987</v>
      </c>
      <c r="P7" s="140">
        <f t="shared" si="0"/>
        <v>81328.579999999987</v>
      </c>
      <c r="Q7" s="140">
        <f t="shared" si="0"/>
        <v>81328.579999999987</v>
      </c>
      <c r="R7" s="140">
        <f t="shared" si="0"/>
        <v>81328.579999999987</v>
      </c>
      <c r="S7" s="140">
        <f t="shared" si="0"/>
        <v>81328.579999999987</v>
      </c>
      <c r="T7" s="140">
        <f t="shared" si="0"/>
        <v>81328.579999999987</v>
      </c>
      <c r="U7" s="140">
        <f t="shared" si="0"/>
        <v>81328.579999999987</v>
      </c>
      <c r="V7" s="140">
        <f t="shared" si="0"/>
        <v>81328.579999999987</v>
      </c>
      <c r="W7" s="140">
        <f t="shared" si="0"/>
        <v>81328.579999999987</v>
      </c>
      <c r="X7" s="140">
        <f t="shared" si="0"/>
        <v>81328.62999999999</v>
      </c>
      <c r="Y7" s="140">
        <f t="shared" si="0"/>
        <v>92213.93</v>
      </c>
      <c r="Z7" s="140">
        <f t="shared" si="0"/>
        <v>92213.93</v>
      </c>
      <c r="AA7" s="140">
        <f t="shared" si="0"/>
        <v>92213.93</v>
      </c>
      <c r="AB7" s="140">
        <f t="shared" si="0"/>
        <v>92213.93</v>
      </c>
      <c r="AC7" s="140">
        <f t="shared" si="0"/>
        <v>111216.1949087</v>
      </c>
      <c r="AD7" s="140">
        <f t="shared" si="0"/>
        <v>111216.14490869999</v>
      </c>
      <c r="AE7" s="140">
        <f t="shared" si="0"/>
        <v>111216.14490869999</v>
      </c>
      <c r="AF7" s="140">
        <f t="shared" si="0"/>
        <v>108372.50490870001</v>
      </c>
      <c r="AG7" s="140">
        <f t="shared" si="0"/>
        <v>108371.81999999999</v>
      </c>
      <c r="AH7" s="140">
        <f t="shared" si="0"/>
        <v>108371.81999999999</v>
      </c>
      <c r="AI7" s="140">
        <f t="shared" si="0"/>
        <v>89370.239999999991</v>
      </c>
      <c r="AJ7" s="140">
        <f t="shared" si="0"/>
        <v>89370.239999999991</v>
      </c>
      <c r="AK7" s="140">
        <f t="shared" si="0"/>
        <v>89370</v>
      </c>
      <c r="AL7" s="140">
        <f t="shared" si="0"/>
        <v>107391.45999999999</v>
      </c>
      <c r="AM7" s="140">
        <f t="shared" si="0"/>
        <v>105807.416</v>
      </c>
      <c r="AN7" s="140">
        <f t="shared" si="0"/>
        <v>122096.05600000001</v>
      </c>
      <c r="AO7" s="140">
        <f t="shared" si="0"/>
        <v>122096.416</v>
      </c>
      <c r="AP7" s="140">
        <f t="shared" si="0"/>
        <v>122096.416</v>
      </c>
      <c r="AQ7" s="140">
        <f t="shared" si="0"/>
        <v>122096.416</v>
      </c>
      <c r="AR7" s="140">
        <f t="shared" si="0"/>
        <v>122096.416</v>
      </c>
      <c r="AS7" s="140">
        <f t="shared" si="0"/>
        <v>122096.416</v>
      </c>
      <c r="AT7" s="140">
        <f t="shared" si="0"/>
        <v>122924.546</v>
      </c>
      <c r="AU7" s="140">
        <f t="shared" si="0"/>
        <v>197869.7</v>
      </c>
      <c r="AV7" s="140">
        <f t="shared" si="0"/>
        <v>209451.83</v>
      </c>
      <c r="AW7" s="140">
        <f t="shared" si="0"/>
        <v>209451.83</v>
      </c>
      <c r="AX7" s="140">
        <f t="shared" si="0"/>
        <v>224861.83000000002</v>
      </c>
      <c r="AY7" s="140">
        <f t="shared" si="0"/>
        <v>224862</v>
      </c>
      <c r="AZ7" s="140">
        <f t="shared" si="0"/>
        <v>224860.66</v>
      </c>
      <c r="BA7" s="140">
        <f t="shared" si="0"/>
        <v>207641.66</v>
      </c>
      <c r="BB7" s="140">
        <f t="shared" si="0"/>
        <v>207641.66</v>
      </c>
      <c r="BC7" s="140">
        <f t="shared" si="0"/>
        <v>207641.66</v>
      </c>
      <c r="BD7" s="140">
        <f t="shared" si="0"/>
        <v>207641.66</v>
      </c>
      <c r="BE7" s="140">
        <f t="shared" si="0"/>
        <v>209403.51921237414</v>
      </c>
      <c r="BF7" s="140">
        <f t="shared" si="0"/>
        <v>112886.68921237416</v>
      </c>
      <c r="BG7" s="140">
        <f t="shared" si="0"/>
        <v>112713.92921237416</v>
      </c>
      <c r="BH7" s="140">
        <f t="shared" si="0"/>
        <v>112713.97921237415</v>
      </c>
      <c r="BI7" s="140">
        <f t="shared" si="0"/>
        <v>112713.97921237415</v>
      </c>
      <c r="BJ7" s="140">
        <f t="shared" si="0"/>
        <v>112713.97921237415</v>
      </c>
      <c r="BK7" s="140">
        <f t="shared" si="0"/>
        <v>112713.97921237415</v>
      </c>
      <c r="BL7" s="140">
        <f t="shared" si="0"/>
        <v>112713.97921237415</v>
      </c>
      <c r="BM7" s="140">
        <f t="shared" si="0"/>
        <v>112713.97931237414</v>
      </c>
      <c r="BN7" s="140">
        <f t="shared" si="0"/>
        <v>93189.97931237414</v>
      </c>
      <c r="BO7" s="140">
        <f t="shared" ref="BO7" si="1">BO8+BO20</f>
        <v>93189.97931237414</v>
      </c>
      <c r="BP7" s="140">
        <f>BP8+BP20</f>
        <v>93189.97931237414</v>
      </c>
    </row>
    <row r="8" spans="1:68" s="15" customFormat="1" ht="15" customHeight="1">
      <c r="B8" s="85" t="str">
        <f>IF('Sumário | Summary'!P1=1,"Escritórios AAA","Triple A Offices")</f>
        <v>Escritórios AAA</v>
      </c>
      <c r="C8" s="140">
        <f t="shared" ref="C8:BN8" si="2">SUM(C9:C19)</f>
        <v>39315.885999999999</v>
      </c>
      <c r="D8" s="140">
        <f t="shared" si="2"/>
        <v>50492.45</v>
      </c>
      <c r="E8" s="140">
        <f t="shared" si="2"/>
        <v>50492.45</v>
      </c>
      <c r="F8" s="140">
        <f t="shared" si="2"/>
        <v>50492.45</v>
      </c>
      <c r="G8" s="140">
        <f t="shared" si="2"/>
        <v>57798.45</v>
      </c>
      <c r="H8" s="140">
        <f t="shared" si="2"/>
        <v>57543.45</v>
      </c>
      <c r="I8" s="140">
        <f t="shared" si="2"/>
        <v>57543.45</v>
      </c>
      <c r="J8" s="140">
        <f t="shared" si="2"/>
        <v>56772.45</v>
      </c>
      <c r="K8" s="140">
        <f t="shared" si="2"/>
        <v>54973.45</v>
      </c>
      <c r="L8" s="140">
        <f t="shared" si="2"/>
        <v>52258.45</v>
      </c>
      <c r="M8" s="140">
        <f t="shared" si="2"/>
        <v>52258.45</v>
      </c>
      <c r="N8" s="140">
        <f t="shared" si="2"/>
        <v>52258.45</v>
      </c>
      <c r="O8" s="140">
        <f t="shared" si="2"/>
        <v>52258.45</v>
      </c>
      <c r="P8" s="140">
        <f t="shared" si="2"/>
        <v>50492.45</v>
      </c>
      <c r="Q8" s="140">
        <f t="shared" si="2"/>
        <v>50492.45</v>
      </c>
      <c r="R8" s="140">
        <f t="shared" si="2"/>
        <v>50492.45</v>
      </c>
      <c r="S8" s="140">
        <f t="shared" si="2"/>
        <v>50492.45</v>
      </c>
      <c r="T8" s="140">
        <f t="shared" si="2"/>
        <v>50492.45</v>
      </c>
      <c r="U8" s="140">
        <f t="shared" si="2"/>
        <v>50492.45</v>
      </c>
      <c r="V8" s="140">
        <f t="shared" si="2"/>
        <v>50492.45</v>
      </c>
      <c r="W8" s="140">
        <f t="shared" si="2"/>
        <v>50492.45</v>
      </c>
      <c r="X8" s="140">
        <f t="shared" si="2"/>
        <v>50492.45</v>
      </c>
      <c r="Y8" s="140">
        <f t="shared" si="2"/>
        <v>61377.75</v>
      </c>
      <c r="Z8" s="140">
        <f t="shared" si="2"/>
        <v>61377.75</v>
      </c>
      <c r="AA8" s="140">
        <f t="shared" si="2"/>
        <v>61377.75</v>
      </c>
      <c r="AB8" s="140">
        <f t="shared" si="2"/>
        <v>61377.75</v>
      </c>
      <c r="AC8" s="140">
        <f t="shared" si="2"/>
        <v>80380.014908700003</v>
      </c>
      <c r="AD8" s="140">
        <f t="shared" si="2"/>
        <v>80380.014908700003</v>
      </c>
      <c r="AE8" s="140">
        <f t="shared" si="2"/>
        <v>80380.014908700003</v>
      </c>
      <c r="AF8" s="140">
        <f t="shared" si="2"/>
        <v>80380.014908700003</v>
      </c>
      <c r="AG8" s="140">
        <f t="shared" si="2"/>
        <v>80379.75</v>
      </c>
      <c r="AH8" s="140">
        <f t="shared" si="2"/>
        <v>80379.75</v>
      </c>
      <c r="AI8" s="140">
        <f t="shared" si="2"/>
        <v>61377.75</v>
      </c>
      <c r="AJ8" s="140">
        <f t="shared" si="2"/>
        <v>61377.75</v>
      </c>
      <c r="AK8" s="140">
        <f t="shared" si="2"/>
        <v>61377.75</v>
      </c>
      <c r="AL8" s="140">
        <f t="shared" si="2"/>
        <v>65460.15</v>
      </c>
      <c r="AM8" s="140">
        <f t="shared" si="2"/>
        <v>63875.926000000007</v>
      </c>
      <c r="AN8" s="140">
        <f t="shared" si="2"/>
        <v>80164.926000000007</v>
      </c>
      <c r="AO8" s="140">
        <f t="shared" si="2"/>
        <v>80164.926000000007</v>
      </c>
      <c r="AP8" s="140">
        <f t="shared" si="2"/>
        <v>80164.926000000007</v>
      </c>
      <c r="AQ8" s="140">
        <f t="shared" si="2"/>
        <v>80164.926000000007</v>
      </c>
      <c r="AR8" s="140">
        <f t="shared" si="2"/>
        <v>80164.926000000007</v>
      </c>
      <c r="AS8" s="140">
        <f t="shared" si="2"/>
        <v>80164.926000000007</v>
      </c>
      <c r="AT8" s="140">
        <f t="shared" si="2"/>
        <v>80993.056000000011</v>
      </c>
      <c r="AU8" s="140">
        <f t="shared" si="2"/>
        <v>128704.7</v>
      </c>
      <c r="AV8" s="140">
        <f t="shared" si="2"/>
        <v>128704.7</v>
      </c>
      <c r="AW8" s="140">
        <f t="shared" si="2"/>
        <v>128704.7</v>
      </c>
      <c r="AX8" s="140">
        <f t="shared" si="2"/>
        <v>158597.70000000001</v>
      </c>
      <c r="AY8" s="140">
        <f t="shared" si="2"/>
        <v>158598</v>
      </c>
      <c r="AZ8" s="140">
        <f t="shared" si="2"/>
        <v>158596.53</v>
      </c>
      <c r="BA8" s="140">
        <f t="shared" si="2"/>
        <v>141377.53</v>
      </c>
      <c r="BB8" s="140">
        <f t="shared" si="2"/>
        <v>141377.53</v>
      </c>
      <c r="BC8" s="140">
        <f t="shared" si="2"/>
        <v>141377.53</v>
      </c>
      <c r="BD8" s="140">
        <f t="shared" si="2"/>
        <v>141377.53</v>
      </c>
      <c r="BE8" s="140">
        <f t="shared" si="2"/>
        <v>143139.38921237414</v>
      </c>
      <c r="BF8" s="140">
        <f t="shared" si="2"/>
        <v>46622.559212374152</v>
      </c>
      <c r="BG8" s="140">
        <f t="shared" si="2"/>
        <v>46449.799212374157</v>
      </c>
      <c r="BH8" s="140">
        <f t="shared" si="2"/>
        <v>46449.799212374157</v>
      </c>
      <c r="BI8" s="140">
        <f t="shared" si="2"/>
        <v>46449.799212374157</v>
      </c>
      <c r="BJ8" s="140">
        <f t="shared" si="2"/>
        <v>46449.799212374157</v>
      </c>
      <c r="BK8" s="140">
        <f t="shared" si="2"/>
        <v>46449.799212374157</v>
      </c>
      <c r="BL8" s="140">
        <f t="shared" si="2"/>
        <v>46449.799212374157</v>
      </c>
      <c r="BM8" s="140">
        <f t="shared" si="2"/>
        <v>46449.799312374154</v>
      </c>
      <c r="BN8" s="140">
        <f t="shared" si="2"/>
        <v>46449.799312374154</v>
      </c>
      <c r="BO8" s="140">
        <f t="shared" ref="BO8" si="3">SUM(BO9:BO19)</f>
        <v>46449.799312374154</v>
      </c>
      <c r="BP8" s="140">
        <f>SUM(BP9:BP19)</f>
        <v>46449.799312374147</v>
      </c>
    </row>
    <row r="9" spans="1:68" ht="15" hidden="1" customHeight="1" outlineLevel="1">
      <c r="A9" t="s">
        <v>18</v>
      </c>
      <c r="B9" s="38" t="s">
        <v>2</v>
      </c>
      <c r="C9" s="62">
        <v>4466.7</v>
      </c>
      <c r="D9" s="62">
        <v>4466.7</v>
      </c>
      <c r="E9" s="62">
        <v>4466.7</v>
      </c>
      <c r="F9" s="62">
        <v>4466.7</v>
      </c>
      <c r="G9" s="62">
        <v>4466.7</v>
      </c>
      <c r="H9" s="62">
        <v>4466.7</v>
      </c>
      <c r="I9" s="62">
        <v>4466.7</v>
      </c>
      <c r="J9" s="62">
        <v>4466.7</v>
      </c>
      <c r="K9" s="62">
        <v>4466.7</v>
      </c>
      <c r="L9" s="62">
        <v>4466.7</v>
      </c>
      <c r="M9" s="62">
        <v>4466.7</v>
      </c>
      <c r="N9" s="62">
        <v>4466.7</v>
      </c>
      <c r="O9" s="62">
        <v>4466.7</v>
      </c>
      <c r="P9" s="62">
        <v>4466.7</v>
      </c>
      <c r="Q9" s="62">
        <v>4466.7</v>
      </c>
      <c r="R9" s="62">
        <v>4466.7</v>
      </c>
      <c r="S9" s="62">
        <v>4466.7</v>
      </c>
      <c r="T9" s="62">
        <v>4466.7</v>
      </c>
      <c r="U9" s="62">
        <v>4466.7</v>
      </c>
      <c r="V9" s="62">
        <v>4466.7</v>
      </c>
      <c r="W9" s="62">
        <v>4466.7</v>
      </c>
      <c r="X9" s="62">
        <v>4466.7</v>
      </c>
      <c r="Y9" s="62">
        <v>4466.7</v>
      </c>
      <c r="Z9" s="62">
        <v>4466.7</v>
      </c>
      <c r="AA9" s="62">
        <v>4466.7</v>
      </c>
      <c r="AB9" s="62">
        <v>4466.7</v>
      </c>
      <c r="AC9" s="62">
        <v>4466.7</v>
      </c>
      <c r="AD9" s="62">
        <v>4466.7</v>
      </c>
      <c r="AE9" s="62">
        <v>4466.7</v>
      </c>
      <c r="AF9" s="62">
        <v>4466.7</v>
      </c>
      <c r="AG9" s="62">
        <v>4466.7</v>
      </c>
      <c r="AH9" s="62">
        <v>4466.7</v>
      </c>
      <c r="AI9" s="62">
        <v>4466.7</v>
      </c>
      <c r="AJ9" s="63">
        <v>4466.7</v>
      </c>
      <c r="AK9" s="63">
        <v>4466.7</v>
      </c>
      <c r="AL9" s="149">
        <v>4466.7</v>
      </c>
      <c r="AM9" s="149">
        <v>4466.7</v>
      </c>
      <c r="AN9" s="149">
        <v>4466.7</v>
      </c>
      <c r="AO9" s="149">
        <v>4466.7</v>
      </c>
      <c r="AP9" s="149">
        <v>4466.7</v>
      </c>
      <c r="AQ9" s="149">
        <v>4466.7</v>
      </c>
      <c r="AR9" s="149">
        <v>4466.7</v>
      </c>
      <c r="AS9" s="149">
        <v>4466.7</v>
      </c>
      <c r="AT9" s="149">
        <v>4466.7</v>
      </c>
      <c r="AU9" s="149">
        <v>13144</v>
      </c>
      <c r="AV9" s="149">
        <v>13144</v>
      </c>
      <c r="AW9" s="149">
        <v>13144</v>
      </c>
      <c r="AX9" s="149">
        <v>13144</v>
      </c>
      <c r="AY9" s="149">
        <v>13144</v>
      </c>
      <c r="AZ9" s="149">
        <v>13143.65</v>
      </c>
      <c r="BA9" s="149">
        <v>13143.65</v>
      </c>
      <c r="BB9" s="149">
        <v>13143.65</v>
      </c>
      <c r="BC9" s="149">
        <v>13143.65</v>
      </c>
      <c r="BD9" s="149">
        <v>13143.65</v>
      </c>
      <c r="BE9" s="149">
        <v>13143.65</v>
      </c>
      <c r="BF9" s="149">
        <v>0</v>
      </c>
      <c r="BG9" s="149">
        <v>0</v>
      </c>
      <c r="BH9" s="149">
        <v>0</v>
      </c>
      <c r="BI9" s="149">
        <v>0</v>
      </c>
      <c r="BJ9" s="149">
        <v>0</v>
      </c>
      <c r="BK9" s="149">
        <v>0</v>
      </c>
      <c r="BL9" s="149">
        <v>0</v>
      </c>
      <c r="BM9" s="149">
        <v>0</v>
      </c>
      <c r="BN9" s="149">
        <v>0</v>
      </c>
      <c r="BO9" s="149">
        <v>0</v>
      </c>
      <c r="BP9" s="149">
        <v>0</v>
      </c>
    </row>
    <row r="10" spans="1:68" ht="15" hidden="1" customHeight="1" outlineLevel="1">
      <c r="A10" t="s">
        <v>18</v>
      </c>
      <c r="B10" s="38" t="s">
        <v>3</v>
      </c>
      <c r="C10" s="62">
        <v>3168.46</v>
      </c>
      <c r="D10" s="62">
        <v>3168.46</v>
      </c>
      <c r="E10" s="62">
        <v>3168.46</v>
      </c>
      <c r="F10" s="62">
        <v>3168.46</v>
      </c>
      <c r="G10" s="62">
        <v>3168.46</v>
      </c>
      <c r="H10" s="62">
        <v>3168.46</v>
      </c>
      <c r="I10" s="62">
        <v>3168.46</v>
      </c>
      <c r="J10" s="62">
        <v>3168.46</v>
      </c>
      <c r="K10" s="62">
        <v>3168.46</v>
      </c>
      <c r="L10" s="62">
        <v>3168.46</v>
      </c>
      <c r="M10" s="62">
        <v>3168.46</v>
      </c>
      <c r="N10" s="62">
        <v>3168.46</v>
      </c>
      <c r="O10" s="62">
        <v>3168.46</v>
      </c>
      <c r="P10" s="62">
        <v>3168.46</v>
      </c>
      <c r="Q10" s="62">
        <v>3168.46</v>
      </c>
      <c r="R10" s="62">
        <v>3168.46</v>
      </c>
      <c r="S10" s="62">
        <v>3168.46</v>
      </c>
      <c r="T10" s="62">
        <v>3168.46</v>
      </c>
      <c r="U10" s="62">
        <v>3168.46</v>
      </c>
      <c r="V10" s="62">
        <v>3168.46</v>
      </c>
      <c r="W10" s="62">
        <v>3168.46</v>
      </c>
      <c r="X10" s="62">
        <v>3168.46</v>
      </c>
      <c r="Y10" s="62">
        <v>3168.46</v>
      </c>
      <c r="Z10" s="62">
        <v>3168.46</v>
      </c>
      <c r="AA10" s="62">
        <v>3168.46</v>
      </c>
      <c r="AB10" s="62">
        <v>3168.46</v>
      </c>
      <c r="AC10" s="62">
        <v>3168.46</v>
      </c>
      <c r="AD10" s="62">
        <v>3168.46</v>
      </c>
      <c r="AE10" s="62">
        <v>3168.46</v>
      </c>
      <c r="AF10" s="62">
        <v>3168.46</v>
      </c>
      <c r="AG10" s="62">
        <v>3168.46</v>
      </c>
      <c r="AH10" s="62">
        <v>3168.46</v>
      </c>
      <c r="AI10" s="62">
        <v>3168.46</v>
      </c>
      <c r="AJ10" s="63">
        <v>3168.46</v>
      </c>
      <c r="AK10" s="63">
        <v>3168.46</v>
      </c>
      <c r="AL10" s="63">
        <v>3168.46</v>
      </c>
      <c r="AM10" s="63">
        <v>1584.23</v>
      </c>
      <c r="AN10" s="63">
        <v>1584.23</v>
      </c>
      <c r="AO10" s="63">
        <v>1584.23</v>
      </c>
      <c r="AP10" s="63">
        <v>1584.23</v>
      </c>
      <c r="AQ10" s="63">
        <v>1584.23</v>
      </c>
      <c r="AR10" s="63">
        <v>1584.23</v>
      </c>
      <c r="AS10" s="63">
        <v>1584.23</v>
      </c>
      <c r="AT10" s="63">
        <v>1584.23</v>
      </c>
      <c r="AU10" s="149">
        <v>17219</v>
      </c>
      <c r="AV10" s="149">
        <v>17219</v>
      </c>
      <c r="AW10" s="149">
        <v>17219</v>
      </c>
      <c r="AX10" s="149">
        <v>17219</v>
      </c>
      <c r="AY10" s="149">
        <v>17219</v>
      </c>
      <c r="AZ10" s="149">
        <v>17219</v>
      </c>
      <c r="BA10" s="149">
        <v>0</v>
      </c>
      <c r="BB10" s="63">
        <v>0</v>
      </c>
      <c r="BC10" s="149">
        <v>0</v>
      </c>
      <c r="BD10" s="63">
        <v>0</v>
      </c>
      <c r="BE10" s="63">
        <v>0</v>
      </c>
      <c r="BF10" s="149">
        <v>0</v>
      </c>
      <c r="BG10" s="149">
        <v>0</v>
      </c>
      <c r="BH10" s="149">
        <v>0</v>
      </c>
      <c r="BI10" s="149">
        <v>0</v>
      </c>
      <c r="BJ10" s="149">
        <v>0</v>
      </c>
      <c r="BK10" s="149">
        <v>0</v>
      </c>
      <c r="BL10" s="149">
        <v>0</v>
      </c>
      <c r="BM10" s="149">
        <v>0</v>
      </c>
      <c r="BN10" s="149">
        <v>0</v>
      </c>
      <c r="BO10" s="149">
        <v>0</v>
      </c>
      <c r="BP10" s="149">
        <v>0</v>
      </c>
    </row>
    <row r="11" spans="1:68" ht="15" hidden="1" customHeight="1" outlineLevel="1">
      <c r="A11" t="s">
        <v>18</v>
      </c>
      <c r="B11" s="38" t="s">
        <v>0</v>
      </c>
      <c r="C11" s="62">
        <v>18705.61</v>
      </c>
      <c r="D11" s="62">
        <v>18705.61</v>
      </c>
      <c r="E11" s="62">
        <v>18705.61</v>
      </c>
      <c r="F11" s="62">
        <v>18705.61</v>
      </c>
      <c r="G11" s="62">
        <v>18705.61</v>
      </c>
      <c r="H11" s="62">
        <v>18705.61</v>
      </c>
      <c r="I11" s="62">
        <v>18705.61</v>
      </c>
      <c r="J11" s="62">
        <v>18705.61</v>
      </c>
      <c r="K11" s="62">
        <v>18705.61</v>
      </c>
      <c r="L11" s="62">
        <v>18705.61</v>
      </c>
      <c r="M11" s="62">
        <v>18705.61</v>
      </c>
      <c r="N11" s="62">
        <v>18705.61</v>
      </c>
      <c r="O11" s="62">
        <v>18705.61</v>
      </c>
      <c r="P11" s="62">
        <v>18705.61</v>
      </c>
      <c r="Q11" s="62">
        <v>18705.61</v>
      </c>
      <c r="R11" s="62">
        <v>18705.61</v>
      </c>
      <c r="S11" s="62">
        <v>18705.61</v>
      </c>
      <c r="T11" s="62">
        <v>18705.61</v>
      </c>
      <c r="U11" s="62">
        <v>18705.61</v>
      </c>
      <c r="V11" s="62">
        <v>18705.61</v>
      </c>
      <c r="W11" s="62">
        <v>18705.61</v>
      </c>
      <c r="X11" s="62">
        <v>18705.61</v>
      </c>
      <c r="Y11" s="62">
        <v>18705.61</v>
      </c>
      <c r="Z11" s="62">
        <v>18705.61</v>
      </c>
      <c r="AA11" s="62">
        <v>18705.61</v>
      </c>
      <c r="AB11" s="62">
        <v>18705.61</v>
      </c>
      <c r="AC11" s="62">
        <v>18705.61</v>
      </c>
      <c r="AD11" s="62">
        <v>18705.61</v>
      </c>
      <c r="AE11" s="62">
        <v>18705.61</v>
      </c>
      <c r="AF11" s="62">
        <v>18705.61</v>
      </c>
      <c r="AG11" s="62">
        <v>18705.61</v>
      </c>
      <c r="AH11" s="62">
        <v>18705.61</v>
      </c>
      <c r="AI11" s="62">
        <v>18705.61</v>
      </c>
      <c r="AJ11" s="63">
        <v>18705.61</v>
      </c>
      <c r="AK11" s="63">
        <v>18705.61</v>
      </c>
      <c r="AL11" s="63">
        <v>18705.61</v>
      </c>
      <c r="AM11" s="63">
        <v>18705.61</v>
      </c>
      <c r="AN11" s="63">
        <v>18705.61</v>
      </c>
      <c r="AO11" s="63">
        <v>18705.61</v>
      </c>
      <c r="AP11" s="63">
        <v>18705.61</v>
      </c>
      <c r="AQ11" s="63">
        <v>18705.61</v>
      </c>
      <c r="AR11" s="63">
        <v>18705.61</v>
      </c>
      <c r="AS11" s="63">
        <v>18705.61</v>
      </c>
      <c r="AT11" s="63">
        <v>18705.61</v>
      </c>
      <c r="AU11" s="149">
        <v>26693</v>
      </c>
      <c r="AV11" s="149">
        <v>26693</v>
      </c>
      <c r="AW11" s="149">
        <v>26693</v>
      </c>
      <c r="AX11" s="149">
        <v>26693</v>
      </c>
      <c r="AY11" s="149">
        <v>26693</v>
      </c>
      <c r="AZ11" s="149">
        <v>26692.6</v>
      </c>
      <c r="BA11" s="149">
        <v>26692.6</v>
      </c>
      <c r="BB11" s="63">
        <v>26692.6</v>
      </c>
      <c r="BC11" s="149">
        <v>26692.6</v>
      </c>
      <c r="BD11" s="149">
        <v>26692.6</v>
      </c>
      <c r="BE11" s="149">
        <v>26692.6</v>
      </c>
      <c r="BF11" s="149">
        <v>0</v>
      </c>
      <c r="BG11" s="149">
        <v>0</v>
      </c>
      <c r="BH11" s="149">
        <v>0</v>
      </c>
      <c r="BI11" s="149">
        <v>0</v>
      </c>
      <c r="BJ11" s="149">
        <v>0</v>
      </c>
      <c r="BK11" s="149">
        <v>0</v>
      </c>
      <c r="BL11" s="149">
        <v>0</v>
      </c>
      <c r="BM11" s="149">
        <v>0</v>
      </c>
      <c r="BN11" s="149">
        <v>0</v>
      </c>
      <c r="BO11" s="149">
        <v>0</v>
      </c>
      <c r="BP11" s="149">
        <v>0</v>
      </c>
    </row>
    <row r="12" spans="1:68" ht="15" hidden="1" customHeight="1" outlineLevel="1">
      <c r="A12" t="s">
        <v>18</v>
      </c>
      <c r="B12" s="38" t="s">
        <v>1</v>
      </c>
      <c r="C12" s="62">
        <v>12975.116000000002</v>
      </c>
      <c r="D12" s="62">
        <v>12975.116000000002</v>
      </c>
      <c r="E12" s="62">
        <v>12975.116000000002</v>
      </c>
      <c r="F12" s="62">
        <v>12975.116000000002</v>
      </c>
      <c r="G12" s="62">
        <v>12975.116000000002</v>
      </c>
      <c r="H12" s="62">
        <v>12975.116000000002</v>
      </c>
      <c r="I12" s="62">
        <v>12975.116000000002</v>
      </c>
      <c r="J12" s="62">
        <v>12975.116000000002</v>
      </c>
      <c r="K12" s="62">
        <v>12975.116000000002</v>
      </c>
      <c r="L12" s="62">
        <v>12975.116000000002</v>
      </c>
      <c r="M12" s="62">
        <v>12975.116000000002</v>
      </c>
      <c r="N12" s="62">
        <v>12975.116000000002</v>
      </c>
      <c r="O12" s="62">
        <v>12975.116000000002</v>
      </c>
      <c r="P12" s="62">
        <v>12975.116000000002</v>
      </c>
      <c r="Q12" s="62">
        <v>12975.116000000002</v>
      </c>
      <c r="R12" s="62">
        <v>12975.116000000002</v>
      </c>
      <c r="S12" s="62">
        <v>12975.116000000002</v>
      </c>
      <c r="T12" s="62">
        <v>12975.116000000002</v>
      </c>
      <c r="U12" s="62">
        <v>12975.116000000002</v>
      </c>
      <c r="V12" s="62">
        <v>12975.116000000002</v>
      </c>
      <c r="W12" s="62">
        <v>12975.116000000002</v>
      </c>
      <c r="X12" s="62">
        <v>12975.116000000002</v>
      </c>
      <c r="Y12" s="62">
        <v>12975.116000000002</v>
      </c>
      <c r="Z12" s="62">
        <v>12975.116000000002</v>
      </c>
      <c r="AA12" s="62">
        <v>12975.116000000002</v>
      </c>
      <c r="AB12" s="62">
        <v>12975.116000000002</v>
      </c>
      <c r="AC12" s="62">
        <v>12975.116000000002</v>
      </c>
      <c r="AD12" s="62">
        <v>12975.116000000002</v>
      </c>
      <c r="AE12" s="62">
        <v>12975.116000000002</v>
      </c>
      <c r="AF12" s="62">
        <v>12975.116000000002</v>
      </c>
      <c r="AG12" s="62">
        <v>12975.116000000002</v>
      </c>
      <c r="AH12" s="62">
        <v>12975.116000000002</v>
      </c>
      <c r="AI12" s="62">
        <v>12975.116000000002</v>
      </c>
      <c r="AJ12" s="63">
        <v>12975.116000000002</v>
      </c>
      <c r="AK12" s="63">
        <v>12975.116000000002</v>
      </c>
      <c r="AL12" s="63">
        <v>12975.116000000002</v>
      </c>
      <c r="AM12" s="63">
        <v>12975.116000000002</v>
      </c>
      <c r="AN12" s="63">
        <v>12975.116000000002</v>
      </c>
      <c r="AO12" s="63">
        <v>12975.116000000002</v>
      </c>
      <c r="AP12" s="63">
        <v>12975.116000000002</v>
      </c>
      <c r="AQ12" s="63">
        <v>12975.116000000002</v>
      </c>
      <c r="AR12" s="63">
        <v>12975.116000000002</v>
      </c>
      <c r="AS12" s="63">
        <v>12975.116000000002</v>
      </c>
      <c r="AT12" s="63">
        <v>12975.116000000002</v>
      </c>
      <c r="AU12" s="149">
        <v>18244</v>
      </c>
      <c r="AV12" s="149">
        <v>18244</v>
      </c>
      <c r="AW12" s="149">
        <v>18244</v>
      </c>
      <c r="AX12" s="149">
        <v>18244</v>
      </c>
      <c r="AY12" s="149">
        <v>18244</v>
      </c>
      <c r="AZ12" s="149">
        <v>18244</v>
      </c>
      <c r="BA12" s="149">
        <v>18244</v>
      </c>
      <c r="BB12" s="63">
        <v>18244</v>
      </c>
      <c r="BC12" s="149">
        <v>18244</v>
      </c>
      <c r="BD12" s="149">
        <v>18244</v>
      </c>
      <c r="BE12" s="149">
        <v>18244</v>
      </c>
      <c r="BF12" s="149">
        <v>0</v>
      </c>
      <c r="BG12" s="149">
        <v>0</v>
      </c>
      <c r="BH12" s="149">
        <v>0</v>
      </c>
      <c r="BI12" s="149">
        <v>0</v>
      </c>
      <c r="BJ12" s="149">
        <v>0</v>
      </c>
      <c r="BK12" s="149">
        <v>0</v>
      </c>
      <c r="BL12" s="149">
        <v>0</v>
      </c>
      <c r="BM12" s="149">
        <v>0</v>
      </c>
      <c r="BN12" s="149">
        <v>0</v>
      </c>
      <c r="BO12" s="149">
        <v>0</v>
      </c>
      <c r="BP12" s="149">
        <v>0</v>
      </c>
    </row>
    <row r="13" spans="1:68" ht="15" hidden="1" customHeight="1" outlineLevel="1">
      <c r="A13" t="s">
        <v>18</v>
      </c>
      <c r="B13" s="38" t="s">
        <v>4</v>
      </c>
      <c r="C13" s="62">
        <v>0</v>
      </c>
      <c r="D13" s="62">
        <v>11176.564</v>
      </c>
      <c r="E13" s="62">
        <v>11176.564</v>
      </c>
      <c r="F13" s="62">
        <v>11176.564</v>
      </c>
      <c r="G13" s="62">
        <v>11176.564</v>
      </c>
      <c r="H13" s="62">
        <v>11176.564</v>
      </c>
      <c r="I13" s="62">
        <v>11176.564</v>
      </c>
      <c r="J13" s="62">
        <v>11176.564</v>
      </c>
      <c r="K13" s="62">
        <v>11176.564</v>
      </c>
      <c r="L13" s="62">
        <v>11176.564</v>
      </c>
      <c r="M13" s="62">
        <v>11176.564</v>
      </c>
      <c r="N13" s="62">
        <v>11176.564</v>
      </c>
      <c r="O13" s="62">
        <v>11176.564</v>
      </c>
      <c r="P13" s="62">
        <v>11176.564</v>
      </c>
      <c r="Q13" s="62">
        <v>11176.564</v>
      </c>
      <c r="R13" s="62">
        <v>11176.564</v>
      </c>
      <c r="S13" s="62">
        <v>11176.564</v>
      </c>
      <c r="T13" s="62">
        <v>11176.564</v>
      </c>
      <c r="U13" s="62">
        <v>11176.564</v>
      </c>
      <c r="V13" s="62">
        <v>11176.564</v>
      </c>
      <c r="W13" s="62">
        <v>11176.564</v>
      </c>
      <c r="X13" s="62">
        <v>11176.564</v>
      </c>
      <c r="Y13" s="62">
        <v>11176.564</v>
      </c>
      <c r="Z13" s="62">
        <v>11176.564</v>
      </c>
      <c r="AA13" s="62">
        <v>11176.564</v>
      </c>
      <c r="AB13" s="62">
        <v>11176.564</v>
      </c>
      <c r="AC13" s="62">
        <v>11176.564</v>
      </c>
      <c r="AD13" s="62">
        <v>11176.564</v>
      </c>
      <c r="AE13" s="62">
        <v>11176.564</v>
      </c>
      <c r="AF13" s="62">
        <v>11176.564</v>
      </c>
      <c r="AG13" s="62">
        <v>11176.564</v>
      </c>
      <c r="AH13" s="62">
        <v>11176.564</v>
      </c>
      <c r="AI13" s="62">
        <v>11176.564</v>
      </c>
      <c r="AJ13" s="63">
        <v>11176.564</v>
      </c>
      <c r="AK13" s="63">
        <v>11176.564</v>
      </c>
      <c r="AL13" s="63">
        <v>11176.564</v>
      </c>
      <c r="AM13" s="63">
        <v>11176.57</v>
      </c>
      <c r="AN13" s="63">
        <v>11176.57</v>
      </c>
      <c r="AO13" s="63">
        <v>11176.57</v>
      </c>
      <c r="AP13" s="63">
        <v>11176.57</v>
      </c>
      <c r="AQ13" s="63">
        <v>11176.57</v>
      </c>
      <c r="AR13" s="63">
        <v>11176.57</v>
      </c>
      <c r="AS13" s="63">
        <v>11176.57</v>
      </c>
      <c r="AT13" s="63">
        <v>12004.699999999999</v>
      </c>
      <c r="AU13" s="149">
        <v>22148</v>
      </c>
      <c r="AV13" s="149">
        <v>22148</v>
      </c>
      <c r="AW13" s="149">
        <v>22148</v>
      </c>
      <c r="AX13" s="149">
        <v>22148</v>
      </c>
      <c r="AY13" s="149">
        <v>22148</v>
      </c>
      <c r="AZ13" s="149">
        <v>22147.579999999998</v>
      </c>
      <c r="BA13" s="149">
        <v>22147.579999999998</v>
      </c>
      <c r="BB13" s="63">
        <v>22147.579999999998</v>
      </c>
      <c r="BC13" s="149">
        <v>22147.579999999998</v>
      </c>
      <c r="BD13" s="149">
        <v>22147.579999999998</v>
      </c>
      <c r="BE13" s="149">
        <v>22147.579999999998</v>
      </c>
      <c r="BF13" s="149">
        <v>0</v>
      </c>
      <c r="BG13" s="149">
        <v>0</v>
      </c>
      <c r="BH13" s="149">
        <v>0</v>
      </c>
      <c r="BI13" s="149">
        <v>0</v>
      </c>
      <c r="BJ13" s="149">
        <v>0</v>
      </c>
      <c r="BK13" s="149">
        <v>0</v>
      </c>
      <c r="BL13" s="149">
        <v>0</v>
      </c>
      <c r="BM13" s="149">
        <v>0</v>
      </c>
      <c r="BN13" s="149">
        <v>0</v>
      </c>
      <c r="BO13" s="149">
        <v>0</v>
      </c>
      <c r="BP13" s="149">
        <v>0</v>
      </c>
    </row>
    <row r="14" spans="1:68" ht="15" hidden="1" customHeight="1" outlineLevel="1">
      <c r="A14" t="s">
        <v>203</v>
      </c>
      <c r="B14" s="38" t="s">
        <v>28</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10885.3</v>
      </c>
      <c r="Z14" s="62">
        <v>10885.3</v>
      </c>
      <c r="AA14" s="62">
        <v>10885.3</v>
      </c>
      <c r="AB14" s="62">
        <v>10885.3</v>
      </c>
      <c r="AC14" s="62">
        <v>10885.3</v>
      </c>
      <c r="AD14" s="62">
        <v>10885.3</v>
      </c>
      <c r="AE14" s="62">
        <v>10885.3</v>
      </c>
      <c r="AF14" s="62">
        <v>10885.3</v>
      </c>
      <c r="AG14" s="62">
        <v>10885.3</v>
      </c>
      <c r="AH14" s="62">
        <v>10885.3</v>
      </c>
      <c r="AI14" s="62">
        <v>10885.3</v>
      </c>
      <c r="AJ14" s="63">
        <v>10885.3</v>
      </c>
      <c r="AK14" s="63">
        <v>10885.3</v>
      </c>
      <c r="AL14" s="149">
        <v>14967.700000000003</v>
      </c>
      <c r="AM14" s="149">
        <v>14967.700000000003</v>
      </c>
      <c r="AN14" s="149">
        <v>14967.700000000003</v>
      </c>
      <c r="AO14" s="149">
        <v>14967.700000000003</v>
      </c>
      <c r="AP14" s="149">
        <v>14967.700000000003</v>
      </c>
      <c r="AQ14" s="149">
        <v>14967.700000000003</v>
      </c>
      <c r="AR14" s="149">
        <v>14967.700000000003</v>
      </c>
      <c r="AS14" s="149">
        <v>14967.700000000003</v>
      </c>
      <c r="AT14" s="149">
        <v>14967.700000000003</v>
      </c>
      <c r="AU14" s="149">
        <v>14967.700000000003</v>
      </c>
      <c r="AV14" s="149">
        <v>14967.700000000003</v>
      </c>
      <c r="AW14" s="149">
        <v>14967.700000000003</v>
      </c>
      <c r="AX14" s="149">
        <v>14967.700000000003</v>
      </c>
      <c r="AY14" s="149">
        <v>14968</v>
      </c>
      <c r="AZ14" s="149">
        <v>14967.700000000003</v>
      </c>
      <c r="BA14" s="149">
        <v>14967.700000000003</v>
      </c>
      <c r="BB14" s="149">
        <v>14967.700000000003</v>
      </c>
      <c r="BC14" s="149">
        <v>14967.700000000003</v>
      </c>
      <c r="BD14" s="149">
        <v>14967.700000000003</v>
      </c>
      <c r="BE14" s="149">
        <v>14967.700000000003</v>
      </c>
      <c r="BF14" s="149">
        <v>14967.700000000003</v>
      </c>
      <c r="BG14" s="149">
        <v>14967.700000000003</v>
      </c>
      <c r="BH14" s="149">
        <v>14967.700000000003</v>
      </c>
      <c r="BI14" s="149">
        <v>14967.700000000003</v>
      </c>
      <c r="BJ14" s="149">
        <v>14967.700000000003</v>
      </c>
      <c r="BK14" s="149">
        <v>14967.700000000003</v>
      </c>
      <c r="BL14" s="149">
        <v>14967.700000000003</v>
      </c>
      <c r="BM14" s="149">
        <v>14967.700000000003</v>
      </c>
      <c r="BN14" s="149">
        <v>14967.700000000003</v>
      </c>
      <c r="BO14" s="149">
        <v>14967.700000000003</v>
      </c>
      <c r="BP14" s="149">
        <v>14967.7</v>
      </c>
    </row>
    <row r="15" spans="1:68" ht="15" hidden="1" customHeight="1" outlineLevel="1">
      <c r="A15" t="s">
        <v>18</v>
      </c>
      <c r="B15" s="38" t="s">
        <v>27</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3">
        <v>16289</v>
      </c>
      <c r="AO15" s="63">
        <v>16289</v>
      </c>
      <c r="AP15" s="63">
        <v>16289</v>
      </c>
      <c r="AQ15" s="63">
        <v>16289</v>
      </c>
      <c r="AR15" s="63">
        <v>16289</v>
      </c>
      <c r="AS15" s="63">
        <v>16289</v>
      </c>
      <c r="AT15" s="63">
        <v>16289</v>
      </c>
      <c r="AU15" s="63">
        <v>16289</v>
      </c>
      <c r="AV15" s="63">
        <v>16289</v>
      </c>
      <c r="AW15" s="63">
        <v>16289</v>
      </c>
      <c r="AX15" s="63">
        <v>16289</v>
      </c>
      <c r="AY15" s="149">
        <v>16289</v>
      </c>
      <c r="AZ15" s="149">
        <v>16289</v>
      </c>
      <c r="BA15" s="149">
        <v>16289</v>
      </c>
      <c r="BB15" s="63">
        <v>16289</v>
      </c>
      <c r="BC15" s="149">
        <v>16289</v>
      </c>
      <c r="BD15" s="63">
        <v>16289</v>
      </c>
      <c r="BE15" s="63">
        <v>16289</v>
      </c>
      <c r="BF15" s="149">
        <v>0</v>
      </c>
      <c r="BG15" s="149">
        <v>0</v>
      </c>
      <c r="BH15" s="149">
        <v>0</v>
      </c>
      <c r="BI15" s="149">
        <v>0</v>
      </c>
      <c r="BJ15" s="149">
        <v>0</v>
      </c>
      <c r="BK15" s="149">
        <v>0</v>
      </c>
      <c r="BL15" s="149">
        <v>0</v>
      </c>
      <c r="BM15" s="149">
        <v>0</v>
      </c>
      <c r="BN15" s="149">
        <v>0</v>
      </c>
      <c r="BO15" s="149">
        <v>0</v>
      </c>
      <c r="BP15" s="149">
        <v>0</v>
      </c>
    </row>
    <row r="16" spans="1:68" ht="15" hidden="1" customHeight="1" outlineLevel="1">
      <c r="A16" t="s">
        <v>18</v>
      </c>
      <c r="B16" s="38" t="s">
        <v>19</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19002.264908700003</v>
      </c>
      <c r="AD16" s="63">
        <v>19002.264908700003</v>
      </c>
      <c r="AE16" s="63">
        <v>19002.264908700003</v>
      </c>
      <c r="AF16" s="63">
        <v>19002.264908700003</v>
      </c>
      <c r="AG16" s="63">
        <v>19002</v>
      </c>
      <c r="AH16" s="63">
        <v>19002</v>
      </c>
      <c r="AI16" s="149">
        <v>0</v>
      </c>
      <c r="AJ16" s="149">
        <v>0</v>
      </c>
      <c r="AK16" s="149">
        <v>0</v>
      </c>
      <c r="AL16" s="149">
        <v>0</v>
      </c>
      <c r="AM16" s="149">
        <v>0</v>
      </c>
      <c r="AN16" s="149">
        <v>0</v>
      </c>
      <c r="AO16" s="149">
        <v>0</v>
      </c>
      <c r="AP16" s="149">
        <v>0</v>
      </c>
      <c r="AQ16" s="149">
        <v>0</v>
      </c>
      <c r="AR16" s="149">
        <v>0</v>
      </c>
      <c r="AS16" s="149">
        <v>0</v>
      </c>
      <c r="AT16" s="149">
        <v>0</v>
      </c>
      <c r="AU16" s="149">
        <v>0</v>
      </c>
      <c r="AV16" s="149">
        <v>0</v>
      </c>
      <c r="AW16" s="149">
        <v>0</v>
      </c>
      <c r="AX16" s="149">
        <v>0</v>
      </c>
      <c r="AY16" s="149">
        <v>0</v>
      </c>
      <c r="AZ16" s="149">
        <v>0</v>
      </c>
      <c r="BA16" s="149">
        <v>0</v>
      </c>
      <c r="BB16" s="149">
        <v>0</v>
      </c>
      <c r="BC16" s="149">
        <v>0</v>
      </c>
      <c r="BD16" s="63">
        <v>0</v>
      </c>
      <c r="BE16" s="63">
        <v>0</v>
      </c>
      <c r="BF16" s="149">
        <v>0</v>
      </c>
      <c r="BG16" s="149">
        <v>0</v>
      </c>
      <c r="BH16" s="149">
        <v>0</v>
      </c>
      <c r="BI16" s="149">
        <v>0</v>
      </c>
      <c r="BJ16" s="149">
        <v>0</v>
      </c>
      <c r="BK16" s="149">
        <v>0</v>
      </c>
      <c r="BL16" s="149">
        <v>0</v>
      </c>
      <c r="BM16" s="149">
        <v>0</v>
      </c>
      <c r="BN16" s="149">
        <v>0</v>
      </c>
      <c r="BO16" s="149">
        <v>0</v>
      </c>
      <c r="BP16" s="149">
        <v>0</v>
      </c>
    </row>
    <row r="17" spans="1:68" ht="15" hidden="1" customHeight="1" outlineLevel="1">
      <c r="A17" t="s">
        <v>18</v>
      </c>
      <c r="B17" s="38" t="s">
        <v>5</v>
      </c>
      <c r="C17" s="63">
        <v>0</v>
      </c>
      <c r="D17" s="63">
        <v>0</v>
      </c>
      <c r="E17" s="63">
        <v>0</v>
      </c>
      <c r="F17" s="63">
        <v>0</v>
      </c>
      <c r="G17" s="63">
        <v>7306</v>
      </c>
      <c r="H17" s="63">
        <v>7051</v>
      </c>
      <c r="I17" s="63">
        <v>7051</v>
      </c>
      <c r="J17" s="63">
        <v>6280</v>
      </c>
      <c r="K17" s="63">
        <v>4481</v>
      </c>
      <c r="L17" s="63">
        <v>1766</v>
      </c>
      <c r="M17" s="63">
        <v>1766</v>
      </c>
      <c r="N17" s="63">
        <v>1766</v>
      </c>
      <c r="O17" s="63">
        <v>1766</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149">
        <v>0</v>
      </c>
      <c r="AJ17" s="149">
        <v>0</v>
      </c>
      <c r="AK17" s="149">
        <v>0</v>
      </c>
      <c r="AL17" s="149">
        <v>0</v>
      </c>
      <c r="AM17" s="149">
        <v>0</v>
      </c>
      <c r="AN17" s="149">
        <v>0</v>
      </c>
      <c r="AO17" s="149">
        <v>0</v>
      </c>
      <c r="AP17" s="149">
        <v>0</v>
      </c>
      <c r="AQ17" s="149">
        <v>0</v>
      </c>
      <c r="AR17" s="149">
        <v>0</v>
      </c>
      <c r="AS17" s="149">
        <v>0</v>
      </c>
      <c r="AT17" s="149">
        <v>0</v>
      </c>
      <c r="AU17" s="149">
        <v>0</v>
      </c>
      <c r="AV17" s="149">
        <v>0</v>
      </c>
      <c r="AW17" s="149">
        <v>0</v>
      </c>
      <c r="AX17" s="149">
        <v>0</v>
      </c>
      <c r="AY17" s="149">
        <v>0</v>
      </c>
      <c r="AZ17" s="149">
        <v>0</v>
      </c>
      <c r="BA17" s="149">
        <v>0</v>
      </c>
      <c r="BB17" s="149">
        <v>0</v>
      </c>
      <c r="BC17" s="149">
        <v>0</v>
      </c>
      <c r="BD17" s="63">
        <v>0</v>
      </c>
      <c r="BE17" s="63">
        <v>0</v>
      </c>
      <c r="BF17" s="149">
        <v>0</v>
      </c>
      <c r="BG17" s="149">
        <v>0</v>
      </c>
      <c r="BH17" s="149">
        <v>0</v>
      </c>
      <c r="BI17" s="149">
        <v>0</v>
      </c>
      <c r="BJ17" s="149">
        <v>0</v>
      </c>
      <c r="BK17" s="149">
        <v>0</v>
      </c>
      <c r="BL17" s="149">
        <v>0</v>
      </c>
      <c r="BM17" s="149">
        <v>0</v>
      </c>
      <c r="BN17" s="149">
        <v>0</v>
      </c>
      <c r="BO17" s="149">
        <v>0</v>
      </c>
      <c r="BP17" s="149">
        <v>0</v>
      </c>
    </row>
    <row r="18" spans="1:68" ht="15" hidden="1" customHeight="1" outlineLevel="1">
      <c r="A18" t="s">
        <v>204</v>
      </c>
      <c r="B18" s="38" t="s">
        <v>48</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v>0</v>
      </c>
      <c r="AM18" s="63">
        <v>0</v>
      </c>
      <c r="AN18" s="63">
        <v>0</v>
      </c>
      <c r="AO18" s="63">
        <v>0</v>
      </c>
      <c r="AP18" s="63">
        <v>0</v>
      </c>
      <c r="AQ18" s="63">
        <v>0</v>
      </c>
      <c r="AR18" s="63">
        <v>0</v>
      </c>
      <c r="AS18" s="63">
        <v>0</v>
      </c>
      <c r="AT18" s="63">
        <v>0</v>
      </c>
      <c r="AU18" s="63">
        <v>0</v>
      </c>
      <c r="AV18" s="63">
        <v>0</v>
      </c>
      <c r="AW18" s="63">
        <v>0</v>
      </c>
      <c r="AX18" s="149">
        <v>10475</v>
      </c>
      <c r="AY18" s="149">
        <v>10475</v>
      </c>
      <c r="AZ18" s="149">
        <v>10475</v>
      </c>
      <c r="BA18" s="149">
        <v>10475</v>
      </c>
      <c r="BB18" s="149">
        <v>10475</v>
      </c>
      <c r="BC18" s="149">
        <v>10475</v>
      </c>
      <c r="BD18" s="149">
        <v>10475</v>
      </c>
      <c r="BE18" s="149">
        <v>12237.020000000004</v>
      </c>
      <c r="BF18" s="149">
        <v>12237.020000000004</v>
      </c>
      <c r="BG18" s="149">
        <v>12064.260000000007</v>
      </c>
      <c r="BH18" s="149">
        <v>12064.260000000007</v>
      </c>
      <c r="BI18" s="149">
        <v>12064.260000000007</v>
      </c>
      <c r="BJ18" s="149">
        <v>12064.260000000007</v>
      </c>
      <c r="BK18" s="149">
        <v>12064.260000000007</v>
      </c>
      <c r="BL18" s="149">
        <v>12064.260000000007</v>
      </c>
      <c r="BM18" s="149">
        <v>12064.260100000007</v>
      </c>
      <c r="BN18" s="149">
        <v>12064.260100000007</v>
      </c>
      <c r="BO18" s="149">
        <v>12064.260100000007</v>
      </c>
      <c r="BP18" s="149">
        <v>12064.260100000007</v>
      </c>
    </row>
    <row r="19" spans="1:68" ht="15" hidden="1" customHeight="1" outlineLevel="1">
      <c r="A19" t="s">
        <v>205</v>
      </c>
      <c r="B19" s="38" t="s">
        <v>49</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v>0</v>
      </c>
      <c r="AM19" s="63">
        <v>0</v>
      </c>
      <c r="AN19" s="63">
        <v>0</v>
      </c>
      <c r="AO19" s="63">
        <v>0</v>
      </c>
      <c r="AP19" s="63">
        <v>0</v>
      </c>
      <c r="AQ19" s="63">
        <v>0</v>
      </c>
      <c r="AR19" s="63">
        <v>0</v>
      </c>
      <c r="AS19" s="63">
        <v>0</v>
      </c>
      <c r="AT19" s="63">
        <v>0</v>
      </c>
      <c r="AU19" s="63">
        <v>0</v>
      </c>
      <c r="AV19" s="63">
        <v>0</v>
      </c>
      <c r="AW19" s="63">
        <v>0</v>
      </c>
      <c r="AX19" s="63">
        <v>19418</v>
      </c>
      <c r="AY19" s="149">
        <v>19418</v>
      </c>
      <c r="AZ19" s="149">
        <v>19418</v>
      </c>
      <c r="BA19" s="149">
        <v>19418</v>
      </c>
      <c r="BB19" s="63">
        <v>19418</v>
      </c>
      <c r="BC19" s="149">
        <v>19418</v>
      </c>
      <c r="BD19" s="63">
        <v>19418</v>
      </c>
      <c r="BE19" s="63">
        <v>19417.839212374143</v>
      </c>
      <c r="BF19" s="149">
        <v>19417.839212374143</v>
      </c>
      <c r="BG19" s="149">
        <v>19417.839212374143</v>
      </c>
      <c r="BH19" s="149">
        <v>19417.839212374143</v>
      </c>
      <c r="BI19" s="149">
        <v>19417.839212374143</v>
      </c>
      <c r="BJ19" s="149">
        <v>19417.839212374143</v>
      </c>
      <c r="BK19" s="149">
        <v>19417.839212374143</v>
      </c>
      <c r="BL19" s="149">
        <v>19417.839212374143</v>
      </c>
      <c r="BM19" s="149">
        <v>19417.839212374143</v>
      </c>
      <c r="BN19" s="149">
        <v>19417.839212374143</v>
      </c>
      <c r="BO19" s="149">
        <v>19417.839212374143</v>
      </c>
      <c r="BP19" s="149">
        <v>19417.839212374143</v>
      </c>
    </row>
    <row r="20" spans="1:68" ht="15" customHeight="1" collapsed="1">
      <c r="A20" s="30"/>
      <c r="B20" s="85" t="str">
        <f>IF('Sumário | Summary'!P1=1,"Escritórios Classe A","Class A Offices")</f>
        <v>Escritórios Classe A</v>
      </c>
      <c r="C20" s="108">
        <f t="shared" ref="C20:BN20" si="4">SUM(C21:C28)</f>
        <v>26986.129999999997</v>
      </c>
      <c r="D20" s="108">
        <f t="shared" si="4"/>
        <v>30836.129999999997</v>
      </c>
      <c r="E20" s="108">
        <f t="shared" si="4"/>
        <v>30836.129999999997</v>
      </c>
      <c r="F20" s="108">
        <f t="shared" si="4"/>
        <v>30836.129999999997</v>
      </c>
      <c r="G20" s="108">
        <f t="shared" si="4"/>
        <v>30836.129999999997</v>
      </c>
      <c r="H20" s="108">
        <f t="shared" si="4"/>
        <v>30836.129999999997</v>
      </c>
      <c r="I20" s="108">
        <f t="shared" si="4"/>
        <v>30836.129999999997</v>
      </c>
      <c r="J20" s="108">
        <f t="shared" si="4"/>
        <v>30836.129999999997</v>
      </c>
      <c r="K20" s="108">
        <f t="shared" si="4"/>
        <v>30836.129999999997</v>
      </c>
      <c r="L20" s="108">
        <f t="shared" si="4"/>
        <v>30836.129999999997</v>
      </c>
      <c r="M20" s="108">
        <f t="shared" si="4"/>
        <v>30836.129999999997</v>
      </c>
      <c r="N20" s="108">
        <f t="shared" si="4"/>
        <v>30836.129999999997</v>
      </c>
      <c r="O20" s="108">
        <f t="shared" si="4"/>
        <v>30836.129999999997</v>
      </c>
      <c r="P20" s="108">
        <f t="shared" si="4"/>
        <v>30836.129999999997</v>
      </c>
      <c r="Q20" s="108">
        <f t="shared" si="4"/>
        <v>30836.129999999997</v>
      </c>
      <c r="R20" s="108">
        <f t="shared" si="4"/>
        <v>30836.129999999997</v>
      </c>
      <c r="S20" s="108">
        <f t="shared" si="4"/>
        <v>30836.129999999997</v>
      </c>
      <c r="T20" s="108">
        <f t="shared" si="4"/>
        <v>30836.129999999997</v>
      </c>
      <c r="U20" s="108">
        <f t="shared" si="4"/>
        <v>30836.129999999997</v>
      </c>
      <c r="V20" s="108">
        <f t="shared" si="4"/>
        <v>30836.129999999997</v>
      </c>
      <c r="W20" s="108">
        <f t="shared" si="4"/>
        <v>30836.129999999997</v>
      </c>
      <c r="X20" s="108">
        <f t="shared" si="4"/>
        <v>30836.179999999997</v>
      </c>
      <c r="Y20" s="108">
        <f t="shared" si="4"/>
        <v>30836.179999999997</v>
      </c>
      <c r="Z20" s="108">
        <f t="shared" si="4"/>
        <v>30836.179999999997</v>
      </c>
      <c r="AA20" s="108">
        <f t="shared" si="4"/>
        <v>30836.179999999997</v>
      </c>
      <c r="AB20" s="108">
        <f t="shared" si="4"/>
        <v>30836.179999999997</v>
      </c>
      <c r="AC20" s="108">
        <f t="shared" si="4"/>
        <v>30836.179999999997</v>
      </c>
      <c r="AD20" s="108">
        <f t="shared" si="4"/>
        <v>30836.129999999997</v>
      </c>
      <c r="AE20" s="108">
        <f t="shared" si="4"/>
        <v>30836.129999999997</v>
      </c>
      <c r="AF20" s="108">
        <f t="shared" si="4"/>
        <v>27992.489999999998</v>
      </c>
      <c r="AG20" s="108">
        <f t="shared" si="4"/>
        <v>27992.069999999996</v>
      </c>
      <c r="AH20" s="108">
        <f t="shared" si="4"/>
        <v>27992.069999999996</v>
      </c>
      <c r="AI20" s="108">
        <f t="shared" si="4"/>
        <v>27992.489999999998</v>
      </c>
      <c r="AJ20" s="108">
        <f t="shared" si="4"/>
        <v>27992.489999999998</v>
      </c>
      <c r="AK20" s="108">
        <f t="shared" si="4"/>
        <v>27992.249999999996</v>
      </c>
      <c r="AL20" s="108">
        <f t="shared" si="4"/>
        <v>41931.31</v>
      </c>
      <c r="AM20" s="108">
        <f t="shared" si="4"/>
        <v>41931.49</v>
      </c>
      <c r="AN20" s="108">
        <f t="shared" si="4"/>
        <v>41931.129999999997</v>
      </c>
      <c r="AO20" s="108">
        <f t="shared" si="4"/>
        <v>41931.49</v>
      </c>
      <c r="AP20" s="108">
        <f t="shared" si="4"/>
        <v>41931.49</v>
      </c>
      <c r="AQ20" s="108">
        <f t="shared" si="4"/>
        <v>41931.49</v>
      </c>
      <c r="AR20" s="108">
        <f t="shared" si="4"/>
        <v>41931.49</v>
      </c>
      <c r="AS20" s="108">
        <f t="shared" si="4"/>
        <v>41931.49</v>
      </c>
      <c r="AT20" s="108">
        <f t="shared" si="4"/>
        <v>41931.49</v>
      </c>
      <c r="AU20" s="108">
        <f t="shared" si="4"/>
        <v>69165</v>
      </c>
      <c r="AV20" s="108">
        <f t="shared" si="4"/>
        <v>80747.12999999999</v>
      </c>
      <c r="AW20" s="108">
        <f t="shared" si="4"/>
        <v>80747.12999999999</v>
      </c>
      <c r="AX20" s="108">
        <f t="shared" si="4"/>
        <v>66264.13</v>
      </c>
      <c r="AY20" s="108">
        <f t="shared" si="4"/>
        <v>66264</v>
      </c>
      <c r="AZ20" s="108">
        <f t="shared" si="4"/>
        <v>66264.13</v>
      </c>
      <c r="BA20" s="108">
        <f t="shared" si="4"/>
        <v>66264.13</v>
      </c>
      <c r="BB20" s="108">
        <f t="shared" si="4"/>
        <v>66264.13</v>
      </c>
      <c r="BC20" s="108">
        <f t="shared" si="4"/>
        <v>66264.13</v>
      </c>
      <c r="BD20" s="108">
        <f t="shared" si="4"/>
        <v>66264.13</v>
      </c>
      <c r="BE20" s="108">
        <f t="shared" si="4"/>
        <v>66264.13</v>
      </c>
      <c r="BF20" s="108">
        <f t="shared" si="4"/>
        <v>66264.13</v>
      </c>
      <c r="BG20" s="108">
        <f t="shared" si="4"/>
        <v>66264.13</v>
      </c>
      <c r="BH20" s="108">
        <f t="shared" si="4"/>
        <v>66264.179999999993</v>
      </c>
      <c r="BI20" s="108">
        <f t="shared" si="4"/>
        <v>66264.179999999993</v>
      </c>
      <c r="BJ20" s="108">
        <f t="shared" si="4"/>
        <v>66264.179999999993</v>
      </c>
      <c r="BK20" s="108">
        <f t="shared" si="4"/>
        <v>66264.179999999993</v>
      </c>
      <c r="BL20" s="108">
        <f t="shared" si="4"/>
        <v>66264.179999999993</v>
      </c>
      <c r="BM20" s="108">
        <f t="shared" si="4"/>
        <v>66264.179999999993</v>
      </c>
      <c r="BN20" s="108">
        <f t="shared" si="4"/>
        <v>46740.179999999993</v>
      </c>
      <c r="BO20" s="108">
        <f t="shared" ref="BO20" si="5">SUM(BO21:BO28)</f>
        <v>46740.179999999993</v>
      </c>
      <c r="BP20" s="108">
        <f>SUM(BP21:BP28)</f>
        <v>46740.179999999993</v>
      </c>
    </row>
    <row r="21" spans="1:68" ht="15" hidden="1" customHeight="1" outlineLevel="1">
      <c r="A21" t="s">
        <v>206</v>
      </c>
      <c r="B21" s="38" t="s">
        <v>6</v>
      </c>
      <c r="C21" s="62">
        <v>11987.249999999996</v>
      </c>
      <c r="D21" s="62">
        <v>11987.249999999996</v>
      </c>
      <c r="E21" s="62">
        <v>11987.249999999996</v>
      </c>
      <c r="F21" s="62">
        <v>11987.249999999996</v>
      </c>
      <c r="G21" s="62">
        <v>11987.249999999996</v>
      </c>
      <c r="H21" s="62">
        <v>11987.249999999996</v>
      </c>
      <c r="I21" s="62">
        <v>11987.249999999996</v>
      </c>
      <c r="J21" s="62">
        <v>11987.249999999996</v>
      </c>
      <c r="K21" s="62">
        <v>11987.249999999996</v>
      </c>
      <c r="L21" s="62">
        <v>11987.249999999996</v>
      </c>
      <c r="M21" s="62">
        <v>11987.249999999996</v>
      </c>
      <c r="N21" s="62">
        <v>11987.249999999996</v>
      </c>
      <c r="O21" s="62">
        <v>11987.249999999996</v>
      </c>
      <c r="P21" s="62">
        <v>11987.249999999996</v>
      </c>
      <c r="Q21" s="62">
        <v>11987.249999999996</v>
      </c>
      <c r="R21" s="62">
        <v>11987.249999999996</v>
      </c>
      <c r="S21" s="62">
        <v>11987.249999999996</v>
      </c>
      <c r="T21" s="62">
        <v>11987.249999999996</v>
      </c>
      <c r="U21" s="62">
        <v>11987.249999999996</v>
      </c>
      <c r="V21" s="62">
        <v>11987.249999999996</v>
      </c>
      <c r="W21" s="62">
        <v>11987.249999999996</v>
      </c>
      <c r="X21" s="62">
        <v>11987.249999999996</v>
      </c>
      <c r="Y21" s="62">
        <v>11987.249999999996</v>
      </c>
      <c r="Z21" s="62">
        <v>11987.249999999996</v>
      </c>
      <c r="AA21" s="62">
        <v>11987.249999999996</v>
      </c>
      <c r="AB21" s="62">
        <v>11987.249999999996</v>
      </c>
      <c r="AC21" s="62">
        <v>11987.249999999996</v>
      </c>
      <c r="AD21" s="62">
        <v>11987.249999999996</v>
      </c>
      <c r="AE21" s="62">
        <v>11987.249999999996</v>
      </c>
      <c r="AF21" s="62">
        <v>11987.249999999996</v>
      </c>
      <c r="AG21" s="62">
        <v>11987.249999999996</v>
      </c>
      <c r="AH21" s="62">
        <v>11987.249999999996</v>
      </c>
      <c r="AI21" s="62">
        <v>11987.249999999996</v>
      </c>
      <c r="AJ21" s="63">
        <v>11987.249999999996</v>
      </c>
      <c r="AK21" s="63">
        <v>11987.249999999996</v>
      </c>
      <c r="AL21" s="63">
        <v>11987.249999999996</v>
      </c>
      <c r="AM21" s="63">
        <v>11987.249999999996</v>
      </c>
      <c r="AN21" s="63">
        <v>11987.249999999996</v>
      </c>
      <c r="AO21" s="63">
        <v>11987.249999999996</v>
      </c>
      <c r="AP21" s="63">
        <v>11987.249999999996</v>
      </c>
      <c r="AQ21" s="63">
        <v>11987.249999999996</v>
      </c>
      <c r="AR21" s="63">
        <v>11987.249999999996</v>
      </c>
      <c r="AS21" s="63">
        <v>11987.249999999996</v>
      </c>
      <c r="AT21" s="63">
        <v>11987.249999999996</v>
      </c>
      <c r="AU21" s="149">
        <v>11987</v>
      </c>
      <c r="AV21" s="63">
        <v>11987.249999999996</v>
      </c>
      <c r="AW21" s="63">
        <v>11987.249999999996</v>
      </c>
      <c r="AX21" s="63">
        <v>11987.249999999996</v>
      </c>
      <c r="AY21" s="149">
        <v>11987</v>
      </c>
      <c r="AZ21" s="63">
        <v>11987.249999999996</v>
      </c>
      <c r="BA21" s="63">
        <v>11987.249999999996</v>
      </c>
      <c r="BB21" s="63">
        <v>11987.249999999996</v>
      </c>
      <c r="BC21" s="63">
        <v>11987.249999999996</v>
      </c>
      <c r="BD21" s="63">
        <v>11987.249999999996</v>
      </c>
      <c r="BE21" s="63">
        <v>11987.249999999996</v>
      </c>
      <c r="BF21" s="149">
        <v>11987.249999999996</v>
      </c>
      <c r="BG21" s="149">
        <v>11987.249999999996</v>
      </c>
      <c r="BH21" s="149">
        <v>11987.249999999996</v>
      </c>
      <c r="BI21" s="149">
        <v>11987.249999999996</v>
      </c>
      <c r="BJ21" s="149">
        <v>11987.249999999996</v>
      </c>
      <c r="BK21" s="149">
        <v>11987.249999999996</v>
      </c>
      <c r="BL21" s="149">
        <v>11987.249999999996</v>
      </c>
      <c r="BM21" s="149">
        <v>11987.249999999996</v>
      </c>
      <c r="BN21" s="149">
        <v>11987.249999999996</v>
      </c>
      <c r="BO21" s="149">
        <v>11987.249999999996</v>
      </c>
      <c r="BP21" s="149">
        <v>11987.249999999996</v>
      </c>
    </row>
    <row r="22" spans="1:68" ht="15" hidden="1" customHeight="1" outlineLevel="1">
      <c r="A22" t="s">
        <v>207</v>
      </c>
      <c r="B22" s="38" t="s">
        <v>7</v>
      </c>
      <c r="C22" s="62">
        <v>8385.82</v>
      </c>
      <c r="D22" s="62">
        <v>8385.82</v>
      </c>
      <c r="E22" s="62">
        <v>8385.82</v>
      </c>
      <c r="F22" s="62">
        <v>8385.82</v>
      </c>
      <c r="G22" s="62">
        <v>8385.82</v>
      </c>
      <c r="H22" s="62">
        <v>8385.82</v>
      </c>
      <c r="I22" s="62">
        <v>8385.82</v>
      </c>
      <c r="J22" s="62">
        <v>8385.82</v>
      </c>
      <c r="K22" s="62">
        <v>8385.82</v>
      </c>
      <c r="L22" s="62">
        <v>8385.82</v>
      </c>
      <c r="M22" s="62">
        <v>8385.82</v>
      </c>
      <c r="N22" s="62">
        <v>8385.82</v>
      </c>
      <c r="O22" s="62">
        <v>8385.82</v>
      </c>
      <c r="P22" s="62">
        <v>8385.82</v>
      </c>
      <c r="Q22" s="62">
        <v>8385.82</v>
      </c>
      <c r="R22" s="62">
        <v>8385.82</v>
      </c>
      <c r="S22" s="62">
        <v>8385.82</v>
      </c>
      <c r="T22" s="62">
        <v>8385.82</v>
      </c>
      <c r="U22" s="62">
        <v>8385.82</v>
      </c>
      <c r="V22" s="62">
        <v>8385.82</v>
      </c>
      <c r="W22" s="62">
        <v>8385.82</v>
      </c>
      <c r="X22" s="62">
        <v>8385.82</v>
      </c>
      <c r="Y22" s="62">
        <v>8385.82</v>
      </c>
      <c r="Z22" s="62">
        <v>8385.82</v>
      </c>
      <c r="AA22" s="62">
        <v>8385.82</v>
      </c>
      <c r="AB22" s="62">
        <v>8385.82</v>
      </c>
      <c r="AC22" s="62">
        <v>8385.82</v>
      </c>
      <c r="AD22" s="62">
        <v>8385.82</v>
      </c>
      <c r="AE22" s="62">
        <v>8385.82</v>
      </c>
      <c r="AF22" s="62">
        <v>8385.82</v>
      </c>
      <c r="AG22" s="62">
        <v>8385.82</v>
      </c>
      <c r="AH22" s="62">
        <v>8385.82</v>
      </c>
      <c r="AI22" s="62">
        <v>8385.82</v>
      </c>
      <c r="AJ22" s="63">
        <v>8385.82</v>
      </c>
      <c r="AK22" s="63">
        <v>8386</v>
      </c>
      <c r="AL22" s="63">
        <v>8386</v>
      </c>
      <c r="AM22" s="63">
        <v>8385.82</v>
      </c>
      <c r="AN22" s="63">
        <v>8385.82</v>
      </c>
      <c r="AO22" s="63">
        <v>8385.82</v>
      </c>
      <c r="AP22" s="63">
        <v>8385.82</v>
      </c>
      <c r="AQ22" s="63">
        <v>8385.82</v>
      </c>
      <c r="AR22" s="63">
        <v>8385.82</v>
      </c>
      <c r="AS22" s="63">
        <v>8385.82</v>
      </c>
      <c r="AT22" s="63">
        <v>8385.82</v>
      </c>
      <c r="AU22" s="149">
        <v>8386</v>
      </c>
      <c r="AV22" s="63">
        <v>8385.82</v>
      </c>
      <c r="AW22" s="63">
        <v>8385.82</v>
      </c>
      <c r="AX22" s="63">
        <v>8385.82</v>
      </c>
      <c r="AY22" s="149">
        <v>8386</v>
      </c>
      <c r="AZ22" s="63">
        <v>8385.82</v>
      </c>
      <c r="BA22" s="63">
        <v>8385.82</v>
      </c>
      <c r="BB22" s="63">
        <v>8385.82</v>
      </c>
      <c r="BC22" s="63">
        <v>8385.82</v>
      </c>
      <c r="BD22" s="63">
        <v>8385.82</v>
      </c>
      <c r="BE22" s="63">
        <v>8385.82</v>
      </c>
      <c r="BF22" s="149">
        <v>8385.82</v>
      </c>
      <c r="BG22" s="149">
        <v>8385.82</v>
      </c>
      <c r="BH22" s="149">
        <v>8385.82</v>
      </c>
      <c r="BI22" s="149">
        <v>8385.82</v>
      </c>
      <c r="BJ22" s="149">
        <v>8385.82</v>
      </c>
      <c r="BK22" s="149">
        <v>8385.82</v>
      </c>
      <c r="BL22" s="149">
        <v>8385.82</v>
      </c>
      <c r="BM22" s="149">
        <v>8385.82</v>
      </c>
      <c r="BN22" s="149">
        <v>8385.82</v>
      </c>
      <c r="BO22" s="149">
        <v>8385.82</v>
      </c>
      <c r="BP22" s="149">
        <v>8385.82</v>
      </c>
    </row>
    <row r="23" spans="1:68" ht="15" hidden="1" customHeight="1" outlineLevel="1">
      <c r="A23" t="s">
        <v>18</v>
      </c>
      <c r="B23" s="38" t="s">
        <v>29</v>
      </c>
      <c r="C23" s="62">
        <v>2923</v>
      </c>
      <c r="D23" s="62">
        <v>2923</v>
      </c>
      <c r="E23" s="62">
        <v>2923</v>
      </c>
      <c r="F23" s="62">
        <v>2923</v>
      </c>
      <c r="G23" s="62">
        <v>2923</v>
      </c>
      <c r="H23" s="62">
        <v>2923</v>
      </c>
      <c r="I23" s="62">
        <v>2923</v>
      </c>
      <c r="J23" s="62">
        <v>2923</v>
      </c>
      <c r="K23" s="62">
        <v>2923</v>
      </c>
      <c r="L23" s="62">
        <v>2923</v>
      </c>
      <c r="M23" s="62">
        <v>2923</v>
      </c>
      <c r="N23" s="62">
        <v>2923</v>
      </c>
      <c r="O23" s="62">
        <v>2923</v>
      </c>
      <c r="P23" s="62">
        <v>2923</v>
      </c>
      <c r="Q23" s="62">
        <v>2923</v>
      </c>
      <c r="R23" s="62">
        <v>2923</v>
      </c>
      <c r="S23" s="62">
        <v>2923</v>
      </c>
      <c r="T23" s="62">
        <v>2923</v>
      </c>
      <c r="U23" s="62">
        <v>2923</v>
      </c>
      <c r="V23" s="62">
        <v>2923</v>
      </c>
      <c r="W23" s="62">
        <v>2923</v>
      </c>
      <c r="X23" s="62">
        <v>2923</v>
      </c>
      <c r="Y23" s="62">
        <v>2923</v>
      </c>
      <c r="Z23" s="62">
        <v>2923</v>
      </c>
      <c r="AA23" s="62">
        <v>2923</v>
      </c>
      <c r="AB23" s="62">
        <v>2923</v>
      </c>
      <c r="AC23" s="62">
        <v>2923</v>
      </c>
      <c r="AD23" s="62">
        <v>2923</v>
      </c>
      <c r="AE23" s="62">
        <v>2923</v>
      </c>
      <c r="AF23" s="62">
        <v>2923.36</v>
      </c>
      <c r="AG23" s="62">
        <v>2923</v>
      </c>
      <c r="AH23" s="62">
        <v>2923</v>
      </c>
      <c r="AI23" s="62">
        <v>2923.36</v>
      </c>
      <c r="AJ23" s="63">
        <v>2923.36</v>
      </c>
      <c r="AK23" s="63">
        <v>2923</v>
      </c>
      <c r="AL23" s="63">
        <v>2923</v>
      </c>
      <c r="AM23" s="63">
        <v>2923.36</v>
      </c>
      <c r="AN23" s="63">
        <v>2923</v>
      </c>
      <c r="AO23" s="63">
        <v>2923.36</v>
      </c>
      <c r="AP23" s="63">
        <v>2923.36</v>
      </c>
      <c r="AQ23" s="63">
        <v>2923.36</v>
      </c>
      <c r="AR23" s="63">
        <v>2923.36</v>
      </c>
      <c r="AS23" s="63">
        <v>2923.36</v>
      </c>
      <c r="AT23" s="63">
        <v>2923.36</v>
      </c>
      <c r="AU23" s="149">
        <v>14483</v>
      </c>
      <c r="AV23" s="149">
        <v>14483</v>
      </c>
      <c r="AW23" s="149">
        <v>14483</v>
      </c>
      <c r="AX23" s="63">
        <v>0</v>
      </c>
      <c r="AY23" s="149">
        <v>0</v>
      </c>
      <c r="AZ23" s="63">
        <v>0</v>
      </c>
      <c r="BA23" s="63">
        <v>0</v>
      </c>
      <c r="BB23" s="63">
        <v>0</v>
      </c>
      <c r="BC23" s="63">
        <v>0</v>
      </c>
      <c r="BD23" s="63">
        <v>0</v>
      </c>
      <c r="BE23" s="63">
        <v>0</v>
      </c>
      <c r="BF23" s="149">
        <v>0</v>
      </c>
      <c r="BG23" s="149">
        <v>0</v>
      </c>
      <c r="BH23" s="149">
        <v>0</v>
      </c>
      <c r="BI23" s="149">
        <v>0</v>
      </c>
      <c r="BJ23" s="149">
        <v>0</v>
      </c>
      <c r="BK23" s="149">
        <v>0</v>
      </c>
      <c r="BL23" s="149">
        <v>0</v>
      </c>
      <c r="BM23" s="149">
        <v>0</v>
      </c>
      <c r="BN23" s="149">
        <v>0</v>
      </c>
      <c r="BO23" s="149">
        <v>0</v>
      </c>
      <c r="BP23" s="149">
        <v>0</v>
      </c>
    </row>
    <row r="24" spans="1:68" ht="15" hidden="1" customHeight="1" outlineLevel="1">
      <c r="A24" t="s">
        <v>209</v>
      </c>
      <c r="B24" s="38" t="s">
        <v>9</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3">
        <v>10585.060000000001</v>
      </c>
      <c r="AM24" s="63">
        <v>10585.060000000001</v>
      </c>
      <c r="AN24" s="63">
        <v>10585.060000000001</v>
      </c>
      <c r="AO24" s="63">
        <v>10585.060000000001</v>
      </c>
      <c r="AP24" s="63">
        <v>10585.060000000001</v>
      </c>
      <c r="AQ24" s="63">
        <v>10585.060000000001</v>
      </c>
      <c r="AR24" s="63">
        <v>10585.060000000001</v>
      </c>
      <c r="AS24" s="63">
        <v>10585.060000000001</v>
      </c>
      <c r="AT24" s="63">
        <v>10585.060000000001</v>
      </c>
      <c r="AU24" s="149">
        <v>10585</v>
      </c>
      <c r="AV24" s="63">
        <v>10005.06</v>
      </c>
      <c r="AW24" s="63">
        <v>10005.06</v>
      </c>
      <c r="AX24" s="63">
        <v>10005.06</v>
      </c>
      <c r="AY24" s="149">
        <v>10005</v>
      </c>
      <c r="AZ24" s="63">
        <v>10005.06</v>
      </c>
      <c r="BA24" s="63">
        <v>10005.06</v>
      </c>
      <c r="BB24" s="63">
        <v>10005.06</v>
      </c>
      <c r="BC24" s="63">
        <v>10005.06</v>
      </c>
      <c r="BD24" s="63">
        <v>10005.06</v>
      </c>
      <c r="BE24" s="63">
        <v>10005.06</v>
      </c>
      <c r="BF24" s="149">
        <v>10005.06</v>
      </c>
      <c r="BG24" s="149">
        <v>10005.06</v>
      </c>
      <c r="BH24" s="149">
        <v>10005.06</v>
      </c>
      <c r="BI24" s="149">
        <v>10005.06</v>
      </c>
      <c r="BJ24" s="149">
        <v>10005.06</v>
      </c>
      <c r="BK24" s="149">
        <v>10005.06</v>
      </c>
      <c r="BL24" s="149">
        <v>10005.06</v>
      </c>
      <c r="BM24" s="149">
        <v>10005.06</v>
      </c>
      <c r="BN24" s="149">
        <v>10005.06</v>
      </c>
      <c r="BO24" s="149">
        <v>10005.06</v>
      </c>
      <c r="BP24" s="149">
        <v>10005.06</v>
      </c>
    </row>
    <row r="25" spans="1:68" ht="15" hidden="1" customHeight="1" outlineLevel="1">
      <c r="A25" t="s">
        <v>210</v>
      </c>
      <c r="B25" s="38" t="s">
        <v>10</v>
      </c>
      <c r="C25" s="62">
        <v>846.06</v>
      </c>
      <c r="D25" s="62">
        <v>846.06</v>
      </c>
      <c r="E25" s="62">
        <v>846.06</v>
      </c>
      <c r="F25" s="62">
        <v>846.06</v>
      </c>
      <c r="G25" s="62">
        <v>846.06</v>
      </c>
      <c r="H25" s="62">
        <v>846.06</v>
      </c>
      <c r="I25" s="62">
        <v>846.06</v>
      </c>
      <c r="J25" s="62">
        <v>846.06</v>
      </c>
      <c r="K25" s="62">
        <v>846.06</v>
      </c>
      <c r="L25" s="62">
        <v>846.06</v>
      </c>
      <c r="M25" s="62">
        <v>846.06</v>
      </c>
      <c r="N25" s="62">
        <v>846.06</v>
      </c>
      <c r="O25" s="62">
        <v>846.06</v>
      </c>
      <c r="P25" s="62">
        <v>846.06</v>
      </c>
      <c r="Q25" s="62">
        <v>846.06</v>
      </c>
      <c r="R25" s="62">
        <v>846.06</v>
      </c>
      <c r="S25" s="62">
        <v>846.06</v>
      </c>
      <c r="T25" s="62">
        <v>846.06</v>
      </c>
      <c r="U25" s="62">
        <v>846.06</v>
      </c>
      <c r="V25" s="62">
        <v>846.06</v>
      </c>
      <c r="W25" s="62">
        <v>846.06</v>
      </c>
      <c r="X25" s="62">
        <v>846.06</v>
      </c>
      <c r="Y25" s="62">
        <v>846.06</v>
      </c>
      <c r="Z25" s="62">
        <v>846.06</v>
      </c>
      <c r="AA25" s="62">
        <v>846.06</v>
      </c>
      <c r="AB25" s="62">
        <v>846.06</v>
      </c>
      <c r="AC25" s="62">
        <v>846.06</v>
      </c>
      <c r="AD25" s="62">
        <v>846.06</v>
      </c>
      <c r="AE25" s="62">
        <v>846.06</v>
      </c>
      <c r="AF25" s="62">
        <v>846.06</v>
      </c>
      <c r="AG25" s="62">
        <v>846</v>
      </c>
      <c r="AH25" s="62">
        <v>846</v>
      </c>
      <c r="AI25" s="62">
        <v>846.06</v>
      </c>
      <c r="AJ25" s="63">
        <v>846.06</v>
      </c>
      <c r="AK25" s="63">
        <v>846</v>
      </c>
      <c r="AL25" s="63">
        <v>4200</v>
      </c>
      <c r="AM25" s="63">
        <v>4200</v>
      </c>
      <c r="AN25" s="63">
        <v>4200</v>
      </c>
      <c r="AO25" s="63">
        <v>4200</v>
      </c>
      <c r="AP25" s="63">
        <v>4200</v>
      </c>
      <c r="AQ25" s="63">
        <v>4200</v>
      </c>
      <c r="AR25" s="63">
        <v>4200</v>
      </c>
      <c r="AS25" s="63">
        <v>4200</v>
      </c>
      <c r="AT25" s="63">
        <v>4200</v>
      </c>
      <c r="AU25" s="149">
        <v>4200</v>
      </c>
      <c r="AV25" s="63">
        <v>4200</v>
      </c>
      <c r="AW25" s="63">
        <v>4200</v>
      </c>
      <c r="AX25" s="63">
        <v>4200</v>
      </c>
      <c r="AY25" s="149">
        <v>4200</v>
      </c>
      <c r="AZ25" s="63">
        <v>4200</v>
      </c>
      <c r="BA25" s="63">
        <v>4200</v>
      </c>
      <c r="BB25" s="63">
        <v>4200</v>
      </c>
      <c r="BC25" s="63">
        <v>4200</v>
      </c>
      <c r="BD25" s="63">
        <v>4200</v>
      </c>
      <c r="BE25" s="63">
        <v>4200</v>
      </c>
      <c r="BF25" s="149">
        <v>4200</v>
      </c>
      <c r="BG25" s="149">
        <v>4200</v>
      </c>
      <c r="BH25" s="149">
        <v>4200</v>
      </c>
      <c r="BI25" s="149">
        <v>4200</v>
      </c>
      <c r="BJ25" s="149">
        <v>4200</v>
      </c>
      <c r="BK25" s="149">
        <v>4200</v>
      </c>
      <c r="BL25" s="149">
        <v>4200</v>
      </c>
      <c r="BM25" s="149">
        <v>4200</v>
      </c>
      <c r="BN25" s="149">
        <v>4200</v>
      </c>
      <c r="BO25" s="149">
        <v>4200</v>
      </c>
      <c r="BP25" s="149">
        <v>4200</v>
      </c>
    </row>
    <row r="26" spans="1:68" ht="15" hidden="1" customHeight="1" outlineLevel="1">
      <c r="A26" t="s">
        <v>211</v>
      </c>
      <c r="B26" s="38" t="s">
        <v>11</v>
      </c>
      <c r="C26" s="62">
        <v>0</v>
      </c>
      <c r="D26" s="62">
        <v>3850</v>
      </c>
      <c r="E26" s="62">
        <v>3850</v>
      </c>
      <c r="F26" s="62">
        <v>3850</v>
      </c>
      <c r="G26" s="62">
        <v>3850</v>
      </c>
      <c r="H26" s="62">
        <v>3850</v>
      </c>
      <c r="I26" s="62">
        <v>3850</v>
      </c>
      <c r="J26" s="62">
        <v>3850</v>
      </c>
      <c r="K26" s="62">
        <v>3850</v>
      </c>
      <c r="L26" s="62">
        <v>3850</v>
      </c>
      <c r="M26" s="62">
        <v>3850</v>
      </c>
      <c r="N26" s="62">
        <v>3850</v>
      </c>
      <c r="O26" s="62">
        <v>3850</v>
      </c>
      <c r="P26" s="62">
        <v>3850</v>
      </c>
      <c r="Q26" s="62">
        <v>3850</v>
      </c>
      <c r="R26" s="62">
        <v>3850</v>
      </c>
      <c r="S26" s="62">
        <v>3850</v>
      </c>
      <c r="T26" s="62">
        <v>3850</v>
      </c>
      <c r="U26" s="62">
        <v>3850</v>
      </c>
      <c r="V26" s="62">
        <v>3850</v>
      </c>
      <c r="W26" s="62">
        <v>3850</v>
      </c>
      <c r="X26" s="62">
        <v>3850</v>
      </c>
      <c r="Y26" s="62">
        <v>3850</v>
      </c>
      <c r="Z26" s="62">
        <v>3850</v>
      </c>
      <c r="AA26" s="62">
        <v>3850</v>
      </c>
      <c r="AB26" s="62">
        <v>3850</v>
      </c>
      <c r="AC26" s="62">
        <v>3850</v>
      </c>
      <c r="AD26" s="62">
        <v>3850</v>
      </c>
      <c r="AE26" s="62">
        <v>3850</v>
      </c>
      <c r="AF26" s="62">
        <v>3850</v>
      </c>
      <c r="AG26" s="62">
        <v>3850</v>
      </c>
      <c r="AH26" s="62">
        <v>3850</v>
      </c>
      <c r="AI26" s="62">
        <v>3850</v>
      </c>
      <c r="AJ26" s="63">
        <v>3850</v>
      </c>
      <c r="AK26" s="63">
        <v>3850</v>
      </c>
      <c r="AL26" s="63">
        <v>3850</v>
      </c>
      <c r="AM26" s="63">
        <v>3850</v>
      </c>
      <c r="AN26" s="63">
        <v>3850</v>
      </c>
      <c r="AO26" s="63">
        <v>3850</v>
      </c>
      <c r="AP26" s="63">
        <v>3850</v>
      </c>
      <c r="AQ26" s="63">
        <v>3850</v>
      </c>
      <c r="AR26" s="63">
        <v>3850</v>
      </c>
      <c r="AS26" s="63">
        <v>3850</v>
      </c>
      <c r="AT26" s="63">
        <v>3850</v>
      </c>
      <c r="AU26" s="149">
        <v>19524</v>
      </c>
      <c r="AV26" s="149">
        <v>19524</v>
      </c>
      <c r="AW26" s="149">
        <v>19524</v>
      </c>
      <c r="AX26" s="149">
        <v>19524</v>
      </c>
      <c r="AY26" s="149">
        <v>19524</v>
      </c>
      <c r="AZ26" s="149">
        <v>19524</v>
      </c>
      <c r="BA26" s="149">
        <v>19524</v>
      </c>
      <c r="BB26" s="63">
        <v>19524</v>
      </c>
      <c r="BC26" s="235">
        <v>19524</v>
      </c>
      <c r="BD26" s="149">
        <v>19524</v>
      </c>
      <c r="BE26" s="149">
        <v>19524</v>
      </c>
      <c r="BF26" s="149">
        <v>19524</v>
      </c>
      <c r="BG26" s="149">
        <v>19524</v>
      </c>
      <c r="BH26" s="149">
        <v>19524</v>
      </c>
      <c r="BI26" s="149">
        <v>19524</v>
      </c>
      <c r="BJ26" s="149">
        <v>19524</v>
      </c>
      <c r="BK26" s="149">
        <v>19524</v>
      </c>
      <c r="BL26" s="149">
        <v>19524</v>
      </c>
      <c r="BM26" s="149">
        <v>19524</v>
      </c>
      <c r="BN26" s="149" t="s">
        <v>324</v>
      </c>
      <c r="BO26" s="149">
        <v>0</v>
      </c>
      <c r="BP26" s="149">
        <v>0</v>
      </c>
    </row>
    <row r="27" spans="1:68" ht="15" hidden="1" customHeight="1" outlineLevel="1">
      <c r="A27" t="s">
        <v>18</v>
      </c>
      <c r="B27" s="38" t="s">
        <v>8</v>
      </c>
      <c r="C27" s="63">
        <v>2844</v>
      </c>
      <c r="D27" s="63">
        <v>2844</v>
      </c>
      <c r="E27" s="63">
        <v>2844</v>
      </c>
      <c r="F27" s="63">
        <v>2844</v>
      </c>
      <c r="G27" s="63">
        <v>2844</v>
      </c>
      <c r="H27" s="63">
        <v>2844</v>
      </c>
      <c r="I27" s="63">
        <v>2844</v>
      </c>
      <c r="J27" s="63">
        <v>2844</v>
      </c>
      <c r="K27" s="63">
        <v>2844</v>
      </c>
      <c r="L27" s="63">
        <v>2844</v>
      </c>
      <c r="M27" s="63">
        <v>2844</v>
      </c>
      <c r="N27" s="63">
        <v>2844</v>
      </c>
      <c r="O27" s="63">
        <v>2844</v>
      </c>
      <c r="P27" s="63">
        <v>2844</v>
      </c>
      <c r="Q27" s="63">
        <v>2844</v>
      </c>
      <c r="R27" s="63">
        <v>2844</v>
      </c>
      <c r="S27" s="63">
        <v>2844</v>
      </c>
      <c r="T27" s="63">
        <v>2844</v>
      </c>
      <c r="U27" s="63">
        <v>2844</v>
      </c>
      <c r="V27" s="63">
        <v>2844</v>
      </c>
      <c r="W27" s="63">
        <v>2844</v>
      </c>
      <c r="X27" s="63">
        <v>2844.05</v>
      </c>
      <c r="Y27" s="63">
        <v>2844.05</v>
      </c>
      <c r="Z27" s="63">
        <v>2844.05</v>
      </c>
      <c r="AA27" s="63">
        <v>2844.05</v>
      </c>
      <c r="AB27" s="63">
        <v>2844.05</v>
      </c>
      <c r="AC27" s="63">
        <v>2844.05</v>
      </c>
      <c r="AD27" s="63">
        <v>2844</v>
      </c>
      <c r="AE27" s="63">
        <v>2844</v>
      </c>
      <c r="AF27" s="63">
        <v>0</v>
      </c>
      <c r="AG27" s="63">
        <v>0</v>
      </c>
      <c r="AH27" s="63">
        <v>0</v>
      </c>
      <c r="AI27" s="63">
        <v>0</v>
      </c>
      <c r="AJ27" s="63">
        <v>0</v>
      </c>
      <c r="AK27" s="63">
        <v>0</v>
      </c>
      <c r="AL27" s="63">
        <v>0</v>
      </c>
      <c r="AM27" s="63">
        <v>0</v>
      </c>
      <c r="AN27" s="63">
        <v>0</v>
      </c>
      <c r="AO27" s="63">
        <v>0</v>
      </c>
      <c r="AP27" s="63">
        <v>0</v>
      </c>
      <c r="AQ27" s="63">
        <v>0</v>
      </c>
      <c r="AR27" s="63">
        <v>0</v>
      </c>
      <c r="AS27" s="63">
        <v>0</v>
      </c>
      <c r="AT27" s="63">
        <v>0</v>
      </c>
      <c r="AU27" s="149">
        <v>0</v>
      </c>
      <c r="AV27" s="63">
        <v>0</v>
      </c>
      <c r="AW27" s="63">
        <v>0</v>
      </c>
      <c r="AX27" s="63">
        <v>0</v>
      </c>
      <c r="AY27" s="149">
        <v>0</v>
      </c>
      <c r="AZ27" s="63">
        <v>0</v>
      </c>
      <c r="BA27" s="63">
        <v>0</v>
      </c>
      <c r="BB27" s="63">
        <v>0</v>
      </c>
      <c r="BC27" s="63">
        <v>0</v>
      </c>
      <c r="BD27" s="63">
        <v>0</v>
      </c>
      <c r="BE27" s="63">
        <v>0</v>
      </c>
      <c r="BF27" s="149">
        <v>0</v>
      </c>
      <c r="BG27" s="149">
        <v>0</v>
      </c>
      <c r="BH27" s="149">
        <v>0</v>
      </c>
      <c r="BI27" s="149">
        <v>0</v>
      </c>
      <c r="BJ27" s="149">
        <v>0</v>
      </c>
      <c r="BK27" s="149">
        <v>0</v>
      </c>
      <c r="BL27" s="149">
        <v>0</v>
      </c>
      <c r="BM27" s="149">
        <v>0</v>
      </c>
      <c r="BN27" s="149">
        <v>0</v>
      </c>
      <c r="BO27" s="149">
        <v>0</v>
      </c>
      <c r="BP27" s="149">
        <v>0</v>
      </c>
    </row>
    <row r="28" spans="1:68" ht="15" hidden="1" customHeight="1" outlineLevel="1">
      <c r="A28" t="s">
        <v>212</v>
      </c>
      <c r="B28" s="38" t="s">
        <v>45</v>
      </c>
      <c r="C28" s="162" t="s">
        <v>18</v>
      </c>
      <c r="D28" s="162" t="s">
        <v>18</v>
      </c>
      <c r="E28" s="162" t="s">
        <v>18</v>
      </c>
      <c r="F28" s="162" t="s">
        <v>18</v>
      </c>
      <c r="G28" s="162" t="s">
        <v>18</v>
      </c>
      <c r="H28" s="162" t="s">
        <v>18</v>
      </c>
      <c r="I28" s="162" t="s">
        <v>18</v>
      </c>
      <c r="J28" s="162" t="s">
        <v>18</v>
      </c>
      <c r="K28" s="162" t="s">
        <v>18</v>
      </c>
      <c r="L28" s="162" t="s">
        <v>18</v>
      </c>
      <c r="M28" s="162" t="s">
        <v>18</v>
      </c>
      <c r="N28" s="162" t="s">
        <v>18</v>
      </c>
      <c r="O28" s="162" t="s">
        <v>18</v>
      </c>
      <c r="P28" s="162" t="s">
        <v>18</v>
      </c>
      <c r="Q28" s="162" t="s">
        <v>18</v>
      </c>
      <c r="R28" s="162" t="s">
        <v>18</v>
      </c>
      <c r="S28" s="162" t="s">
        <v>18</v>
      </c>
      <c r="T28" s="162" t="s">
        <v>18</v>
      </c>
      <c r="U28" s="162" t="s">
        <v>18</v>
      </c>
      <c r="V28" s="162" t="s">
        <v>18</v>
      </c>
      <c r="W28" s="162" t="s">
        <v>18</v>
      </c>
      <c r="X28" s="162" t="s">
        <v>18</v>
      </c>
      <c r="Y28" s="162" t="s">
        <v>18</v>
      </c>
      <c r="Z28" s="162" t="s">
        <v>18</v>
      </c>
      <c r="AA28" s="162" t="s">
        <v>18</v>
      </c>
      <c r="AB28" s="162" t="s">
        <v>18</v>
      </c>
      <c r="AC28" s="162" t="s">
        <v>18</v>
      </c>
      <c r="AD28" s="162" t="s">
        <v>18</v>
      </c>
      <c r="AE28" s="162" t="s">
        <v>18</v>
      </c>
      <c r="AF28" s="162" t="s">
        <v>18</v>
      </c>
      <c r="AG28" s="162" t="s">
        <v>18</v>
      </c>
      <c r="AH28" s="162" t="s">
        <v>18</v>
      </c>
      <c r="AI28" s="162" t="s">
        <v>18</v>
      </c>
      <c r="AJ28" s="162" t="s">
        <v>18</v>
      </c>
      <c r="AK28" s="162" t="s">
        <v>18</v>
      </c>
      <c r="AL28" s="62" t="s">
        <v>18</v>
      </c>
      <c r="AM28" s="62" t="s">
        <v>18</v>
      </c>
      <c r="AN28" s="62" t="s">
        <v>18</v>
      </c>
      <c r="AO28" s="62" t="s">
        <v>18</v>
      </c>
      <c r="AP28" s="62" t="s">
        <v>18</v>
      </c>
      <c r="AQ28" s="62" t="s">
        <v>18</v>
      </c>
      <c r="AR28" s="62" t="s">
        <v>18</v>
      </c>
      <c r="AS28" s="62" t="s">
        <v>18</v>
      </c>
      <c r="AT28" s="62" t="s">
        <v>18</v>
      </c>
      <c r="AU28" s="149">
        <v>0</v>
      </c>
      <c r="AV28" s="63">
        <v>12162</v>
      </c>
      <c r="AW28" s="63">
        <v>12162</v>
      </c>
      <c r="AX28" s="63">
        <v>12162</v>
      </c>
      <c r="AY28" s="149">
        <v>12162</v>
      </c>
      <c r="AZ28" s="63">
        <v>12162</v>
      </c>
      <c r="BA28" s="63">
        <v>12162</v>
      </c>
      <c r="BB28" s="63">
        <v>12162</v>
      </c>
      <c r="BC28" s="63">
        <v>12162</v>
      </c>
      <c r="BD28" s="63">
        <v>12162</v>
      </c>
      <c r="BE28" s="63">
        <v>12162</v>
      </c>
      <c r="BF28" s="149">
        <v>12162</v>
      </c>
      <c r="BG28" s="149">
        <v>12162</v>
      </c>
      <c r="BH28" s="149">
        <v>12162.05</v>
      </c>
      <c r="BI28" s="149">
        <v>12162.05</v>
      </c>
      <c r="BJ28" s="149">
        <v>12162.05</v>
      </c>
      <c r="BK28" s="149">
        <v>12162.05</v>
      </c>
      <c r="BL28" s="149">
        <v>12162.05</v>
      </c>
      <c r="BM28" s="149">
        <v>12162.05</v>
      </c>
      <c r="BN28" s="149">
        <v>12162.05</v>
      </c>
      <c r="BO28" s="149">
        <v>12162.05</v>
      </c>
      <c r="BP28" s="149">
        <v>12162.05</v>
      </c>
    </row>
    <row r="29" spans="1:68" s="15" customFormat="1" ht="15" customHeight="1" collapsed="1">
      <c r="B29" s="82" t="s">
        <v>15</v>
      </c>
      <c r="C29" s="140">
        <f t="shared" ref="C29:BN29" si="6">SUM(C30:C37)</f>
        <v>64416</v>
      </c>
      <c r="D29" s="140">
        <f t="shared" si="6"/>
        <v>64416</v>
      </c>
      <c r="E29" s="140">
        <f t="shared" si="6"/>
        <v>64416</v>
      </c>
      <c r="F29" s="140">
        <f t="shared" si="6"/>
        <v>64416</v>
      </c>
      <c r="G29" s="140">
        <f t="shared" si="6"/>
        <v>64416</v>
      </c>
      <c r="H29" s="140">
        <f t="shared" si="6"/>
        <v>64416</v>
      </c>
      <c r="I29" s="140">
        <f t="shared" si="6"/>
        <v>64713</v>
      </c>
      <c r="J29" s="140">
        <f t="shared" si="6"/>
        <v>68400</v>
      </c>
      <c r="K29" s="140">
        <f t="shared" si="6"/>
        <v>68400</v>
      </c>
      <c r="L29" s="140">
        <f t="shared" si="6"/>
        <v>68400</v>
      </c>
      <c r="M29" s="140">
        <f t="shared" si="6"/>
        <v>69247</v>
      </c>
      <c r="N29" s="140">
        <f t="shared" si="6"/>
        <v>69247</v>
      </c>
      <c r="O29" s="140">
        <f t="shared" si="6"/>
        <v>69247</v>
      </c>
      <c r="P29" s="140">
        <f t="shared" si="6"/>
        <v>69247</v>
      </c>
      <c r="Q29" s="140">
        <f t="shared" si="6"/>
        <v>69247</v>
      </c>
      <c r="R29" s="140">
        <f t="shared" si="6"/>
        <v>69247</v>
      </c>
      <c r="S29" s="140">
        <f t="shared" si="6"/>
        <v>69247</v>
      </c>
      <c r="T29" s="140">
        <f t="shared" si="6"/>
        <v>69247</v>
      </c>
      <c r="U29" s="140">
        <f t="shared" si="6"/>
        <v>69247</v>
      </c>
      <c r="V29" s="140">
        <f t="shared" si="6"/>
        <v>83781</v>
      </c>
      <c r="W29" s="140">
        <f t="shared" si="6"/>
        <v>83781</v>
      </c>
      <c r="X29" s="140">
        <f t="shared" si="6"/>
        <v>79269</v>
      </c>
      <c r="Y29" s="140">
        <f t="shared" si="6"/>
        <v>79268.830300000001</v>
      </c>
      <c r="Z29" s="140">
        <f t="shared" si="6"/>
        <v>158603.8303</v>
      </c>
      <c r="AA29" s="140">
        <f t="shared" si="6"/>
        <v>158603.8303</v>
      </c>
      <c r="AB29" s="140">
        <f t="shared" si="6"/>
        <v>158603.8303</v>
      </c>
      <c r="AC29" s="140">
        <f t="shared" si="6"/>
        <v>159588.23484346195</v>
      </c>
      <c r="AD29" s="140">
        <f t="shared" si="6"/>
        <v>159586.74381208274</v>
      </c>
      <c r="AE29" s="140">
        <f t="shared" si="6"/>
        <v>159586.74381208274</v>
      </c>
      <c r="AF29" s="140">
        <f t="shared" si="6"/>
        <v>177454.95575104476</v>
      </c>
      <c r="AG29" s="140">
        <f t="shared" si="6"/>
        <v>177454.95575104476</v>
      </c>
      <c r="AH29" s="140">
        <f t="shared" si="6"/>
        <v>176360.76575104479</v>
      </c>
      <c r="AI29" s="140">
        <f t="shared" si="6"/>
        <v>176347.34534031298</v>
      </c>
      <c r="AJ29" s="140">
        <f t="shared" si="6"/>
        <v>222470.76293107815</v>
      </c>
      <c r="AK29" s="140">
        <f t="shared" si="6"/>
        <v>222411.36427490512</v>
      </c>
      <c r="AL29" s="140">
        <f t="shared" si="6"/>
        <v>287911.97907705465</v>
      </c>
      <c r="AM29" s="140">
        <f t="shared" si="6"/>
        <v>287912.82793171133</v>
      </c>
      <c r="AN29" s="140">
        <f t="shared" si="6"/>
        <v>287458.45999999996</v>
      </c>
      <c r="AO29" s="140">
        <f t="shared" si="6"/>
        <v>286905.89</v>
      </c>
      <c r="AP29" s="140">
        <f t="shared" si="6"/>
        <v>288456.86</v>
      </c>
      <c r="AQ29" s="140">
        <f t="shared" si="6"/>
        <v>259736.75</v>
      </c>
      <c r="AR29" s="140">
        <f t="shared" si="6"/>
        <v>261687.93999999994</v>
      </c>
      <c r="AS29" s="140">
        <f t="shared" si="6"/>
        <v>261418.69</v>
      </c>
      <c r="AT29" s="140">
        <f t="shared" si="6"/>
        <v>261534.68</v>
      </c>
      <c r="AU29" s="140">
        <f t="shared" si="6"/>
        <v>260951.87</v>
      </c>
      <c r="AV29" s="140">
        <f t="shared" si="6"/>
        <v>261291.14666666664</v>
      </c>
      <c r="AW29" s="140">
        <f t="shared" si="6"/>
        <v>262140.15666666665</v>
      </c>
      <c r="AX29" s="140">
        <f t="shared" si="6"/>
        <v>262233.6166666667</v>
      </c>
      <c r="AY29" s="140">
        <f t="shared" si="6"/>
        <v>262279.42333333334</v>
      </c>
      <c r="AZ29" s="140">
        <f t="shared" si="6"/>
        <v>262295</v>
      </c>
      <c r="BA29" s="140">
        <f t="shared" si="6"/>
        <v>262324.44</v>
      </c>
      <c r="BB29" s="140">
        <f t="shared" si="6"/>
        <v>262570.36333333328</v>
      </c>
      <c r="BC29" s="140">
        <f t="shared" si="6"/>
        <v>262384.69</v>
      </c>
      <c r="BD29" s="140">
        <f t="shared" si="6"/>
        <v>262370.18</v>
      </c>
      <c r="BE29" s="140">
        <f t="shared" si="6"/>
        <v>261850.81</v>
      </c>
      <c r="BF29" s="140">
        <f t="shared" si="6"/>
        <v>224740.79</v>
      </c>
      <c r="BG29" s="140">
        <f t="shared" si="6"/>
        <v>224862.52666666664</v>
      </c>
      <c r="BH29" s="140">
        <f t="shared" si="6"/>
        <v>224867.9966666667</v>
      </c>
      <c r="BI29" s="140">
        <f t="shared" si="6"/>
        <v>224905.85333333336</v>
      </c>
      <c r="BJ29" s="140">
        <f t="shared" si="6"/>
        <v>224942.25333333333</v>
      </c>
      <c r="BK29" s="140">
        <f t="shared" si="6"/>
        <v>225178.58000000005</v>
      </c>
      <c r="BL29" s="140">
        <f t="shared" si="6"/>
        <v>225334.84000000003</v>
      </c>
      <c r="BM29" s="140">
        <f t="shared" si="6"/>
        <v>225537.98666666669</v>
      </c>
      <c r="BN29" s="140">
        <f t="shared" si="6"/>
        <v>225543.75999999995</v>
      </c>
      <c r="BO29" s="140">
        <f t="shared" ref="BO29" si="7">SUM(BO30:BO37)</f>
        <v>225554.8</v>
      </c>
      <c r="BP29" s="140">
        <f>SUM(BP30:BP37)</f>
        <v>224576.92000000004</v>
      </c>
    </row>
    <row r="30" spans="1:68" ht="15" hidden="1" customHeight="1" outlineLevel="1">
      <c r="A30" t="s">
        <v>213</v>
      </c>
      <c r="B30" s="38" t="s">
        <v>12</v>
      </c>
      <c r="C30" s="62">
        <v>4443</v>
      </c>
      <c r="D30" s="62">
        <v>4443</v>
      </c>
      <c r="E30" s="62">
        <v>4443</v>
      </c>
      <c r="F30" s="62">
        <v>4443</v>
      </c>
      <c r="G30" s="62">
        <v>4443</v>
      </c>
      <c r="H30" s="62">
        <v>4443</v>
      </c>
      <c r="I30" s="62">
        <v>4759</v>
      </c>
      <c r="J30" s="62">
        <v>8446</v>
      </c>
      <c r="K30" s="62">
        <v>8446</v>
      </c>
      <c r="L30" s="62">
        <v>8446</v>
      </c>
      <c r="M30" s="62">
        <v>9293</v>
      </c>
      <c r="N30" s="62">
        <v>9293</v>
      </c>
      <c r="O30" s="62">
        <v>9293</v>
      </c>
      <c r="P30" s="62">
        <v>9293</v>
      </c>
      <c r="Q30" s="62">
        <v>9293</v>
      </c>
      <c r="R30" s="62">
        <v>9293</v>
      </c>
      <c r="S30" s="62">
        <v>9293</v>
      </c>
      <c r="T30" s="62">
        <v>9293</v>
      </c>
      <c r="U30" s="62">
        <v>9293</v>
      </c>
      <c r="V30" s="62">
        <v>9293</v>
      </c>
      <c r="W30" s="62">
        <v>9293</v>
      </c>
      <c r="X30" s="62">
        <v>9293</v>
      </c>
      <c r="Y30" s="62">
        <v>9292.8302999999996</v>
      </c>
      <c r="Z30" s="62">
        <v>9292.8302999999996</v>
      </c>
      <c r="AA30" s="62">
        <v>9292.8302999999996</v>
      </c>
      <c r="AB30" s="62">
        <v>9292.8302999999996</v>
      </c>
      <c r="AC30" s="62">
        <v>9294.7257000000009</v>
      </c>
      <c r="AD30" s="62">
        <v>9295</v>
      </c>
      <c r="AE30" s="62">
        <v>9295</v>
      </c>
      <c r="AF30" s="62">
        <v>9294.7699260000009</v>
      </c>
      <c r="AG30" s="62">
        <v>9294.7699260000009</v>
      </c>
      <c r="AH30" s="62">
        <v>9294.7699260000009</v>
      </c>
      <c r="AI30" s="62">
        <v>9294.7193820000011</v>
      </c>
      <c r="AJ30" s="63">
        <v>28763.73</v>
      </c>
      <c r="AK30" s="63">
        <v>28763.73</v>
      </c>
      <c r="AL30" s="63">
        <v>28763.73</v>
      </c>
      <c r="AM30" s="63">
        <v>28763.73</v>
      </c>
      <c r="AN30" s="63">
        <v>28221.689999999995</v>
      </c>
      <c r="AO30" s="63">
        <v>28221.689999999995</v>
      </c>
      <c r="AP30" s="63">
        <v>28221.689999999995</v>
      </c>
      <c r="AQ30" s="63">
        <v>28221.69</v>
      </c>
      <c r="AR30" s="63">
        <v>29043.879999999997</v>
      </c>
      <c r="AS30" s="63">
        <v>28763.73</v>
      </c>
      <c r="AT30" s="63">
        <v>28763.73</v>
      </c>
      <c r="AU30" s="63">
        <v>28763.73</v>
      </c>
      <c r="AV30" s="63">
        <v>28965.396666666667</v>
      </c>
      <c r="AW30" s="63">
        <v>29797.446666666667</v>
      </c>
      <c r="AX30" s="63">
        <v>29796.806666666671</v>
      </c>
      <c r="AY30" s="63">
        <v>29801.99</v>
      </c>
      <c r="AZ30" s="149">
        <v>29802</v>
      </c>
      <c r="BA30" s="149">
        <v>29801.006666666672</v>
      </c>
      <c r="BB30" s="63">
        <v>29799.039999999997</v>
      </c>
      <c r="BC30" s="63">
        <v>29799.039999999997</v>
      </c>
      <c r="BD30" s="63">
        <v>29799.040000000001</v>
      </c>
      <c r="BE30" s="63">
        <v>29799.040000000001</v>
      </c>
      <c r="BF30" s="149">
        <v>29665.713333333333</v>
      </c>
      <c r="BG30" s="149">
        <v>29787.45</v>
      </c>
      <c r="BH30" s="149">
        <v>29787.45</v>
      </c>
      <c r="BI30" s="149">
        <v>29796.813333333335</v>
      </c>
      <c r="BJ30" s="149">
        <v>29815.539999999997</v>
      </c>
      <c r="BK30" s="149">
        <v>30015.53</v>
      </c>
      <c r="BL30" s="149">
        <v>30015.53</v>
      </c>
      <c r="BM30" s="149">
        <v>30015.53</v>
      </c>
      <c r="BN30" s="149">
        <v>30015.530000000002</v>
      </c>
      <c r="BO30" s="149">
        <v>30015.530000000002</v>
      </c>
      <c r="BP30" s="149">
        <v>30015.530000000006</v>
      </c>
    </row>
    <row r="31" spans="1:68" ht="15" hidden="1" customHeight="1" outlineLevel="1">
      <c r="A31" t="s">
        <v>214</v>
      </c>
      <c r="B31" s="38" t="s">
        <v>30</v>
      </c>
      <c r="C31" s="62">
        <v>59973</v>
      </c>
      <c r="D31" s="62">
        <v>59973</v>
      </c>
      <c r="E31" s="62">
        <v>59973</v>
      </c>
      <c r="F31" s="62">
        <v>59973</v>
      </c>
      <c r="G31" s="62">
        <v>59973</v>
      </c>
      <c r="H31" s="62">
        <v>59973</v>
      </c>
      <c r="I31" s="62">
        <v>59954</v>
      </c>
      <c r="J31" s="62">
        <v>59954</v>
      </c>
      <c r="K31" s="62">
        <v>59954</v>
      </c>
      <c r="L31" s="62">
        <v>59954</v>
      </c>
      <c r="M31" s="62">
        <v>59954</v>
      </c>
      <c r="N31" s="62">
        <v>59954</v>
      </c>
      <c r="O31" s="62">
        <v>59954</v>
      </c>
      <c r="P31" s="62">
        <v>59954</v>
      </c>
      <c r="Q31" s="62">
        <v>59954</v>
      </c>
      <c r="R31" s="62">
        <v>59954</v>
      </c>
      <c r="S31" s="62">
        <v>59954</v>
      </c>
      <c r="T31" s="62">
        <v>59954</v>
      </c>
      <c r="U31" s="62">
        <v>59954</v>
      </c>
      <c r="V31" s="62">
        <v>74488</v>
      </c>
      <c r="W31" s="62">
        <v>74488</v>
      </c>
      <c r="X31" s="62">
        <v>69976</v>
      </c>
      <c r="Y31" s="62">
        <v>69976</v>
      </c>
      <c r="Z31" s="62">
        <v>69976</v>
      </c>
      <c r="AA31" s="62">
        <v>69976</v>
      </c>
      <c r="AB31" s="62">
        <v>69976</v>
      </c>
      <c r="AC31" s="62">
        <v>69518.509143461968</v>
      </c>
      <c r="AD31" s="62">
        <v>69517.993812082728</v>
      </c>
      <c r="AE31" s="62">
        <v>69517.993812082728</v>
      </c>
      <c r="AF31" s="62">
        <v>69650.875825044772</v>
      </c>
      <c r="AG31" s="62">
        <v>69650.875825044772</v>
      </c>
      <c r="AH31" s="62">
        <v>69650.875825044786</v>
      </c>
      <c r="AI31" s="62">
        <v>69653.515958312986</v>
      </c>
      <c r="AJ31" s="62">
        <v>69634.514999185805</v>
      </c>
      <c r="AK31" s="62">
        <v>69618.954567659996</v>
      </c>
      <c r="AL31" s="62">
        <v>69614.069369809484</v>
      </c>
      <c r="AM31" s="62">
        <v>69614.240000000005</v>
      </c>
      <c r="AN31" s="63">
        <v>69509.95</v>
      </c>
      <c r="AO31" s="63">
        <v>69509.95</v>
      </c>
      <c r="AP31" s="63">
        <v>69503.009999999995</v>
      </c>
      <c r="AQ31" s="63">
        <v>69503.009999999995</v>
      </c>
      <c r="AR31" s="63">
        <v>69503.009999999995</v>
      </c>
      <c r="AS31" s="63">
        <v>69503.009999999995</v>
      </c>
      <c r="AT31" s="63">
        <v>69503.009999999995</v>
      </c>
      <c r="AU31" s="63">
        <v>69535.003333333341</v>
      </c>
      <c r="AV31" s="63">
        <v>69550.039999999994</v>
      </c>
      <c r="AW31" s="149">
        <v>69533</v>
      </c>
      <c r="AX31" s="149">
        <v>69261</v>
      </c>
      <c r="AY31" s="63">
        <v>69260.963333333333</v>
      </c>
      <c r="AZ31" s="149">
        <v>69261</v>
      </c>
      <c r="BA31" s="149">
        <v>69260.97</v>
      </c>
      <c r="BB31" s="63">
        <v>69260.97</v>
      </c>
      <c r="BC31" s="63">
        <v>69260.969999999987</v>
      </c>
      <c r="BD31" s="63">
        <v>69260.969999999987</v>
      </c>
      <c r="BE31" s="63">
        <v>69260.969999999987</v>
      </c>
      <c r="BF31" s="149">
        <v>69619.66</v>
      </c>
      <c r="BG31" s="149">
        <v>69619.659999999989</v>
      </c>
      <c r="BH31" s="149">
        <v>69619.82666666666</v>
      </c>
      <c r="BI31" s="149">
        <v>69620.159999999989</v>
      </c>
      <c r="BJ31" s="149">
        <v>69619.789999999994</v>
      </c>
      <c r="BK31" s="149">
        <v>69619.789999999994</v>
      </c>
      <c r="BL31" s="149">
        <v>69630.789999999994</v>
      </c>
      <c r="BM31" s="149">
        <v>69833.936666666661</v>
      </c>
      <c r="BN31" s="149">
        <v>69839.710000000006</v>
      </c>
      <c r="BO31" s="149">
        <v>69850.75</v>
      </c>
      <c r="BP31" s="149">
        <v>68872.87000000001</v>
      </c>
    </row>
    <row r="32" spans="1:68" ht="15" hidden="1" customHeight="1" outlineLevel="1">
      <c r="A32" t="s">
        <v>18</v>
      </c>
      <c r="B32" s="38" t="s">
        <v>31</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35537.5</v>
      </c>
      <c r="AM32" s="62">
        <v>35536.400000000001</v>
      </c>
      <c r="AN32" s="63">
        <v>35536.400000000001</v>
      </c>
      <c r="AO32" s="63">
        <v>35536.400000000001</v>
      </c>
      <c r="AP32" s="63">
        <v>35536.400000000001</v>
      </c>
      <c r="AQ32" s="63">
        <v>35522.81</v>
      </c>
      <c r="AR32" s="63">
        <v>36652.080000000002</v>
      </c>
      <c r="AS32" s="63">
        <v>36546.660000000003</v>
      </c>
      <c r="AT32" s="63">
        <v>36649.340000000004</v>
      </c>
      <c r="AU32" s="63">
        <v>36947.223333333335</v>
      </c>
      <c r="AV32" s="63">
        <v>37011.260000000009</v>
      </c>
      <c r="AW32" s="63">
        <v>37011.260000000009</v>
      </c>
      <c r="AX32" s="63">
        <v>37350.73000000001</v>
      </c>
      <c r="AY32" s="63">
        <v>37390.73000000001</v>
      </c>
      <c r="AZ32" s="149">
        <v>37407</v>
      </c>
      <c r="BA32" s="149">
        <v>37436.723333333335</v>
      </c>
      <c r="BB32" s="63">
        <v>37454.496666666666</v>
      </c>
      <c r="BC32" s="63">
        <v>37462.51</v>
      </c>
      <c r="BD32" s="149">
        <v>37448</v>
      </c>
      <c r="BE32" s="63">
        <v>37462.510000000009</v>
      </c>
      <c r="BF32" s="149">
        <v>0</v>
      </c>
      <c r="BG32" s="149">
        <v>0</v>
      </c>
      <c r="BH32" s="149">
        <v>0</v>
      </c>
      <c r="BI32" s="149">
        <v>0</v>
      </c>
      <c r="BJ32" s="149">
        <v>0</v>
      </c>
      <c r="BK32" s="149">
        <v>0</v>
      </c>
      <c r="BL32" s="149">
        <v>0</v>
      </c>
      <c r="BM32" s="149">
        <v>0</v>
      </c>
      <c r="BN32" s="149">
        <v>0</v>
      </c>
      <c r="BO32" s="149">
        <v>0</v>
      </c>
      <c r="BP32" s="149">
        <v>0</v>
      </c>
    </row>
    <row r="33" spans="1:68" ht="15" hidden="1" customHeight="1" outlineLevel="1">
      <c r="A33" t="s">
        <v>215</v>
      </c>
      <c r="B33" s="38" t="s">
        <v>16</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3">
        <v>43275</v>
      </c>
      <c r="AA33" s="63">
        <v>43275</v>
      </c>
      <c r="AB33" s="63">
        <v>43275</v>
      </c>
      <c r="AC33" s="63">
        <v>44114</v>
      </c>
      <c r="AD33" s="63">
        <v>44113.75</v>
      </c>
      <c r="AE33" s="63">
        <v>44113.75</v>
      </c>
      <c r="AF33" s="63">
        <v>44114.459999999985</v>
      </c>
      <c r="AG33" s="63">
        <v>44114.459999999985</v>
      </c>
      <c r="AH33" s="63">
        <v>44114.459999999985</v>
      </c>
      <c r="AI33" s="63">
        <v>44113.64</v>
      </c>
      <c r="AJ33" s="63">
        <v>44156</v>
      </c>
      <c r="AK33" s="63">
        <v>44113.75</v>
      </c>
      <c r="AL33" s="62">
        <v>44113.75</v>
      </c>
      <c r="AM33" s="62">
        <v>44114.23</v>
      </c>
      <c r="AN33" s="63">
        <v>44135.44</v>
      </c>
      <c r="AO33" s="63">
        <v>44135.44</v>
      </c>
      <c r="AP33" s="63">
        <v>44135.44</v>
      </c>
      <c r="AQ33" s="63">
        <v>44122.13</v>
      </c>
      <c r="AR33" s="63">
        <v>44122.130000000005</v>
      </c>
      <c r="AS33" s="63">
        <v>44122.130000000005</v>
      </c>
      <c r="AT33" s="63">
        <v>44135.44</v>
      </c>
      <c r="AU33" s="63">
        <v>44119.233333333337</v>
      </c>
      <c r="AV33" s="149">
        <v>44111</v>
      </c>
      <c r="AW33" s="149">
        <v>44113</v>
      </c>
      <c r="AX33" s="149">
        <v>44116</v>
      </c>
      <c r="AY33" s="63">
        <v>44116.18</v>
      </c>
      <c r="AZ33" s="149">
        <v>44116</v>
      </c>
      <c r="BA33" s="149">
        <v>44116.18</v>
      </c>
      <c r="BB33" s="63">
        <v>44108.366666666669</v>
      </c>
      <c r="BC33" s="63">
        <v>44035.01</v>
      </c>
      <c r="BD33" s="63">
        <v>44035.01</v>
      </c>
      <c r="BE33" s="63">
        <v>44035.01</v>
      </c>
      <c r="BF33" s="149">
        <v>44001.53666666666</v>
      </c>
      <c r="BG33" s="149">
        <v>44001.53666666666</v>
      </c>
      <c r="BH33" s="149">
        <v>44035.010000000009</v>
      </c>
      <c r="BI33" s="149">
        <v>44035</v>
      </c>
      <c r="BJ33" s="149">
        <v>44035</v>
      </c>
      <c r="BK33" s="149">
        <v>44035</v>
      </c>
      <c r="BL33" s="149">
        <v>44035</v>
      </c>
      <c r="BM33" s="149">
        <v>44035</v>
      </c>
      <c r="BN33" s="149">
        <v>44035</v>
      </c>
      <c r="BO33" s="149">
        <v>44035</v>
      </c>
      <c r="BP33" s="149">
        <v>44035</v>
      </c>
    </row>
    <row r="34" spans="1:68" ht="15" hidden="1" customHeight="1" outlineLevel="1">
      <c r="A34" t="s">
        <v>216</v>
      </c>
      <c r="B34" s="38" t="s">
        <v>17</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36060</v>
      </c>
      <c r="AA34" s="62">
        <v>36060</v>
      </c>
      <c r="AB34" s="62">
        <v>36060</v>
      </c>
      <c r="AC34" s="62">
        <v>36661</v>
      </c>
      <c r="AD34" s="62">
        <v>36660</v>
      </c>
      <c r="AE34" s="62">
        <v>36660</v>
      </c>
      <c r="AF34" s="62">
        <v>36714.189999999995</v>
      </c>
      <c r="AG34" s="62">
        <v>36714.189999999995</v>
      </c>
      <c r="AH34" s="62">
        <v>36657</v>
      </c>
      <c r="AI34" s="62">
        <v>36659</v>
      </c>
      <c r="AJ34" s="62">
        <v>36657</v>
      </c>
      <c r="AK34" s="62">
        <v>36656</v>
      </c>
      <c r="AL34" s="62">
        <v>36656</v>
      </c>
      <c r="AM34" s="62">
        <v>36656.379999999983</v>
      </c>
      <c r="AN34" s="63">
        <v>36656.379999999983</v>
      </c>
      <c r="AO34" s="63">
        <v>37395</v>
      </c>
      <c r="AP34" s="63">
        <v>37395</v>
      </c>
      <c r="AQ34" s="63">
        <v>37360.039999999994</v>
      </c>
      <c r="AR34" s="63">
        <v>37360.039999999994</v>
      </c>
      <c r="AS34" s="63">
        <v>37360.039999999986</v>
      </c>
      <c r="AT34" s="63">
        <v>37360.039999999994</v>
      </c>
      <c r="AU34" s="63">
        <v>37360.039999999994</v>
      </c>
      <c r="AV34" s="63">
        <v>37360.039999999994</v>
      </c>
      <c r="AW34" s="63">
        <v>37360.039999999994</v>
      </c>
      <c r="AX34" s="63">
        <v>37360.039999999994</v>
      </c>
      <c r="AY34" s="63">
        <v>37360.039999999986</v>
      </c>
      <c r="AZ34" s="149">
        <v>37360</v>
      </c>
      <c r="BA34" s="149">
        <v>37360.039999999994</v>
      </c>
      <c r="BB34" s="63">
        <v>37578.223333333321</v>
      </c>
      <c r="BC34" s="63">
        <v>37448.019999999997</v>
      </c>
      <c r="BD34" s="63">
        <v>37448.019999999997</v>
      </c>
      <c r="BE34" s="63">
        <v>36914.14</v>
      </c>
      <c r="BF34" s="149">
        <v>36914.14</v>
      </c>
      <c r="BG34" s="149">
        <v>36914.14</v>
      </c>
      <c r="BH34" s="149">
        <v>36885.97</v>
      </c>
      <c r="BI34" s="149">
        <v>36914.14</v>
      </c>
      <c r="BJ34" s="149">
        <v>36914.14</v>
      </c>
      <c r="BK34" s="149">
        <v>36914.14</v>
      </c>
      <c r="BL34" s="149">
        <v>36914.14</v>
      </c>
      <c r="BM34" s="149">
        <v>36914.14</v>
      </c>
      <c r="BN34" s="149">
        <v>36914.139999999992</v>
      </c>
      <c r="BO34" s="149">
        <v>36914.139999999992</v>
      </c>
      <c r="BP34" s="149">
        <v>36914.14</v>
      </c>
    </row>
    <row r="35" spans="1:68" ht="15" hidden="1" customHeight="1" outlineLevel="1">
      <c r="A35" t="s">
        <v>217</v>
      </c>
      <c r="B35" s="38" t="s">
        <v>20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17680.659999999993</v>
      </c>
      <c r="AG35" s="62">
        <v>17680.659999999993</v>
      </c>
      <c r="AH35" s="62">
        <v>16643.66</v>
      </c>
      <c r="AI35" s="62">
        <v>16626.469999999998</v>
      </c>
      <c r="AJ35" s="62">
        <v>16626</v>
      </c>
      <c r="AK35" s="62">
        <v>16626</v>
      </c>
      <c r="AL35" s="63">
        <v>16626</v>
      </c>
      <c r="AM35" s="63">
        <v>16626.469999999998</v>
      </c>
      <c r="AN35" s="63">
        <v>16619</v>
      </c>
      <c r="AO35" s="63">
        <v>16619.41</v>
      </c>
      <c r="AP35" s="63">
        <v>16619.41</v>
      </c>
      <c r="AQ35" s="63">
        <v>16637.41</v>
      </c>
      <c r="AR35" s="63">
        <v>16637.41</v>
      </c>
      <c r="AS35" s="63">
        <v>16637.409999999996</v>
      </c>
      <c r="AT35" s="63">
        <v>16637.41</v>
      </c>
      <c r="AU35" s="149">
        <v>16637</v>
      </c>
      <c r="AV35" s="63">
        <v>16637.41</v>
      </c>
      <c r="AW35" s="63">
        <v>16637.410000000003</v>
      </c>
      <c r="AX35" s="63">
        <v>16661.04</v>
      </c>
      <c r="AY35" s="63">
        <v>16661.04</v>
      </c>
      <c r="AZ35" s="149">
        <v>16661</v>
      </c>
      <c r="BA35" s="149">
        <v>16661.04</v>
      </c>
      <c r="BB35" s="63">
        <v>16680.786666666667</v>
      </c>
      <c r="BC35" s="149">
        <v>16690.66</v>
      </c>
      <c r="BD35" s="63">
        <v>16690.66</v>
      </c>
      <c r="BE35" s="63">
        <v>16690.66</v>
      </c>
      <c r="BF35" s="149">
        <v>16851.259999999998</v>
      </c>
      <c r="BG35" s="149">
        <v>16851.259999999998</v>
      </c>
      <c r="BH35" s="149">
        <v>16851.259999999998</v>
      </c>
      <c r="BI35" s="149">
        <v>16851.259999999998</v>
      </c>
      <c r="BJ35" s="149">
        <v>16869.303333333333</v>
      </c>
      <c r="BK35" s="149">
        <v>16905.64</v>
      </c>
      <c r="BL35" s="149">
        <v>16905.64</v>
      </c>
      <c r="BM35" s="149">
        <v>16905.64</v>
      </c>
      <c r="BN35" s="149">
        <v>16905.64</v>
      </c>
      <c r="BO35" s="149">
        <v>16905.64</v>
      </c>
      <c r="BP35" s="149">
        <v>16905.640000000003</v>
      </c>
    </row>
    <row r="36" spans="1:68" ht="15" hidden="1" customHeight="1" outlineLevel="1">
      <c r="A36" t="s">
        <v>218</v>
      </c>
      <c r="B36" s="38" t="s">
        <v>23</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149">
        <v>26633.517931892377</v>
      </c>
      <c r="AK36" s="62">
        <v>26632.929707245155</v>
      </c>
      <c r="AL36" s="149">
        <v>26632.929707245155</v>
      </c>
      <c r="AM36" s="149">
        <v>26633.527931711385</v>
      </c>
      <c r="AN36" s="63">
        <v>26811.75</v>
      </c>
      <c r="AO36" s="63">
        <v>26811.75</v>
      </c>
      <c r="AP36" s="63">
        <v>28369.66</v>
      </c>
      <c r="AQ36" s="63">
        <v>28369.66</v>
      </c>
      <c r="AR36" s="63">
        <v>28369.389999999996</v>
      </c>
      <c r="AS36" s="63">
        <v>28485.710000000006</v>
      </c>
      <c r="AT36" s="63">
        <v>28485.71</v>
      </c>
      <c r="AU36" s="63">
        <v>27589.640000000003</v>
      </c>
      <c r="AV36" s="63">
        <v>27656</v>
      </c>
      <c r="AW36" s="149">
        <v>27688</v>
      </c>
      <c r="AX36" s="149">
        <v>27688</v>
      </c>
      <c r="AY36" s="63">
        <v>27688.48</v>
      </c>
      <c r="AZ36" s="149">
        <v>27688</v>
      </c>
      <c r="BA36" s="149">
        <v>27688.48</v>
      </c>
      <c r="BB36" s="63">
        <v>27688.48</v>
      </c>
      <c r="BC36" s="63">
        <v>27688.480000000003</v>
      </c>
      <c r="BD36" s="63">
        <v>27688.48</v>
      </c>
      <c r="BE36" s="63">
        <v>27688.48</v>
      </c>
      <c r="BF36" s="149">
        <v>27688.48</v>
      </c>
      <c r="BG36" s="149">
        <v>27688.48</v>
      </c>
      <c r="BH36" s="149">
        <v>27688.48</v>
      </c>
      <c r="BI36" s="149">
        <v>27688.48</v>
      </c>
      <c r="BJ36" s="149">
        <v>27688.48</v>
      </c>
      <c r="BK36" s="149">
        <v>27688.48</v>
      </c>
      <c r="BL36" s="149">
        <v>27833.74</v>
      </c>
      <c r="BM36" s="149">
        <v>27833.74</v>
      </c>
      <c r="BN36" s="149">
        <v>27833.74</v>
      </c>
      <c r="BO36" s="149">
        <v>27833.74</v>
      </c>
      <c r="BP36" s="149">
        <v>27833.74</v>
      </c>
    </row>
    <row r="37" spans="1:68" ht="15" hidden="1" customHeight="1" outlineLevel="1">
      <c r="A37" t="s">
        <v>18</v>
      </c>
      <c r="B37" s="38" t="s">
        <v>13</v>
      </c>
      <c r="C37" s="62">
        <v>0</v>
      </c>
      <c r="D37" s="62">
        <v>0</v>
      </c>
      <c r="E37" s="62">
        <v>0</v>
      </c>
      <c r="F37" s="62">
        <v>0</v>
      </c>
      <c r="G37" s="62">
        <v>0</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2">
        <v>0</v>
      </c>
      <c r="AK37" s="62">
        <v>0</v>
      </c>
      <c r="AL37" s="62">
        <v>29968</v>
      </c>
      <c r="AM37" s="62">
        <v>29967.85</v>
      </c>
      <c r="AN37" s="63">
        <v>29967.85</v>
      </c>
      <c r="AO37" s="63">
        <v>28676.25</v>
      </c>
      <c r="AP37" s="63">
        <v>28676.25</v>
      </c>
      <c r="AQ37" s="63">
        <v>0</v>
      </c>
      <c r="AR37" s="63">
        <v>0</v>
      </c>
      <c r="AS37" s="63">
        <v>0</v>
      </c>
      <c r="AT37" s="63">
        <v>0</v>
      </c>
      <c r="AU37" s="63">
        <v>0</v>
      </c>
      <c r="AV37" s="140">
        <v>0</v>
      </c>
      <c r="AW37" s="140">
        <v>0</v>
      </c>
      <c r="AX37" s="140">
        <v>0</v>
      </c>
      <c r="AY37" s="140">
        <v>0</v>
      </c>
      <c r="AZ37" s="140">
        <v>0</v>
      </c>
      <c r="BA37" s="140">
        <v>0</v>
      </c>
      <c r="BB37" s="140">
        <v>0</v>
      </c>
      <c r="BC37" s="140">
        <v>0</v>
      </c>
      <c r="BD37" s="140">
        <v>0</v>
      </c>
      <c r="BE37" s="140">
        <v>0</v>
      </c>
      <c r="BF37" s="149">
        <v>0</v>
      </c>
      <c r="BG37" s="149">
        <v>0</v>
      </c>
      <c r="BH37" s="149">
        <v>0</v>
      </c>
      <c r="BI37" s="149">
        <v>0</v>
      </c>
      <c r="BJ37" s="149">
        <v>0</v>
      </c>
      <c r="BK37" s="149">
        <v>0</v>
      </c>
      <c r="BL37" s="149">
        <v>0</v>
      </c>
      <c r="BM37" s="149">
        <v>0</v>
      </c>
      <c r="BN37" s="149">
        <v>0</v>
      </c>
      <c r="BO37" s="149">
        <v>0</v>
      </c>
      <c r="BP37" s="149">
        <v>0</v>
      </c>
    </row>
    <row r="38" spans="1:68" s="15" customFormat="1" ht="15" customHeight="1" collapsed="1">
      <c r="B38" s="82" t="str">
        <f>IF('Sumário | Summary'!P1=1,"Galpões Logísticos","Distribution Centers")</f>
        <v>Galpões Logísticos</v>
      </c>
      <c r="C38" s="140">
        <f t="shared" ref="C38:BN38" si="8">SUM(C39:C49)</f>
        <v>40349.839999999997</v>
      </c>
      <c r="D38" s="140">
        <f t="shared" si="8"/>
        <v>40349.839999999997</v>
      </c>
      <c r="E38" s="140">
        <f t="shared" si="8"/>
        <v>40349.839999999997</v>
      </c>
      <c r="F38" s="140">
        <f t="shared" si="8"/>
        <v>40349.839999999997</v>
      </c>
      <c r="G38" s="140">
        <f t="shared" si="8"/>
        <v>40349.839999999997</v>
      </c>
      <c r="H38" s="140">
        <f t="shared" si="8"/>
        <v>40349.839999999997</v>
      </c>
      <c r="I38" s="140">
        <f t="shared" si="8"/>
        <v>40349.839999999997</v>
      </c>
      <c r="J38" s="140">
        <f t="shared" si="8"/>
        <v>40349.839999999997</v>
      </c>
      <c r="K38" s="140">
        <f t="shared" si="8"/>
        <v>40349.839999999997</v>
      </c>
      <c r="L38" s="140">
        <f t="shared" si="8"/>
        <v>40349.839999999997</v>
      </c>
      <c r="M38" s="140">
        <f t="shared" si="8"/>
        <v>40349.839999999997</v>
      </c>
      <c r="N38" s="140">
        <f t="shared" si="8"/>
        <v>40349.839999999997</v>
      </c>
      <c r="O38" s="140">
        <f t="shared" si="8"/>
        <v>40349.839999999997</v>
      </c>
      <c r="P38" s="140">
        <f t="shared" si="8"/>
        <v>40349.839999999997</v>
      </c>
      <c r="Q38" s="140">
        <f t="shared" si="8"/>
        <v>40349.839999999997</v>
      </c>
      <c r="R38" s="140">
        <f t="shared" si="8"/>
        <v>40349.839999999997</v>
      </c>
      <c r="S38" s="140">
        <f t="shared" si="8"/>
        <v>40349.839999999997</v>
      </c>
      <c r="T38" s="140">
        <f t="shared" si="8"/>
        <v>40349.839999999997</v>
      </c>
      <c r="U38" s="140">
        <f t="shared" si="8"/>
        <v>40349.839999999997</v>
      </c>
      <c r="V38" s="140">
        <f t="shared" si="8"/>
        <v>40349.839999999997</v>
      </c>
      <c r="W38" s="140">
        <f t="shared" si="8"/>
        <v>40349.839999999997</v>
      </c>
      <c r="X38" s="140">
        <f t="shared" si="8"/>
        <v>40349.839999999997</v>
      </c>
      <c r="Y38" s="140">
        <f t="shared" si="8"/>
        <v>40349.839999999997</v>
      </c>
      <c r="Z38" s="140">
        <f t="shared" si="8"/>
        <v>206021.2</v>
      </c>
      <c r="AA38" s="140">
        <f t="shared" si="8"/>
        <v>206021.2</v>
      </c>
      <c r="AB38" s="140">
        <f t="shared" si="8"/>
        <v>260474.55000000002</v>
      </c>
      <c r="AC38" s="140">
        <f t="shared" si="8"/>
        <v>324176</v>
      </c>
      <c r="AD38" s="140">
        <f t="shared" si="8"/>
        <v>324176</v>
      </c>
      <c r="AE38" s="140">
        <f t="shared" si="8"/>
        <v>324176</v>
      </c>
      <c r="AF38" s="140">
        <f t="shared" si="8"/>
        <v>324176</v>
      </c>
      <c r="AG38" s="140">
        <f t="shared" si="8"/>
        <v>324176</v>
      </c>
      <c r="AH38" s="140">
        <f t="shared" si="8"/>
        <v>324176</v>
      </c>
      <c r="AI38" s="140">
        <f t="shared" si="8"/>
        <v>324176</v>
      </c>
      <c r="AJ38" s="140">
        <f t="shared" si="8"/>
        <v>324176</v>
      </c>
      <c r="AK38" s="140">
        <f t="shared" si="8"/>
        <v>311313.08999999997</v>
      </c>
      <c r="AL38" s="140">
        <f t="shared" si="8"/>
        <v>1039349.6699999999</v>
      </c>
      <c r="AM38" s="140">
        <f t="shared" si="8"/>
        <v>1093837.67</v>
      </c>
      <c r="AN38" s="140">
        <f t="shared" si="8"/>
        <v>1093837.67</v>
      </c>
      <c r="AO38" s="140">
        <f t="shared" si="8"/>
        <v>12862.59</v>
      </c>
      <c r="AP38" s="140">
        <f t="shared" si="8"/>
        <v>12862.59</v>
      </c>
      <c r="AQ38" s="140">
        <f t="shared" si="8"/>
        <v>12862.59</v>
      </c>
      <c r="AR38" s="140">
        <f t="shared" si="8"/>
        <v>0</v>
      </c>
      <c r="AS38" s="140">
        <f t="shared" si="8"/>
        <v>0</v>
      </c>
      <c r="AT38" s="140">
        <f t="shared" si="8"/>
        <v>0</v>
      </c>
      <c r="AU38" s="140">
        <f t="shared" si="8"/>
        <v>0</v>
      </c>
      <c r="AV38" s="140">
        <f t="shared" si="8"/>
        <v>0</v>
      </c>
      <c r="AW38" s="140">
        <f t="shared" si="8"/>
        <v>0</v>
      </c>
      <c r="AX38" s="140">
        <f t="shared" si="8"/>
        <v>0</v>
      </c>
      <c r="AY38" s="140">
        <f t="shared" si="8"/>
        <v>0</v>
      </c>
      <c r="AZ38" s="140">
        <f t="shared" si="8"/>
        <v>0</v>
      </c>
      <c r="BA38" s="140">
        <f t="shared" si="8"/>
        <v>0</v>
      </c>
      <c r="BB38" s="140">
        <f t="shared" si="8"/>
        <v>0</v>
      </c>
      <c r="BC38" s="140">
        <f t="shared" si="8"/>
        <v>0</v>
      </c>
      <c r="BD38" s="140">
        <f t="shared" si="8"/>
        <v>0</v>
      </c>
      <c r="BE38" s="140">
        <f t="shared" si="8"/>
        <v>0</v>
      </c>
      <c r="BF38" s="140">
        <f t="shared" si="8"/>
        <v>0</v>
      </c>
      <c r="BG38" s="140">
        <f t="shared" si="8"/>
        <v>0</v>
      </c>
      <c r="BH38" s="140">
        <f t="shared" si="8"/>
        <v>0</v>
      </c>
      <c r="BI38" s="140">
        <f t="shared" si="8"/>
        <v>0</v>
      </c>
      <c r="BJ38" s="140">
        <f t="shared" si="8"/>
        <v>0</v>
      </c>
      <c r="BK38" s="140">
        <f t="shared" si="8"/>
        <v>0</v>
      </c>
      <c r="BL38" s="140">
        <f t="shared" si="8"/>
        <v>0</v>
      </c>
      <c r="BM38" s="140">
        <f t="shared" si="8"/>
        <v>0</v>
      </c>
      <c r="BN38" s="140">
        <f t="shared" si="8"/>
        <v>45424.5</v>
      </c>
      <c r="BO38" s="140">
        <f t="shared" ref="BO38:BP38" si="9">SUM(BO39:BO49)</f>
        <v>45424.5</v>
      </c>
      <c r="BP38" s="140">
        <f t="shared" ref="BP38" si="10">SUM(BP39:BP49)</f>
        <v>45424.5</v>
      </c>
    </row>
    <row r="39" spans="1:68" ht="15" hidden="1" customHeight="1" outlineLevel="1">
      <c r="A39" t="s">
        <v>318</v>
      </c>
      <c r="B39" s="38" t="s">
        <v>317</v>
      </c>
      <c r="C39" s="149">
        <v>0</v>
      </c>
      <c r="D39" s="149">
        <v>0</v>
      </c>
      <c r="E39" s="149">
        <v>0</v>
      </c>
      <c r="F39" s="149">
        <v>0</v>
      </c>
      <c r="G39" s="149">
        <v>0</v>
      </c>
      <c r="H39" s="149">
        <v>0</v>
      </c>
      <c r="I39" s="149">
        <v>0</v>
      </c>
      <c r="J39" s="149">
        <v>0</v>
      </c>
      <c r="K39" s="149">
        <v>0</v>
      </c>
      <c r="L39" s="149">
        <v>0</v>
      </c>
      <c r="M39" s="149">
        <v>0</v>
      </c>
      <c r="N39" s="149">
        <v>0</v>
      </c>
      <c r="O39" s="149">
        <v>0</v>
      </c>
      <c r="P39" s="149">
        <v>0</v>
      </c>
      <c r="Q39" s="149">
        <v>0</v>
      </c>
      <c r="R39" s="149">
        <v>0</v>
      </c>
      <c r="S39" s="149">
        <v>0</v>
      </c>
      <c r="T39" s="149">
        <v>0</v>
      </c>
      <c r="U39" s="149">
        <v>0</v>
      </c>
      <c r="V39" s="149">
        <v>0</v>
      </c>
      <c r="W39" s="149">
        <v>0</v>
      </c>
      <c r="X39" s="149">
        <v>0</v>
      </c>
      <c r="Y39" s="149">
        <v>0</v>
      </c>
      <c r="Z39" s="149">
        <v>0</v>
      </c>
      <c r="AA39" s="149">
        <v>0</v>
      </c>
      <c r="AB39" s="149">
        <v>0</v>
      </c>
      <c r="AC39" s="149">
        <v>0</v>
      </c>
      <c r="AD39" s="149">
        <v>0</v>
      </c>
      <c r="AE39" s="149">
        <v>0</v>
      </c>
      <c r="AF39" s="149">
        <v>0</v>
      </c>
      <c r="AG39" s="149">
        <v>0</v>
      </c>
      <c r="AH39" s="149">
        <v>0</v>
      </c>
      <c r="AI39" s="149">
        <v>0</v>
      </c>
      <c r="AJ39" s="149">
        <v>0</v>
      </c>
      <c r="AK39" s="149">
        <v>0</v>
      </c>
      <c r="AL39" s="149">
        <v>0</v>
      </c>
      <c r="AM39" s="149">
        <v>0</v>
      </c>
      <c r="AN39" s="149">
        <v>0</v>
      </c>
      <c r="AO39" s="149">
        <v>0</v>
      </c>
      <c r="AP39" s="149">
        <v>0</v>
      </c>
      <c r="AQ39" s="149">
        <v>0</v>
      </c>
      <c r="AR39" s="149">
        <v>0</v>
      </c>
      <c r="AS39" s="149">
        <v>0</v>
      </c>
      <c r="AT39" s="149">
        <v>0</v>
      </c>
      <c r="AU39" s="149">
        <v>0</v>
      </c>
      <c r="AV39" s="149">
        <v>0</v>
      </c>
      <c r="AW39" s="149">
        <v>0</v>
      </c>
      <c r="AX39" s="149">
        <v>0</v>
      </c>
      <c r="AY39" s="149">
        <v>0</v>
      </c>
      <c r="AZ39" s="149">
        <v>0</v>
      </c>
      <c r="BA39" s="149">
        <v>0</v>
      </c>
      <c r="BB39" s="149">
        <v>0</v>
      </c>
      <c r="BC39" s="149">
        <v>0</v>
      </c>
      <c r="BD39" s="149">
        <v>0</v>
      </c>
      <c r="BE39" s="149">
        <v>0</v>
      </c>
      <c r="BF39" s="149">
        <v>0</v>
      </c>
      <c r="BG39" s="149">
        <v>0</v>
      </c>
      <c r="BH39" s="149">
        <v>0</v>
      </c>
      <c r="BI39" s="149">
        <v>0</v>
      </c>
      <c r="BJ39" s="149">
        <v>0</v>
      </c>
      <c r="BK39" s="149">
        <v>0</v>
      </c>
      <c r="BL39" s="149">
        <v>0</v>
      </c>
      <c r="BM39" s="149">
        <v>0</v>
      </c>
      <c r="BN39" s="149">
        <v>45424.5</v>
      </c>
      <c r="BO39" s="149">
        <v>45424.5</v>
      </c>
      <c r="BP39" s="149">
        <v>45424.5</v>
      </c>
    </row>
    <row r="40" spans="1:68" ht="15" hidden="1" customHeight="1" outlineLevel="1">
      <c r="A40" t="s">
        <v>18</v>
      </c>
      <c r="B40" s="38" t="s">
        <v>32</v>
      </c>
      <c r="C40" s="62">
        <v>40349.839999999997</v>
      </c>
      <c r="D40" s="62">
        <v>40349.839999999997</v>
      </c>
      <c r="E40" s="62">
        <v>40349.839999999997</v>
      </c>
      <c r="F40" s="62">
        <v>40349.839999999997</v>
      </c>
      <c r="G40" s="62">
        <v>40349.839999999997</v>
      </c>
      <c r="H40" s="62">
        <v>40349.839999999997</v>
      </c>
      <c r="I40" s="62">
        <v>40349.839999999997</v>
      </c>
      <c r="J40" s="62">
        <v>40349.839999999997</v>
      </c>
      <c r="K40" s="62">
        <v>40349.839999999997</v>
      </c>
      <c r="L40" s="62">
        <v>40349.839999999997</v>
      </c>
      <c r="M40" s="62">
        <v>40349.839999999997</v>
      </c>
      <c r="N40" s="62">
        <v>40349.839999999997</v>
      </c>
      <c r="O40" s="62">
        <v>40349.839999999997</v>
      </c>
      <c r="P40" s="62">
        <v>40349.839999999997</v>
      </c>
      <c r="Q40" s="62">
        <v>40349.839999999997</v>
      </c>
      <c r="R40" s="62">
        <v>40349.839999999997</v>
      </c>
      <c r="S40" s="62">
        <v>40349.839999999997</v>
      </c>
      <c r="T40" s="62">
        <v>40349.839999999997</v>
      </c>
      <c r="U40" s="62">
        <v>40349.839999999997</v>
      </c>
      <c r="V40" s="62">
        <v>40349.839999999997</v>
      </c>
      <c r="W40" s="62">
        <v>40349.839999999997</v>
      </c>
      <c r="X40" s="62">
        <v>40349.839999999997</v>
      </c>
      <c r="Y40" s="62">
        <v>40349.839999999997</v>
      </c>
      <c r="Z40" s="62">
        <v>40349.839999999997</v>
      </c>
      <c r="AA40" s="62">
        <v>40349.839999999997</v>
      </c>
      <c r="AB40" s="62">
        <v>40349.839999999997</v>
      </c>
      <c r="AC40" s="62">
        <v>40349.839999999997</v>
      </c>
      <c r="AD40" s="62">
        <v>40349.839999999997</v>
      </c>
      <c r="AE40" s="62">
        <v>40349.839999999997</v>
      </c>
      <c r="AF40" s="62">
        <v>40349.839999999997</v>
      </c>
      <c r="AG40" s="62">
        <v>40349.839999999997</v>
      </c>
      <c r="AH40" s="62">
        <v>40349.839999999997</v>
      </c>
      <c r="AI40" s="62">
        <v>40349.839999999997</v>
      </c>
      <c r="AJ40" s="149">
        <v>40349.839999999997</v>
      </c>
      <c r="AK40" s="62">
        <v>27486.93</v>
      </c>
      <c r="AL40" s="63">
        <v>27486.93</v>
      </c>
      <c r="AM40" s="63">
        <v>27486.93</v>
      </c>
      <c r="AN40" s="63">
        <v>27486.93</v>
      </c>
      <c r="AO40" s="63">
        <v>12862.59</v>
      </c>
      <c r="AP40" s="63">
        <v>12862.59</v>
      </c>
      <c r="AQ40" s="63">
        <v>12862.59</v>
      </c>
      <c r="AR40" s="63">
        <v>0</v>
      </c>
      <c r="AS40" s="63">
        <v>0</v>
      </c>
      <c r="AT40" s="63">
        <v>0</v>
      </c>
      <c r="AU40" s="63">
        <v>0</v>
      </c>
      <c r="AV40" s="63">
        <v>0</v>
      </c>
      <c r="AW40" s="63">
        <v>0</v>
      </c>
      <c r="AX40" s="63">
        <v>0</v>
      </c>
      <c r="AY40" s="63">
        <v>0</v>
      </c>
      <c r="AZ40" s="63">
        <v>0</v>
      </c>
      <c r="BA40" s="63">
        <v>0</v>
      </c>
      <c r="BB40" s="63"/>
      <c r="BC40" s="63">
        <v>0</v>
      </c>
      <c r="BD40" s="63">
        <v>0</v>
      </c>
      <c r="BE40" s="63">
        <v>0</v>
      </c>
      <c r="BF40" s="63">
        <v>0</v>
      </c>
      <c r="BG40" s="149">
        <v>0</v>
      </c>
      <c r="BH40" s="149">
        <v>0</v>
      </c>
      <c r="BI40" s="149">
        <v>0</v>
      </c>
      <c r="BJ40" s="149">
        <v>0</v>
      </c>
      <c r="BK40" s="149">
        <v>0</v>
      </c>
      <c r="BL40" s="149">
        <v>0</v>
      </c>
      <c r="BM40" s="149">
        <v>0</v>
      </c>
      <c r="BN40" s="149">
        <v>0</v>
      </c>
      <c r="BO40" s="149">
        <v>0</v>
      </c>
      <c r="BP40" s="149">
        <v>0</v>
      </c>
    </row>
    <row r="41" spans="1:68" ht="15" hidden="1" customHeight="1" outlineLevel="1">
      <c r="A41" t="s">
        <v>18</v>
      </c>
      <c r="B41" s="38" t="s">
        <v>34</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3">
        <v>115067.27000000002</v>
      </c>
      <c r="AM41" s="63">
        <v>115067.27000000002</v>
      </c>
      <c r="AN41" s="63">
        <v>115067.27000000002</v>
      </c>
      <c r="AO41" s="63">
        <v>0</v>
      </c>
      <c r="AP41" s="63">
        <v>0</v>
      </c>
      <c r="AQ41" s="63">
        <v>0</v>
      </c>
      <c r="AR41" s="63">
        <v>0</v>
      </c>
      <c r="AS41" s="63">
        <v>0</v>
      </c>
      <c r="AT41" s="63">
        <v>0</v>
      </c>
      <c r="AU41" s="63">
        <v>0</v>
      </c>
      <c r="AV41" s="63">
        <v>0</v>
      </c>
      <c r="AW41" s="63">
        <v>0</v>
      </c>
      <c r="AX41" s="63">
        <v>0</v>
      </c>
      <c r="AY41" s="63">
        <v>0</v>
      </c>
      <c r="AZ41" s="63">
        <v>0</v>
      </c>
      <c r="BA41" s="63">
        <v>0</v>
      </c>
      <c r="BB41" s="63"/>
      <c r="BC41" s="63">
        <v>0</v>
      </c>
      <c r="BD41" s="63">
        <v>0</v>
      </c>
      <c r="BE41" s="63">
        <v>0</v>
      </c>
      <c r="BF41" s="63">
        <v>0</v>
      </c>
      <c r="BG41" s="149">
        <v>0</v>
      </c>
      <c r="BH41" s="149">
        <v>0</v>
      </c>
      <c r="BI41" s="149">
        <v>0</v>
      </c>
      <c r="BJ41" s="149">
        <v>0</v>
      </c>
      <c r="BK41" s="149">
        <v>0</v>
      </c>
      <c r="BL41" s="149">
        <v>0</v>
      </c>
      <c r="BM41" s="149">
        <v>0</v>
      </c>
      <c r="BN41" s="149">
        <v>0</v>
      </c>
      <c r="BO41" s="149">
        <v>0</v>
      </c>
      <c r="BP41" s="149">
        <v>0</v>
      </c>
    </row>
    <row r="42" spans="1:68" ht="15" hidden="1" customHeight="1" outlineLevel="1">
      <c r="A42" t="s">
        <v>18</v>
      </c>
      <c r="B42" s="38" t="s">
        <v>35</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3">
        <v>75975.600000000006</v>
      </c>
      <c r="AM42" s="63">
        <v>75975.600000000006</v>
      </c>
      <c r="AN42" s="63">
        <v>75975.600000000006</v>
      </c>
      <c r="AO42" s="63">
        <v>0</v>
      </c>
      <c r="AP42" s="63">
        <v>0</v>
      </c>
      <c r="AQ42" s="63">
        <v>0</v>
      </c>
      <c r="AR42" s="63">
        <v>0</v>
      </c>
      <c r="AS42" s="63">
        <v>0</v>
      </c>
      <c r="AT42" s="63">
        <v>0</v>
      </c>
      <c r="AU42" s="63">
        <v>0</v>
      </c>
      <c r="AV42" s="63">
        <v>0</v>
      </c>
      <c r="AW42" s="63">
        <v>0</v>
      </c>
      <c r="AX42" s="63">
        <v>0</v>
      </c>
      <c r="AY42" s="63">
        <v>0</v>
      </c>
      <c r="AZ42" s="63">
        <v>0</v>
      </c>
      <c r="BA42" s="63">
        <v>0</v>
      </c>
      <c r="BB42" s="63"/>
      <c r="BC42" s="63">
        <v>0</v>
      </c>
      <c r="BD42" s="63">
        <v>0</v>
      </c>
      <c r="BE42" s="63">
        <v>0</v>
      </c>
      <c r="BF42" s="63">
        <v>0</v>
      </c>
      <c r="BG42" s="149">
        <v>0</v>
      </c>
      <c r="BH42" s="149">
        <v>0</v>
      </c>
      <c r="BI42" s="149">
        <v>0</v>
      </c>
      <c r="BJ42" s="149">
        <v>0</v>
      </c>
      <c r="BK42" s="149">
        <v>0</v>
      </c>
      <c r="BL42" s="149">
        <v>0</v>
      </c>
      <c r="BM42" s="149">
        <v>0</v>
      </c>
      <c r="BN42" s="149">
        <v>0</v>
      </c>
      <c r="BO42" s="149">
        <v>0</v>
      </c>
      <c r="BP42" s="149">
        <v>0</v>
      </c>
    </row>
    <row r="43" spans="1:68" ht="15" hidden="1" customHeight="1" outlineLevel="1">
      <c r="A43" t="s">
        <v>18</v>
      </c>
      <c r="B43" s="38" t="s">
        <v>36</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2">
        <v>0</v>
      </c>
      <c r="AK43" s="62">
        <v>0</v>
      </c>
      <c r="AL43" s="63">
        <v>33066.720000000001</v>
      </c>
      <c r="AM43" s="63">
        <v>33066.720000000001</v>
      </c>
      <c r="AN43" s="63">
        <v>33066.720000000001</v>
      </c>
      <c r="AO43" s="63">
        <v>0</v>
      </c>
      <c r="AP43" s="63">
        <v>0</v>
      </c>
      <c r="AQ43" s="63">
        <v>0</v>
      </c>
      <c r="AR43" s="63">
        <v>0</v>
      </c>
      <c r="AS43" s="63">
        <v>0</v>
      </c>
      <c r="AT43" s="63">
        <v>0</v>
      </c>
      <c r="AU43" s="63">
        <v>0</v>
      </c>
      <c r="AV43" s="63">
        <v>0</v>
      </c>
      <c r="AW43" s="63">
        <v>0</v>
      </c>
      <c r="AX43" s="63">
        <v>0</v>
      </c>
      <c r="AY43" s="63">
        <v>0</v>
      </c>
      <c r="AZ43" s="63">
        <v>0</v>
      </c>
      <c r="BA43" s="63">
        <v>0</v>
      </c>
      <c r="BB43" s="63"/>
      <c r="BC43" s="63">
        <v>0</v>
      </c>
      <c r="BD43" s="63">
        <v>0</v>
      </c>
      <c r="BE43" s="63">
        <v>0</v>
      </c>
      <c r="BF43" s="63">
        <v>0</v>
      </c>
      <c r="BG43" s="149">
        <v>0</v>
      </c>
      <c r="BH43" s="149">
        <v>0</v>
      </c>
      <c r="BI43" s="149">
        <v>0</v>
      </c>
      <c r="BJ43" s="149">
        <v>0</v>
      </c>
      <c r="BK43" s="149">
        <v>0</v>
      </c>
      <c r="BL43" s="149">
        <v>0</v>
      </c>
      <c r="BM43" s="149">
        <v>0</v>
      </c>
      <c r="BN43" s="149">
        <v>0</v>
      </c>
      <c r="BO43" s="149">
        <v>0</v>
      </c>
      <c r="BP43" s="149">
        <v>0</v>
      </c>
    </row>
    <row r="44" spans="1:68" ht="15" hidden="1" customHeight="1" outlineLevel="1">
      <c r="A44" t="s">
        <v>18</v>
      </c>
      <c r="B44" s="86" t="s">
        <v>37</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3">
        <v>229372.81</v>
      </c>
      <c r="AM44" s="63">
        <v>229372.81</v>
      </c>
      <c r="AN44" s="63">
        <v>229372.81</v>
      </c>
      <c r="AO44" s="63">
        <v>0</v>
      </c>
      <c r="AP44" s="63">
        <v>0</v>
      </c>
      <c r="AQ44" s="63">
        <v>0</v>
      </c>
      <c r="AR44" s="63">
        <v>0</v>
      </c>
      <c r="AS44" s="63">
        <v>0</v>
      </c>
      <c r="AT44" s="63">
        <v>0</v>
      </c>
      <c r="AU44" s="63">
        <v>0</v>
      </c>
      <c r="AV44" s="63">
        <v>0</v>
      </c>
      <c r="AW44" s="63">
        <v>0</v>
      </c>
      <c r="AX44" s="63">
        <v>0</v>
      </c>
      <c r="AY44" s="63">
        <v>0</v>
      </c>
      <c r="AZ44" s="63">
        <v>0</v>
      </c>
      <c r="BA44" s="63">
        <v>0</v>
      </c>
      <c r="BB44" s="63"/>
      <c r="BC44" s="63">
        <v>0</v>
      </c>
      <c r="BD44" s="63">
        <v>0</v>
      </c>
      <c r="BE44" s="63">
        <v>0</v>
      </c>
      <c r="BF44" s="63">
        <v>0</v>
      </c>
      <c r="BG44" s="149">
        <v>0</v>
      </c>
      <c r="BH44" s="149">
        <v>0</v>
      </c>
      <c r="BI44" s="149">
        <v>0</v>
      </c>
      <c r="BJ44" s="149">
        <v>0</v>
      </c>
      <c r="BK44" s="149">
        <v>0</v>
      </c>
      <c r="BL44" s="149">
        <v>0</v>
      </c>
      <c r="BM44" s="149">
        <v>0</v>
      </c>
      <c r="BN44" s="149">
        <v>0</v>
      </c>
      <c r="BO44" s="149">
        <v>0</v>
      </c>
      <c r="BP44" s="149">
        <v>0</v>
      </c>
    </row>
    <row r="45" spans="1:68" ht="15" hidden="1" customHeight="1" outlineLevel="1">
      <c r="A45" t="s">
        <v>18</v>
      </c>
      <c r="B45" s="86" t="s">
        <v>38</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165671.36000000002</v>
      </c>
      <c r="AA45" s="62">
        <v>165671.36000000002</v>
      </c>
      <c r="AB45" s="62">
        <v>165671.36000000002</v>
      </c>
      <c r="AC45" s="62">
        <v>229372.81</v>
      </c>
      <c r="AD45" s="62">
        <v>229372.81</v>
      </c>
      <c r="AE45" s="62">
        <v>229372.81</v>
      </c>
      <c r="AF45" s="62">
        <v>229372.81</v>
      </c>
      <c r="AG45" s="62">
        <v>229372.81</v>
      </c>
      <c r="AH45" s="62">
        <v>229372.81</v>
      </c>
      <c r="AI45" s="62">
        <v>229372.81</v>
      </c>
      <c r="AJ45" s="62">
        <v>229372.81</v>
      </c>
      <c r="AK45" s="62">
        <v>229372.81</v>
      </c>
      <c r="AL45" s="63">
        <v>229372.81</v>
      </c>
      <c r="AM45" s="63">
        <v>229372.81</v>
      </c>
      <c r="AN45" s="63">
        <v>229372.81</v>
      </c>
      <c r="AO45" s="63">
        <v>0</v>
      </c>
      <c r="AP45" s="63">
        <v>0</v>
      </c>
      <c r="AQ45" s="63">
        <v>0</v>
      </c>
      <c r="AR45" s="63">
        <v>0</v>
      </c>
      <c r="AS45" s="63">
        <v>0</v>
      </c>
      <c r="AT45" s="63">
        <v>0</v>
      </c>
      <c r="AU45" s="63">
        <v>0</v>
      </c>
      <c r="AV45" s="63">
        <v>0</v>
      </c>
      <c r="AW45" s="63">
        <v>0</v>
      </c>
      <c r="AX45" s="63">
        <v>0</v>
      </c>
      <c r="AY45" s="63">
        <v>0</v>
      </c>
      <c r="AZ45" s="63">
        <v>0</v>
      </c>
      <c r="BA45" s="63">
        <v>0</v>
      </c>
      <c r="BB45" s="63"/>
      <c r="BC45" s="63">
        <v>0</v>
      </c>
      <c r="BD45" s="63">
        <v>0</v>
      </c>
      <c r="BE45" s="63">
        <v>0</v>
      </c>
      <c r="BF45" s="63">
        <v>0</v>
      </c>
      <c r="BG45" s="149">
        <v>0</v>
      </c>
      <c r="BH45" s="149">
        <v>0</v>
      </c>
      <c r="BI45" s="149">
        <v>0</v>
      </c>
      <c r="BJ45" s="149">
        <v>0</v>
      </c>
      <c r="BK45" s="149">
        <v>0</v>
      </c>
      <c r="BL45" s="149">
        <v>0</v>
      </c>
      <c r="BM45" s="149">
        <v>0</v>
      </c>
      <c r="BN45" s="149">
        <v>0</v>
      </c>
      <c r="BO45" s="149">
        <v>0</v>
      </c>
      <c r="BP45" s="149">
        <v>0</v>
      </c>
    </row>
    <row r="46" spans="1:68" ht="15" hidden="1" customHeight="1" outlineLevel="1">
      <c r="A46" t="s">
        <v>18</v>
      </c>
      <c r="B46" s="86" t="s">
        <v>39</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54453.350000000006</v>
      </c>
      <c r="AC46" s="62">
        <v>54453.350000000006</v>
      </c>
      <c r="AD46" s="62">
        <v>54453.350000000006</v>
      </c>
      <c r="AE46" s="62">
        <v>54453.350000000006</v>
      </c>
      <c r="AF46" s="62">
        <v>54453.350000000006</v>
      </c>
      <c r="AG46" s="62">
        <v>54453.350000000006</v>
      </c>
      <c r="AH46" s="62">
        <v>54453.350000000006</v>
      </c>
      <c r="AI46" s="62">
        <v>54453.350000000006</v>
      </c>
      <c r="AJ46" s="62">
        <v>54453.350000000006</v>
      </c>
      <c r="AK46" s="62">
        <v>54453.350000000006</v>
      </c>
      <c r="AL46" s="63">
        <v>54453.350000000006</v>
      </c>
      <c r="AM46" s="63">
        <v>54453.350000000006</v>
      </c>
      <c r="AN46" s="63">
        <v>54453.350000000006</v>
      </c>
      <c r="AO46" s="63">
        <v>0</v>
      </c>
      <c r="AP46" s="63">
        <v>0</v>
      </c>
      <c r="AQ46" s="63">
        <v>0</v>
      </c>
      <c r="AR46" s="63">
        <v>0</v>
      </c>
      <c r="AS46" s="63">
        <v>0</v>
      </c>
      <c r="AT46" s="63">
        <v>0</v>
      </c>
      <c r="AU46" s="63">
        <v>0</v>
      </c>
      <c r="AV46" s="63">
        <v>0</v>
      </c>
      <c r="AW46" s="63">
        <v>0</v>
      </c>
      <c r="AX46" s="63">
        <v>0</v>
      </c>
      <c r="AY46" s="63">
        <v>0</v>
      </c>
      <c r="AZ46" s="63">
        <v>0</v>
      </c>
      <c r="BA46" s="63">
        <v>0</v>
      </c>
      <c r="BB46" s="63"/>
      <c r="BC46" s="63">
        <v>0</v>
      </c>
      <c r="BD46" s="63">
        <v>0</v>
      </c>
      <c r="BE46" s="63">
        <v>0</v>
      </c>
      <c r="BF46" s="63">
        <v>0</v>
      </c>
      <c r="BG46" s="149">
        <v>0</v>
      </c>
      <c r="BH46" s="149">
        <v>0</v>
      </c>
      <c r="BI46" s="149">
        <v>0</v>
      </c>
      <c r="BJ46" s="149">
        <v>0</v>
      </c>
      <c r="BK46" s="149">
        <v>0</v>
      </c>
      <c r="BL46" s="149">
        <v>0</v>
      </c>
      <c r="BM46" s="149">
        <v>0</v>
      </c>
      <c r="BN46" s="149">
        <v>0</v>
      </c>
      <c r="BO46" s="149">
        <v>0</v>
      </c>
      <c r="BP46" s="149">
        <v>0</v>
      </c>
    </row>
    <row r="47" spans="1:68" ht="15" hidden="1" customHeight="1" outlineLevel="1">
      <c r="A47" t="s">
        <v>18</v>
      </c>
      <c r="B47" s="86" t="s">
        <v>21</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3">
        <v>114075.18</v>
      </c>
      <c r="AM47" s="63">
        <v>114075.18</v>
      </c>
      <c r="AN47" s="63">
        <v>114075.18</v>
      </c>
      <c r="AO47" s="63">
        <v>0</v>
      </c>
      <c r="AP47" s="63">
        <v>0</v>
      </c>
      <c r="AQ47" s="63">
        <v>0</v>
      </c>
      <c r="AR47" s="63">
        <v>0</v>
      </c>
      <c r="AS47" s="63">
        <v>0</v>
      </c>
      <c r="AT47" s="63">
        <v>0</v>
      </c>
      <c r="AU47" s="63">
        <v>0</v>
      </c>
      <c r="AV47" s="63">
        <v>0</v>
      </c>
      <c r="AW47" s="63">
        <v>0</v>
      </c>
      <c r="AX47" s="63">
        <v>0</v>
      </c>
      <c r="AY47" s="63">
        <v>0</v>
      </c>
      <c r="AZ47" s="63">
        <v>0</v>
      </c>
      <c r="BA47" s="63">
        <v>0</v>
      </c>
      <c r="BB47" s="63"/>
      <c r="BC47" s="63">
        <v>0</v>
      </c>
      <c r="BD47" s="63">
        <v>0</v>
      </c>
      <c r="BE47" s="63">
        <v>0</v>
      </c>
      <c r="BF47" s="63">
        <v>0</v>
      </c>
      <c r="BG47" s="149">
        <v>0</v>
      </c>
      <c r="BH47" s="149">
        <v>0</v>
      </c>
      <c r="BI47" s="149">
        <v>0</v>
      </c>
      <c r="BJ47" s="149">
        <v>0</v>
      </c>
      <c r="BK47" s="149">
        <v>0</v>
      </c>
      <c r="BL47" s="149">
        <v>0</v>
      </c>
      <c r="BM47" s="149">
        <v>0</v>
      </c>
      <c r="BN47" s="149">
        <v>0</v>
      </c>
      <c r="BO47" s="149">
        <v>0</v>
      </c>
      <c r="BP47" s="149">
        <v>0</v>
      </c>
    </row>
    <row r="48" spans="1:68" ht="15" hidden="1" customHeight="1" outlineLevel="1">
      <c r="A48" t="s">
        <v>18</v>
      </c>
      <c r="B48" s="86" t="s">
        <v>22</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3">
        <v>61008</v>
      </c>
      <c r="AM48" s="63">
        <v>61008</v>
      </c>
      <c r="AN48" s="63">
        <v>61008</v>
      </c>
      <c r="AO48" s="63">
        <v>0</v>
      </c>
      <c r="AP48" s="63">
        <v>0</v>
      </c>
      <c r="AQ48" s="63">
        <v>0</v>
      </c>
      <c r="AR48" s="63">
        <v>0</v>
      </c>
      <c r="AS48" s="63">
        <v>0</v>
      </c>
      <c r="AT48" s="63">
        <v>0</v>
      </c>
      <c r="AU48" s="63">
        <v>0</v>
      </c>
      <c r="AV48" s="63">
        <v>0</v>
      </c>
      <c r="AW48" s="63">
        <v>0</v>
      </c>
      <c r="AX48" s="63">
        <v>0</v>
      </c>
      <c r="AY48" s="63">
        <v>0</v>
      </c>
      <c r="AZ48" s="63">
        <v>0</v>
      </c>
      <c r="BA48" s="63">
        <v>0</v>
      </c>
      <c r="BB48" s="63"/>
      <c r="BC48" s="63">
        <v>0</v>
      </c>
      <c r="BD48" s="63">
        <v>0</v>
      </c>
      <c r="BE48" s="63">
        <v>0</v>
      </c>
      <c r="BF48" s="63">
        <v>0</v>
      </c>
      <c r="BG48" s="149">
        <v>0</v>
      </c>
      <c r="BH48" s="149">
        <v>0</v>
      </c>
      <c r="BI48" s="149">
        <v>0</v>
      </c>
      <c r="BJ48" s="149">
        <v>0</v>
      </c>
      <c r="BK48" s="149">
        <v>0</v>
      </c>
      <c r="BL48" s="149">
        <v>0</v>
      </c>
      <c r="BM48" s="149">
        <v>0</v>
      </c>
      <c r="BN48" s="149">
        <v>0</v>
      </c>
      <c r="BO48" s="149">
        <v>0</v>
      </c>
      <c r="BP48" s="149">
        <v>0</v>
      </c>
    </row>
    <row r="49" spans="1:68" ht="15" hidden="1" customHeight="1" outlineLevel="1">
      <c r="A49" t="s">
        <v>18</v>
      </c>
      <c r="B49" s="86" t="s">
        <v>24</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99471</v>
      </c>
      <c r="AM49" s="63">
        <v>153959</v>
      </c>
      <c r="AN49" s="63">
        <v>153959</v>
      </c>
      <c r="AO49" s="63">
        <v>0</v>
      </c>
      <c r="AP49" s="63">
        <v>0</v>
      </c>
      <c r="AQ49" s="63">
        <v>0</v>
      </c>
      <c r="AR49" s="63">
        <v>0</v>
      </c>
      <c r="AS49" s="63">
        <v>0</v>
      </c>
      <c r="AT49" s="63">
        <v>0</v>
      </c>
      <c r="AU49" s="63">
        <v>0</v>
      </c>
      <c r="AV49" s="63">
        <v>0</v>
      </c>
      <c r="AW49" s="63">
        <v>0</v>
      </c>
      <c r="AX49" s="63">
        <v>0</v>
      </c>
      <c r="AY49" s="63">
        <v>0</v>
      </c>
      <c r="AZ49" s="63">
        <v>0</v>
      </c>
      <c r="BA49" s="63">
        <v>0</v>
      </c>
      <c r="BB49" s="63"/>
      <c r="BC49" s="63">
        <v>0</v>
      </c>
      <c r="BD49" s="63">
        <v>0</v>
      </c>
      <c r="BE49" s="63">
        <v>0</v>
      </c>
      <c r="BF49" s="63">
        <v>0</v>
      </c>
      <c r="BG49" s="149">
        <v>0</v>
      </c>
      <c r="BH49" s="149">
        <v>0</v>
      </c>
      <c r="BI49" s="149">
        <v>0</v>
      </c>
      <c r="BJ49" s="149">
        <v>0</v>
      </c>
      <c r="BK49" s="149">
        <v>0</v>
      </c>
      <c r="BL49" s="149">
        <v>0</v>
      </c>
      <c r="BM49" s="149">
        <v>0</v>
      </c>
      <c r="BN49" s="149">
        <v>0</v>
      </c>
      <c r="BO49" s="149">
        <v>0</v>
      </c>
      <c r="BP49" s="149">
        <v>0</v>
      </c>
    </row>
    <row r="50" spans="1:68" s="15" customFormat="1" ht="15" customHeight="1" collapsed="1" thickBot="1">
      <c r="A50" s="15" t="s">
        <v>18</v>
      </c>
      <c r="B50" s="82" t="str">
        <f>IF('Sumário | Summary'!P1=1,"Outros","Others")</f>
        <v>Outros</v>
      </c>
      <c r="C50" s="140">
        <f t="shared" ref="C50:BN50" si="11">SUM(C51:C51)</f>
        <v>0</v>
      </c>
      <c r="D50" s="140">
        <f t="shared" si="11"/>
        <v>0</v>
      </c>
      <c r="E50" s="140">
        <f t="shared" si="11"/>
        <v>0</v>
      </c>
      <c r="F50" s="140">
        <f t="shared" si="11"/>
        <v>0</v>
      </c>
      <c r="G50" s="140">
        <f t="shared" si="11"/>
        <v>0</v>
      </c>
      <c r="H50" s="140">
        <f t="shared" si="11"/>
        <v>0</v>
      </c>
      <c r="I50" s="140">
        <f t="shared" si="11"/>
        <v>0</v>
      </c>
      <c r="J50" s="140">
        <f t="shared" si="11"/>
        <v>0</v>
      </c>
      <c r="K50" s="140">
        <f t="shared" si="11"/>
        <v>0</v>
      </c>
      <c r="L50" s="140">
        <f t="shared" si="11"/>
        <v>0</v>
      </c>
      <c r="M50" s="140">
        <f t="shared" si="11"/>
        <v>0</v>
      </c>
      <c r="N50" s="140">
        <f t="shared" si="11"/>
        <v>0</v>
      </c>
      <c r="O50" s="140">
        <f t="shared" si="11"/>
        <v>0</v>
      </c>
      <c r="P50" s="140">
        <f t="shared" si="11"/>
        <v>0</v>
      </c>
      <c r="Q50" s="140">
        <f t="shared" si="11"/>
        <v>0</v>
      </c>
      <c r="R50" s="140">
        <f t="shared" si="11"/>
        <v>0</v>
      </c>
      <c r="S50" s="140">
        <f t="shared" si="11"/>
        <v>0</v>
      </c>
      <c r="T50" s="140">
        <f t="shared" si="11"/>
        <v>0</v>
      </c>
      <c r="U50" s="140">
        <f t="shared" si="11"/>
        <v>0</v>
      </c>
      <c r="V50" s="140">
        <f t="shared" si="11"/>
        <v>0</v>
      </c>
      <c r="W50" s="140">
        <f t="shared" si="11"/>
        <v>47930</v>
      </c>
      <c r="X50" s="140">
        <f t="shared" si="11"/>
        <v>47930</v>
      </c>
      <c r="Y50" s="140">
        <f t="shared" si="11"/>
        <v>47930</v>
      </c>
      <c r="Z50" s="140">
        <f t="shared" si="11"/>
        <v>47930</v>
      </c>
      <c r="AA50" s="140">
        <f t="shared" si="11"/>
        <v>47930</v>
      </c>
      <c r="AB50" s="140">
        <f t="shared" si="11"/>
        <v>45540</v>
      </c>
      <c r="AC50" s="140">
        <f t="shared" si="11"/>
        <v>45540</v>
      </c>
      <c r="AD50" s="140">
        <f t="shared" si="11"/>
        <v>45540</v>
      </c>
      <c r="AE50" s="140">
        <f t="shared" si="11"/>
        <v>45540</v>
      </c>
      <c r="AF50" s="140">
        <f t="shared" si="11"/>
        <v>45540</v>
      </c>
      <c r="AG50" s="140">
        <f t="shared" si="11"/>
        <v>45540</v>
      </c>
      <c r="AH50" s="140">
        <f t="shared" si="11"/>
        <v>45650</v>
      </c>
      <c r="AI50" s="140">
        <f t="shared" si="11"/>
        <v>45650</v>
      </c>
      <c r="AJ50" s="140">
        <f t="shared" si="11"/>
        <v>45650</v>
      </c>
      <c r="AK50" s="140">
        <f t="shared" si="11"/>
        <v>45650</v>
      </c>
      <c r="AL50" s="140">
        <f t="shared" si="11"/>
        <v>45714</v>
      </c>
      <c r="AM50" s="140">
        <f t="shared" si="11"/>
        <v>45872.2</v>
      </c>
      <c r="AN50" s="140">
        <f t="shared" si="11"/>
        <v>45872.2</v>
      </c>
      <c r="AO50" s="140">
        <f t="shared" si="11"/>
        <v>45872.2</v>
      </c>
      <c r="AP50" s="140">
        <f t="shared" si="11"/>
        <v>45872.2</v>
      </c>
      <c r="AQ50" s="140">
        <f t="shared" si="11"/>
        <v>45872.2</v>
      </c>
      <c r="AR50" s="140">
        <f t="shared" si="11"/>
        <v>45844.480000000003</v>
      </c>
      <c r="AS50" s="140">
        <f t="shared" si="11"/>
        <v>45844.480000000003</v>
      </c>
      <c r="AT50" s="140">
        <f t="shared" si="11"/>
        <v>45844.480000000003</v>
      </c>
      <c r="AU50" s="140">
        <f t="shared" si="11"/>
        <v>45844</v>
      </c>
      <c r="AV50" s="140">
        <f t="shared" si="11"/>
        <v>45844</v>
      </c>
      <c r="AW50" s="140">
        <f t="shared" si="11"/>
        <v>45844</v>
      </c>
      <c r="AX50" s="140">
        <f t="shared" si="11"/>
        <v>45844</v>
      </c>
      <c r="AY50" s="140">
        <f t="shared" si="11"/>
        <v>45844</v>
      </c>
      <c r="AZ50" s="140">
        <f t="shared" si="11"/>
        <v>45844</v>
      </c>
      <c r="BA50" s="140">
        <f t="shared" si="11"/>
        <v>45844.480000000003</v>
      </c>
      <c r="BB50" s="140">
        <f t="shared" si="11"/>
        <v>45844</v>
      </c>
      <c r="BC50" s="140">
        <f t="shared" si="11"/>
        <v>45808.480000000003</v>
      </c>
      <c r="BD50" s="140">
        <f t="shared" si="11"/>
        <v>45808.480000000003</v>
      </c>
      <c r="BE50" s="140">
        <f t="shared" si="11"/>
        <v>45808.480000000003</v>
      </c>
      <c r="BF50" s="140">
        <f t="shared" si="11"/>
        <v>45808.480000000003</v>
      </c>
      <c r="BG50" s="140">
        <f t="shared" si="11"/>
        <v>45808.480000000003</v>
      </c>
      <c r="BH50" s="140">
        <f t="shared" si="11"/>
        <v>45808.480000000003</v>
      </c>
      <c r="BI50" s="140">
        <f t="shared" si="11"/>
        <v>45808.480000000003</v>
      </c>
      <c r="BJ50" s="140">
        <f t="shared" si="11"/>
        <v>45808.480000000003</v>
      </c>
      <c r="BK50" s="140">
        <f t="shared" si="11"/>
        <v>45808.480000000003</v>
      </c>
      <c r="BL50" s="140">
        <f t="shared" si="11"/>
        <v>45810.479999999996</v>
      </c>
      <c r="BM50" s="140">
        <f t="shared" si="11"/>
        <v>45808.5</v>
      </c>
      <c r="BN50" s="140">
        <f t="shared" si="11"/>
        <v>45808.5</v>
      </c>
      <c r="BO50" s="140">
        <f t="shared" ref="BO50" si="12">SUM(BO51:BO51)</f>
        <v>45808.5</v>
      </c>
      <c r="BP50" s="140">
        <f>SUM(BP51:BP51)</f>
        <v>45808.5</v>
      </c>
    </row>
    <row r="51" spans="1:68" ht="15" hidden="1" customHeight="1" outlineLevel="1" thickBot="1">
      <c r="A51" t="s">
        <v>208</v>
      </c>
      <c r="B51" s="38" t="s">
        <v>25</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47930</v>
      </c>
      <c r="X51" s="62">
        <v>47930</v>
      </c>
      <c r="Y51" s="62">
        <v>47930</v>
      </c>
      <c r="Z51" s="62">
        <v>47930</v>
      </c>
      <c r="AA51" s="62">
        <v>47930</v>
      </c>
      <c r="AB51" s="62">
        <v>45540</v>
      </c>
      <c r="AC51" s="62">
        <v>45540</v>
      </c>
      <c r="AD51" s="62">
        <v>45540</v>
      </c>
      <c r="AE51" s="62">
        <v>45540</v>
      </c>
      <c r="AF51" s="62">
        <v>45540</v>
      </c>
      <c r="AG51" s="62">
        <v>45540</v>
      </c>
      <c r="AH51" s="62">
        <v>45650</v>
      </c>
      <c r="AI51" s="62">
        <v>45650</v>
      </c>
      <c r="AJ51" s="63">
        <v>45650</v>
      </c>
      <c r="AK51" s="63">
        <v>45650</v>
      </c>
      <c r="AL51" s="63">
        <v>45714</v>
      </c>
      <c r="AM51" s="63">
        <v>45872.2</v>
      </c>
      <c r="AN51" s="63">
        <v>45872.2</v>
      </c>
      <c r="AO51" s="63">
        <v>45872.2</v>
      </c>
      <c r="AP51" s="63">
        <v>45872.2</v>
      </c>
      <c r="AQ51" s="63">
        <v>45872.2</v>
      </c>
      <c r="AR51" s="63">
        <v>45844.480000000003</v>
      </c>
      <c r="AS51" s="63">
        <v>45844.480000000003</v>
      </c>
      <c r="AT51" s="63">
        <v>45844.480000000003</v>
      </c>
      <c r="AU51" s="149">
        <v>45844</v>
      </c>
      <c r="AV51" s="149">
        <v>45844</v>
      </c>
      <c r="AW51" s="149">
        <v>45844</v>
      </c>
      <c r="AX51" s="149">
        <v>45844</v>
      </c>
      <c r="AY51" s="149">
        <v>45844</v>
      </c>
      <c r="AZ51" s="149">
        <v>45844</v>
      </c>
      <c r="BA51" s="149">
        <v>45844.480000000003</v>
      </c>
      <c r="BB51" s="149">
        <v>45844</v>
      </c>
      <c r="BC51" s="63">
        <v>45808.480000000003</v>
      </c>
      <c r="BD51" s="63">
        <v>45808.480000000003</v>
      </c>
      <c r="BE51" s="63">
        <v>45808.480000000003</v>
      </c>
      <c r="BF51" s="63">
        <v>45808.480000000003</v>
      </c>
      <c r="BG51" s="149">
        <v>45808.480000000003</v>
      </c>
      <c r="BH51" s="149">
        <v>45808.480000000003</v>
      </c>
      <c r="BI51" s="149">
        <v>45808.480000000003</v>
      </c>
      <c r="BJ51" s="149">
        <v>45808.480000000003</v>
      </c>
      <c r="BK51" s="149">
        <v>45808.480000000003</v>
      </c>
      <c r="BL51" s="149">
        <v>45810.479999999996</v>
      </c>
      <c r="BM51" s="149">
        <v>45808.5</v>
      </c>
      <c r="BN51" s="149">
        <v>45808.5</v>
      </c>
      <c r="BO51" s="149">
        <v>45808.5</v>
      </c>
      <c r="BP51" s="149">
        <v>45808.5</v>
      </c>
    </row>
    <row r="52" spans="1:68" s="15" customFormat="1" ht="15" customHeight="1" collapsed="1" thickTop="1" thickBot="1">
      <c r="B52" s="151" t="s">
        <v>14</v>
      </c>
      <c r="C52" s="141">
        <f t="shared" ref="C52:BN52" si="13">C7+C29+C38+C50</f>
        <v>171067.856</v>
      </c>
      <c r="D52" s="141">
        <f t="shared" si="13"/>
        <v>186094.41999999998</v>
      </c>
      <c r="E52" s="141">
        <f t="shared" si="13"/>
        <v>186094.41999999998</v>
      </c>
      <c r="F52" s="141">
        <f t="shared" si="13"/>
        <v>186094.41999999998</v>
      </c>
      <c r="G52" s="141">
        <f t="shared" si="13"/>
        <v>193400.41999999998</v>
      </c>
      <c r="H52" s="141">
        <f t="shared" si="13"/>
        <v>193145.41999999998</v>
      </c>
      <c r="I52" s="141">
        <f t="shared" si="13"/>
        <v>193442.41999999998</v>
      </c>
      <c r="J52" s="141">
        <f t="shared" si="13"/>
        <v>196358.41999999998</v>
      </c>
      <c r="K52" s="141">
        <f t="shared" si="13"/>
        <v>194559.41999999998</v>
      </c>
      <c r="L52" s="141">
        <f t="shared" si="13"/>
        <v>191844.41999999998</v>
      </c>
      <c r="M52" s="141">
        <f t="shared" si="13"/>
        <v>192691.41999999998</v>
      </c>
      <c r="N52" s="141">
        <f t="shared" si="13"/>
        <v>192691.41999999998</v>
      </c>
      <c r="O52" s="141">
        <f t="shared" si="13"/>
        <v>192691.41999999998</v>
      </c>
      <c r="P52" s="141">
        <f t="shared" si="13"/>
        <v>190925.41999999998</v>
      </c>
      <c r="Q52" s="141">
        <f t="shared" si="13"/>
        <v>190925.41999999998</v>
      </c>
      <c r="R52" s="141">
        <f t="shared" si="13"/>
        <v>190925.41999999998</v>
      </c>
      <c r="S52" s="141">
        <f t="shared" si="13"/>
        <v>190925.41999999998</v>
      </c>
      <c r="T52" s="141">
        <f t="shared" si="13"/>
        <v>190925.41999999998</v>
      </c>
      <c r="U52" s="141">
        <f t="shared" si="13"/>
        <v>190925.41999999998</v>
      </c>
      <c r="V52" s="141">
        <f t="shared" si="13"/>
        <v>205459.41999999998</v>
      </c>
      <c r="W52" s="141">
        <f t="shared" si="13"/>
        <v>253389.41999999998</v>
      </c>
      <c r="X52" s="141">
        <f t="shared" si="13"/>
        <v>248877.47</v>
      </c>
      <c r="Y52" s="141">
        <f t="shared" si="13"/>
        <v>259762.60029999999</v>
      </c>
      <c r="Z52" s="141">
        <f t="shared" si="13"/>
        <v>504768.96030000004</v>
      </c>
      <c r="AA52" s="141">
        <f t="shared" si="13"/>
        <v>504768.96030000004</v>
      </c>
      <c r="AB52" s="141">
        <f t="shared" si="13"/>
        <v>556832.31030000001</v>
      </c>
      <c r="AC52" s="141">
        <f t="shared" si="13"/>
        <v>640520.42975216196</v>
      </c>
      <c r="AD52" s="141">
        <f t="shared" si="13"/>
        <v>640518.88872078271</v>
      </c>
      <c r="AE52" s="141">
        <f t="shared" si="13"/>
        <v>640518.88872078271</v>
      </c>
      <c r="AF52" s="141">
        <f t="shared" si="13"/>
        <v>655543.4606597448</v>
      </c>
      <c r="AG52" s="141">
        <f t="shared" si="13"/>
        <v>655542.77575104474</v>
      </c>
      <c r="AH52" s="141">
        <f t="shared" si="13"/>
        <v>654558.5857510448</v>
      </c>
      <c r="AI52" s="141">
        <f t="shared" si="13"/>
        <v>635543.58534031291</v>
      </c>
      <c r="AJ52" s="141">
        <f t="shared" si="13"/>
        <v>681667.0029310782</v>
      </c>
      <c r="AK52" s="141">
        <f t="shared" si="13"/>
        <v>668744.45427490515</v>
      </c>
      <c r="AL52" s="141">
        <f t="shared" si="13"/>
        <v>1480367.1090770545</v>
      </c>
      <c r="AM52" s="141">
        <f t="shared" si="13"/>
        <v>1533430.1139317111</v>
      </c>
      <c r="AN52" s="141">
        <f t="shared" si="13"/>
        <v>1549264.3859999997</v>
      </c>
      <c r="AO52" s="141">
        <f t="shared" si="13"/>
        <v>467737.09600000002</v>
      </c>
      <c r="AP52" s="141">
        <f t="shared" si="13"/>
        <v>469288.06599999999</v>
      </c>
      <c r="AQ52" s="141">
        <f t="shared" si="13"/>
        <v>440567.95600000001</v>
      </c>
      <c r="AR52" s="141">
        <f t="shared" si="13"/>
        <v>429628.83599999989</v>
      </c>
      <c r="AS52" s="141">
        <f t="shared" si="13"/>
        <v>429359.58600000001</v>
      </c>
      <c r="AT52" s="141">
        <f t="shared" si="13"/>
        <v>430303.70600000001</v>
      </c>
      <c r="AU52" s="141">
        <f t="shared" si="13"/>
        <v>504665.57</v>
      </c>
      <c r="AV52" s="141">
        <f t="shared" si="13"/>
        <v>516586.97666666663</v>
      </c>
      <c r="AW52" s="141">
        <f t="shared" si="13"/>
        <v>517435.98666666663</v>
      </c>
      <c r="AX52" s="141">
        <f t="shared" si="13"/>
        <v>532939.44666666677</v>
      </c>
      <c r="AY52" s="141">
        <f t="shared" si="13"/>
        <v>532985.42333333334</v>
      </c>
      <c r="AZ52" s="141">
        <f t="shared" si="13"/>
        <v>532999.66</v>
      </c>
      <c r="BA52" s="141">
        <f t="shared" si="13"/>
        <v>515810.57999999996</v>
      </c>
      <c r="BB52" s="141">
        <f t="shared" si="13"/>
        <v>516056.02333333332</v>
      </c>
      <c r="BC52" s="141">
        <f t="shared" si="13"/>
        <v>515834.82999999996</v>
      </c>
      <c r="BD52" s="141">
        <f t="shared" si="13"/>
        <v>515820.31999999995</v>
      </c>
      <c r="BE52" s="141">
        <f t="shared" si="13"/>
        <v>517062.80921237415</v>
      </c>
      <c r="BF52" s="141">
        <f t="shared" si="13"/>
        <v>383435.95921237417</v>
      </c>
      <c r="BG52" s="141">
        <f t="shared" si="13"/>
        <v>383384.9358790408</v>
      </c>
      <c r="BH52" s="141">
        <f t="shared" si="13"/>
        <v>383390.45587904082</v>
      </c>
      <c r="BI52" s="141">
        <f t="shared" si="13"/>
        <v>383428.31254570751</v>
      </c>
      <c r="BJ52" s="141">
        <f t="shared" si="13"/>
        <v>383464.71254570747</v>
      </c>
      <c r="BK52" s="141">
        <f t="shared" si="13"/>
        <v>383701.03921237419</v>
      </c>
      <c r="BL52" s="141">
        <f t="shared" si="13"/>
        <v>383859.29921237414</v>
      </c>
      <c r="BM52" s="141">
        <f t="shared" si="13"/>
        <v>384060.46597904083</v>
      </c>
      <c r="BN52" s="141">
        <f t="shared" si="13"/>
        <v>409966.73931237409</v>
      </c>
      <c r="BO52" s="141">
        <f t="shared" ref="BO52:BP52" si="14">BO7+BO29+BO38+BO50</f>
        <v>409977.77931237413</v>
      </c>
      <c r="BP52" s="141">
        <f>BP7+BP29+BP38+BP50</f>
        <v>408999.89931237418</v>
      </c>
    </row>
    <row r="53" spans="1:68">
      <c r="AC53" s="64"/>
      <c r="BE53" s="222"/>
      <c r="BF53" s="222"/>
      <c r="BG53" s="222"/>
      <c r="BH53" s="222"/>
      <c r="BI53" s="222"/>
      <c r="BJ53" s="222"/>
      <c r="BK53" s="222"/>
      <c r="BL53" s="222"/>
      <c r="BM53" s="222"/>
      <c r="BN53" s="222"/>
      <c r="BO53" s="222"/>
      <c r="BP53" s="222"/>
    </row>
    <row r="54" spans="1:68" s="7" customFormat="1" ht="18.75" customHeight="1">
      <c r="B54" s="202" t="str">
        <f>IF('Sumário | Summary'!P1=1,"ABL Total da SPE/Fundo (m²) ¹","SPE/Fund Total Area  (sqm) ¹")</f>
        <v>ABL Total da SPE/Fundo (m²) ¹</v>
      </c>
      <c r="C54" s="203" t="str">
        <f t="shared" ref="C54:BH54" si="15">C6</f>
        <v>1T08</v>
      </c>
      <c r="D54" s="203" t="str">
        <f t="shared" si="15"/>
        <v>2T08</v>
      </c>
      <c r="E54" s="203" t="str">
        <f t="shared" si="15"/>
        <v>3T08</v>
      </c>
      <c r="F54" s="203" t="str">
        <f t="shared" si="15"/>
        <v>4T08</v>
      </c>
      <c r="G54" s="203" t="str">
        <f t="shared" si="15"/>
        <v>1T09</v>
      </c>
      <c r="H54" s="203" t="str">
        <f t="shared" si="15"/>
        <v>2T09</v>
      </c>
      <c r="I54" s="203" t="str">
        <f t="shared" si="15"/>
        <v>3T09</v>
      </c>
      <c r="J54" s="203" t="str">
        <f t="shared" si="15"/>
        <v>4T09</v>
      </c>
      <c r="K54" s="203" t="str">
        <f t="shared" si="15"/>
        <v>1T10</v>
      </c>
      <c r="L54" s="203" t="str">
        <f t="shared" si="15"/>
        <v>2T10</v>
      </c>
      <c r="M54" s="203" t="str">
        <f t="shared" si="15"/>
        <v>3T10</v>
      </c>
      <c r="N54" s="203" t="str">
        <f t="shared" si="15"/>
        <v>4T10</v>
      </c>
      <c r="O54" s="203" t="str">
        <f t="shared" si="15"/>
        <v>1T11</v>
      </c>
      <c r="P54" s="203" t="str">
        <f t="shared" si="15"/>
        <v>2T11</v>
      </c>
      <c r="Q54" s="203" t="str">
        <f t="shared" si="15"/>
        <v>3T11</v>
      </c>
      <c r="R54" s="203" t="str">
        <f t="shared" si="15"/>
        <v>4T11</v>
      </c>
      <c r="S54" s="203" t="str">
        <f t="shared" si="15"/>
        <v>1T12</v>
      </c>
      <c r="T54" s="203" t="str">
        <f t="shared" si="15"/>
        <v>2T12</v>
      </c>
      <c r="U54" s="203" t="str">
        <f t="shared" si="15"/>
        <v>3T12</v>
      </c>
      <c r="V54" s="203" t="str">
        <f t="shared" si="15"/>
        <v>4T12</v>
      </c>
      <c r="W54" s="203" t="str">
        <f t="shared" si="15"/>
        <v>1T13</v>
      </c>
      <c r="X54" s="203" t="str">
        <f t="shared" si="15"/>
        <v>2T13</v>
      </c>
      <c r="Y54" s="203" t="str">
        <f t="shared" si="15"/>
        <v>3T13</v>
      </c>
      <c r="Z54" s="203" t="str">
        <f t="shared" si="15"/>
        <v>4T13</v>
      </c>
      <c r="AA54" s="203" t="str">
        <f t="shared" si="15"/>
        <v>1T14</v>
      </c>
      <c r="AB54" s="203" t="str">
        <f t="shared" si="15"/>
        <v>2T14</v>
      </c>
      <c r="AC54" s="203" t="str">
        <f t="shared" si="15"/>
        <v>3T14</v>
      </c>
      <c r="AD54" s="203" t="str">
        <f t="shared" si="15"/>
        <v>4T14</v>
      </c>
      <c r="AE54" s="203" t="str">
        <f t="shared" si="15"/>
        <v>1T15</v>
      </c>
      <c r="AF54" s="203" t="str">
        <f t="shared" si="15"/>
        <v>2T15</v>
      </c>
      <c r="AG54" s="203" t="str">
        <f t="shared" si="15"/>
        <v>3T15</v>
      </c>
      <c r="AH54" s="203" t="str">
        <f t="shared" si="15"/>
        <v>4T15</v>
      </c>
      <c r="AI54" s="203" t="str">
        <f t="shared" si="15"/>
        <v>1T16</v>
      </c>
      <c r="AJ54" s="203" t="str">
        <f t="shared" si="15"/>
        <v>2T16</v>
      </c>
      <c r="AK54" s="203" t="str">
        <f t="shared" si="15"/>
        <v>3T16</v>
      </c>
      <c r="AL54" s="203" t="str">
        <f t="shared" si="15"/>
        <v>4T16</v>
      </c>
      <c r="AM54" s="203" t="str">
        <f t="shared" si="15"/>
        <v>1T17</v>
      </c>
      <c r="AN54" s="203" t="str">
        <f t="shared" si="15"/>
        <v>2T17</v>
      </c>
      <c r="AO54" s="203" t="str">
        <f t="shared" si="15"/>
        <v>3T17</v>
      </c>
      <c r="AP54" s="203" t="str">
        <f t="shared" si="15"/>
        <v>4T17</v>
      </c>
      <c r="AQ54" s="203" t="str">
        <f t="shared" si="15"/>
        <v>1T18</v>
      </c>
      <c r="AR54" s="203" t="str">
        <f t="shared" si="15"/>
        <v>2T18</v>
      </c>
      <c r="AS54" s="203" t="str">
        <f t="shared" si="15"/>
        <v>3T18</v>
      </c>
      <c r="AT54" s="203" t="str">
        <f t="shared" si="15"/>
        <v>4T18</v>
      </c>
      <c r="AU54" s="203" t="str">
        <f t="shared" si="15"/>
        <v>1T19</v>
      </c>
      <c r="AV54" s="203" t="str">
        <f t="shared" si="15"/>
        <v>2T19</v>
      </c>
      <c r="AW54" s="203" t="str">
        <f t="shared" si="15"/>
        <v>3T19</v>
      </c>
      <c r="AX54" s="203" t="str">
        <f t="shared" si="15"/>
        <v>4T19</v>
      </c>
      <c r="AY54" s="203" t="str">
        <f t="shared" si="15"/>
        <v>1T20</v>
      </c>
      <c r="AZ54" s="203" t="str">
        <f t="shared" si="15"/>
        <v>2T20</v>
      </c>
      <c r="BA54" s="203" t="str">
        <f t="shared" si="15"/>
        <v>3T20</v>
      </c>
      <c r="BB54" s="203" t="str">
        <f t="shared" si="15"/>
        <v>4T20</v>
      </c>
      <c r="BC54" s="203" t="str">
        <f t="shared" si="15"/>
        <v>1T21</v>
      </c>
      <c r="BD54" s="203" t="str">
        <f t="shared" si="15"/>
        <v>2T21</v>
      </c>
      <c r="BE54" s="203" t="str">
        <f t="shared" si="15"/>
        <v>3T21</v>
      </c>
      <c r="BF54" s="203" t="str">
        <f t="shared" si="15"/>
        <v>4T21</v>
      </c>
      <c r="BG54" s="203" t="str">
        <f t="shared" si="15"/>
        <v>1T22</v>
      </c>
      <c r="BH54" s="203" t="str">
        <f t="shared" si="15"/>
        <v>2T22</v>
      </c>
      <c r="BI54" s="203" t="str">
        <f t="shared" ref="BI54:BM54" si="16">BI6</f>
        <v>3T22</v>
      </c>
      <c r="BJ54" s="203" t="str">
        <f t="shared" si="16"/>
        <v>4T22</v>
      </c>
      <c r="BK54" s="203" t="str">
        <f t="shared" si="16"/>
        <v>1T23</v>
      </c>
      <c r="BL54" s="203" t="str">
        <f t="shared" si="16"/>
        <v>2T23</v>
      </c>
      <c r="BM54" s="203" t="str">
        <f t="shared" si="16"/>
        <v>3T23</v>
      </c>
      <c r="BN54" s="203" t="s">
        <v>315</v>
      </c>
      <c r="BO54" s="203" t="s">
        <v>321</v>
      </c>
      <c r="BP54" s="203" t="str">
        <f t="shared" ref="BP54" si="17">BP6</f>
        <v>2T24</v>
      </c>
    </row>
    <row r="55" spans="1:68" s="15" customFormat="1" ht="15" customHeight="1">
      <c r="B55" s="148" t="str">
        <f>IF('Sumário | Summary'!P1=1,"Escritórios","Offices")</f>
        <v>Escritórios</v>
      </c>
      <c r="C55" s="140">
        <f t="shared" ref="C55:BN55" si="18">C56+C68</f>
        <v>76887.076000000001</v>
      </c>
      <c r="D55" s="140">
        <f t="shared" si="18"/>
        <v>91913.639999999985</v>
      </c>
      <c r="E55" s="140">
        <f t="shared" si="18"/>
        <v>91913.639999999985</v>
      </c>
      <c r="F55" s="140">
        <f t="shared" si="18"/>
        <v>91913.639999999985</v>
      </c>
      <c r="G55" s="140">
        <f t="shared" si="18"/>
        <v>99219.639999999985</v>
      </c>
      <c r="H55" s="140">
        <f t="shared" si="18"/>
        <v>98964.639999999985</v>
      </c>
      <c r="I55" s="140">
        <f t="shared" si="18"/>
        <v>98964.639999999985</v>
      </c>
      <c r="J55" s="140">
        <f t="shared" si="18"/>
        <v>98193.639999999985</v>
      </c>
      <c r="K55" s="140">
        <f t="shared" si="18"/>
        <v>96394.639999999985</v>
      </c>
      <c r="L55" s="140">
        <f t="shared" si="18"/>
        <v>93679.639999999985</v>
      </c>
      <c r="M55" s="140">
        <f t="shared" si="18"/>
        <v>93679.639999999985</v>
      </c>
      <c r="N55" s="140">
        <f t="shared" si="18"/>
        <v>93679.639999999985</v>
      </c>
      <c r="O55" s="140">
        <f t="shared" si="18"/>
        <v>93679.639999999985</v>
      </c>
      <c r="P55" s="140">
        <f t="shared" si="18"/>
        <v>91913.639999999985</v>
      </c>
      <c r="Q55" s="140">
        <f t="shared" si="18"/>
        <v>91913.639999999985</v>
      </c>
      <c r="R55" s="140">
        <f t="shared" si="18"/>
        <v>91913.639999999985</v>
      </c>
      <c r="S55" s="140">
        <f t="shared" si="18"/>
        <v>91913.639999999985</v>
      </c>
      <c r="T55" s="140">
        <f t="shared" si="18"/>
        <v>91913.639999999985</v>
      </c>
      <c r="U55" s="140">
        <f t="shared" si="18"/>
        <v>91913.639999999985</v>
      </c>
      <c r="V55" s="140">
        <f t="shared" si="18"/>
        <v>91913.639999999985</v>
      </c>
      <c r="W55" s="140">
        <f t="shared" si="18"/>
        <v>91913.639999999985</v>
      </c>
      <c r="X55" s="140">
        <f t="shared" si="18"/>
        <v>91913.69</v>
      </c>
      <c r="Y55" s="140">
        <f t="shared" si="18"/>
        <v>102798.98999999999</v>
      </c>
      <c r="Z55" s="140">
        <f t="shared" si="18"/>
        <v>102798.98999999999</v>
      </c>
      <c r="AA55" s="140">
        <f t="shared" si="18"/>
        <v>102798.98999999999</v>
      </c>
      <c r="AB55" s="140">
        <f t="shared" si="18"/>
        <v>102798.98999999999</v>
      </c>
      <c r="AC55" s="140">
        <f t="shared" si="18"/>
        <v>121801.25490870001</v>
      </c>
      <c r="AD55" s="140">
        <f t="shared" si="18"/>
        <v>121801.20490869999</v>
      </c>
      <c r="AE55" s="140">
        <f t="shared" si="18"/>
        <v>121801.20490869999</v>
      </c>
      <c r="AF55" s="140">
        <f t="shared" si="18"/>
        <v>118957.56490870001</v>
      </c>
      <c r="AG55" s="140">
        <f t="shared" si="18"/>
        <v>118956.88</v>
      </c>
      <c r="AH55" s="140">
        <f t="shared" si="18"/>
        <v>118956.88</v>
      </c>
      <c r="AI55" s="140">
        <f t="shared" si="18"/>
        <v>99955.299999999988</v>
      </c>
      <c r="AJ55" s="140">
        <f t="shared" si="18"/>
        <v>99955.299999999988</v>
      </c>
      <c r="AK55" s="140">
        <f t="shared" si="18"/>
        <v>99955.06</v>
      </c>
      <c r="AL55" s="140">
        <f t="shared" si="18"/>
        <v>89370</v>
      </c>
      <c r="AM55" s="140">
        <f t="shared" si="18"/>
        <v>87786.016000000003</v>
      </c>
      <c r="AN55" s="140">
        <f t="shared" si="18"/>
        <v>104074.59599999999</v>
      </c>
      <c r="AO55" s="140">
        <f t="shared" si="18"/>
        <v>104075.016</v>
      </c>
      <c r="AP55" s="140">
        <f t="shared" si="18"/>
        <v>104075.016</v>
      </c>
      <c r="AQ55" s="140">
        <f t="shared" si="18"/>
        <v>104075.016</v>
      </c>
      <c r="AR55" s="140">
        <f t="shared" si="18"/>
        <v>104075.016</v>
      </c>
      <c r="AS55" s="140">
        <f t="shared" si="18"/>
        <v>104075.016</v>
      </c>
      <c r="AT55" s="140">
        <f t="shared" si="18"/>
        <v>104903.14600000001</v>
      </c>
      <c r="AU55" s="140">
        <f t="shared" si="18"/>
        <v>115488.14599999999</v>
      </c>
      <c r="AV55" s="140">
        <f t="shared" si="18"/>
        <v>117065.14600000001</v>
      </c>
      <c r="AW55" s="140">
        <f t="shared" si="18"/>
        <v>127070.14599999999</v>
      </c>
      <c r="AX55" s="140">
        <f t="shared" si="18"/>
        <v>155021.87599999999</v>
      </c>
      <c r="AY55" s="140">
        <f t="shared" si="18"/>
        <v>155021.87599999999</v>
      </c>
      <c r="AZ55" s="140">
        <f t="shared" si="18"/>
        <v>156638.56599999999</v>
      </c>
      <c r="BA55" s="140">
        <f t="shared" si="18"/>
        <v>155054.33600000001</v>
      </c>
      <c r="BB55" s="140">
        <f t="shared" si="18"/>
        <v>156956.39600000001</v>
      </c>
      <c r="BC55" s="140">
        <f t="shared" si="18"/>
        <v>156956.45600000001</v>
      </c>
      <c r="BD55" s="140">
        <f t="shared" si="18"/>
        <v>156956.45600000001</v>
      </c>
      <c r="BE55" s="140">
        <f t="shared" si="18"/>
        <v>156956.21521237417</v>
      </c>
      <c r="BF55" s="140">
        <f t="shared" si="18"/>
        <v>88014.889212374139</v>
      </c>
      <c r="BG55" s="140">
        <f t="shared" si="18"/>
        <v>89604.289212374162</v>
      </c>
      <c r="BH55" s="140">
        <f t="shared" si="18"/>
        <v>89603.939212374156</v>
      </c>
      <c r="BI55" s="140">
        <f t="shared" si="18"/>
        <v>89603.939212374156</v>
      </c>
      <c r="BJ55" s="140">
        <f t="shared" si="18"/>
        <v>89603.939212374156</v>
      </c>
      <c r="BK55" s="140">
        <f t="shared" si="18"/>
        <v>89603.939212374156</v>
      </c>
      <c r="BL55" s="140">
        <f t="shared" si="18"/>
        <v>89603.939212374156</v>
      </c>
      <c r="BM55" s="140">
        <f t="shared" si="18"/>
        <v>89604.239312374149</v>
      </c>
      <c r="BN55" s="140">
        <f t="shared" si="18"/>
        <v>85754.239312374149</v>
      </c>
      <c r="BO55" s="140">
        <f t="shared" ref="BO55" si="19">BO56+BO68</f>
        <v>85754.239312374149</v>
      </c>
      <c r="BP55" s="140">
        <f>BP56+BP68</f>
        <v>85754.239312374149</v>
      </c>
    </row>
    <row r="56" spans="1:68" s="15" customFormat="1" ht="15" customHeight="1">
      <c r="B56" s="85" t="str">
        <f>IF('Sumário | Summary'!P1=1,"Escritórios AAA","Triple A Offices")</f>
        <v>Escritórios AAA</v>
      </c>
      <c r="C56" s="140">
        <f t="shared" ref="C56:BN56" si="20">SUM(C57:C67)</f>
        <v>39315.885999999999</v>
      </c>
      <c r="D56" s="140">
        <f t="shared" si="20"/>
        <v>50492.45</v>
      </c>
      <c r="E56" s="140">
        <f t="shared" si="20"/>
        <v>50492.45</v>
      </c>
      <c r="F56" s="140">
        <f t="shared" si="20"/>
        <v>50492.45</v>
      </c>
      <c r="G56" s="140">
        <f t="shared" si="20"/>
        <v>57798.45</v>
      </c>
      <c r="H56" s="140">
        <f t="shared" si="20"/>
        <v>57543.45</v>
      </c>
      <c r="I56" s="140">
        <f t="shared" si="20"/>
        <v>57543.45</v>
      </c>
      <c r="J56" s="140">
        <f t="shared" si="20"/>
        <v>56772.45</v>
      </c>
      <c r="K56" s="140">
        <f t="shared" si="20"/>
        <v>54973.45</v>
      </c>
      <c r="L56" s="140">
        <f t="shared" si="20"/>
        <v>52258.45</v>
      </c>
      <c r="M56" s="140">
        <f t="shared" si="20"/>
        <v>52258.45</v>
      </c>
      <c r="N56" s="140">
        <f t="shared" si="20"/>
        <v>52258.45</v>
      </c>
      <c r="O56" s="140">
        <f t="shared" si="20"/>
        <v>52258.45</v>
      </c>
      <c r="P56" s="140">
        <f t="shared" si="20"/>
        <v>50492.45</v>
      </c>
      <c r="Q56" s="140">
        <f t="shared" si="20"/>
        <v>50492.45</v>
      </c>
      <c r="R56" s="140">
        <f t="shared" si="20"/>
        <v>50492.45</v>
      </c>
      <c r="S56" s="140">
        <f t="shared" si="20"/>
        <v>50492.45</v>
      </c>
      <c r="T56" s="140">
        <f t="shared" si="20"/>
        <v>50492.45</v>
      </c>
      <c r="U56" s="140">
        <f t="shared" si="20"/>
        <v>50492.45</v>
      </c>
      <c r="V56" s="140">
        <f t="shared" si="20"/>
        <v>50492.45</v>
      </c>
      <c r="W56" s="140">
        <f t="shared" si="20"/>
        <v>50492.45</v>
      </c>
      <c r="X56" s="140">
        <f t="shared" si="20"/>
        <v>50492.45</v>
      </c>
      <c r="Y56" s="140">
        <f t="shared" si="20"/>
        <v>61377.75</v>
      </c>
      <c r="Z56" s="140">
        <f t="shared" si="20"/>
        <v>61377.75</v>
      </c>
      <c r="AA56" s="140">
        <f t="shared" si="20"/>
        <v>61377.75</v>
      </c>
      <c r="AB56" s="140">
        <f t="shared" si="20"/>
        <v>61377.75</v>
      </c>
      <c r="AC56" s="140">
        <f t="shared" si="20"/>
        <v>80380.014908700003</v>
      </c>
      <c r="AD56" s="140">
        <f t="shared" si="20"/>
        <v>80380.014908700003</v>
      </c>
      <c r="AE56" s="140">
        <f t="shared" si="20"/>
        <v>80380.014908700003</v>
      </c>
      <c r="AF56" s="140">
        <f t="shared" si="20"/>
        <v>80380.014908700003</v>
      </c>
      <c r="AG56" s="140">
        <f t="shared" si="20"/>
        <v>80379.75</v>
      </c>
      <c r="AH56" s="140">
        <f t="shared" si="20"/>
        <v>80379.75</v>
      </c>
      <c r="AI56" s="140">
        <f t="shared" si="20"/>
        <v>61377.75</v>
      </c>
      <c r="AJ56" s="140">
        <f t="shared" si="20"/>
        <v>61377.75</v>
      </c>
      <c r="AK56" s="140">
        <f t="shared" si="20"/>
        <v>61377.75</v>
      </c>
      <c r="AL56" s="140">
        <f t="shared" si="20"/>
        <v>61377.75</v>
      </c>
      <c r="AM56" s="140">
        <f t="shared" si="20"/>
        <v>59793.525999999998</v>
      </c>
      <c r="AN56" s="140">
        <f t="shared" si="20"/>
        <v>76082.525999999998</v>
      </c>
      <c r="AO56" s="140">
        <f t="shared" si="20"/>
        <v>76082.525999999998</v>
      </c>
      <c r="AP56" s="140">
        <f t="shared" si="20"/>
        <v>76082.525999999998</v>
      </c>
      <c r="AQ56" s="140">
        <f t="shared" si="20"/>
        <v>76082.525999999998</v>
      </c>
      <c r="AR56" s="140">
        <f t="shared" si="20"/>
        <v>76082.525999999998</v>
      </c>
      <c r="AS56" s="140">
        <f t="shared" si="20"/>
        <v>76082.525999999998</v>
      </c>
      <c r="AT56" s="140">
        <f t="shared" si="20"/>
        <v>76910.656000000003</v>
      </c>
      <c r="AU56" s="140">
        <f t="shared" si="20"/>
        <v>76910.656000000003</v>
      </c>
      <c r="AV56" s="140">
        <f t="shared" si="20"/>
        <v>76910.656000000003</v>
      </c>
      <c r="AW56" s="140">
        <f t="shared" si="20"/>
        <v>76910.656000000003</v>
      </c>
      <c r="AX56" s="140">
        <f t="shared" si="20"/>
        <v>107785.746</v>
      </c>
      <c r="AY56" s="140">
        <f t="shared" si="20"/>
        <v>107785.746</v>
      </c>
      <c r="AZ56" s="140">
        <f t="shared" si="20"/>
        <v>109402.436</v>
      </c>
      <c r="BA56" s="140">
        <f t="shared" si="20"/>
        <v>107818.20600000001</v>
      </c>
      <c r="BB56" s="140">
        <f t="shared" si="20"/>
        <v>109720.266</v>
      </c>
      <c r="BC56" s="140">
        <f t="shared" si="20"/>
        <v>109720.266</v>
      </c>
      <c r="BD56" s="140">
        <f t="shared" si="20"/>
        <v>109720.266</v>
      </c>
      <c r="BE56" s="140">
        <f t="shared" si="20"/>
        <v>109720.02521237417</v>
      </c>
      <c r="BF56" s="140">
        <f t="shared" si="20"/>
        <v>40778.759212374149</v>
      </c>
      <c r="BG56" s="140">
        <f t="shared" si="20"/>
        <v>42368.099212374153</v>
      </c>
      <c r="BH56" s="140">
        <f t="shared" si="20"/>
        <v>42367.699212374151</v>
      </c>
      <c r="BI56" s="140">
        <f t="shared" si="20"/>
        <v>42367.699212374151</v>
      </c>
      <c r="BJ56" s="140">
        <f t="shared" si="20"/>
        <v>42367.699212374151</v>
      </c>
      <c r="BK56" s="140">
        <f t="shared" si="20"/>
        <v>42367.699212374151</v>
      </c>
      <c r="BL56" s="140">
        <f t="shared" si="20"/>
        <v>42367.699212374151</v>
      </c>
      <c r="BM56" s="140">
        <f t="shared" si="20"/>
        <v>42367.999312374151</v>
      </c>
      <c r="BN56" s="140">
        <f t="shared" si="20"/>
        <v>42367.999312374151</v>
      </c>
      <c r="BO56" s="140">
        <f t="shared" ref="BO56" si="21">SUM(BO57:BO67)</f>
        <v>42367.999312374151</v>
      </c>
      <c r="BP56" s="140">
        <f>SUM(BP57:BP67)</f>
        <v>42367.999312374151</v>
      </c>
    </row>
    <row r="57" spans="1:68" ht="15" hidden="1" customHeight="1" outlineLevel="1">
      <c r="A57" t="s">
        <v>18</v>
      </c>
      <c r="B57" s="184" t="s">
        <v>2</v>
      </c>
      <c r="C57" s="149">
        <v>4466.7</v>
      </c>
      <c r="D57" s="149">
        <v>4466.7</v>
      </c>
      <c r="E57" s="149">
        <v>4466.7</v>
      </c>
      <c r="F57" s="149">
        <v>4466.7</v>
      </c>
      <c r="G57" s="149">
        <v>4466.7</v>
      </c>
      <c r="H57" s="149">
        <v>4466.7</v>
      </c>
      <c r="I57" s="149">
        <v>4466.7</v>
      </c>
      <c r="J57" s="149">
        <v>4466.7</v>
      </c>
      <c r="K57" s="149">
        <v>4466.7</v>
      </c>
      <c r="L57" s="149">
        <v>4466.7</v>
      </c>
      <c r="M57" s="149">
        <v>4466.7</v>
      </c>
      <c r="N57" s="149">
        <v>4466.7</v>
      </c>
      <c r="O57" s="149">
        <v>4466.7</v>
      </c>
      <c r="P57" s="149">
        <v>4466.7</v>
      </c>
      <c r="Q57" s="149">
        <v>4466.7</v>
      </c>
      <c r="R57" s="149">
        <v>4466.7</v>
      </c>
      <c r="S57" s="149">
        <v>4466.7</v>
      </c>
      <c r="T57" s="149">
        <v>4466.7</v>
      </c>
      <c r="U57" s="149">
        <v>4466.7</v>
      </c>
      <c r="V57" s="149">
        <v>4466.7</v>
      </c>
      <c r="W57" s="149">
        <v>4466.7</v>
      </c>
      <c r="X57" s="149">
        <v>4466.7</v>
      </c>
      <c r="Y57" s="149">
        <v>4466.7</v>
      </c>
      <c r="Z57" s="149">
        <v>4466.7</v>
      </c>
      <c r="AA57" s="149">
        <v>4466.7</v>
      </c>
      <c r="AB57" s="149">
        <v>4466.7</v>
      </c>
      <c r="AC57" s="149">
        <v>4466.7</v>
      </c>
      <c r="AD57" s="149">
        <v>4466.7</v>
      </c>
      <c r="AE57" s="149">
        <v>4466.7</v>
      </c>
      <c r="AF57" s="149">
        <v>4466.7</v>
      </c>
      <c r="AG57" s="149">
        <v>4466.7</v>
      </c>
      <c r="AH57" s="149">
        <v>4466.7</v>
      </c>
      <c r="AI57" s="149">
        <v>4466.7</v>
      </c>
      <c r="AJ57" s="149">
        <v>4466.7</v>
      </c>
      <c r="AK57" s="149">
        <v>4466.7</v>
      </c>
      <c r="AL57" s="63">
        <v>4466.7</v>
      </c>
      <c r="AM57" s="63">
        <v>4466.7</v>
      </c>
      <c r="AN57" s="63">
        <v>4466.7</v>
      </c>
      <c r="AO57" s="63">
        <v>4466.7</v>
      </c>
      <c r="AP57" s="63">
        <v>4466.7</v>
      </c>
      <c r="AQ57" s="63">
        <v>4466.7</v>
      </c>
      <c r="AR57" s="63">
        <v>4466.7</v>
      </c>
      <c r="AS57" s="63">
        <v>4466.7</v>
      </c>
      <c r="AT57" s="63">
        <v>4466.7</v>
      </c>
      <c r="AU57" s="63">
        <v>4466.7</v>
      </c>
      <c r="AV57" s="63">
        <v>4466.7</v>
      </c>
      <c r="AW57" s="63">
        <v>4466.7</v>
      </c>
      <c r="AX57" s="63">
        <v>4466.7</v>
      </c>
      <c r="AY57" s="63">
        <v>4466.7</v>
      </c>
      <c r="AZ57" s="63">
        <v>4466.7</v>
      </c>
      <c r="BA57" s="63">
        <v>4466.7</v>
      </c>
      <c r="BB57" s="63">
        <v>4466.7</v>
      </c>
      <c r="BC57" s="63">
        <v>4466.7</v>
      </c>
      <c r="BD57" s="63">
        <v>4466.7</v>
      </c>
      <c r="BE57" s="63">
        <v>4466.7</v>
      </c>
      <c r="BF57" s="63">
        <v>0</v>
      </c>
      <c r="BG57" s="149">
        <v>0</v>
      </c>
      <c r="BH57" s="149">
        <v>0</v>
      </c>
      <c r="BI57" s="149">
        <v>0</v>
      </c>
      <c r="BJ57" s="149">
        <v>0</v>
      </c>
      <c r="BK57" s="149">
        <v>0</v>
      </c>
      <c r="BL57" s="149">
        <v>0</v>
      </c>
      <c r="BM57" s="149">
        <v>0</v>
      </c>
      <c r="BN57" s="149">
        <v>0</v>
      </c>
      <c r="BO57" s="149">
        <v>0</v>
      </c>
      <c r="BP57" s="149">
        <v>0</v>
      </c>
    </row>
    <row r="58" spans="1:68" ht="15" hidden="1" customHeight="1" outlineLevel="1">
      <c r="A58" t="s">
        <v>18</v>
      </c>
      <c r="B58" s="38" t="s">
        <v>3</v>
      </c>
      <c r="C58" s="63">
        <v>3168.46</v>
      </c>
      <c r="D58" s="63">
        <v>3168.46</v>
      </c>
      <c r="E58" s="63">
        <v>3168.46</v>
      </c>
      <c r="F58" s="63">
        <v>3168.46</v>
      </c>
      <c r="G58" s="63">
        <v>3168.46</v>
      </c>
      <c r="H58" s="63">
        <v>3168.46</v>
      </c>
      <c r="I58" s="63">
        <v>3168.46</v>
      </c>
      <c r="J58" s="63">
        <v>3168.46</v>
      </c>
      <c r="K58" s="63">
        <v>3168.46</v>
      </c>
      <c r="L58" s="63">
        <v>3168.46</v>
      </c>
      <c r="M58" s="63">
        <v>3168.46</v>
      </c>
      <c r="N58" s="63">
        <v>3168.46</v>
      </c>
      <c r="O58" s="63">
        <v>3168.46</v>
      </c>
      <c r="P58" s="63">
        <v>3168.46</v>
      </c>
      <c r="Q58" s="63">
        <v>3168.46</v>
      </c>
      <c r="R58" s="63">
        <v>3168.46</v>
      </c>
      <c r="S58" s="63">
        <v>3168.46</v>
      </c>
      <c r="T58" s="63">
        <v>3168.46</v>
      </c>
      <c r="U58" s="63">
        <v>3168.46</v>
      </c>
      <c r="V58" s="63">
        <v>3168.46</v>
      </c>
      <c r="W58" s="63">
        <v>3168.46</v>
      </c>
      <c r="X58" s="63">
        <v>3168.46</v>
      </c>
      <c r="Y58" s="63">
        <v>3168.46</v>
      </c>
      <c r="Z58" s="63">
        <v>3168.46</v>
      </c>
      <c r="AA58" s="63">
        <v>3168.46</v>
      </c>
      <c r="AB58" s="63">
        <v>3168.46</v>
      </c>
      <c r="AC58" s="63">
        <v>3168.46</v>
      </c>
      <c r="AD58" s="63">
        <v>3168.46</v>
      </c>
      <c r="AE58" s="63">
        <v>3168.46</v>
      </c>
      <c r="AF58" s="63">
        <v>3168.46</v>
      </c>
      <c r="AG58" s="63">
        <v>3168.46</v>
      </c>
      <c r="AH58" s="63">
        <v>3168.46</v>
      </c>
      <c r="AI58" s="63">
        <v>3168.46</v>
      </c>
      <c r="AJ58" s="63">
        <v>3168.46</v>
      </c>
      <c r="AK58" s="63">
        <v>3168.46</v>
      </c>
      <c r="AL58" s="63">
        <v>3168.46</v>
      </c>
      <c r="AM58" s="63">
        <v>1584.23</v>
      </c>
      <c r="AN58" s="63">
        <v>1584.23</v>
      </c>
      <c r="AO58" s="63">
        <v>1584.23</v>
      </c>
      <c r="AP58" s="63">
        <v>1584.23</v>
      </c>
      <c r="AQ58" s="63">
        <v>1584.23</v>
      </c>
      <c r="AR58" s="63">
        <v>1584.23</v>
      </c>
      <c r="AS58" s="63">
        <v>1584.23</v>
      </c>
      <c r="AT58" s="63">
        <v>1584.23</v>
      </c>
      <c r="AU58" s="63">
        <v>1584.23</v>
      </c>
      <c r="AV58" s="63">
        <v>1584.23</v>
      </c>
      <c r="AW58" s="63">
        <v>1584.23</v>
      </c>
      <c r="AX58" s="63">
        <v>1584.23</v>
      </c>
      <c r="AY58" s="63">
        <v>1584.23</v>
      </c>
      <c r="AZ58" s="63">
        <v>1584.23</v>
      </c>
      <c r="BA58" s="63">
        <v>0</v>
      </c>
      <c r="BB58" s="63">
        <v>0</v>
      </c>
      <c r="BC58" s="63">
        <v>0</v>
      </c>
      <c r="BD58" s="63">
        <v>0</v>
      </c>
      <c r="BE58" s="63">
        <v>0</v>
      </c>
      <c r="BF58" s="63">
        <v>0</v>
      </c>
      <c r="BG58" s="149">
        <v>0</v>
      </c>
      <c r="BH58" s="149">
        <v>0</v>
      </c>
      <c r="BI58" s="149">
        <v>0</v>
      </c>
      <c r="BJ58" s="149">
        <v>0</v>
      </c>
      <c r="BK58" s="149">
        <v>0</v>
      </c>
      <c r="BL58" s="149">
        <v>0</v>
      </c>
      <c r="BM58" s="149">
        <v>0</v>
      </c>
      <c r="BN58" s="149">
        <v>0</v>
      </c>
      <c r="BO58" s="149">
        <v>0</v>
      </c>
      <c r="BP58" s="149">
        <v>0</v>
      </c>
    </row>
    <row r="59" spans="1:68" ht="15" hidden="1" customHeight="1" outlineLevel="1">
      <c r="A59" t="s">
        <v>18</v>
      </c>
      <c r="B59" s="38" t="s">
        <v>0</v>
      </c>
      <c r="C59" s="63">
        <v>18705.61</v>
      </c>
      <c r="D59" s="63">
        <v>18705.61</v>
      </c>
      <c r="E59" s="63">
        <v>18705.61</v>
      </c>
      <c r="F59" s="63">
        <v>18705.61</v>
      </c>
      <c r="G59" s="63">
        <v>18705.61</v>
      </c>
      <c r="H59" s="63">
        <v>18705.61</v>
      </c>
      <c r="I59" s="63">
        <v>18705.61</v>
      </c>
      <c r="J59" s="63">
        <v>18705.61</v>
      </c>
      <c r="K59" s="63">
        <v>18705.61</v>
      </c>
      <c r="L59" s="63">
        <v>18705.61</v>
      </c>
      <c r="M59" s="63">
        <v>18705.61</v>
      </c>
      <c r="N59" s="63">
        <v>18705.61</v>
      </c>
      <c r="O59" s="63">
        <v>18705.61</v>
      </c>
      <c r="P59" s="63">
        <v>18705.61</v>
      </c>
      <c r="Q59" s="63">
        <v>18705.61</v>
      </c>
      <c r="R59" s="63">
        <v>18705.61</v>
      </c>
      <c r="S59" s="63">
        <v>18705.61</v>
      </c>
      <c r="T59" s="63">
        <v>18705.61</v>
      </c>
      <c r="U59" s="63">
        <v>18705.61</v>
      </c>
      <c r="V59" s="63">
        <v>18705.61</v>
      </c>
      <c r="W59" s="63">
        <v>18705.61</v>
      </c>
      <c r="X59" s="63">
        <v>18705.61</v>
      </c>
      <c r="Y59" s="63">
        <v>18705.61</v>
      </c>
      <c r="Z59" s="63">
        <v>18705.61</v>
      </c>
      <c r="AA59" s="63">
        <v>18705.61</v>
      </c>
      <c r="AB59" s="63">
        <v>18705.61</v>
      </c>
      <c r="AC59" s="63">
        <v>18705.61</v>
      </c>
      <c r="AD59" s="63">
        <v>18705.61</v>
      </c>
      <c r="AE59" s="63">
        <v>18705.61</v>
      </c>
      <c r="AF59" s="63">
        <v>18705.61</v>
      </c>
      <c r="AG59" s="63">
        <v>18705.61</v>
      </c>
      <c r="AH59" s="63">
        <v>18705.61</v>
      </c>
      <c r="AI59" s="63">
        <v>18705.61</v>
      </c>
      <c r="AJ59" s="63">
        <v>18705.61</v>
      </c>
      <c r="AK59" s="63">
        <v>18705.61</v>
      </c>
      <c r="AL59" s="63">
        <v>18705.61</v>
      </c>
      <c r="AM59" s="63">
        <v>18705.61</v>
      </c>
      <c r="AN59" s="63">
        <v>18705.61</v>
      </c>
      <c r="AO59" s="63">
        <v>18705.61</v>
      </c>
      <c r="AP59" s="63">
        <v>18705.61</v>
      </c>
      <c r="AQ59" s="63">
        <v>18705.61</v>
      </c>
      <c r="AR59" s="63">
        <v>18705.61</v>
      </c>
      <c r="AS59" s="63">
        <v>18705.61</v>
      </c>
      <c r="AT59" s="63">
        <v>18705.61</v>
      </c>
      <c r="AU59" s="63">
        <v>18705.61</v>
      </c>
      <c r="AV59" s="63">
        <v>18705.61</v>
      </c>
      <c r="AW59" s="63">
        <v>18705.61</v>
      </c>
      <c r="AX59" s="63">
        <v>19687</v>
      </c>
      <c r="AY59" s="63">
        <v>19687</v>
      </c>
      <c r="AZ59" s="63">
        <v>21303.690000000002</v>
      </c>
      <c r="BA59" s="63">
        <v>21303.690000000002</v>
      </c>
      <c r="BB59" s="63">
        <v>23205.75</v>
      </c>
      <c r="BC59" s="63">
        <v>23205.75</v>
      </c>
      <c r="BD59" s="63">
        <v>23205.75</v>
      </c>
      <c r="BE59" s="63">
        <v>23205.75</v>
      </c>
      <c r="BF59" s="63">
        <v>0</v>
      </c>
      <c r="BG59" s="149">
        <v>0</v>
      </c>
      <c r="BH59" s="149">
        <v>0</v>
      </c>
      <c r="BI59" s="149">
        <v>0</v>
      </c>
      <c r="BJ59" s="149">
        <v>0</v>
      </c>
      <c r="BK59" s="149">
        <v>0</v>
      </c>
      <c r="BL59" s="149">
        <v>0</v>
      </c>
      <c r="BM59" s="149">
        <v>0</v>
      </c>
      <c r="BN59" s="149">
        <v>0</v>
      </c>
      <c r="BO59" s="149">
        <v>0</v>
      </c>
      <c r="BP59" s="149">
        <v>0</v>
      </c>
    </row>
    <row r="60" spans="1:68" ht="15" hidden="1" customHeight="1" outlineLevel="1">
      <c r="A60" t="s">
        <v>18</v>
      </c>
      <c r="B60" s="38" t="s">
        <v>1</v>
      </c>
      <c r="C60" s="63">
        <v>12975.116000000002</v>
      </c>
      <c r="D60" s="63">
        <v>12975.116000000002</v>
      </c>
      <c r="E60" s="63">
        <v>12975.116000000002</v>
      </c>
      <c r="F60" s="63">
        <v>12975.116000000002</v>
      </c>
      <c r="G60" s="63">
        <v>12975.116000000002</v>
      </c>
      <c r="H60" s="63">
        <v>12975.116000000002</v>
      </c>
      <c r="I60" s="63">
        <v>12975.116000000002</v>
      </c>
      <c r="J60" s="63">
        <v>12975.116000000002</v>
      </c>
      <c r="K60" s="63">
        <v>12975.116000000002</v>
      </c>
      <c r="L60" s="63">
        <v>12975.116000000002</v>
      </c>
      <c r="M60" s="63">
        <v>12975.116000000002</v>
      </c>
      <c r="N60" s="63">
        <v>12975.116000000002</v>
      </c>
      <c r="O60" s="63">
        <v>12975.116000000002</v>
      </c>
      <c r="P60" s="63">
        <v>12975.116000000002</v>
      </c>
      <c r="Q60" s="63">
        <v>12975.116000000002</v>
      </c>
      <c r="R60" s="63">
        <v>12975.116000000002</v>
      </c>
      <c r="S60" s="63">
        <v>12975.116000000002</v>
      </c>
      <c r="T60" s="63">
        <v>12975.116000000002</v>
      </c>
      <c r="U60" s="63">
        <v>12975.116000000002</v>
      </c>
      <c r="V60" s="63">
        <v>12975.116000000002</v>
      </c>
      <c r="W60" s="63">
        <v>12975.116000000002</v>
      </c>
      <c r="X60" s="63">
        <v>12975.116000000002</v>
      </c>
      <c r="Y60" s="63">
        <v>12975.116000000002</v>
      </c>
      <c r="Z60" s="63">
        <v>12975.116000000002</v>
      </c>
      <c r="AA60" s="63">
        <v>12975.116000000002</v>
      </c>
      <c r="AB60" s="63">
        <v>12975.116000000002</v>
      </c>
      <c r="AC60" s="63">
        <v>12975.116000000002</v>
      </c>
      <c r="AD60" s="63">
        <v>12975.116000000002</v>
      </c>
      <c r="AE60" s="63">
        <v>12975.116000000002</v>
      </c>
      <c r="AF60" s="63">
        <v>12975.116000000002</v>
      </c>
      <c r="AG60" s="63">
        <v>12975.116000000002</v>
      </c>
      <c r="AH60" s="63">
        <v>12975.116000000002</v>
      </c>
      <c r="AI60" s="63">
        <v>12975.116000000002</v>
      </c>
      <c r="AJ60" s="63">
        <v>12975.116000000002</v>
      </c>
      <c r="AK60" s="63">
        <v>12975.116000000002</v>
      </c>
      <c r="AL60" s="63">
        <v>12975.116000000002</v>
      </c>
      <c r="AM60" s="63">
        <v>12975.116000000002</v>
      </c>
      <c r="AN60" s="63">
        <v>12975.116000000002</v>
      </c>
      <c r="AO60" s="63">
        <v>12975.116000000002</v>
      </c>
      <c r="AP60" s="63">
        <v>12975.116000000002</v>
      </c>
      <c r="AQ60" s="63">
        <v>12975.116000000002</v>
      </c>
      <c r="AR60" s="63">
        <v>12975.116000000002</v>
      </c>
      <c r="AS60" s="63">
        <v>12975.116000000002</v>
      </c>
      <c r="AT60" s="63">
        <v>12975.116000000002</v>
      </c>
      <c r="AU60" s="63">
        <v>12975.116000000002</v>
      </c>
      <c r="AV60" s="63">
        <v>12975.116000000002</v>
      </c>
      <c r="AW60" s="63">
        <v>12975.116000000002</v>
      </c>
      <c r="AX60" s="63">
        <v>12975.116000000002</v>
      </c>
      <c r="AY60" s="63">
        <v>12975.116000000002</v>
      </c>
      <c r="AZ60" s="63">
        <v>12975.116000000002</v>
      </c>
      <c r="BA60" s="63">
        <v>12975.116000000002</v>
      </c>
      <c r="BB60" s="63">
        <v>12975.116000000002</v>
      </c>
      <c r="BC60" s="63">
        <v>12975.116000000002</v>
      </c>
      <c r="BD60" s="63">
        <v>12975.116000000002</v>
      </c>
      <c r="BE60" s="63">
        <v>12975.116000000002</v>
      </c>
      <c r="BF60" s="63">
        <v>0</v>
      </c>
      <c r="BG60" s="149">
        <v>0</v>
      </c>
      <c r="BH60" s="149">
        <v>0</v>
      </c>
      <c r="BI60" s="149">
        <v>0</v>
      </c>
      <c r="BJ60" s="149">
        <v>0</v>
      </c>
      <c r="BK60" s="149">
        <v>0</v>
      </c>
      <c r="BL60" s="149">
        <v>0</v>
      </c>
      <c r="BM60" s="149">
        <v>0</v>
      </c>
      <c r="BN60" s="149">
        <v>0</v>
      </c>
      <c r="BO60" s="149">
        <v>0</v>
      </c>
      <c r="BP60" s="149">
        <v>0</v>
      </c>
    </row>
    <row r="61" spans="1:68" ht="15" hidden="1" customHeight="1" outlineLevel="1">
      <c r="A61" t="s">
        <v>18</v>
      </c>
      <c r="B61" s="38" t="s">
        <v>33</v>
      </c>
      <c r="C61" s="63">
        <v>0</v>
      </c>
      <c r="D61" s="63">
        <v>11176.564</v>
      </c>
      <c r="E61" s="63">
        <v>11176.564</v>
      </c>
      <c r="F61" s="63">
        <v>11176.564</v>
      </c>
      <c r="G61" s="63">
        <v>11176.564</v>
      </c>
      <c r="H61" s="63">
        <v>11176.564</v>
      </c>
      <c r="I61" s="63">
        <v>11176.564</v>
      </c>
      <c r="J61" s="63">
        <v>11176.564</v>
      </c>
      <c r="K61" s="63">
        <v>11176.564</v>
      </c>
      <c r="L61" s="63">
        <v>11176.564</v>
      </c>
      <c r="M61" s="63">
        <v>11176.564</v>
      </c>
      <c r="N61" s="63">
        <v>11176.564</v>
      </c>
      <c r="O61" s="63">
        <v>11176.564</v>
      </c>
      <c r="P61" s="63">
        <v>11176.564</v>
      </c>
      <c r="Q61" s="63">
        <v>11176.564</v>
      </c>
      <c r="R61" s="63">
        <v>11176.564</v>
      </c>
      <c r="S61" s="63">
        <v>11176.564</v>
      </c>
      <c r="T61" s="63">
        <v>11176.564</v>
      </c>
      <c r="U61" s="63">
        <v>11176.564</v>
      </c>
      <c r="V61" s="63">
        <v>11176.564</v>
      </c>
      <c r="W61" s="63">
        <v>11176.564</v>
      </c>
      <c r="X61" s="63">
        <v>11176.564</v>
      </c>
      <c r="Y61" s="63">
        <v>11176.564</v>
      </c>
      <c r="Z61" s="63">
        <v>11176.564</v>
      </c>
      <c r="AA61" s="63">
        <v>11176.564</v>
      </c>
      <c r="AB61" s="63">
        <v>11176.564</v>
      </c>
      <c r="AC61" s="63">
        <v>11176.564</v>
      </c>
      <c r="AD61" s="63">
        <v>11176.564</v>
      </c>
      <c r="AE61" s="63">
        <v>11176.564</v>
      </c>
      <c r="AF61" s="63">
        <v>11176.564</v>
      </c>
      <c r="AG61" s="63">
        <v>11176.564</v>
      </c>
      <c r="AH61" s="63">
        <v>11176.564</v>
      </c>
      <c r="AI61" s="63">
        <v>11176.564</v>
      </c>
      <c r="AJ61" s="63">
        <v>11176.564</v>
      </c>
      <c r="AK61" s="63">
        <v>11176.564</v>
      </c>
      <c r="AL61" s="63">
        <v>11176.564</v>
      </c>
      <c r="AM61" s="63">
        <v>11176.57</v>
      </c>
      <c r="AN61" s="63">
        <v>11176.57</v>
      </c>
      <c r="AO61" s="63">
        <v>11176.57</v>
      </c>
      <c r="AP61" s="63">
        <v>11176.57</v>
      </c>
      <c r="AQ61" s="63">
        <v>11176.57</v>
      </c>
      <c r="AR61" s="63">
        <v>11176.57</v>
      </c>
      <c r="AS61" s="63">
        <v>11176.57</v>
      </c>
      <c r="AT61" s="63">
        <v>12004.699999999999</v>
      </c>
      <c r="AU61" s="63">
        <v>12004.699999999999</v>
      </c>
      <c r="AV61" s="63">
        <v>12004.699999999999</v>
      </c>
      <c r="AW61" s="63">
        <v>12004.699999999999</v>
      </c>
      <c r="AX61" s="63">
        <v>12004.699999999999</v>
      </c>
      <c r="AY61" s="63">
        <v>12004.699999999999</v>
      </c>
      <c r="AZ61" s="63">
        <v>12004.699999999999</v>
      </c>
      <c r="BA61" s="63">
        <v>12004.699999999999</v>
      </c>
      <c r="BB61" s="63">
        <v>12004.699999999999</v>
      </c>
      <c r="BC61" s="63">
        <v>12004.699999999999</v>
      </c>
      <c r="BD61" s="63">
        <v>12004.699999999999</v>
      </c>
      <c r="BE61" s="63">
        <v>12004.699999999999</v>
      </c>
      <c r="BF61" s="63">
        <v>0</v>
      </c>
      <c r="BG61" s="149">
        <v>0</v>
      </c>
      <c r="BH61" s="149">
        <v>0</v>
      </c>
      <c r="BI61" s="149">
        <v>0</v>
      </c>
      <c r="BJ61" s="149">
        <v>0</v>
      </c>
      <c r="BK61" s="149">
        <v>0</v>
      </c>
      <c r="BL61" s="149">
        <v>0</v>
      </c>
      <c r="BM61" s="149">
        <v>0</v>
      </c>
      <c r="BN61" s="149">
        <v>0</v>
      </c>
      <c r="BO61" s="149">
        <v>0</v>
      </c>
      <c r="BP61" s="149">
        <v>0</v>
      </c>
    </row>
    <row r="62" spans="1:68" ht="15" hidden="1" customHeight="1" outlineLevel="1">
      <c r="A62" t="s">
        <v>219</v>
      </c>
      <c r="B62" s="38" t="s">
        <v>28</v>
      </c>
      <c r="C62" s="63">
        <v>0</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0</v>
      </c>
      <c r="U62" s="63">
        <v>0</v>
      </c>
      <c r="V62" s="63">
        <v>0</v>
      </c>
      <c r="W62" s="63">
        <v>0</v>
      </c>
      <c r="X62" s="63">
        <v>0</v>
      </c>
      <c r="Y62" s="63">
        <v>10885.3</v>
      </c>
      <c r="Z62" s="63">
        <v>10885.3</v>
      </c>
      <c r="AA62" s="63">
        <v>10885.3</v>
      </c>
      <c r="AB62" s="63">
        <v>10885.3</v>
      </c>
      <c r="AC62" s="63">
        <v>10885.3</v>
      </c>
      <c r="AD62" s="63">
        <v>10885.3</v>
      </c>
      <c r="AE62" s="63">
        <v>10885.3</v>
      </c>
      <c r="AF62" s="63">
        <v>10885.3</v>
      </c>
      <c r="AG62" s="63">
        <v>10885.3</v>
      </c>
      <c r="AH62" s="63">
        <v>10885.3</v>
      </c>
      <c r="AI62" s="63">
        <v>10885.3</v>
      </c>
      <c r="AJ62" s="63">
        <v>10885.3</v>
      </c>
      <c r="AK62" s="63">
        <v>10885.3</v>
      </c>
      <c r="AL62" s="63">
        <v>10885.3</v>
      </c>
      <c r="AM62" s="63">
        <v>10885.3</v>
      </c>
      <c r="AN62" s="63">
        <v>10885.3</v>
      </c>
      <c r="AO62" s="63">
        <v>10885.3</v>
      </c>
      <c r="AP62" s="63">
        <v>10885.3</v>
      </c>
      <c r="AQ62" s="63">
        <v>10885.3</v>
      </c>
      <c r="AR62" s="63">
        <v>10885.3</v>
      </c>
      <c r="AS62" s="63">
        <v>10885.3</v>
      </c>
      <c r="AT62" s="63">
        <v>10885.3</v>
      </c>
      <c r="AU62" s="63">
        <v>10885.3</v>
      </c>
      <c r="AV62" s="63">
        <v>10885.3</v>
      </c>
      <c r="AW62" s="63">
        <v>10885.3</v>
      </c>
      <c r="AX62" s="63">
        <v>10886</v>
      </c>
      <c r="AY62" s="63">
        <v>10886</v>
      </c>
      <c r="AZ62" s="63">
        <v>10886</v>
      </c>
      <c r="BA62" s="63">
        <v>10886</v>
      </c>
      <c r="BB62" s="63">
        <v>10886</v>
      </c>
      <c r="BC62" s="63">
        <v>10886</v>
      </c>
      <c r="BD62" s="63">
        <v>10886</v>
      </c>
      <c r="BE62" s="63">
        <v>10886</v>
      </c>
      <c r="BF62" s="63">
        <v>10886</v>
      </c>
      <c r="BG62" s="149">
        <v>10886</v>
      </c>
      <c r="BH62" s="149">
        <v>10885.600000000002</v>
      </c>
      <c r="BI62" s="149">
        <v>10885.600000000002</v>
      </c>
      <c r="BJ62" s="149">
        <v>10885.600000000002</v>
      </c>
      <c r="BK62" s="149">
        <v>10885.600000000002</v>
      </c>
      <c r="BL62" s="149">
        <v>10885.600000000002</v>
      </c>
      <c r="BM62" s="149">
        <v>10885.900000000001</v>
      </c>
      <c r="BN62" s="149">
        <v>10885.900000000001</v>
      </c>
      <c r="BO62" s="149">
        <v>10885.900000000001</v>
      </c>
      <c r="BP62" s="149">
        <v>10885.900000000001</v>
      </c>
    </row>
    <row r="63" spans="1:68" ht="15" hidden="1" customHeight="1" outlineLevel="1">
      <c r="A63" t="s">
        <v>18</v>
      </c>
      <c r="B63" s="38" t="s">
        <v>27</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0</v>
      </c>
      <c r="AM63" s="62">
        <v>0</v>
      </c>
      <c r="AN63" s="63">
        <v>16289</v>
      </c>
      <c r="AO63" s="63">
        <v>16289</v>
      </c>
      <c r="AP63" s="63">
        <v>16289</v>
      </c>
      <c r="AQ63" s="63">
        <v>16289</v>
      </c>
      <c r="AR63" s="63">
        <v>16289</v>
      </c>
      <c r="AS63" s="63">
        <v>16289</v>
      </c>
      <c r="AT63" s="63">
        <v>16289</v>
      </c>
      <c r="AU63" s="63">
        <v>16289</v>
      </c>
      <c r="AV63" s="63">
        <v>16289</v>
      </c>
      <c r="AW63" s="63">
        <v>16289</v>
      </c>
      <c r="AX63" s="63">
        <v>16289</v>
      </c>
      <c r="AY63" s="63">
        <v>16289</v>
      </c>
      <c r="AZ63" s="63">
        <v>16289</v>
      </c>
      <c r="BA63" s="63">
        <v>16289</v>
      </c>
      <c r="BB63" s="63">
        <v>16289</v>
      </c>
      <c r="BC63" s="63">
        <v>16289</v>
      </c>
      <c r="BD63" s="63">
        <v>16289</v>
      </c>
      <c r="BE63" s="63">
        <v>16289</v>
      </c>
      <c r="BF63" s="63">
        <v>0</v>
      </c>
      <c r="BG63" s="149">
        <v>0</v>
      </c>
      <c r="BH63" s="149">
        <v>0</v>
      </c>
      <c r="BI63" s="149">
        <v>0</v>
      </c>
      <c r="BJ63" s="149">
        <v>0</v>
      </c>
      <c r="BK63" s="149">
        <v>0</v>
      </c>
      <c r="BL63" s="149">
        <v>0</v>
      </c>
      <c r="BM63" s="149">
        <v>0</v>
      </c>
      <c r="BN63" s="149">
        <v>0</v>
      </c>
      <c r="BO63" s="149">
        <v>0</v>
      </c>
      <c r="BP63" s="149">
        <v>0</v>
      </c>
    </row>
    <row r="64" spans="1:68" ht="15" hidden="1" customHeight="1" outlineLevel="1">
      <c r="A64" t="s">
        <v>18</v>
      </c>
      <c r="B64" s="38" t="s">
        <v>19</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19002.264908700003</v>
      </c>
      <c r="AD64" s="62">
        <v>19002.264908700003</v>
      </c>
      <c r="AE64" s="62">
        <v>19002.264908700003</v>
      </c>
      <c r="AF64" s="62">
        <v>19002.264908700003</v>
      </c>
      <c r="AG64" s="62">
        <v>19002</v>
      </c>
      <c r="AH64" s="62">
        <v>19002</v>
      </c>
      <c r="AI64" s="149">
        <v>0</v>
      </c>
      <c r="AJ64" s="149">
        <v>0</v>
      </c>
      <c r="AK64" s="149">
        <v>0</v>
      </c>
      <c r="AL64" s="149">
        <v>0</v>
      </c>
      <c r="AM64" s="149">
        <v>0</v>
      </c>
      <c r="AN64" s="149">
        <v>0</v>
      </c>
      <c r="AO64" s="149">
        <v>0</v>
      </c>
      <c r="AP64" s="149">
        <v>0</v>
      </c>
      <c r="AQ64" s="149">
        <v>0</v>
      </c>
      <c r="AR64" s="149">
        <v>0</v>
      </c>
      <c r="AS64" s="149">
        <v>0</v>
      </c>
      <c r="AT64" s="149">
        <v>0</v>
      </c>
      <c r="AU64" s="149">
        <v>0</v>
      </c>
      <c r="AV64" s="149">
        <v>0</v>
      </c>
      <c r="AW64" s="149">
        <v>0</v>
      </c>
      <c r="AX64" s="149">
        <v>0</v>
      </c>
      <c r="AY64" s="149">
        <v>0</v>
      </c>
      <c r="AZ64" s="149">
        <v>0</v>
      </c>
      <c r="BA64" s="149">
        <v>0</v>
      </c>
      <c r="BB64" s="149">
        <v>0</v>
      </c>
      <c r="BC64" s="63">
        <v>0</v>
      </c>
      <c r="BD64" s="63">
        <v>0</v>
      </c>
      <c r="BE64" s="63">
        <v>0</v>
      </c>
      <c r="BF64" s="63">
        <v>0</v>
      </c>
      <c r="BG64" s="149">
        <v>0</v>
      </c>
      <c r="BH64" s="149">
        <v>0</v>
      </c>
      <c r="BI64" s="149">
        <v>0</v>
      </c>
      <c r="BJ64" s="149">
        <v>0</v>
      </c>
      <c r="BK64" s="149">
        <v>0</v>
      </c>
      <c r="BL64" s="149">
        <v>0</v>
      </c>
      <c r="BM64" s="149">
        <v>0</v>
      </c>
      <c r="BN64" s="149">
        <v>0</v>
      </c>
      <c r="BO64" s="149">
        <v>0</v>
      </c>
      <c r="BP64" s="149">
        <v>0</v>
      </c>
    </row>
    <row r="65" spans="1:68" ht="15" hidden="1" customHeight="1" outlineLevel="1">
      <c r="A65" t="s">
        <v>18</v>
      </c>
      <c r="B65" s="38" t="s">
        <v>5</v>
      </c>
      <c r="C65" s="62">
        <v>0</v>
      </c>
      <c r="D65" s="62">
        <v>0</v>
      </c>
      <c r="E65" s="62">
        <v>0</v>
      </c>
      <c r="F65" s="62">
        <v>0</v>
      </c>
      <c r="G65" s="62">
        <v>7306</v>
      </c>
      <c r="H65" s="62">
        <v>7051</v>
      </c>
      <c r="I65" s="62">
        <v>7051</v>
      </c>
      <c r="J65" s="62">
        <v>6280</v>
      </c>
      <c r="K65" s="62">
        <v>4481</v>
      </c>
      <c r="L65" s="62">
        <v>1766</v>
      </c>
      <c r="M65" s="62">
        <v>1766</v>
      </c>
      <c r="N65" s="62">
        <v>1766</v>
      </c>
      <c r="O65" s="62">
        <v>1766</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149">
        <v>0</v>
      </c>
      <c r="AJ65" s="149">
        <v>0</v>
      </c>
      <c r="AK65" s="149">
        <v>0</v>
      </c>
      <c r="AL65" s="149">
        <v>0</v>
      </c>
      <c r="AM65" s="149">
        <v>0</v>
      </c>
      <c r="AN65" s="149">
        <v>0</v>
      </c>
      <c r="AO65" s="149">
        <v>0</v>
      </c>
      <c r="AP65" s="149">
        <v>0</v>
      </c>
      <c r="AQ65" s="149">
        <v>0</v>
      </c>
      <c r="AR65" s="149">
        <v>0</v>
      </c>
      <c r="AS65" s="149">
        <v>0</v>
      </c>
      <c r="AT65" s="149">
        <v>0</v>
      </c>
      <c r="AU65" s="149">
        <v>0</v>
      </c>
      <c r="AV65" s="149">
        <v>0</v>
      </c>
      <c r="AW65" s="149">
        <v>0</v>
      </c>
      <c r="AX65" s="149">
        <v>0</v>
      </c>
      <c r="AY65" s="149">
        <v>0</v>
      </c>
      <c r="AZ65" s="149">
        <v>0</v>
      </c>
      <c r="BA65" s="149">
        <v>0</v>
      </c>
      <c r="BB65" s="149">
        <v>0</v>
      </c>
      <c r="BC65" s="63">
        <v>0</v>
      </c>
      <c r="BD65" s="63">
        <v>0</v>
      </c>
      <c r="BE65" s="63">
        <v>0</v>
      </c>
      <c r="BF65" s="63">
        <v>0</v>
      </c>
      <c r="BG65" s="149">
        <v>0</v>
      </c>
      <c r="BH65" s="149">
        <v>0</v>
      </c>
      <c r="BI65" s="149">
        <v>0</v>
      </c>
      <c r="BJ65" s="149">
        <v>0</v>
      </c>
      <c r="BK65" s="149">
        <v>0</v>
      </c>
      <c r="BL65" s="149">
        <v>0</v>
      </c>
      <c r="BM65" s="149">
        <v>0</v>
      </c>
      <c r="BN65" s="149">
        <v>0</v>
      </c>
      <c r="BO65" s="149">
        <v>0</v>
      </c>
      <c r="BP65" s="149">
        <v>0</v>
      </c>
    </row>
    <row r="66" spans="1:68" ht="15" hidden="1" customHeight="1" outlineLevel="1">
      <c r="A66" t="s">
        <v>220</v>
      </c>
      <c r="B66" s="38" t="s">
        <v>48</v>
      </c>
      <c r="C66" s="62">
        <v>0</v>
      </c>
      <c r="D66" s="62">
        <v>0</v>
      </c>
      <c r="E66" s="62">
        <v>0</v>
      </c>
      <c r="F66" s="62">
        <v>0</v>
      </c>
      <c r="G66" s="63">
        <v>0</v>
      </c>
      <c r="H66" s="63">
        <v>0</v>
      </c>
      <c r="I66" s="63">
        <v>0</v>
      </c>
      <c r="J66" s="63">
        <v>0</v>
      </c>
      <c r="K66" s="63">
        <v>0</v>
      </c>
      <c r="L66" s="63">
        <v>0</v>
      </c>
      <c r="M66" s="63">
        <v>0</v>
      </c>
      <c r="N66" s="63">
        <v>0</v>
      </c>
      <c r="O66" s="63">
        <v>0</v>
      </c>
      <c r="P66" s="63">
        <v>0</v>
      </c>
      <c r="Q66" s="63">
        <v>0</v>
      </c>
      <c r="R66" s="63">
        <v>0</v>
      </c>
      <c r="S66" s="63">
        <v>0</v>
      </c>
      <c r="T66" s="63">
        <v>0</v>
      </c>
      <c r="U66" s="63">
        <v>0</v>
      </c>
      <c r="V66" s="63">
        <v>0</v>
      </c>
      <c r="W66" s="63">
        <v>0</v>
      </c>
      <c r="X66" s="63">
        <v>0</v>
      </c>
      <c r="Y66" s="63">
        <v>0</v>
      </c>
      <c r="Z66" s="63">
        <v>0</v>
      </c>
      <c r="AA66" s="63">
        <v>0</v>
      </c>
      <c r="AB66" s="63">
        <v>0</v>
      </c>
      <c r="AC66" s="63">
        <v>0</v>
      </c>
      <c r="AD66" s="63">
        <v>0</v>
      </c>
      <c r="AE66" s="63">
        <v>0</v>
      </c>
      <c r="AF66" s="63">
        <v>0</v>
      </c>
      <c r="AG66" s="63">
        <v>0</v>
      </c>
      <c r="AH66" s="63">
        <v>0</v>
      </c>
      <c r="AI66" s="63">
        <v>0</v>
      </c>
      <c r="AJ66" s="63">
        <v>0</v>
      </c>
      <c r="AK66" s="63">
        <v>0</v>
      </c>
      <c r="AL66" s="63"/>
      <c r="AM66" s="63"/>
      <c r="AN66" s="63"/>
      <c r="AO66" s="63"/>
      <c r="AP66" s="63"/>
      <c r="AQ66" s="63"/>
      <c r="AR66" s="63"/>
      <c r="AS66" s="63"/>
      <c r="AT66" s="63"/>
      <c r="AU66" s="63">
        <v>0</v>
      </c>
      <c r="AV66" s="63"/>
      <c r="AW66" s="63"/>
      <c r="AX66" s="63">
        <v>10475</v>
      </c>
      <c r="AY66" s="63">
        <v>10475</v>
      </c>
      <c r="AZ66" s="63">
        <v>10475</v>
      </c>
      <c r="BA66" s="63">
        <v>10475</v>
      </c>
      <c r="BB66" s="63">
        <v>10475</v>
      </c>
      <c r="BC66" s="63">
        <v>10475</v>
      </c>
      <c r="BD66" s="63">
        <v>10475</v>
      </c>
      <c r="BE66" s="63">
        <v>10474.920000000006</v>
      </c>
      <c r="BF66" s="63">
        <v>10474.920000000006</v>
      </c>
      <c r="BG66" s="149">
        <v>12064.260000000007</v>
      </c>
      <c r="BH66" s="149">
        <v>12064.260000000007</v>
      </c>
      <c r="BI66" s="149">
        <v>12064.260000000007</v>
      </c>
      <c r="BJ66" s="149">
        <v>12064.260000000007</v>
      </c>
      <c r="BK66" s="149">
        <v>12064.260000000007</v>
      </c>
      <c r="BL66" s="149">
        <v>12064.260000000007</v>
      </c>
      <c r="BM66" s="149">
        <v>12064.260100000007</v>
      </c>
      <c r="BN66" s="149">
        <v>12064.260100000007</v>
      </c>
      <c r="BO66" s="149">
        <v>12064.260100000007</v>
      </c>
      <c r="BP66" s="149">
        <v>12064.260100000007</v>
      </c>
    </row>
    <row r="67" spans="1:68" ht="15" hidden="1" customHeight="1" outlineLevel="1">
      <c r="A67" t="s">
        <v>221</v>
      </c>
      <c r="B67" s="38" t="s">
        <v>49</v>
      </c>
      <c r="C67" s="62">
        <v>0</v>
      </c>
      <c r="D67" s="62">
        <v>0</v>
      </c>
      <c r="E67" s="62">
        <v>0</v>
      </c>
      <c r="F67" s="62">
        <v>0</v>
      </c>
      <c r="G67" s="63">
        <v>0</v>
      </c>
      <c r="H67" s="63">
        <v>0</v>
      </c>
      <c r="I67" s="63">
        <v>0</v>
      </c>
      <c r="J67" s="63">
        <v>0</v>
      </c>
      <c r="K67" s="63">
        <v>0</v>
      </c>
      <c r="L67" s="63">
        <v>0</v>
      </c>
      <c r="M67" s="63">
        <v>0</v>
      </c>
      <c r="N67" s="63">
        <v>0</v>
      </c>
      <c r="O67" s="63">
        <v>0</v>
      </c>
      <c r="P67" s="63">
        <v>0</v>
      </c>
      <c r="Q67" s="63">
        <v>0</v>
      </c>
      <c r="R67" s="63">
        <v>0</v>
      </c>
      <c r="S67" s="63">
        <v>0</v>
      </c>
      <c r="T67" s="63">
        <v>0</v>
      </c>
      <c r="U67" s="63">
        <v>0</v>
      </c>
      <c r="V67" s="63">
        <v>0</v>
      </c>
      <c r="W67" s="63">
        <v>0</v>
      </c>
      <c r="X67" s="63">
        <v>0</v>
      </c>
      <c r="Y67" s="63">
        <v>0</v>
      </c>
      <c r="Z67" s="63">
        <v>0</v>
      </c>
      <c r="AA67" s="63">
        <v>0</v>
      </c>
      <c r="AB67" s="63">
        <v>0</v>
      </c>
      <c r="AC67" s="63">
        <v>0</v>
      </c>
      <c r="AD67" s="63">
        <v>0</v>
      </c>
      <c r="AE67" s="63">
        <v>0</v>
      </c>
      <c r="AF67" s="63">
        <v>0</v>
      </c>
      <c r="AG67" s="63">
        <v>0</v>
      </c>
      <c r="AH67" s="63">
        <v>0</v>
      </c>
      <c r="AI67" s="63">
        <v>0</v>
      </c>
      <c r="AJ67" s="63">
        <v>0</v>
      </c>
      <c r="AK67" s="63">
        <v>0</v>
      </c>
      <c r="AL67" s="63"/>
      <c r="AM67" s="63"/>
      <c r="AN67" s="63"/>
      <c r="AO67" s="63"/>
      <c r="AP67" s="63"/>
      <c r="AQ67" s="63"/>
      <c r="AR67" s="63"/>
      <c r="AS67" s="63"/>
      <c r="AT67" s="63"/>
      <c r="AU67" s="63">
        <v>0</v>
      </c>
      <c r="AV67" s="63"/>
      <c r="AW67" s="63"/>
      <c r="AX67" s="63">
        <v>19418</v>
      </c>
      <c r="AY67" s="63">
        <v>19418</v>
      </c>
      <c r="AZ67" s="63">
        <v>19418</v>
      </c>
      <c r="BA67" s="63">
        <v>19418</v>
      </c>
      <c r="BB67" s="63">
        <v>19418</v>
      </c>
      <c r="BC67" s="63">
        <v>19418</v>
      </c>
      <c r="BD67" s="63">
        <v>19418</v>
      </c>
      <c r="BE67" s="63">
        <v>19417.839212374143</v>
      </c>
      <c r="BF67" s="63">
        <v>19417.839212374143</v>
      </c>
      <c r="BG67" s="149">
        <v>19417.839212374143</v>
      </c>
      <c r="BH67" s="149">
        <v>19417.839212374143</v>
      </c>
      <c r="BI67" s="149">
        <v>19417.839212374143</v>
      </c>
      <c r="BJ67" s="149">
        <v>19417.839212374143</v>
      </c>
      <c r="BK67" s="149">
        <v>19417.839212374143</v>
      </c>
      <c r="BL67" s="149">
        <v>19417.839212374143</v>
      </c>
      <c r="BM67" s="149">
        <v>19417.839212374143</v>
      </c>
      <c r="BN67" s="149">
        <v>19417.839212374143</v>
      </c>
      <c r="BO67" s="149">
        <v>19417.839212374143</v>
      </c>
      <c r="BP67" s="149">
        <v>19417.839212374143</v>
      </c>
    </row>
    <row r="68" spans="1:68" s="30" customFormat="1" ht="15" customHeight="1" collapsed="1">
      <c r="B68" s="85" t="str">
        <f>IF('Sumário | Summary'!P1=1,"Escritórios Classe A","Class A Offices")</f>
        <v>Escritórios Classe A</v>
      </c>
      <c r="C68" s="140">
        <f t="shared" ref="C68:BN68" si="22">SUM(C69:C76)</f>
        <v>37571.189999999995</v>
      </c>
      <c r="D68" s="140">
        <f t="shared" si="22"/>
        <v>41421.189999999995</v>
      </c>
      <c r="E68" s="140">
        <f t="shared" si="22"/>
        <v>41421.189999999995</v>
      </c>
      <c r="F68" s="140">
        <f t="shared" si="22"/>
        <v>41421.189999999995</v>
      </c>
      <c r="G68" s="140">
        <f t="shared" si="22"/>
        <v>41421.189999999995</v>
      </c>
      <c r="H68" s="140">
        <f t="shared" si="22"/>
        <v>41421.189999999995</v>
      </c>
      <c r="I68" s="140">
        <f t="shared" si="22"/>
        <v>41421.189999999995</v>
      </c>
      <c r="J68" s="140">
        <f t="shared" si="22"/>
        <v>41421.189999999995</v>
      </c>
      <c r="K68" s="140">
        <f t="shared" si="22"/>
        <v>41421.189999999995</v>
      </c>
      <c r="L68" s="140">
        <f t="shared" si="22"/>
        <v>41421.189999999995</v>
      </c>
      <c r="M68" s="140">
        <f t="shared" si="22"/>
        <v>41421.189999999995</v>
      </c>
      <c r="N68" s="140">
        <f t="shared" si="22"/>
        <v>41421.189999999995</v>
      </c>
      <c r="O68" s="140">
        <f t="shared" si="22"/>
        <v>41421.189999999995</v>
      </c>
      <c r="P68" s="140">
        <f t="shared" si="22"/>
        <v>41421.189999999995</v>
      </c>
      <c r="Q68" s="140">
        <f t="shared" si="22"/>
        <v>41421.189999999995</v>
      </c>
      <c r="R68" s="140">
        <f t="shared" si="22"/>
        <v>41421.189999999995</v>
      </c>
      <c r="S68" s="140">
        <f t="shared" si="22"/>
        <v>41421.189999999995</v>
      </c>
      <c r="T68" s="140">
        <f t="shared" si="22"/>
        <v>41421.189999999995</v>
      </c>
      <c r="U68" s="140">
        <f t="shared" si="22"/>
        <v>41421.189999999995</v>
      </c>
      <c r="V68" s="140">
        <f t="shared" si="22"/>
        <v>41421.189999999995</v>
      </c>
      <c r="W68" s="140">
        <f t="shared" si="22"/>
        <v>41421.189999999995</v>
      </c>
      <c r="X68" s="140">
        <f t="shared" si="22"/>
        <v>41421.24</v>
      </c>
      <c r="Y68" s="140">
        <f t="shared" si="22"/>
        <v>41421.24</v>
      </c>
      <c r="Z68" s="140">
        <f t="shared" si="22"/>
        <v>41421.24</v>
      </c>
      <c r="AA68" s="140">
        <f t="shared" si="22"/>
        <v>41421.24</v>
      </c>
      <c r="AB68" s="140">
        <f t="shared" si="22"/>
        <v>41421.24</v>
      </c>
      <c r="AC68" s="140">
        <f t="shared" si="22"/>
        <v>41421.24</v>
      </c>
      <c r="AD68" s="140">
        <f t="shared" si="22"/>
        <v>41421.189999999995</v>
      </c>
      <c r="AE68" s="140">
        <f t="shared" si="22"/>
        <v>41421.189999999995</v>
      </c>
      <c r="AF68" s="140">
        <f t="shared" si="22"/>
        <v>38577.549999999996</v>
      </c>
      <c r="AG68" s="140">
        <f t="shared" si="22"/>
        <v>38577.129999999997</v>
      </c>
      <c r="AH68" s="140">
        <f t="shared" si="22"/>
        <v>38577.129999999997</v>
      </c>
      <c r="AI68" s="140">
        <f t="shared" si="22"/>
        <v>38577.549999999996</v>
      </c>
      <c r="AJ68" s="140">
        <f t="shared" si="22"/>
        <v>38577.549999999996</v>
      </c>
      <c r="AK68" s="140">
        <f t="shared" si="22"/>
        <v>38577.31</v>
      </c>
      <c r="AL68" s="140">
        <f t="shared" si="22"/>
        <v>27992.249999999996</v>
      </c>
      <c r="AM68" s="140">
        <f t="shared" si="22"/>
        <v>27992.489999999998</v>
      </c>
      <c r="AN68" s="140">
        <f t="shared" si="22"/>
        <v>27992.069999999996</v>
      </c>
      <c r="AO68" s="140">
        <f t="shared" si="22"/>
        <v>27992.489999999998</v>
      </c>
      <c r="AP68" s="140">
        <f t="shared" si="22"/>
        <v>27992.489999999998</v>
      </c>
      <c r="AQ68" s="140">
        <f t="shared" si="22"/>
        <v>27992.489999999998</v>
      </c>
      <c r="AR68" s="140">
        <f t="shared" si="22"/>
        <v>27992.489999999998</v>
      </c>
      <c r="AS68" s="140">
        <f t="shared" si="22"/>
        <v>27992.489999999998</v>
      </c>
      <c r="AT68" s="140">
        <f t="shared" si="22"/>
        <v>27992.489999999998</v>
      </c>
      <c r="AU68" s="140">
        <f t="shared" si="22"/>
        <v>38577.489999999991</v>
      </c>
      <c r="AV68" s="140">
        <f t="shared" si="22"/>
        <v>40154.49</v>
      </c>
      <c r="AW68" s="140">
        <f t="shared" si="22"/>
        <v>50159.489999999991</v>
      </c>
      <c r="AX68" s="140">
        <f t="shared" si="22"/>
        <v>47236.13</v>
      </c>
      <c r="AY68" s="140">
        <f t="shared" si="22"/>
        <v>47236.13</v>
      </c>
      <c r="AZ68" s="140">
        <f t="shared" si="22"/>
        <v>47236.13</v>
      </c>
      <c r="BA68" s="140">
        <f t="shared" si="22"/>
        <v>47236.13</v>
      </c>
      <c r="BB68" s="140">
        <f t="shared" si="22"/>
        <v>47236.13</v>
      </c>
      <c r="BC68" s="140">
        <f t="shared" si="22"/>
        <v>47236.19</v>
      </c>
      <c r="BD68" s="140">
        <f t="shared" si="22"/>
        <v>47236.19</v>
      </c>
      <c r="BE68" s="140">
        <f t="shared" si="22"/>
        <v>47236.19</v>
      </c>
      <c r="BF68" s="140">
        <f t="shared" si="22"/>
        <v>47236.13</v>
      </c>
      <c r="BG68" s="140">
        <f t="shared" si="22"/>
        <v>47236.19</v>
      </c>
      <c r="BH68" s="140">
        <f t="shared" si="22"/>
        <v>47236.240000000005</v>
      </c>
      <c r="BI68" s="140">
        <f t="shared" si="22"/>
        <v>47236.240000000005</v>
      </c>
      <c r="BJ68" s="140">
        <f t="shared" si="22"/>
        <v>47236.240000000005</v>
      </c>
      <c r="BK68" s="140">
        <f t="shared" si="22"/>
        <v>47236.240000000005</v>
      </c>
      <c r="BL68" s="140">
        <f t="shared" si="22"/>
        <v>47236.240000000005</v>
      </c>
      <c r="BM68" s="140">
        <f t="shared" si="22"/>
        <v>47236.240000000005</v>
      </c>
      <c r="BN68" s="140">
        <f t="shared" si="22"/>
        <v>43386.239999999998</v>
      </c>
      <c r="BO68" s="140">
        <f t="shared" ref="BO68" si="23">SUM(BO69:BO76)</f>
        <v>43386.239999999998</v>
      </c>
      <c r="BP68" s="140">
        <f>SUM(BP69:BP76)</f>
        <v>43386.239999999998</v>
      </c>
    </row>
    <row r="69" spans="1:68" ht="15" hidden="1" customHeight="1" outlineLevel="1">
      <c r="A69" t="s">
        <v>222</v>
      </c>
      <c r="B69" s="38" t="s">
        <v>6</v>
      </c>
      <c r="C69" s="63">
        <v>11987.249999999996</v>
      </c>
      <c r="D69" s="63">
        <v>11987.249999999996</v>
      </c>
      <c r="E69" s="63">
        <v>11987.249999999996</v>
      </c>
      <c r="F69" s="63">
        <v>11987.249999999996</v>
      </c>
      <c r="G69" s="63">
        <v>11987.249999999996</v>
      </c>
      <c r="H69" s="63">
        <v>11987.249999999996</v>
      </c>
      <c r="I69" s="63">
        <v>11987.249999999996</v>
      </c>
      <c r="J69" s="63">
        <v>11987.249999999996</v>
      </c>
      <c r="K69" s="63">
        <v>11987.249999999996</v>
      </c>
      <c r="L69" s="63">
        <v>11987.249999999996</v>
      </c>
      <c r="M69" s="63">
        <v>11987.249999999996</v>
      </c>
      <c r="N69" s="63">
        <v>11987.249999999996</v>
      </c>
      <c r="O69" s="63">
        <v>11987.249999999996</v>
      </c>
      <c r="P69" s="63">
        <v>11987.249999999996</v>
      </c>
      <c r="Q69" s="63">
        <v>11987.249999999996</v>
      </c>
      <c r="R69" s="63">
        <v>11987.249999999996</v>
      </c>
      <c r="S69" s="63">
        <v>11987.249999999996</v>
      </c>
      <c r="T69" s="63">
        <v>11987.249999999996</v>
      </c>
      <c r="U69" s="63">
        <v>11987.249999999996</v>
      </c>
      <c r="V69" s="63">
        <v>11987.249999999996</v>
      </c>
      <c r="W69" s="63">
        <v>11987.249999999996</v>
      </c>
      <c r="X69" s="63">
        <v>11987.249999999996</v>
      </c>
      <c r="Y69" s="63">
        <v>11987.249999999996</v>
      </c>
      <c r="Z69" s="63">
        <v>11987.249999999996</v>
      </c>
      <c r="AA69" s="63">
        <v>11987.249999999996</v>
      </c>
      <c r="AB69" s="63">
        <v>11987.249999999996</v>
      </c>
      <c r="AC69" s="63">
        <v>11987.249999999996</v>
      </c>
      <c r="AD69" s="63">
        <v>11987.249999999996</v>
      </c>
      <c r="AE69" s="63">
        <v>11987.249999999996</v>
      </c>
      <c r="AF69" s="63">
        <v>11987.249999999996</v>
      </c>
      <c r="AG69" s="63">
        <v>11987.249999999996</v>
      </c>
      <c r="AH69" s="63">
        <v>11987.249999999996</v>
      </c>
      <c r="AI69" s="63">
        <v>11987.249999999996</v>
      </c>
      <c r="AJ69" s="63">
        <v>11987.249999999996</v>
      </c>
      <c r="AK69" s="63">
        <v>11987.249999999996</v>
      </c>
      <c r="AL69" s="63">
        <v>11987.249999999996</v>
      </c>
      <c r="AM69" s="63">
        <v>11987.249999999996</v>
      </c>
      <c r="AN69" s="63">
        <v>11987.249999999996</v>
      </c>
      <c r="AO69" s="63">
        <v>11987.249999999996</v>
      </c>
      <c r="AP69" s="63">
        <v>11987.249999999996</v>
      </c>
      <c r="AQ69" s="63">
        <v>11987.249999999996</v>
      </c>
      <c r="AR69" s="63">
        <v>11987.249999999996</v>
      </c>
      <c r="AS69" s="63">
        <v>11987.249999999996</v>
      </c>
      <c r="AT69" s="63">
        <v>11987.249999999996</v>
      </c>
      <c r="AU69" s="63">
        <v>11987.249999999996</v>
      </c>
      <c r="AV69" s="63">
        <v>11987.249999999996</v>
      </c>
      <c r="AW69" s="63">
        <v>11987.249999999996</v>
      </c>
      <c r="AX69" s="63">
        <v>11987.249999999996</v>
      </c>
      <c r="AY69" s="63">
        <v>11987.249999999996</v>
      </c>
      <c r="AZ69" s="63">
        <v>11987.249999999996</v>
      </c>
      <c r="BA69" s="63">
        <v>11987.249999999996</v>
      </c>
      <c r="BB69" s="63">
        <v>11987.249999999996</v>
      </c>
      <c r="BC69" s="63">
        <v>11987.249999999996</v>
      </c>
      <c r="BD69" s="63">
        <v>11987.249999999996</v>
      </c>
      <c r="BE69" s="63">
        <v>11987.249999999996</v>
      </c>
      <c r="BF69" s="63">
        <v>11987.249999999996</v>
      </c>
      <c r="BG69" s="149">
        <v>11987.249999999996</v>
      </c>
      <c r="BH69" s="149">
        <v>11987.249999999996</v>
      </c>
      <c r="BI69" s="149">
        <v>11987.249999999996</v>
      </c>
      <c r="BJ69" s="149">
        <v>11987.249999999996</v>
      </c>
      <c r="BK69" s="149">
        <v>11987.249999999996</v>
      </c>
      <c r="BL69" s="149">
        <v>11987.249999999996</v>
      </c>
      <c r="BM69" s="149">
        <v>11987.249999999996</v>
      </c>
      <c r="BN69" s="149">
        <v>11987.249999999996</v>
      </c>
      <c r="BO69" s="149">
        <v>11987.249999999996</v>
      </c>
      <c r="BP69" s="149">
        <v>11987.249999999996</v>
      </c>
    </row>
    <row r="70" spans="1:68" ht="15" hidden="1" customHeight="1" outlineLevel="1">
      <c r="A70" t="s">
        <v>223</v>
      </c>
      <c r="B70" s="38" t="s">
        <v>7</v>
      </c>
      <c r="C70" s="63">
        <v>8385.82</v>
      </c>
      <c r="D70" s="63">
        <v>8385.82</v>
      </c>
      <c r="E70" s="63">
        <v>8385.82</v>
      </c>
      <c r="F70" s="63">
        <v>8385.82</v>
      </c>
      <c r="G70" s="63">
        <v>8385.82</v>
      </c>
      <c r="H70" s="63">
        <v>8385.82</v>
      </c>
      <c r="I70" s="63">
        <v>8385.82</v>
      </c>
      <c r="J70" s="63">
        <v>8385.82</v>
      </c>
      <c r="K70" s="63">
        <v>8385.82</v>
      </c>
      <c r="L70" s="63">
        <v>8385.82</v>
      </c>
      <c r="M70" s="63">
        <v>8385.82</v>
      </c>
      <c r="N70" s="63">
        <v>8385.82</v>
      </c>
      <c r="O70" s="63">
        <v>8385.82</v>
      </c>
      <c r="P70" s="63">
        <v>8385.82</v>
      </c>
      <c r="Q70" s="63">
        <v>8385.82</v>
      </c>
      <c r="R70" s="63">
        <v>8385.82</v>
      </c>
      <c r="S70" s="63">
        <v>8385.82</v>
      </c>
      <c r="T70" s="63">
        <v>8385.82</v>
      </c>
      <c r="U70" s="63">
        <v>8385.82</v>
      </c>
      <c r="V70" s="63">
        <v>8385.82</v>
      </c>
      <c r="W70" s="63">
        <v>8385.82</v>
      </c>
      <c r="X70" s="63">
        <v>8385.82</v>
      </c>
      <c r="Y70" s="63">
        <v>8385.82</v>
      </c>
      <c r="Z70" s="63">
        <v>8385.82</v>
      </c>
      <c r="AA70" s="63">
        <v>8385.82</v>
      </c>
      <c r="AB70" s="63">
        <v>8385.82</v>
      </c>
      <c r="AC70" s="63">
        <v>8385.82</v>
      </c>
      <c r="AD70" s="63">
        <v>8385.82</v>
      </c>
      <c r="AE70" s="63">
        <v>8385.82</v>
      </c>
      <c r="AF70" s="63">
        <v>8385.82</v>
      </c>
      <c r="AG70" s="63">
        <v>8385.82</v>
      </c>
      <c r="AH70" s="63">
        <v>8385.82</v>
      </c>
      <c r="AI70" s="63">
        <v>8385.82</v>
      </c>
      <c r="AJ70" s="63">
        <v>8385.82</v>
      </c>
      <c r="AK70" s="63">
        <v>8386</v>
      </c>
      <c r="AL70" s="63">
        <v>8386</v>
      </c>
      <c r="AM70" s="63">
        <v>8385.82</v>
      </c>
      <c r="AN70" s="63">
        <v>8385.82</v>
      </c>
      <c r="AO70" s="63">
        <v>8385.82</v>
      </c>
      <c r="AP70" s="63">
        <v>8385.82</v>
      </c>
      <c r="AQ70" s="63">
        <v>8385.82</v>
      </c>
      <c r="AR70" s="63">
        <v>8385.82</v>
      </c>
      <c r="AS70" s="63">
        <v>8385.82</v>
      </c>
      <c r="AT70" s="63">
        <v>8385.82</v>
      </c>
      <c r="AU70" s="63">
        <v>8385.82</v>
      </c>
      <c r="AV70" s="63">
        <v>8385.82</v>
      </c>
      <c r="AW70" s="63">
        <v>8385.82</v>
      </c>
      <c r="AX70" s="63">
        <v>8385.82</v>
      </c>
      <c r="AY70" s="63">
        <v>8385.82</v>
      </c>
      <c r="AZ70" s="63">
        <v>8385.82</v>
      </c>
      <c r="BA70" s="63">
        <v>8385.82</v>
      </c>
      <c r="BB70" s="63">
        <v>8385.82</v>
      </c>
      <c r="BC70" s="63">
        <v>8385.82</v>
      </c>
      <c r="BD70" s="63">
        <v>8385.82</v>
      </c>
      <c r="BE70" s="63">
        <v>8385.82</v>
      </c>
      <c r="BF70" s="63">
        <v>8385.82</v>
      </c>
      <c r="BG70" s="149">
        <v>8385.82</v>
      </c>
      <c r="BH70" s="149">
        <v>8385.82</v>
      </c>
      <c r="BI70" s="149">
        <v>8385.82</v>
      </c>
      <c r="BJ70" s="149">
        <v>8385.82</v>
      </c>
      <c r="BK70" s="149">
        <v>8385.82</v>
      </c>
      <c r="BL70" s="149">
        <v>8385.82</v>
      </c>
      <c r="BM70" s="149">
        <v>8385.82</v>
      </c>
      <c r="BN70" s="149">
        <v>8385.82</v>
      </c>
      <c r="BO70" s="149">
        <v>8385.82</v>
      </c>
      <c r="BP70" s="149">
        <v>8385.82</v>
      </c>
    </row>
    <row r="71" spans="1:68" ht="15" hidden="1" customHeight="1" outlineLevel="1">
      <c r="A71" t="s">
        <v>18</v>
      </c>
      <c r="B71" s="38" t="s">
        <v>29</v>
      </c>
      <c r="C71" s="62">
        <v>2923</v>
      </c>
      <c r="D71" s="62">
        <v>2923</v>
      </c>
      <c r="E71" s="62">
        <v>2923</v>
      </c>
      <c r="F71" s="62">
        <v>2923</v>
      </c>
      <c r="G71" s="62">
        <v>2923</v>
      </c>
      <c r="H71" s="62">
        <v>2923</v>
      </c>
      <c r="I71" s="62">
        <v>2923</v>
      </c>
      <c r="J71" s="62">
        <v>2923</v>
      </c>
      <c r="K71" s="62">
        <v>2923</v>
      </c>
      <c r="L71" s="62">
        <v>2923</v>
      </c>
      <c r="M71" s="62">
        <v>2923</v>
      </c>
      <c r="N71" s="62">
        <v>2923</v>
      </c>
      <c r="O71" s="62">
        <v>2923</v>
      </c>
      <c r="P71" s="62">
        <v>2923</v>
      </c>
      <c r="Q71" s="62">
        <v>2923</v>
      </c>
      <c r="R71" s="62">
        <v>2923</v>
      </c>
      <c r="S71" s="62">
        <v>2923</v>
      </c>
      <c r="T71" s="62">
        <v>2923</v>
      </c>
      <c r="U71" s="62">
        <v>2923</v>
      </c>
      <c r="V71" s="62">
        <v>2923</v>
      </c>
      <c r="W71" s="62">
        <v>2923</v>
      </c>
      <c r="X71" s="62">
        <v>2923</v>
      </c>
      <c r="Y71" s="62">
        <v>2923</v>
      </c>
      <c r="Z71" s="62">
        <v>2923</v>
      </c>
      <c r="AA71" s="62">
        <v>2923</v>
      </c>
      <c r="AB71" s="62">
        <v>2923</v>
      </c>
      <c r="AC71" s="62">
        <v>2923</v>
      </c>
      <c r="AD71" s="62">
        <v>2923</v>
      </c>
      <c r="AE71" s="62">
        <v>2923</v>
      </c>
      <c r="AF71" s="62">
        <v>2923.36</v>
      </c>
      <c r="AG71" s="62">
        <v>2923</v>
      </c>
      <c r="AH71" s="62">
        <v>2923</v>
      </c>
      <c r="AI71" s="62">
        <v>2923.36</v>
      </c>
      <c r="AJ71" s="63">
        <v>2923.36</v>
      </c>
      <c r="AK71" s="63">
        <v>2923</v>
      </c>
      <c r="AL71" s="63">
        <v>2923</v>
      </c>
      <c r="AM71" s="63">
        <v>2923.36</v>
      </c>
      <c r="AN71" s="63">
        <v>2923</v>
      </c>
      <c r="AO71" s="63">
        <v>2923.36</v>
      </c>
      <c r="AP71" s="63">
        <v>2923.36</v>
      </c>
      <c r="AQ71" s="63">
        <v>2923.36</v>
      </c>
      <c r="AR71" s="63">
        <v>2923.36</v>
      </c>
      <c r="AS71" s="63">
        <v>2923.36</v>
      </c>
      <c r="AT71" s="63">
        <v>2923.36</v>
      </c>
      <c r="AU71" s="63">
        <v>2923.36</v>
      </c>
      <c r="AV71" s="63">
        <v>2923.36</v>
      </c>
      <c r="AW71" s="63">
        <v>2923.36</v>
      </c>
      <c r="AX71" s="149">
        <v>0</v>
      </c>
      <c r="AY71" s="149">
        <v>0</v>
      </c>
      <c r="AZ71" s="149">
        <v>0</v>
      </c>
      <c r="BA71" s="149">
        <v>0</v>
      </c>
      <c r="BB71" s="149">
        <v>0</v>
      </c>
      <c r="BC71" s="63">
        <v>0</v>
      </c>
      <c r="BD71" s="63">
        <v>0</v>
      </c>
      <c r="BE71" s="63">
        <v>0</v>
      </c>
      <c r="BF71" s="63">
        <v>0</v>
      </c>
      <c r="BG71" s="149">
        <v>0</v>
      </c>
      <c r="BH71" s="149">
        <v>0</v>
      </c>
      <c r="BI71" s="149">
        <v>0</v>
      </c>
      <c r="BJ71" s="149">
        <v>0</v>
      </c>
      <c r="BK71" s="149">
        <v>0</v>
      </c>
      <c r="BL71" s="149">
        <v>0</v>
      </c>
      <c r="BM71" s="149">
        <v>0</v>
      </c>
      <c r="BN71" s="149">
        <v>0</v>
      </c>
      <c r="BO71" s="149">
        <v>0</v>
      </c>
      <c r="BP71" s="149">
        <v>0</v>
      </c>
    </row>
    <row r="72" spans="1:68" ht="15" hidden="1" customHeight="1" outlineLevel="1">
      <c r="A72" t="s">
        <v>225</v>
      </c>
      <c r="B72" s="38" t="s">
        <v>9</v>
      </c>
      <c r="C72" s="63">
        <v>10585.060000000001</v>
      </c>
      <c r="D72" s="63">
        <v>10585.060000000001</v>
      </c>
      <c r="E72" s="63">
        <v>10585.060000000001</v>
      </c>
      <c r="F72" s="63">
        <v>10585.060000000001</v>
      </c>
      <c r="G72" s="63">
        <v>10585.060000000001</v>
      </c>
      <c r="H72" s="63">
        <v>10585.060000000001</v>
      </c>
      <c r="I72" s="63">
        <v>10585.060000000001</v>
      </c>
      <c r="J72" s="63">
        <v>10585.060000000001</v>
      </c>
      <c r="K72" s="63">
        <v>10585.060000000001</v>
      </c>
      <c r="L72" s="63">
        <v>10585.060000000001</v>
      </c>
      <c r="M72" s="63">
        <v>10585.060000000001</v>
      </c>
      <c r="N72" s="63">
        <v>10585.060000000001</v>
      </c>
      <c r="O72" s="63">
        <v>10585.060000000001</v>
      </c>
      <c r="P72" s="63">
        <v>10585.060000000001</v>
      </c>
      <c r="Q72" s="63">
        <v>10585.060000000001</v>
      </c>
      <c r="R72" s="63">
        <v>10585.060000000001</v>
      </c>
      <c r="S72" s="63">
        <v>10585.060000000001</v>
      </c>
      <c r="T72" s="63">
        <v>10585.060000000001</v>
      </c>
      <c r="U72" s="63">
        <v>10585.060000000001</v>
      </c>
      <c r="V72" s="63">
        <v>10585.060000000001</v>
      </c>
      <c r="W72" s="63">
        <v>10585.060000000001</v>
      </c>
      <c r="X72" s="63">
        <v>10585.060000000001</v>
      </c>
      <c r="Y72" s="63">
        <v>10585.060000000001</v>
      </c>
      <c r="Z72" s="63">
        <v>10585.060000000001</v>
      </c>
      <c r="AA72" s="63">
        <v>10585.060000000001</v>
      </c>
      <c r="AB72" s="63">
        <v>10585.060000000001</v>
      </c>
      <c r="AC72" s="63">
        <v>10585.060000000001</v>
      </c>
      <c r="AD72" s="63">
        <v>10585.060000000001</v>
      </c>
      <c r="AE72" s="63">
        <v>10585.060000000001</v>
      </c>
      <c r="AF72" s="63">
        <v>10585.060000000001</v>
      </c>
      <c r="AG72" s="63">
        <v>10585.060000000001</v>
      </c>
      <c r="AH72" s="63">
        <v>10585.060000000001</v>
      </c>
      <c r="AI72" s="63">
        <v>10585.060000000001</v>
      </c>
      <c r="AJ72" s="63">
        <v>10585.060000000001</v>
      </c>
      <c r="AK72" s="63">
        <v>10585.060000000001</v>
      </c>
      <c r="AL72" s="62">
        <v>0</v>
      </c>
      <c r="AM72" s="62">
        <v>0</v>
      </c>
      <c r="AN72" s="62">
        <v>0</v>
      </c>
      <c r="AO72" s="62">
        <v>0</v>
      </c>
      <c r="AP72" s="62">
        <v>0</v>
      </c>
      <c r="AQ72" s="62">
        <v>0</v>
      </c>
      <c r="AR72" s="62">
        <v>0</v>
      </c>
      <c r="AS72" s="62">
        <v>0</v>
      </c>
      <c r="AT72" s="62">
        <v>0</v>
      </c>
      <c r="AU72" s="149">
        <v>10585</v>
      </c>
      <c r="AV72" s="62">
        <v>0</v>
      </c>
      <c r="AW72" s="149">
        <v>10005</v>
      </c>
      <c r="AX72" s="149">
        <v>10005</v>
      </c>
      <c r="AY72" s="149">
        <v>10005</v>
      </c>
      <c r="AZ72" s="149">
        <v>10005</v>
      </c>
      <c r="BA72" s="149">
        <v>10005</v>
      </c>
      <c r="BB72" s="149">
        <v>10005</v>
      </c>
      <c r="BC72" s="149">
        <v>10005.06</v>
      </c>
      <c r="BD72" s="149">
        <v>10005.06</v>
      </c>
      <c r="BE72" s="149">
        <v>10005.06</v>
      </c>
      <c r="BF72" s="149">
        <v>10005</v>
      </c>
      <c r="BG72" s="149">
        <v>10005.06</v>
      </c>
      <c r="BH72" s="149">
        <v>10005.06</v>
      </c>
      <c r="BI72" s="149">
        <v>10005.06</v>
      </c>
      <c r="BJ72" s="149">
        <v>10005.06</v>
      </c>
      <c r="BK72" s="149">
        <v>10005.06</v>
      </c>
      <c r="BL72" s="149">
        <v>10005.06</v>
      </c>
      <c r="BM72" s="149">
        <v>10005.06</v>
      </c>
      <c r="BN72" s="149">
        <v>10005.06</v>
      </c>
      <c r="BO72" s="149">
        <v>10005.06</v>
      </c>
      <c r="BP72" s="149">
        <v>10005.06</v>
      </c>
    </row>
    <row r="73" spans="1:68" ht="15" hidden="1" customHeight="1" outlineLevel="1">
      <c r="A73" t="s">
        <v>226</v>
      </c>
      <c r="B73" s="38" t="s">
        <v>10</v>
      </c>
      <c r="C73" s="62">
        <v>846.06</v>
      </c>
      <c r="D73" s="62">
        <v>846.06</v>
      </c>
      <c r="E73" s="62">
        <v>846.06</v>
      </c>
      <c r="F73" s="62">
        <v>846.06</v>
      </c>
      <c r="G73" s="62">
        <v>846.06</v>
      </c>
      <c r="H73" s="62">
        <v>846.06</v>
      </c>
      <c r="I73" s="62">
        <v>846.06</v>
      </c>
      <c r="J73" s="62">
        <v>846.06</v>
      </c>
      <c r="K73" s="62">
        <v>846.06</v>
      </c>
      <c r="L73" s="62">
        <v>846.06</v>
      </c>
      <c r="M73" s="62">
        <v>846.06</v>
      </c>
      <c r="N73" s="62">
        <v>846.06</v>
      </c>
      <c r="O73" s="62">
        <v>846.06</v>
      </c>
      <c r="P73" s="62">
        <v>846.06</v>
      </c>
      <c r="Q73" s="62">
        <v>846.06</v>
      </c>
      <c r="R73" s="62">
        <v>846.06</v>
      </c>
      <c r="S73" s="62">
        <v>846.06</v>
      </c>
      <c r="T73" s="62">
        <v>846.06</v>
      </c>
      <c r="U73" s="62">
        <v>846.06</v>
      </c>
      <c r="V73" s="62">
        <v>846.06</v>
      </c>
      <c r="W73" s="62">
        <v>846.06</v>
      </c>
      <c r="X73" s="62">
        <v>846.06</v>
      </c>
      <c r="Y73" s="62">
        <v>846.06</v>
      </c>
      <c r="Z73" s="62">
        <v>846.06</v>
      </c>
      <c r="AA73" s="62">
        <v>846.06</v>
      </c>
      <c r="AB73" s="62">
        <v>846.06</v>
      </c>
      <c r="AC73" s="62">
        <v>846.06</v>
      </c>
      <c r="AD73" s="62">
        <v>846.06</v>
      </c>
      <c r="AE73" s="62">
        <v>846.06</v>
      </c>
      <c r="AF73" s="62">
        <v>846.06</v>
      </c>
      <c r="AG73" s="62">
        <v>846</v>
      </c>
      <c r="AH73" s="62">
        <v>846</v>
      </c>
      <c r="AI73" s="62">
        <v>846.06</v>
      </c>
      <c r="AJ73" s="63">
        <v>846.06</v>
      </c>
      <c r="AK73" s="63">
        <v>846</v>
      </c>
      <c r="AL73" s="63">
        <v>846</v>
      </c>
      <c r="AM73" s="63">
        <v>846.06</v>
      </c>
      <c r="AN73" s="63">
        <v>846</v>
      </c>
      <c r="AO73" s="63">
        <v>846.06</v>
      </c>
      <c r="AP73" s="63">
        <v>846.06</v>
      </c>
      <c r="AQ73" s="63">
        <v>846.06</v>
      </c>
      <c r="AR73" s="63">
        <v>846.06</v>
      </c>
      <c r="AS73" s="63">
        <v>846.06</v>
      </c>
      <c r="AT73" s="63">
        <v>846.06</v>
      </c>
      <c r="AU73" s="63">
        <v>846.06</v>
      </c>
      <c r="AV73" s="63">
        <v>846.06</v>
      </c>
      <c r="AW73" s="63">
        <v>846.06</v>
      </c>
      <c r="AX73" s="63">
        <v>846.06</v>
      </c>
      <c r="AY73" s="63">
        <v>846.06</v>
      </c>
      <c r="AZ73" s="63">
        <v>846.06</v>
      </c>
      <c r="BA73" s="63">
        <v>846.06</v>
      </c>
      <c r="BB73" s="63">
        <v>846.06</v>
      </c>
      <c r="BC73" s="63">
        <v>846.06</v>
      </c>
      <c r="BD73" s="63">
        <v>846.06</v>
      </c>
      <c r="BE73" s="63">
        <v>846.06</v>
      </c>
      <c r="BF73" s="63">
        <v>846.06</v>
      </c>
      <c r="BG73" s="149">
        <v>846.06</v>
      </c>
      <c r="BH73" s="149">
        <v>846.06</v>
      </c>
      <c r="BI73" s="149">
        <v>846.06</v>
      </c>
      <c r="BJ73" s="149">
        <v>846.06</v>
      </c>
      <c r="BK73" s="149">
        <v>846.06</v>
      </c>
      <c r="BL73" s="149">
        <v>846.06</v>
      </c>
      <c r="BM73" s="149">
        <v>846.06</v>
      </c>
      <c r="BN73" s="149">
        <v>846.06</v>
      </c>
      <c r="BO73" s="149">
        <v>846.06</v>
      </c>
      <c r="BP73" s="149">
        <v>846.06</v>
      </c>
    </row>
    <row r="74" spans="1:68" ht="15" hidden="1" customHeight="1" outlineLevel="1">
      <c r="A74" t="s">
        <v>227</v>
      </c>
      <c r="B74" s="38" t="s">
        <v>11</v>
      </c>
      <c r="C74" s="62">
        <v>0</v>
      </c>
      <c r="D74" s="62">
        <v>3850</v>
      </c>
      <c r="E74" s="62">
        <v>3850</v>
      </c>
      <c r="F74" s="62">
        <v>3850</v>
      </c>
      <c r="G74" s="62">
        <v>3850</v>
      </c>
      <c r="H74" s="62">
        <v>3850</v>
      </c>
      <c r="I74" s="62">
        <v>3850</v>
      </c>
      <c r="J74" s="62">
        <v>3850</v>
      </c>
      <c r="K74" s="62">
        <v>3850</v>
      </c>
      <c r="L74" s="62">
        <v>3850</v>
      </c>
      <c r="M74" s="62">
        <v>3850</v>
      </c>
      <c r="N74" s="62">
        <v>3850</v>
      </c>
      <c r="O74" s="62">
        <v>3850</v>
      </c>
      <c r="P74" s="62">
        <v>3850</v>
      </c>
      <c r="Q74" s="62">
        <v>3850</v>
      </c>
      <c r="R74" s="62">
        <v>3850</v>
      </c>
      <c r="S74" s="62">
        <v>3850</v>
      </c>
      <c r="T74" s="62">
        <v>3850</v>
      </c>
      <c r="U74" s="62">
        <v>3850</v>
      </c>
      <c r="V74" s="62">
        <v>3850</v>
      </c>
      <c r="W74" s="62">
        <v>3850</v>
      </c>
      <c r="X74" s="62">
        <v>3850</v>
      </c>
      <c r="Y74" s="62">
        <v>3850</v>
      </c>
      <c r="Z74" s="62">
        <v>3850</v>
      </c>
      <c r="AA74" s="62">
        <v>3850</v>
      </c>
      <c r="AB74" s="62">
        <v>3850</v>
      </c>
      <c r="AC74" s="62">
        <v>3850</v>
      </c>
      <c r="AD74" s="62">
        <v>3850</v>
      </c>
      <c r="AE74" s="62">
        <v>3850</v>
      </c>
      <c r="AF74" s="62">
        <v>3850</v>
      </c>
      <c r="AG74" s="62">
        <v>3850</v>
      </c>
      <c r="AH74" s="62">
        <v>3850</v>
      </c>
      <c r="AI74" s="62">
        <v>3850</v>
      </c>
      <c r="AJ74" s="63">
        <v>3850</v>
      </c>
      <c r="AK74" s="63">
        <v>3850</v>
      </c>
      <c r="AL74" s="63">
        <v>3850</v>
      </c>
      <c r="AM74" s="63">
        <v>3850</v>
      </c>
      <c r="AN74" s="63">
        <v>3850</v>
      </c>
      <c r="AO74" s="63">
        <v>3850</v>
      </c>
      <c r="AP74" s="63">
        <v>3850</v>
      </c>
      <c r="AQ74" s="63">
        <v>3850</v>
      </c>
      <c r="AR74" s="63">
        <v>3850</v>
      </c>
      <c r="AS74" s="63">
        <v>3850</v>
      </c>
      <c r="AT74" s="63">
        <v>3850</v>
      </c>
      <c r="AU74" s="63">
        <v>3850</v>
      </c>
      <c r="AV74" s="63">
        <v>3850</v>
      </c>
      <c r="AW74" s="63">
        <v>3850</v>
      </c>
      <c r="AX74" s="63">
        <v>3850</v>
      </c>
      <c r="AY74" s="63">
        <v>3850</v>
      </c>
      <c r="AZ74" s="63">
        <v>3850</v>
      </c>
      <c r="BA74" s="63">
        <v>3850</v>
      </c>
      <c r="BB74" s="63">
        <v>3850</v>
      </c>
      <c r="BC74" s="63">
        <v>3850</v>
      </c>
      <c r="BD74" s="63">
        <v>3850</v>
      </c>
      <c r="BE74" s="63">
        <v>3850</v>
      </c>
      <c r="BF74" s="63">
        <v>3850</v>
      </c>
      <c r="BG74" s="149">
        <v>3850</v>
      </c>
      <c r="BH74" s="149">
        <v>3850</v>
      </c>
      <c r="BI74" s="149">
        <v>3850</v>
      </c>
      <c r="BJ74" s="149">
        <v>3850</v>
      </c>
      <c r="BK74" s="149">
        <v>3850</v>
      </c>
      <c r="BL74" s="149">
        <v>3850</v>
      </c>
      <c r="BM74" s="149">
        <v>3850</v>
      </c>
      <c r="BN74" s="149">
        <v>0</v>
      </c>
      <c r="BO74" s="149">
        <v>0</v>
      </c>
      <c r="BP74" s="149">
        <v>0</v>
      </c>
    </row>
    <row r="75" spans="1:68" ht="15" hidden="1" customHeight="1" outlineLevel="1">
      <c r="A75" t="s">
        <v>18</v>
      </c>
      <c r="B75" s="38" t="s">
        <v>8</v>
      </c>
      <c r="C75" s="62">
        <v>2844</v>
      </c>
      <c r="D75" s="62">
        <v>2844</v>
      </c>
      <c r="E75" s="62">
        <v>2844</v>
      </c>
      <c r="F75" s="62">
        <v>2844</v>
      </c>
      <c r="G75" s="62">
        <v>2844</v>
      </c>
      <c r="H75" s="62">
        <v>2844</v>
      </c>
      <c r="I75" s="62">
        <v>2844</v>
      </c>
      <c r="J75" s="62">
        <v>2844</v>
      </c>
      <c r="K75" s="62">
        <v>2844</v>
      </c>
      <c r="L75" s="62">
        <v>2844</v>
      </c>
      <c r="M75" s="62">
        <v>2844</v>
      </c>
      <c r="N75" s="62">
        <v>2844</v>
      </c>
      <c r="O75" s="62">
        <v>2844</v>
      </c>
      <c r="P75" s="62">
        <v>2844</v>
      </c>
      <c r="Q75" s="62">
        <v>2844</v>
      </c>
      <c r="R75" s="62">
        <v>2844</v>
      </c>
      <c r="S75" s="62">
        <v>2844</v>
      </c>
      <c r="T75" s="62">
        <v>2844</v>
      </c>
      <c r="U75" s="62">
        <v>2844</v>
      </c>
      <c r="V75" s="62">
        <v>2844</v>
      </c>
      <c r="W75" s="62">
        <v>2844</v>
      </c>
      <c r="X75" s="62">
        <v>2844.05</v>
      </c>
      <c r="Y75" s="62">
        <v>2844.05</v>
      </c>
      <c r="Z75" s="62">
        <v>2844.05</v>
      </c>
      <c r="AA75" s="62">
        <v>2844.05</v>
      </c>
      <c r="AB75" s="62">
        <v>2844.05</v>
      </c>
      <c r="AC75" s="62">
        <v>2844.05</v>
      </c>
      <c r="AD75" s="62">
        <v>2844</v>
      </c>
      <c r="AE75" s="62">
        <v>2844</v>
      </c>
      <c r="AF75" s="63">
        <v>0</v>
      </c>
      <c r="AG75" s="63">
        <v>0</v>
      </c>
      <c r="AH75" s="63">
        <v>0</v>
      </c>
      <c r="AI75" s="63">
        <v>0</v>
      </c>
      <c r="AJ75" s="63">
        <v>0</v>
      </c>
      <c r="AK75" s="63">
        <v>0</v>
      </c>
      <c r="AL75" s="63">
        <v>0</v>
      </c>
      <c r="AM75" s="63">
        <v>0</v>
      </c>
      <c r="AN75" s="63">
        <v>0</v>
      </c>
      <c r="AO75" s="63">
        <v>0</v>
      </c>
      <c r="AP75" s="63">
        <v>0</v>
      </c>
      <c r="AQ75" s="63">
        <v>0</v>
      </c>
      <c r="AR75" s="63">
        <v>0</v>
      </c>
      <c r="AS75" s="63">
        <v>0</v>
      </c>
      <c r="AT75" s="63">
        <v>0</v>
      </c>
      <c r="AU75" s="63">
        <v>0</v>
      </c>
      <c r="AV75" s="63">
        <v>0</v>
      </c>
      <c r="AW75" s="63">
        <v>0</v>
      </c>
      <c r="AX75" s="63">
        <v>0</v>
      </c>
      <c r="AY75" s="63">
        <v>0</v>
      </c>
      <c r="AZ75" s="63">
        <v>0</v>
      </c>
      <c r="BA75" s="63">
        <v>0</v>
      </c>
      <c r="BB75" s="63">
        <v>0</v>
      </c>
      <c r="BC75" s="63">
        <v>0</v>
      </c>
      <c r="BD75" s="63">
        <v>0</v>
      </c>
      <c r="BE75" s="63">
        <v>0</v>
      </c>
      <c r="BF75" s="63">
        <v>0</v>
      </c>
      <c r="BG75" s="149">
        <v>0</v>
      </c>
      <c r="BH75" s="149">
        <v>0</v>
      </c>
      <c r="BI75" s="149">
        <v>0</v>
      </c>
      <c r="BJ75" s="149">
        <v>0</v>
      </c>
      <c r="BK75" s="149">
        <v>0</v>
      </c>
      <c r="BL75" s="149">
        <v>0</v>
      </c>
      <c r="BM75" s="149">
        <v>0</v>
      </c>
      <c r="BN75" s="149">
        <v>0</v>
      </c>
      <c r="BO75" s="149">
        <v>0</v>
      </c>
      <c r="BP75" s="149">
        <v>0</v>
      </c>
    </row>
    <row r="76" spans="1:68" ht="15" hidden="1" customHeight="1" outlineLevel="1">
      <c r="A76" t="s">
        <v>228</v>
      </c>
      <c r="B76" s="38" t="s">
        <v>45</v>
      </c>
      <c r="C76" s="62" t="s">
        <v>18</v>
      </c>
      <c r="D76" s="62" t="s">
        <v>18</v>
      </c>
      <c r="E76" s="62" t="s">
        <v>18</v>
      </c>
      <c r="F76" s="62" t="s">
        <v>18</v>
      </c>
      <c r="G76" s="62" t="s">
        <v>18</v>
      </c>
      <c r="H76" s="62" t="s">
        <v>18</v>
      </c>
      <c r="I76" s="62" t="s">
        <v>18</v>
      </c>
      <c r="J76" s="62" t="s">
        <v>18</v>
      </c>
      <c r="K76" s="62" t="s">
        <v>18</v>
      </c>
      <c r="L76" s="62" t="s">
        <v>18</v>
      </c>
      <c r="M76" s="62" t="s">
        <v>18</v>
      </c>
      <c r="N76" s="62" t="s">
        <v>18</v>
      </c>
      <c r="O76" s="62" t="s">
        <v>18</v>
      </c>
      <c r="P76" s="62" t="s">
        <v>18</v>
      </c>
      <c r="Q76" s="62" t="s">
        <v>18</v>
      </c>
      <c r="R76" s="62" t="s">
        <v>18</v>
      </c>
      <c r="S76" s="62" t="s">
        <v>18</v>
      </c>
      <c r="T76" s="62" t="s">
        <v>18</v>
      </c>
      <c r="U76" s="62" t="s">
        <v>18</v>
      </c>
      <c r="V76" s="62" t="s">
        <v>18</v>
      </c>
      <c r="W76" s="62" t="s">
        <v>18</v>
      </c>
      <c r="X76" s="62" t="s">
        <v>18</v>
      </c>
      <c r="Y76" s="62" t="s">
        <v>18</v>
      </c>
      <c r="Z76" s="62" t="s">
        <v>18</v>
      </c>
      <c r="AA76" s="62" t="s">
        <v>18</v>
      </c>
      <c r="AB76" s="62" t="s">
        <v>18</v>
      </c>
      <c r="AC76" s="62" t="s">
        <v>18</v>
      </c>
      <c r="AD76" s="62" t="s">
        <v>18</v>
      </c>
      <c r="AE76" s="62" t="s">
        <v>18</v>
      </c>
      <c r="AF76" s="62" t="s">
        <v>18</v>
      </c>
      <c r="AG76" s="62" t="s">
        <v>18</v>
      </c>
      <c r="AH76" s="62" t="s">
        <v>18</v>
      </c>
      <c r="AI76" s="62" t="s">
        <v>18</v>
      </c>
      <c r="AJ76" s="62" t="s">
        <v>18</v>
      </c>
      <c r="AK76" s="62" t="s">
        <v>18</v>
      </c>
      <c r="AL76" s="162" t="s">
        <v>18</v>
      </c>
      <c r="AM76" s="162" t="s">
        <v>18</v>
      </c>
      <c r="AN76" s="162" t="s">
        <v>18</v>
      </c>
      <c r="AO76" s="162" t="s">
        <v>18</v>
      </c>
      <c r="AP76" s="162" t="s">
        <v>18</v>
      </c>
      <c r="AQ76" s="162" t="s">
        <v>18</v>
      </c>
      <c r="AR76" s="162" t="s">
        <v>18</v>
      </c>
      <c r="AS76" s="162" t="s">
        <v>18</v>
      </c>
      <c r="AT76" s="162" t="s">
        <v>18</v>
      </c>
      <c r="AU76" s="162">
        <v>0</v>
      </c>
      <c r="AV76" s="63">
        <v>12162</v>
      </c>
      <c r="AW76" s="63">
        <v>12162</v>
      </c>
      <c r="AX76" s="63">
        <v>12162</v>
      </c>
      <c r="AY76" s="63">
        <v>12162</v>
      </c>
      <c r="AZ76" s="63">
        <v>12162</v>
      </c>
      <c r="BA76" s="63">
        <v>12162</v>
      </c>
      <c r="BB76" s="63">
        <v>12162</v>
      </c>
      <c r="BC76" s="63">
        <v>12162</v>
      </c>
      <c r="BD76" s="63">
        <v>12162</v>
      </c>
      <c r="BE76" s="63">
        <v>12162</v>
      </c>
      <c r="BF76" s="63">
        <v>12162</v>
      </c>
      <c r="BG76" s="149">
        <v>12162</v>
      </c>
      <c r="BH76" s="149">
        <v>12162.05</v>
      </c>
      <c r="BI76" s="149">
        <v>12162.05</v>
      </c>
      <c r="BJ76" s="149">
        <v>12162.05</v>
      </c>
      <c r="BK76" s="149">
        <v>12162.05</v>
      </c>
      <c r="BL76" s="149">
        <v>12162.05</v>
      </c>
      <c r="BM76" s="149">
        <v>12162.05</v>
      </c>
      <c r="BN76" s="149">
        <v>12162.05</v>
      </c>
      <c r="BO76" s="149">
        <v>12162.05</v>
      </c>
      <c r="BP76" s="149">
        <v>12162.05</v>
      </c>
    </row>
    <row r="77" spans="1:68" s="15" customFormat="1" ht="15" customHeight="1" collapsed="1">
      <c r="B77" s="82" t="s">
        <v>15</v>
      </c>
      <c r="C77" s="140">
        <f t="shared" ref="C77:BN77" si="24">SUM(C78:C85)</f>
        <v>64416</v>
      </c>
      <c r="D77" s="140">
        <f t="shared" si="24"/>
        <v>64416</v>
      </c>
      <c r="E77" s="140">
        <f t="shared" si="24"/>
        <v>64416</v>
      </c>
      <c r="F77" s="140">
        <f t="shared" si="24"/>
        <v>64416</v>
      </c>
      <c r="G77" s="140">
        <f t="shared" si="24"/>
        <v>64416</v>
      </c>
      <c r="H77" s="140">
        <f t="shared" si="24"/>
        <v>64416</v>
      </c>
      <c r="I77" s="140">
        <f t="shared" si="24"/>
        <v>64713</v>
      </c>
      <c r="J77" s="140">
        <f t="shared" si="24"/>
        <v>68400</v>
      </c>
      <c r="K77" s="140">
        <f t="shared" si="24"/>
        <v>68400</v>
      </c>
      <c r="L77" s="140">
        <f t="shared" si="24"/>
        <v>68400</v>
      </c>
      <c r="M77" s="140">
        <f t="shared" si="24"/>
        <v>69247</v>
      </c>
      <c r="N77" s="140">
        <f t="shared" si="24"/>
        <v>69247</v>
      </c>
      <c r="O77" s="140">
        <f t="shared" si="24"/>
        <v>69247</v>
      </c>
      <c r="P77" s="140">
        <f t="shared" si="24"/>
        <v>69247</v>
      </c>
      <c r="Q77" s="140">
        <f t="shared" si="24"/>
        <v>69247</v>
      </c>
      <c r="R77" s="140">
        <f t="shared" si="24"/>
        <v>69247</v>
      </c>
      <c r="S77" s="140">
        <f t="shared" si="24"/>
        <v>69247</v>
      </c>
      <c r="T77" s="140">
        <f t="shared" si="24"/>
        <v>134509</v>
      </c>
      <c r="U77" s="140">
        <f t="shared" si="24"/>
        <v>134509</v>
      </c>
      <c r="V77" s="140">
        <f t="shared" si="24"/>
        <v>149043</v>
      </c>
      <c r="W77" s="140">
        <f t="shared" si="24"/>
        <v>149043</v>
      </c>
      <c r="X77" s="140">
        <f t="shared" si="24"/>
        <v>144531</v>
      </c>
      <c r="Y77" s="140">
        <f t="shared" si="24"/>
        <v>144530.8303</v>
      </c>
      <c r="Z77" s="140">
        <f t="shared" si="24"/>
        <v>223865.8303</v>
      </c>
      <c r="AA77" s="140">
        <f t="shared" si="24"/>
        <v>223865.8303</v>
      </c>
      <c r="AB77" s="140">
        <f t="shared" si="24"/>
        <v>223865.8303</v>
      </c>
      <c r="AC77" s="140">
        <f t="shared" si="24"/>
        <v>224665.13484346194</v>
      </c>
      <c r="AD77" s="140">
        <f t="shared" si="24"/>
        <v>224664.24381208274</v>
      </c>
      <c r="AE77" s="140">
        <f t="shared" si="24"/>
        <v>224664.24381208274</v>
      </c>
      <c r="AF77" s="140">
        <f t="shared" si="24"/>
        <v>242763.72575104475</v>
      </c>
      <c r="AG77" s="140">
        <f t="shared" si="24"/>
        <v>242763.72575104475</v>
      </c>
      <c r="AH77" s="140">
        <f t="shared" si="24"/>
        <v>241910.72575104478</v>
      </c>
      <c r="AI77" s="140">
        <f t="shared" si="24"/>
        <v>241851.59534031298</v>
      </c>
      <c r="AJ77" s="140">
        <f t="shared" si="24"/>
        <v>268642.85063107818</v>
      </c>
      <c r="AK77" s="140">
        <f t="shared" si="24"/>
        <v>268536.13427490514</v>
      </c>
      <c r="AL77" s="140">
        <f t="shared" si="24"/>
        <v>203025.74907705461</v>
      </c>
      <c r="AM77" s="140">
        <f t="shared" si="24"/>
        <v>202560.07980271135</v>
      </c>
      <c r="AN77" s="140">
        <f t="shared" si="24"/>
        <v>202647.52</v>
      </c>
      <c r="AO77" s="140">
        <f t="shared" si="24"/>
        <v>203386.55000000002</v>
      </c>
      <c r="AP77" s="140">
        <f t="shared" si="24"/>
        <v>204937.75187099999</v>
      </c>
      <c r="AQ77" s="140">
        <f t="shared" si="24"/>
        <v>203576.48907099996</v>
      </c>
      <c r="AR77" s="140">
        <f t="shared" si="24"/>
        <v>203835.94889199996</v>
      </c>
      <c r="AS77" s="140">
        <f t="shared" si="24"/>
        <v>203863.76950699999</v>
      </c>
      <c r="AT77" s="140">
        <f t="shared" si="24"/>
        <v>203877.07950699999</v>
      </c>
      <c r="AU77" s="140">
        <f t="shared" si="24"/>
        <v>260951.64</v>
      </c>
      <c r="AV77" s="140">
        <f t="shared" si="24"/>
        <v>203141.73053333332</v>
      </c>
      <c r="AW77" s="140">
        <f t="shared" si="24"/>
        <v>240424.45719999998</v>
      </c>
      <c r="AX77" s="140">
        <f t="shared" si="24"/>
        <v>241850.03999999998</v>
      </c>
      <c r="AY77" s="140">
        <f t="shared" si="24"/>
        <v>241892.15197433333</v>
      </c>
      <c r="AZ77" s="140">
        <f t="shared" si="24"/>
        <v>241907.448641</v>
      </c>
      <c r="BA77" s="140">
        <f t="shared" si="24"/>
        <v>241938.15197433333</v>
      </c>
      <c r="BB77" s="140">
        <f t="shared" si="24"/>
        <v>242184.34340266671</v>
      </c>
      <c r="BC77" s="140">
        <f t="shared" si="24"/>
        <v>241999.16673600001</v>
      </c>
      <c r="BD77" s="140">
        <f t="shared" si="24"/>
        <v>240663.913936</v>
      </c>
      <c r="BE77" s="140">
        <f t="shared" si="24"/>
        <v>240130.03393600002</v>
      </c>
      <c r="BF77" s="140">
        <f t="shared" si="24"/>
        <v>203098.37470866667</v>
      </c>
      <c r="BG77" s="140">
        <f t="shared" si="24"/>
        <v>203136.83132166663</v>
      </c>
      <c r="BH77" s="140">
        <f t="shared" si="24"/>
        <v>203142.30132166666</v>
      </c>
      <c r="BI77" s="140">
        <f t="shared" si="24"/>
        <v>203173.75253199998</v>
      </c>
      <c r="BJ77" s="140">
        <f t="shared" si="24"/>
        <v>176329.62119166669</v>
      </c>
      <c r="BK77" s="140">
        <f t="shared" si="24"/>
        <v>176426.227766</v>
      </c>
      <c r="BL77" s="140">
        <f t="shared" si="24"/>
        <v>176578.24286599999</v>
      </c>
      <c r="BM77" s="140">
        <f t="shared" si="24"/>
        <v>176702.99523399997</v>
      </c>
      <c r="BN77" s="140">
        <f t="shared" si="24"/>
        <v>176706.54063799998</v>
      </c>
      <c r="BO77" s="140">
        <f t="shared" ref="BO77" si="25">SUM(BO78:BO85)</f>
        <v>167906.32030199998</v>
      </c>
      <c r="BP77" s="140">
        <f>SUM(BP78:BP85)</f>
        <v>102124.19807800002</v>
      </c>
    </row>
    <row r="78" spans="1:68" ht="15" hidden="1" customHeight="1" outlineLevel="1">
      <c r="A78" t="s">
        <v>229</v>
      </c>
      <c r="B78" s="38" t="s">
        <v>12</v>
      </c>
      <c r="C78" s="62">
        <v>4443</v>
      </c>
      <c r="D78" s="62">
        <v>4443</v>
      </c>
      <c r="E78" s="62">
        <v>4443</v>
      </c>
      <c r="F78" s="62">
        <v>4443</v>
      </c>
      <c r="G78" s="62">
        <v>4443</v>
      </c>
      <c r="H78" s="62">
        <v>4443</v>
      </c>
      <c r="I78" s="62">
        <v>4759</v>
      </c>
      <c r="J78" s="62">
        <v>8446</v>
      </c>
      <c r="K78" s="62">
        <v>8446</v>
      </c>
      <c r="L78" s="62">
        <v>8446</v>
      </c>
      <c r="M78" s="62">
        <v>9293</v>
      </c>
      <c r="N78" s="62">
        <v>9293</v>
      </c>
      <c r="O78" s="62">
        <v>9293</v>
      </c>
      <c r="P78" s="62">
        <v>9293</v>
      </c>
      <c r="Q78" s="62">
        <v>9293</v>
      </c>
      <c r="R78" s="62">
        <v>9293</v>
      </c>
      <c r="S78" s="62">
        <v>9293</v>
      </c>
      <c r="T78" s="62">
        <v>9293</v>
      </c>
      <c r="U78" s="62">
        <v>9293</v>
      </c>
      <c r="V78" s="62">
        <v>9293</v>
      </c>
      <c r="W78" s="62">
        <v>9293</v>
      </c>
      <c r="X78" s="62">
        <v>9293</v>
      </c>
      <c r="Y78" s="62">
        <v>9292.8302999999996</v>
      </c>
      <c r="Z78" s="62">
        <v>9292.8302999999996</v>
      </c>
      <c r="AA78" s="62">
        <v>9292.8302999999996</v>
      </c>
      <c r="AB78" s="62">
        <v>9292.8302999999996</v>
      </c>
      <c r="AC78" s="62">
        <v>9294.7257000000009</v>
      </c>
      <c r="AD78" s="62">
        <v>9295</v>
      </c>
      <c r="AE78" s="62">
        <v>9295</v>
      </c>
      <c r="AF78" s="62">
        <v>9294.7699260000009</v>
      </c>
      <c r="AG78" s="62">
        <v>9294.7699260000009</v>
      </c>
      <c r="AH78" s="62">
        <v>9294.7699260000009</v>
      </c>
      <c r="AI78" s="62">
        <v>9294.7193820000011</v>
      </c>
      <c r="AJ78" s="62">
        <v>9383.1777000000002</v>
      </c>
      <c r="AK78" s="62">
        <v>9383</v>
      </c>
      <c r="AL78" s="62">
        <v>9383</v>
      </c>
      <c r="AM78" s="62">
        <v>8915.2318709999981</v>
      </c>
      <c r="AN78" s="63">
        <v>8915</v>
      </c>
      <c r="AO78" s="63">
        <v>8915</v>
      </c>
      <c r="AP78" s="63">
        <v>8915.2318709999981</v>
      </c>
      <c r="AQ78" s="63">
        <v>8915.231871</v>
      </c>
      <c r="AR78" s="63">
        <v>9174.9616919999989</v>
      </c>
      <c r="AS78" s="63">
        <v>9086.4623069999998</v>
      </c>
      <c r="AT78" s="63">
        <v>9086.4623069999998</v>
      </c>
      <c r="AU78" s="149">
        <v>28764</v>
      </c>
      <c r="AV78" s="63">
        <v>9150</v>
      </c>
      <c r="AW78" s="149">
        <v>9413</v>
      </c>
      <c r="AX78" s="149">
        <v>9413</v>
      </c>
      <c r="AY78" s="63">
        <v>9414.4486410000009</v>
      </c>
      <c r="AZ78" s="63">
        <v>9414.4486410000009</v>
      </c>
      <c r="BA78" s="63">
        <v>9414.4486410000009</v>
      </c>
      <c r="BB78" s="63">
        <v>9413.5167359999996</v>
      </c>
      <c r="BC78" s="63">
        <v>9413.5167360000014</v>
      </c>
      <c r="BD78" s="63">
        <v>9413.5167360000014</v>
      </c>
      <c r="BE78" s="63">
        <v>9413.5167360000014</v>
      </c>
      <c r="BF78" s="63">
        <v>9371.3988420000005</v>
      </c>
      <c r="BG78" s="149">
        <v>9409.8554550000008</v>
      </c>
      <c r="BH78" s="149">
        <v>9409.8554550000008</v>
      </c>
      <c r="BI78" s="149">
        <v>9412.8133320000015</v>
      </c>
      <c r="BJ78" s="149">
        <v>9418.7290859999994</v>
      </c>
      <c r="BK78" s="149">
        <v>9481.9059269999998</v>
      </c>
      <c r="BL78" s="149">
        <v>9481.9059269999998</v>
      </c>
      <c r="BM78" s="149">
        <v>9481.9059269999998</v>
      </c>
      <c r="BN78" s="149">
        <v>9481.9059270000016</v>
      </c>
      <c r="BO78" s="149">
        <v>9481.9059270000016</v>
      </c>
      <c r="BP78" s="149">
        <v>10766.570611000003</v>
      </c>
    </row>
    <row r="79" spans="1:68" ht="15" hidden="1" customHeight="1" outlineLevel="1">
      <c r="A79" t="s">
        <v>230</v>
      </c>
      <c r="B79" s="38" t="s">
        <v>30</v>
      </c>
      <c r="C79" s="62">
        <v>59973</v>
      </c>
      <c r="D79" s="62">
        <v>59973</v>
      </c>
      <c r="E79" s="62">
        <v>59973</v>
      </c>
      <c r="F79" s="62">
        <v>59973</v>
      </c>
      <c r="G79" s="62">
        <v>59973</v>
      </c>
      <c r="H79" s="62">
        <v>59973</v>
      </c>
      <c r="I79" s="62">
        <v>59954</v>
      </c>
      <c r="J79" s="62">
        <v>59954</v>
      </c>
      <c r="K79" s="62">
        <v>59954</v>
      </c>
      <c r="L79" s="62">
        <v>59954</v>
      </c>
      <c r="M79" s="62">
        <v>59954</v>
      </c>
      <c r="N79" s="62">
        <v>59954</v>
      </c>
      <c r="O79" s="62">
        <v>59954</v>
      </c>
      <c r="P79" s="62">
        <v>59954</v>
      </c>
      <c r="Q79" s="62">
        <v>59954</v>
      </c>
      <c r="R79" s="62">
        <v>59954</v>
      </c>
      <c r="S79" s="62">
        <v>59954</v>
      </c>
      <c r="T79" s="62">
        <v>59954</v>
      </c>
      <c r="U79" s="62">
        <v>59954</v>
      </c>
      <c r="V79" s="62">
        <v>74488</v>
      </c>
      <c r="W79" s="62">
        <v>74488</v>
      </c>
      <c r="X79" s="62">
        <v>69976</v>
      </c>
      <c r="Y79" s="62">
        <v>69976</v>
      </c>
      <c r="Z79" s="62">
        <v>69976</v>
      </c>
      <c r="AA79" s="62">
        <v>69976</v>
      </c>
      <c r="AB79" s="62">
        <v>69976</v>
      </c>
      <c r="AC79" s="62">
        <v>69518.509143461968</v>
      </c>
      <c r="AD79" s="62">
        <v>69517.993812082728</v>
      </c>
      <c r="AE79" s="62">
        <v>69517.993812082728</v>
      </c>
      <c r="AF79" s="62">
        <v>69650.875825044772</v>
      </c>
      <c r="AG79" s="62">
        <v>69650.875825044772</v>
      </c>
      <c r="AH79" s="62">
        <v>69650.875825044786</v>
      </c>
      <c r="AI79" s="62">
        <v>69653.515958312986</v>
      </c>
      <c r="AJ79" s="62">
        <v>69634.514999185805</v>
      </c>
      <c r="AK79" s="62">
        <v>69618.954567659996</v>
      </c>
      <c r="AL79" s="62">
        <v>69614.069369809484</v>
      </c>
      <c r="AM79" s="62">
        <v>69614.240000000005</v>
      </c>
      <c r="AN79" s="63">
        <v>69509.95</v>
      </c>
      <c r="AO79" s="63">
        <v>69509.95</v>
      </c>
      <c r="AP79" s="63">
        <v>69503.009999999995</v>
      </c>
      <c r="AQ79" s="63">
        <v>69503.009999999995</v>
      </c>
      <c r="AR79" s="63">
        <v>69503.009999999995</v>
      </c>
      <c r="AS79" s="63">
        <v>69503.009999999995</v>
      </c>
      <c r="AT79" s="63">
        <v>69503.009999999995</v>
      </c>
      <c r="AU79" s="149">
        <v>69535</v>
      </c>
      <c r="AV79" s="63">
        <v>69550.039999999994</v>
      </c>
      <c r="AW79" s="149">
        <v>69533</v>
      </c>
      <c r="AX79" s="149">
        <v>69261</v>
      </c>
      <c r="AY79" s="63">
        <v>69260.963333333333</v>
      </c>
      <c r="AZ79" s="149">
        <v>69261</v>
      </c>
      <c r="BA79" s="63">
        <v>69260.963333333333</v>
      </c>
      <c r="BB79" s="63">
        <v>69260.97</v>
      </c>
      <c r="BC79" s="63">
        <v>69261</v>
      </c>
      <c r="BD79" s="63">
        <v>69260.969999999987</v>
      </c>
      <c r="BE79" s="63">
        <v>69260.969999999987</v>
      </c>
      <c r="BF79" s="63">
        <v>69619.66</v>
      </c>
      <c r="BG79" s="149">
        <v>69619.659999999989</v>
      </c>
      <c r="BH79" s="149">
        <v>69619.82666666666</v>
      </c>
      <c r="BI79" s="149">
        <v>69620.159999999989</v>
      </c>
      <c r="BJ79" s="149">
        <v>42753.513038999998</v>
      </c>
      <c r="BK79" s="149">
        <v>42753.513038999998</v>
      </c>
      <c r="BL79" s="149">
        <v>42760.268138999993</v>
      </c>
      <c r="BM79" s="149">
        <v>42885.020506999994</v>
      </c>
      <c r="BN79" s="149">
        <v>42888.565911000005</v>
      </c>
      <c r="BO79" s="149">
        <v>42895.345574999999</v>
      </c>
      <c r="BP79" s="149">
        <v>42294.829467000003</v>
      </c>
    </row>
    <row r="80" spans="1:68" ht="15" hidden="1" customHeight="1" outlineLevel="1">
      <c r="A80" t="s">
        <v>18</v>
      </c>
      <c r="B80" s="38" t="s">
        <v>31</v>
      </c>
      <c r="C80" s="62">
        <v>0</v>
      </c>
      <c r="D80" s="62">
        <v>0</v>
      </c>
      <c r="E80" s="62">
        <v>0</v>
      </c>
      <c r="F80" s="62">
        <v>0</v>
      </c>
      <c r="G80" s="62">
        <v>0</v>
      </c>
      <c r="H80" s="62">
        <v>0</v>
      </c>
      <c r="I80" s="62">
        <v>0</v>
      </c>
      <c r="J80" s="62">
        <v>0</v>
      </c>
      <c r="K80" s="62">
        <v>0</v>
      </c>
      <c r="L80" s="62">
        <v>0</v>
      </c>
      <c r="M80" s="62">
        <v>0</v>
      </c>
      <c r="N80" s="62">
        <v>0</v>
      </c>
      <c r="O80" s="62">
        <v>0</v>
      </c>
      <c r="P80" s="62">
        <v>0</v>
      </c>
      <c r="Q80" s="62">
        <v>0</v>
      </c>
      <c r="R80" s="62">
        <v>0</v>
      </c>
      <c r="S80" s="62">
        <v>0</v>
      </c>
      <c r="T80" s="62">
        <v>33982</v>
      </c>
      <c r="U80" s="62">
        <v>33982</v>
      </c>
      <c r="V80" s="62">
        <v>33982</v>
      </c>
      <c r="W80" s="62">
        <v>33982</v>
      </c>
      <c r="X80" s="62">
        <v>33982</v>
      </c>
      <c r="Y80" s="62">
        <v>33982</v>
      </c>
      <c r="Z80" s="62">
        <v>33982</v>
      </c>
      <c r="AA80" s="62">
        <v>33982</v>
      </c>
      <c r="AB80" s="62">
        <v>33982</v>
      </c>
      <c r="AC80" s="62">
        <v>35297.5</v>
      </c>
      <c r="AD80" s="62">
        <v>35297.5</v>
      </c>
      <c r="AE80" s="62">
        <v>35297.5</v>
      </c>
      <c r="AF80" s="62">
        <v>35295.21</v>
      </c>
      <c r="AG80" s="62">
        <v>35295.21</v>
      </c>
      <c r="AH80" s="62">
        <v>35536.400000000001</v>
      </c>
      <c r="AI80" s="62">
        <v>35536.400000000001</v>
      </c>
      <c r="AJ80" s="62">
        <v>35536.400000000001</v>
      </c>
      <c r="AK80" s="62">
        <v>35537.5</v>
      </c>
      <c r="AL80" s="62">
        <v>0</v>
      </c>
      <c r="AM80" s="62">
        <v>0</v>
      </c>
      <c r="AN80" s="63">
        <v>0</v>
      </c>
      <c r="AO80" s="63">
        <v>0</v>
      </c>
      <c r="AP80" s="63">
        <v>0</v>
      </c>
      <c r="AQ80" s="63">
        <v>0</v>
      </c>
      <c r="AR80" s="63">
        <v>0</v>
      </c>
      <c r="AS80" s="63">
        <v>0</v>
      </c>
      <c r="AT80" s="63">
        <v>0</v>
      </c>
      <c r="AU80" s="149">
        <v>36947</v>
      </c>
      <c r="AV80" s="63">
        <v>0</v>
      </c>
      <c r="AW80" s="149">
        <v>37011</v>
      </c>
      <c r="AX80" s="149">
        <v>37351</v>
      </c>
      <c r="AY80" s="149">
        <v>37391</v>
      </c>
      <c r="AZ80" s="149">
        <v>37407</v>
      </c>
      <c r="BA80" s="149">
        <v>37437</v>
      </c>
      <c r="BB80" s="149">
        <v>37454</v>
      </c>
      <c r="BC80" s="149">
        <v>37462.51</v>
      </c>
      <c r="BD80" s="149">
        <v>37462.51</v>
      </c>
      <c r="BE80" s="149">
        <v>37462.510000000009</v>
      </c>
      <c r="BF80" s="149">
        <v>0</v>
      </c>
      <c r="BG80" s="149">
        <v>0</v>
      </c>
      <c r="BH80" s="149">
        <v>0</v>
      </c>
      <c r="BI80" s="149">
        <v>0</v>
      </c>
      <c r="BJ80" s="149">
        <v>0</v>
      </c>
      <c r="BK80" s="149">
        <v>0</v>
      </c>
      <c r="BL80" s="149">
        <v>0</v>
      </c>
      <c r="BM80" s="149">
        <v>0</v>
      </c>
      <c r="BN80" s="149">
        <v>0</v>
      </c>
      <c r="BO80" s="149">
        <v>0</v>
      </c>
      <c r="BP80" s="149">
        <v>0</v>
      </c>
    </row>
    <row r="81" spans="1:68" ht="15" hidden="1" customHeight="1" outlineLevel="1">
      <c r="A81" t="s">
        <v>231</v>
      </c>
      <c r="B81" s="38" t="s">
        <v>16</v>
      </c>
      <c r="C81" s="62">
        <v>0</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43275</v>
      </c>
      <c r="AA81" s="62">
        <v>43275</v>
      </c>
      <c r="AB81" s="62">
        <v>43275</v>
      </c>
      <c r="AC81" s="62">
        <v>44114</v>
      </c>
      <c r="AD81" s="62">
        <v>44113.75</v>
      </c>
      <c r="AE81" s="62">
        <v>44113.75</v>
      </c>
      <c r="AF81" s="62">
        <v>44114.459999999985</v>
      </c>
      <c r="AG81" s="62">
        <v>44114.459999999985</v>
      </c>
      <c r="AH81" s="62">
        <v>44114.459999999985</v>
      </c>
      <c r="AI81" s="62">
        <v>44113.64</v>
      </c>
      <c r="AJ81" s="62">
        <v>44156</v>
      </c>
      <c r="AK81" s="62">
        <v>44113.75</v>
      </c>
      <c r="AL81" s="63">
        <v>44113.75</v>
      </c>
      <c r="AM81" s="63">
        <v>44114.23</v>
      </c>
      <c r="AN81" s="63">
        <v>44135.44</v>
      </c>
      <c r="AO81" s="63">
        <v>44135.44</v>
      </c>
      <c r="AP81" s="63">
        <v>44135.44</v>
      </c>
      <c r="AQ81" s="63">
        <v>44122.13</v>
      </c>
      <c r="AR81" s="63">
        <v>44122.130000000005</v>
      </c>
      <c r="AS81" s="63">
        <v>44122.130000000005</v>
      </c>
      <c r="AT81" s="63">
        <v>44135.44</v>
      </c>
      <c r="AU81" s="149">
        <v>44119</v>
      </c>
      <c r="AV81" s="63">
        <v>44119.233333333337</v>
      </c>
      <c r="AW81" s="149">
        <v>44113</v>
      </c>
      <c r="AX81" s="149">
        <v>44116</v>
      </c>
      <c r="AY81" s="63">
        <v>44116.18</v>
      </c>
      <c r="AZ81" s="149">
        <v>44116</v>
      </c>
      <c r="BA81" s="63">
        <v>44116.18</v>
      </c>
      <c r="BB81" s="63">
        <v>44108.366666666669</v>
      </c>
      <c r="BC81" s="63">
        <v>44035</v>
      </c>
      <c r="BD81" s="63">
        <v>44035.01</v>
      </c>
      <c r="BE81" s="63">
        <v>44035.01</v>
      </c>
      <c r="BF81" s="63">
        <v>44001.53666666666</v>
      </c>
      <c r="BG81" s="149">
        <v>44001.53666666666</v>
      </c>
      <c r="BH81" s="149">
        <v>44035.010000000009</v>
      </c>
      <c r="BI81" s="149">
        <v>44035</v>
      </c>
      <c r="BJ81" s="149">
        <v>44035</v>
      </c>
      <c r="BK81" s="149">
        <v>44035</v>
      </c>
      <c r="BL81" s="149">
        <v>44035</v>
      </c>
      <c r="BM81" s="149">
        <v>44035</v>
      </c>
      <c r="BN81" s="149">
        <v>44035</v>
      </c>
      <c r="BO81" s="149">
        <v>35228</v>
      </c>
      <c r="BP81" s="149">
        <v>35228</v>
      </c>
    </row>
    <row r="82" spans="1:68" ht="15" hidden="1" customHeight="1" outlineLevel="1">
      <c r="A82" t="s">
        <v>232</v>
      </c>
      <c r="B82" s="38" t="s">
        <v>17</v>
      </c>
      <c r="C82" s="62">
        <v>0</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36060</v>
      </c>
      <c r="AA82" s="62">
        <v>36060</v>
      </c>
      <c r="AB82" s="62">
        <v>36060</v>
      </c>
      <c r="AC82" s="62">
        <v>36661</v>
      </c>
      <c r="AD82" s="62">
        <v>36660</v>
      </c>
      <c r="AE82" s="62">
        <v>36660</v>
      </c>
      <c r="AF82" s="62">
        <v>36714.189999999995</v>
      </c>
      <c r="AG82" s="62">
        <v>36714.189999999995</v>
      </c>
      <c r="AH82" s="62">
        <v>36657</v>
      </c>
      <c r="AI82" s="62">
        <v>36659</v>
      </c>
      <c r="AJ82" s="62">
        <v>36657</v>
      </c>
      <c r="AK82" s="62">
        <v>36656</v>
      </c>
      <c r="AL82" s="62">
        <v>36656</v>
      </c>
      <c r="AM82" s="62">
        <v>36656.379999999983</v>
      </c>
      <c r="AN82" s="63">
        <v>36656.379999999983</v>
      </c>
      <c r="AO82" s="63">
        <v>37395</v>
      </c>
      <c r="AP82" s="63">
        <v>37395</v>
      </c>
      <c r="AQ82" s="63">
        <v>37360.039999999994</v>
      </c>
      <c r="AR82" s="63">
        <v>37360.039999999994</v>
      </c>
      <c r="AS82" s="63">
        <v>37360.039999999986</v>
      </c>
      <c r="AT82" s="63">
        <v>37360.039999999994</v>
      </c>
      <c r="AU82" s="149">
        <v>37360</v>
      </c>
      <c r="AV82" s="63">
        <v>37360.039999999994</v>
      </c>
      <c r="AW82" s="63">
        <v>37360.039999999994</v>
      </c>
      <c r="AX82" s="63">
        <v>37360.039999999994</v>
      </c>
      <c r="AY82" s="63">
        <v>37360.039999999986</v>
      </c>
      <c r="AZ82" s="149">
        <v>37360</v>
      </c>
      <c r="BA82" s="63">
        <v>37360.039999999986</v>
      </c>
      <c r="BB82" s="63">
        <v>37578.223333333321</v>
      </c>
      <c r="BC82" s="63">
        <v>37448</v>
      </c>
      <c r="BD82" s="63">
        <v>37448.019999999997</v>
      </c>
      <c r="BE82" s="63">
        <v>36914.14</v>
      </c>
      <c r="BF82" s="63">
        <v>36914.14</v>
      </c>
      <c r="BG82" s="149">
        <v>36914.14</v>
      </c>
      <c r="BH82" s="149">
        <v>36885.97</v>
      </c>
      <c r="BI82" s="149">
        <v>36914.14</v>
      </c>
      <c r="BJ82" s="149">
        <v>36914.14</v>
      </c>
      <c r="BK82" s="149">
        <v>36914.14</v>
      </c>
      <c r="BL82" s="149">
        <v>36914.14</v>
      </c>
      <c r="BM82" s="149">
        <v>36914.14</v>
      </c>
      <c r="BN82" s="149">
        <v>36914.139999999992</v>
      </c>
      <c r="BO82" s="149">
        <v>36914.139999999992</v>
      </c>
      <c r="BP82" s="149">
        <v>3691.4140000000002</v>
      </c>
    </row>
    <row r="83" spans="1:68" ht="15" hidden="1" customHeight="1" outlineLevel="1">
      <c r="A83" t="s">
        <v>233</v>
      </c>
      <c r="B83" s="38" t="s">
        <v>20</v>
      </c>
      <c r="C83" s="63">
        <v>0</v>
      </c>
      <c r="D83" s="63">
        <v>0</v>
      </c>
      <c r="E83" s="63">
        <v>0</v>
      </c>
      <c r="F83" s="63">
        <v>0</v>
      </c>
      <c r="G83" s="63">
        <v>0</v>
      </c>
      <c r="H83" s="63">
        <v>0</v>
      </c>
      <c r="I83" s="63">
        <v>0</v>
      </c>
      <c r="J83" s="63">
        <v>0</v>
      </c>
      <c r="K83" s="63">
        <v>0</v>
      </c>
      <c r="L83" s="63">
        <v>0</v>
      </c>
      <c r="M83" s="63">
        <v>0</v>
      </c>
      <c r="N83" s="63">
        <v>0</v>
      </c>
      <c r="O83" s="63">
        <v>0</v>
      </c>
      <c r="P83" s="63">
        <v>0</v>
      </c>
      <c r="Q83" s="63">
        <v>0</v>
      </c>
      <c r="R83" s="63">
        <v>0</v>
      </c>
      <c r="S83" s="63">
        <v>0</v>
      </c>
      <c r="T83" s="63">
        <v>0</v>
      </c>
      <c r="U83" s="63">
        <v>0</v>
      </c>
      <c r="V83" s="63">
        <v>0</v>
      </c>
      <c r="W83" s="63">
        <v>0</v>
      </c>
      <c r="X83" s="63">
        <v>0</v>
      </c>
      <c r="Y83" s="63">
        <v>0</v>
      </c>
      <c r="Z83" s="63">
        <v>0</v>
      </c>
      <c r="AA83" s="63">
        <v>0</v>
      </c>
      <c r="AB83" s="63">
        <v>0</v>
      </c>
      <c r="AC83" s="63">
        <v>0</v>
      </c>
      <c r="AD83" s="63">
        <v>0</v>
      </c>
      <c r="AE83" s="63">
        <v>0</v>
      </c>
      <c r="AF83" s="63">
        <v>17680.659999999993</v>
      </c>
      <c r="AG83" s="63">
        <v>17680.659999999993</v>
      </c>
      <c r="AH83" s="63">
        <v>16643.66</v>
      </c>
      <c r="AI83" s="63">
        <v>16626.469999999998</v>
      </c>
      <c r="AJ83" s="63">
        <v>16626</v>
      </c>
      <c r="AK83" s="63">
        <v>16626</v>
      </c>
      <c r="AL83" s="62">
        <v>16626</v>
      </c>
      <c r="AM83" s="62">
        <v>16626.469999999998</v>
      </c>
      <c r="AN83" s="63">
        <v>16619</v>
      </c>
      <c r="AO83" s="63">
        <v>16619.41</v>
      </c>
      <c r="AP83" s="63">
        <v>16619.41</v>
      </c>
      <c r="AQ83" s="63">
        <v>15306.4172</v>
      </c>
      <c r="AR83" s="63">
        <v>15306.4172</v>
      </c>
      <c r="AS83" s="63">
        <v>15306.417199999998</v>
      </c>
      <c r="AT83" s="63">
        <v>15306.4172</v>
      </c>
      <c r="AU83" s="149">
        <v>16637</v>
      </c>
      <c r="AV83" s="63">
        <v>15306.4172</v>
      </c>
      <c r="AW83" s="63">
        <v>15306.4172</v>
      </c>
      <c r="AX83" s="149">
        <v>16661</v>
      </c>
      <c r="AY83" s="63">
        <v>16661.04</v>
      </c>
      <c r="AZ83" s="149">
        <v>16661</v>
      </c>
      <c r="BA83" s="63">
        <v>16661.04</v>
      </c>
      <c r="BB83" s="63">
        <v>16680.786666666667</v>
      </c>
      <c r="BC83" s="149">
        <v>16690.66</v>
      </c>
      <c r="BD83" s="63">
        <v>15355.4072</v>
      </c>
      <c r="BE83" s="63">
        <v>15355.4072</v>
      </c>
      <c r="BF83" s="63">
        <v>15503.1592</v>
      </c>
      <c r="BG83" s="149">
        <v>15503.1592</v>
      </c>
      <c r="BH83" s="149">
        <v>15503.1592</v>
      </c>
      <c r="BI83" s="149">
        <v>15503.1592</v>
      </c>
      <c r="BJ83" s="149">
        <v>15519.759066666667</v>
      </c>
      <c r="BK83" s="149">
        <v>15553.1888</v>
      </c>
      <c r="BL83" s="149">
        <v>15553.1888</v>
      </c>
      <c r="BM83" s="149">
        <v>15553.1888</v>
      </c>
      <c r="BN83" s="149">
        <v>15553.1888</v>
      </c>
      <c r="BO83" s="149">
        <v>15553.1888</v>
      </c>
      <c r="BP83" s="149">
        <v>10143.384000000002</v>
      </c>
    </row>
    <row r="84" spans="1:68" ht="15" hidden="1" customHeight="1" outlineLevel="1">
      <c r="A84" t="s">
        <v>234</v>
      </c>
      <c r="B84" s="38" t="s">
        <v>23</v>
      </c>
      <c r="C84" s="62">
        <v>0</v>
      </c>
      <c r="D84" s="62">
        <v>0</v>
      </c>
      <c r="E84" s="62">
        <v>0</v>
      </c>
      <c r="F84" s="62">
        <v>0</v>
      </c>
      <c r="G84" s="62">
        <v>0</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149">
        <v>26633.517931892377</v>
      </c>
      <c r="AK84" s="149">
        <v>26632.929707245155</v>
      </c>
      <c r="AL84" s="62">
        <v>26632.929707245155</v>
      </c>
      <c r="AM84" s="62">
        <v>26633.527931711385</v>
      </c>
      <c r="AN84" s="63">
        <v>26811.75</v>
      </c>
      <c r="AO84" s="63">
        <v>26811.75</v>
      </c>
      <c r="AP84" s="63">
        <v>28369.66</v>
      </c>
      <c r="AQ84" s="63">
        <v>28369.66</v>
      </c>
      <c r="AR84" s="63">
        <v>28369.389999999996</v>
      </c>
      <c r="AS84" s="63">
        <v>28485.710000000006</v>
      </c>
      <c r="AT84" s="63">
        <v>28485.71</v>
      </c>
      <c r="AU84" s="63">
        <v>27589.640000000003</v>
      </c>
      <c r="AV84" s="63">
        <v>27656</v>
      </c>
      <c r="AW84" s="149">
        <v>27688</v>
      </c>
      <c r="AX84" s="149">
        <v>27688</v>
      </c>
      <c r="AY84" s="63">
        <v>27688.48</v>
      </c>
      <c r="AZ84" s="149">
        <v>27688</v>
      </c>
      <c r="BA84" s="63">
        <v>27688.48</v>
      </c>
      <c r="BB84" s="63">
        <v>27688.48</v>
      </c>
      <c r="BC84" s="63">
        <v>27688.480000000003</v>
      </c>
      <c r="BD84" s="63">
        <v>27688.48</v>
      </c>
      <c r="BE84" s="63">
        <v>27688.48</v>
      </c>
      <c r="BF84" s="63">
        <v>27688.48</v>
      </c>
      <c r="BG84" s="149">
        <v>27688.48</v>
      </c>
      <c r="BH84" s="149">
        <v>27688.48</v>
      </c>
      <c r="BI84" s="149">
        <v>27688.48</v>
      </c>
      <c r="BJ84" s="149">
        <v>27688.48</v>
      </c>
      <c r="BK84" s="149">
        <v>27688.48</v>
      </c>
      <c r="BL84" s="149">
        <v>27833.74</v>
      </c>
      <c r="BM84" s="149">
        <v>27833.74</v>
      </c>
      <c r="BN84" s="149">
        <v>27833.74</v>
      </c>
      <c r="BO84" s="149">
        <v>27833.74</v>
      </c>
      <c r="BP84" s="149">
        <v>0</v>
      </c>
    </row>
    <row r="85" spans="1:68" ht="15" hidden="1" customHeight="1" outlineLevel="1">
      <c r="A85" t="s">
        <v>18</v>
      </c>
      <c r="B85" s="38" t="s">
        <v>13</v>
      </c>
      <c r="C85" s="62">
        <v>0</v>
      </c>
      <c r="D85" s="62">
        <v>0</v>
      </c>
      <c r="E85" s="62">
        <v>0</v>
      </c>
      <c r="F85" s="62">
        <v>0</v>
      </c>
      <c r="G85" s="62">
        <v>0</v>
      </c>
      <c r="H85" s="62">
        <v>0</v>
      </c>
      <c r="I85" s="62">
        <v>0</v>
      </c>
      <c r="J85" s="62">
        <v>0</v>
      </c>
      <c r="K85" s="62">
        <v>0</v>
      </c>
      <c r="L85" s="62">
        <v>0</v>
      </c>
      <c r="M85" s="62">
        <v>0</v>
      </c>
      <c r="N85" s="62">
        <v>0</v>
      </c>
      <c r="O85" s="62">
        <v>0</v>
      </c>
      <c r="P85" s="62">
        <v>0</v>
      </c>
      <c r="Q85" s="62">
        <v>0</v>
      </c>
      <c r="R85" s="62">
        <v>0</v>
      </c>
      <c r="S85" s="62">
        <v>0</v>
      </c>
      <c r="T85" s="62">
        <v>31280</v>
      </c>
      <c r="U85" s="62">
        <v>31280</v>
      </c>
      <c r="V85" s="62">
        <v>31280</v>
      </c>
      <c r="W85" s="62">
        <v>31280</v>
      </c>
      <c r="X85" s="62">
        <v>31280</v>
      </c>
      <c r="Y85" s="62">
        <v>31280</v>
      </c>
      <c r="Z85" s="62">
        <v>31280</v>
      </c>
      <c r="AA85" s="62">
        <v>31280</v>
      </c>
      <c r="AB85" s="62">
        <v>31280</v>
      </c>
      <c r="AC85" s="62">
        <v>29779.4</v>
      </c>
      <c r="AD85" s="62">
        <v>29780</v>
      </c>
      <c r="AE85" s="62">
        <v>29780</v>
      </c>
      <c r="AF85" s="62">
        <v>30013.559999999998</v>
      </c>
      <c r="AG85" s="62">
        <v>30013.559999999998</v>
      </c>
      <c r="AH85" s="62">
        <v>30013.559999999998</v>
      </c>
      <c r="AI85" s="62">
        <v>29967.85</v>
      </c>
      <c r="AJ85" s="62">
        <v>30016.239999999998</v>
      </c>
      <c r="AK85" s="62">
        <v>29968</v>
      </c>
      <c r="AL85" s="62">
        <v>0</v>
      </c>
      <c r="AM85" s="62">
        <v>0</v>
      </c>
      <c r="AN85" s="63">
        <v>0</v>
      </c>
      <c r="AO85" s="63">
        <v>0</v>
      </c>
      <c r="AP85" s="63">
        <v>0</v>
      </c>
      <c r="AQ85" s="63">
        <v>0</v>
      </c>
      <c r="AR85" s="63">
        <v>0</v>
      </c>
      <c r="AS85" s="63">
        <v>0</v>
      </c>
      <c r="AT85" s="63">
        <v>0</v>
      </c>
      <c r="AU85" s="63">
        <v>0</v>
      </c>
      <c r="AV85" s="113">
        <v>0</v>
      </c>
      <c r="AW85" s="113">
        <v>0</v>
      </c>
      <c r="AX85" s="113">
        <v>0</v>
      </c>
      <c r="AY85" s="113">
        <v>0</v>
      </c>
      <c r="AZ85" s="113">
        <v>0</v>
      </c>
      <c r="BA85" s="113">
        <v>0</v>
      </c>
      <c r="BB85" s="113">
        <v>0</v>
      </c>
      <c r="BC85" s="113">
        <v>0</v>
      </c>
      <c r="BD85" s="113">
        <v>0</v>
      </c>
      <c r="BE85" s="113">
        <v>0</v>
      </c>
      <c r="BF85" s="113">
        <v>0</v>
      </c>
      <c r="BG85" s="149">
        <v>0</v>
      </c>
      <c r="BH85" s="149">
        <v>0</v>
      </c>
      <c r="BI85" s="149">
        <v>0</v>
      </c>
      <c r="BJ85" s="149">
        <v>0</v>
      </c>
      <c r="BK85" s="149">
        <v>0</v>
      </c>
      <c r="BL85" s="149">
        <v>0</v>
      </c>
      <c r="BM85" s="149">
        <v>0</v>
      </c>
      <c r="BN85" s="149">
        <v>0</v>
      </c>
      <c r="BO85" s="149">
        <v>0</v>
      </c>
      <c r="BP85" s="149">
        <v>0</v>
      </c>
    </row>
    <row r="86" spans="1:68" s="15" customFormat="1" ht="15" customHeight="1" collapsed="1">
      <c r="B86" s="82" t="str">
        <f>IF('Sumário | Summary'!P1=1,"Galpões Logísticos","Distribution Centers")</f>
        <v>Galpões Logísticos</v>
      </c>
      <c r="C86" s="140">
        <f t="shared" ref="C86:BN86" si="26">SUM(C87:C97)</f>
        <v>40349.839999999997</v>
      </c>
      <c r="D86" s="140">
        <f t="shared" si="26"/>
        <v>40349.839999999997</v>
      </c>
      <c r="E86" s="140">
        <f t="shared" si="26"/>
        <v>40349.839999999997</v>
      </c>
      <c r="F86" s="140">
        <f t="shared" si="26"/>
        <v>40349.839999999997</v>
      </c>
      <c r="G86" s="140">
        <f t="shared" si="26"/>
        <v>40349.839999999997</v>
      </c>
      <c r="H86" s="140">
        <f t="shared" si="26"/>
        <v>40349.839999999997</v>
      </c>
      <c r="I86" s="140">
        <f t="shared" si="26"/>
        <v>40349.839999999997</v>
      </c>
      <c r="J86" s="140">
        <f t="shared" si="26"/>
        <v>40349.839999999997</v>
      </c>
      <c r="K86" s="140">
        <f t="shared" si="26"/>
        <v>40349.839999999997</v>
      </c>
      <c r="L86" s="140">
        <f t="shared" si="26"/>
        <v>40349.839999999997</v>
      </c>
      <c r="M86" s="140">
        <f t="shared" si="26"/>
        <v>40349.839999999997</v>
      </c>
      <c r="N86" s="140">
        <f t="shared" si="26"/>
        <v>40349.839999999997</v>
      </c>
      <c r="O86" s="140">
        <f t="shared" si="26"/>
        <v>40349.839999999997</v>
      </c>
      <c r="P86" s="140">
        <f t="shared" si="26"/>
        <v>40349.839999999997</v>
      </c>
      <c r="Q86" s="140">
        <f t="shared" si="26"/>
        <v>95946.84</v>
      </c>
      <c r="R86" s="140">
        <f t="shared" si="26"/>
        <v>127573.84</v>
      </c>
      <c r="S86" s="140">
        <f t="shared" si="26"/>
        <v>155417.11000000002</v>
      </c>
      <c r="T86" s="140">
        <f t="shared" si="26"/>
        <v>155417.11000000002</v>
      </c>
      <c r="U86" s="140">
        <f t="shared" si="26"/>
        <v>155417.11000000002</v>
      </c>
      <c r="V86" s="140">
        <f t="shared" si="26"/>
        <v>155417.11000000002</v>
      </c>
      <c r="W86" s="140">
        <f t="shared" si="26"/>
        <v>231392.71000000002</v>
      </c>
      <c r="X86" s="140">
        <f t="shared" si="26"/>
        <v>334489.96000000008</v>
      </c>
      <c r="Y86" s="140">
        <f t="shared" si="26"/>
        <v>334489.96000000008</v>
      </c>
      <c r="Z86" s="140">
        <f t="shared" si="26"/>
        <v>500161.32000000007</v>
      </c>
      <c r="AA86" s="140">
        <f t="shared" si="26"/>
        <v>500161.32000000007</v>
      </c>
      <c r="AB86" s="140">
        <f t="shared" si="26"/>
        <v>554614.67000000004</v>
      </c>
      <c r="AC86" s="140">
        <f t="shared" si="26"/>
        <v>618316.12</v>
      </c>
      <c r="AD86" s="140">
        <f t="shared" si="26"/>
        <v>618316.12</v>
      </c>
      <c r="AE86" s="140">
        <f t="shared" si="26"/>
        <v>618316.12</v>
      </c>
      <c r="AF86" s="140">
        <f t="shared" si="26"/>
        <v>618316.12</v>
      </c>
      <c r="AG86" s="140">
        <f t="shared" si="26"/>
        <v>618316.12</v>
      </c>
      <c r="AH86" s="140">
        <f t="shared" si="26"/>
        <v>618316.12</v>
      </c>
      <c r="AI86" s="140">
        <f t="shared" si="26"/>
        <v>732391.3</v>
      </c>
      <c r="AJ86" s="140">
        <f t="shared" si="26"/>
        <v>892870.3</v>
      </c>
      <c r="AK86" s="140">
        <f t="shared" si="26"/>
        <v>880007.3899999999</v>
      </c>
      <c r="AL86" s="140">
        <f t="shared" si="26"/>
        <v>311313.08999999997</v>
      </c>
      <c r="AM86" s="140">
        <f t="shared" si="26"/>
        <v>311313.08999999997</v>
      </c>
      <c r="AN86" s="140">
        <f t="shared" si="26"/>
        <v>311313.08999999997</v>
      </c>
      <c r="AO86" s="140">
        <f t="shared" si="26"/>
        <v>12862.59</v>
      </c>
      <c r="AP86" s="140">
        <f t="shared" si="26"/>
        <v>12862.59</v>
      </c>
      <c r="AQ86" s="140">
        <f t="shared" si="26"/>
        <v>12862.59</v>
      </c>
      <c r="AR86" s="140">
        <f t="shared" si="26"/>
        <v>0</v>
      </c>
      <c r="AS86" s="140">
        <f t="shared" si="26"/>
        <v>0</v>
      </c>
      <c r="AT86" s="140">
        <f t="shared" si="26"/>
        <v>0</v>
      </c>
      <c r="AU86" s="140">
        <f t="shared" si="26"/>
        <v>0</v>
      </c>
      <c r="AV86" s="140">
        <f t="shared" si="26"/>
        <v>0</v>
      </c>
      <c r="AW86" s="140">
        <f t="shared" si="26"/>
        <v>0</v>
      </c>
      <c r="AX86" s="140">
        <f t="shared" si="26"/>
        <v>0</v>
      </c>
      <c r="AY86" s="140">
        <f t="shared" si="26"/>
        <v>0</v>
      </c>
      <c r="AZ86" s="140">
        <f t="shared" si="26"/>
        <v>0</v>
      </c>
      <c r="BA86" s="140">
        <f t="shared" si="26"/>
        <v>0</v>
      </c>
      <c r="BB86" s="140">
        <f t="shared" si="26"/>
        <v>0</v>
      </c>
      <c r="BC86" s="140">
        <f t="shared" si="26"/>
        <v>0</v>
      </c>
      <c r="BD86" s="140">
        <f t="shared" si="26"/>
        <v>0</v>
      </c>
      <c r="BE86" s="140">
        <f t="shared" si="26"/>
        <v>0</v>
      </c>
      <c r="BF86" s="140">
        <f t="shared" si="26"/>
        <v>0</v>
      </c>
      <c r="BG86" s="140">
        <f t="shared" si="26"/>
        <v>0</v>
      </c>
      <c r="BH86" s="140">
        <f t="shared" si="26"/>
        <v>0</v>
      </c>
      <c r="BI86" s="140">
        <f t="shared" si="26"/>
        <v>0</v>
      </c>
      <c r="BJ86" s="140">
        <f t="shared" si="26"/>
        <v>0</v>
      </c>
      <c r="BK86" s="140">
        <f t="shared" si="26"/>
        <v>0</v>
      </c>
      <c r="BL86" s="140">
        <f t="shared" si="26"/>
        <v>0</v>
      </c>
      <c r="BM86" s="140">
        <f t="shared" si="26"/>
        <v>0</v>
      </c>
      <c r="BN86" s="140">
        <f t="shared" si="26"/>
        <v>38678.961750000002</v>
      </c>
      <c r="BO86" s="140">
        <f t="shared" ref="BO86:BP86" si="27">SUM(BO87:BO97)</f>
        <v>38678.961750000002</v>
      </c>
      <c r="BP86" s="140">
        <f t="shared" ref="BP86" si="28">SUM(BP87:BP97)</f>
        <v>38678.961750000002</v>
      </c>
    </row>
    <row r="87" spans="1:68" ht="15" hidden="1" customHeight="1" outlineLevel="1">
      <c r="A87" t="s">
        <v>319</v>
      </c>
      <c r="B87" s="38" t="s">
        <v>317</v>
      </c>
      <c r="C87" s="149">
        <v>0</v>
      </c>
      <c r="D87" s="149">
        <v>0</v>
      </c>
      <c r="E87" s="149">
        <v>0</v>
      </c>
      <c r="F87" s="149">
        <v>0</v>
      </c>
      <c r="G87" s="149">
        <v>0</v>
      </c>
      <c r="H87" s="149">
        <v>0</v>
      </c>
      <c r="I87" s="149">
        <v>0</v>
      </c>
      <c r="J87" s="149">
        <v>0</v>
      </c>
      <c r="K87" s="149">
        <v>0</v>
      </c>
      <c r="L87" s="149">
        <v>0</v>
      </c>
      <c r="M87" s="149">
        <v>0</v>
      </c>
      <c r="N87" s="149">
        <v>0</v>
      </c>
      <c r="O87" s="149">
        <v>0</v>
      </c>
      <c r="P87" s="149">
        <v>0</v>
      </c>
      <c r="Q87" s="149">
        <v>0</v>
      </c>
      <c r="R87" s="149">
        <v>0</v>
      </c>
      <c r="S87" s="149">
        <v>0</v>
      </c>
      <c r="T87" s="149">
        <v>0</v>
      </c>
      <c r="U87" s="149">
        <v>0</v>
      </c>
      <c r="V87" s="149">
        <v>0</v>
      </c>
      <c r="W87" s="149">
        <v>0</v>
      </c>
      <c r="X87" s="149">
        <v>0</v>
      </c>
      <c r="Y87" s="149">
        <v>0</v>
      </c>
      <c r="Z87" s="149">
        <v>0</v>
      </c>
      <c r="AA87" s="149">
        <v>0</v>
      </c>
      <c r="AB87" s="149">
        <v>0</v>
      </c>
      <c r="AC87" s="149">
        <v>0</v>
      </c>
      <c r="AD87" s="149">
        <v>0</v>
      </c>
      <c r="AE87" s="149">
        <v>0</v>
      </c>
      <c r="AF87" s="149">
        <v>0</v>
      </c>
      <c r="AG87" s="149">
        <v>0</v>
      </c>
      <c r="AH87" s="149">
        <v>0</v>
      </c>
      <c r="AI87" s="149">
        <v>0</v>
      </c>
      <c r="AJ87" s="149">
        <v>0</v>
      </c>
      <c r="AK87" s="149">
        <v>0</v>
      </c>
      <c r="AL87" s="149">
        <v>0</v>
      </c>
      <c r="AM87" s="149">
        <v>0</v>
      </c>
      <c r="AN87" s="149">
        <v>0</v>
      </c>
      <c r="AO87" s="149">
        <v>0</v>
      </c>
      <c r="AP87" s="149">
        <v>0</v>
      </c>
      <c r="AQ87" s="149">
        <v>0</v>
      </c>
      <c r="AR87" s="149">
        <v>0</v>
      </c>
      <c r="AS87" s="149">
        <v>0</v>
      </c>
      <c r="AT87" s="149">
        <v>0</v>
      </c>
      <c r="AU87" s="149">
        <v>0</v>
      </c>
      <c r="AV87" s="149">
        <v>0</v>
      </c>
      <c r="AW87" s="149">
        <v>0</v>
      </c>
      <c r="AX87" s="149">
        <v>0</v>
      </c>
      <c r="AY87" s="149">
        <v>0</v>
      </c>
      <c r="AZ87" s="149">
        <v>0</v>
      </c>
      <c r="BA87" s="149">
        <v>0</v>
      </c>
      <c r="BB87" s="149">
        <v>0</v>
      </c>
      <c r="BC87" s="149">
        <v>0</v>
      </c>
      <c r="BD87" s="149">
        <v>0</v>
      </c>
      <c r="BE87" s="149">
        <v>0</v>
      </c>
      <c r="BF87" s="149">
        <v>0</v>
      </c>
      <c r="BG87" s="149">
        <v>0</v>
      </c>
      <c r="BH87" s="149">
        <v>0</v>
      </c>
      <c r="BI87" s="149">
        <v>0</v>
      </c>
      <c r="BJ87" s="149">
        <v>0</v>
      </c>
      <c r="BK87" s="149">
        <v>0</v>
      </c>
      <c r="BL87" s="149">
        <v>0</v>
      </c>
      <c r="BM87" s="149">
        <v>0</v>
      </c>
      <c r="BN87" s="149">
        <v>38678.961750000002</v>
      </c>
      <c r="BO87" s="149">
        <v>38678.961750000002</v>
      </c>
      <c r="BP87" s="149">
        <v>38678.961750000002</v>
      </c>
    </row>
    <row r="88" spans="1:68" ht="15" hidden="1" customHeight="1" outlineLevel="1">
      <c r="A88" t="s">
        <v>18</v>
      </c>
      <c r="B88" s="38" t="s">
        <v>32</v>
      </c>
      <c r="C88" s="62">
        <v>40349.839999999997</v>
      </c>
      <c r="D88" s="62">
        <v>40349.839999999997</v>
      </c>
      <c r="E88" s="62">
        <v>40349.839999999997</v>
      </c>
      <c r="F88" s="62">
        <v>40349.839999999997</v>
      </c>
      <c r="G88" s="62">
        <v>40349.839999999997</v>
      </c>
      <c r="H88" s="62">
        <v>40349.839999999997</v>
      </c>
      <c r="I88" s="62">
        <v>40349.839999999997</v>
      </c>
      <c r="J88" s="62">
        <v>40349.839999999997</v>
      </c>
      <c r="K88" s="62">
        <v>40349.839999999997</v>
      </c>
      <c r="L88" s="62">
        <v>40349.839999999997</v>
      </c>
      <c r="M88" s="62">
        <v>40349.839999999997</v>
      </c>
      <c r="N88" s="62">
        <v>40349.839999999997</v>
      </c>
      <c r="O88" s="62">
        <v>40349.839999999997</v>
      </c>
      <c r="P88" s="62">
        <v>40349.839999999997</v>
      </c>
      <c r="Q88" s="62">
        <v>40349.839999999997</v>
      </c>
      <c r="R88" s="62">
        <v>40349.839999999997</v>
      </c>
      <c r="S88" s="62">
        <v>40349.839999999997</v>
      </c>
      <c r="T88" s="62">
        <v>40349.839999999997</v>
      </c>
      <c r="U88" s="62">
        <v>40349.839999999997</v>
      </c>
      <c r="V88" s="62">
        <v>40349.839999999997</v>
      </c>
      <c r="W88" s="62">
        <v>40349.839999999997</v>
      </c>
      <c r="X88" s="62">
        <v>40349.839999999997</v>
      </c>
      <c r="Y88" s="62">
        <v>40349.839999999997</v>
      </c>
      <c r="Z88" s="62">
        <v>40349.839999999997</v>
      </c>
      <c r="AA88" s="62">
        <v>40349.839999999997</v>
      </c>
      <c r="AB88" s="62">
        <v>40349.839999999997</v>
      </c>
      <c r="AC88" s="62">
        <v>40349.839999999997</v>
      </c>
      <c r="AD88" s="62">
        <v>40349.839999999997</v>
      </c>
      <c r="AE88" s="62">
        <v>40349.839999999997</v>
      </c>
      <c r="AF88" s="62">
        <v>40349.839999999997</v>
      </c>
      <c r="AG88" s="62">
        <v>40349.839999999997</v>
      </c>
      <c r="AH88" s="62">
        <v>40349.839999999997</v>
      </c>
      <c r="AI88" s="62">
        <v>40349.839999999997</v>
      </c>
      <c r="AJ88" s="62">
        <v>40349.839999999997</v>
      </c>
      <c r="AK88" s="63">
        <v>27486.93</v>
      </c>
      <c r="AL88" s="62">
        <v>27486.93</v>
      </c>
      <c r="AM88" s="62">
        <v>27486.93</v>
      </c>
      <c r="AN88" s="63">
        <v>27486.93</v>
      </c>
      <c r="AO88" s="63">
        <v>12862.59</v>
      </c>
      <c r="AP88" s="63">
        <v>12862.59</v>
      </c>
      <c r="AQ88" s="63">
        <v>12862.59</v>
      </c>
      <c r="AR88" s="63">
        <v>0</v>
      </c>
      <c r="AS88" s="63">
        <v>0</v>
      </c>
      <c r="AT88" s="63">
        <v>0</v>
      </c>
      <c r="AU88" s="63">
        <v>0</v>
      </c>
      <c r="AV88" s="113">
        <v>0</v>
      </c>
      <c r="AW88" s="113">
        <v>0</v>
      </c>
      <c r="AX88" s="113">
        <v>0</v>
      </c>
      <c r="AY88" s="113">
        <v>0</v>
      </c>
      <c r="AZ88" s="113">
        <v>0</v>
      </c>
      <c r="BA88" s="113">
        <v>0</v>
      </c>
      <c r="BB88" s="113">
        <v>0</v>
      </c>
      <c r="BC88" s="113">
        <v>0</v>
      </c>
      <c r="BD88" s="113">
        <v>0</v>
      </c>
      <c r="BE88" s="113">
        <v>0</v>
      </c>
      <c r="BF88" s="113">
        <v>0</v>
      </c>
      <c r="BG88" s="149">
        <v>0</v>
      </c>
      <c r="BH88" s="149">
        <v>0</v>
      </c>
      <c r="BI88" s="149">
        <v>0</v>
      </c>
      <c r="BJ88" s="149">
        <v>0</v>
      </c>
      <c r="BK88" s="149">
        <v>0</v>
      </c>
      <c r="BL88" s="149">
        <v>0</v>
      </c>
      <c r="BM88" s="149">
        <v>0</v>
      </c>
      <c r="BN88" s="149">
        <v>0</v>
      </c>
      <c r="BO88" s="149">
        <v>0</v>
      </c>
      <c r="BP88" s="149">
        <v>0</v>
      </c>
    </row>
    <row r="89" spans="1:68" ht="15" hidden="1" customHeight="1" outlineLevel="1">
      <c r="A89" t="s">
        <v>18</v>
      </c>
      <c r="B89" s="38" t="s">
        <v>34</v>
      </c>
      <c r="C89" s="63">
        <v>0</v>
      </c>
      <c r="D89" s="63">
        <v>0</v>
      </c>
      <c r="E89" s="63">
        <v>0</v>
      </c>
      <c r="F89" s="63">
        <v>0</v>
      </c>
      <c r="G89" s="63">
        <v>0</v>
      </c>
      <c r="H89" s="63">
        <v>0</v>
      </c>
      <c r="I89" s="63">
        <v>0</v>
      </c>
      <c r="J89" s="63">
        <v>0</v>
      </c>
      <c r="K89" s="63">
        <v>0</v>
      </c>
      <c r="L89" s="63">
        <v>0</v>
      </c>
      <c r="M89" s="63">
        <v>0</v>
      </c>
      <c r="N89" s="63">
        <v>0</v>
      </c>
      <c r="O89" s="63">
        <v>0</v>
      </c>
      <c r="P89" s="63">
        <v>0</v>
      </c>
      <c r="Q89" s="63">
        <v>55597</v>
      </c>
      <c r="R89" s="63">
        <v>87224</v>
      </c>
      <c r="S89" s="63">
        <v>115067.27000000002</v>
      </c>
      <c r="T89" s="63">
        <v>115067.27000000002</v>
      </c>
      <c r="U89" s="63">
        <v>115067.27000000002</v>
      </c>
      <c r="V89" s="63">
        <v>115067.27000000002</v>
      </c>
      <c r="W89" s="63">
        <v>115067.27000000002</v>
      </c>
      <c r="X89" s="63">
        <v>115067.27000000002</v>
      </c>
      <c r="Y89" s="63">
        <v>115067.27000000002</v>
      </c>
      <c r="Z89" s="63">
        <v>115067.27000000002</v>
      </c>
      <c r="AA89" s="63">
        <v>115067.27000000002</v>
      </c>
      <c r="AB89" s="63">
        <v>115067.27000000002</v>
      </c>
      <c r="AC89" s="63">
        <v>115067.27000000002</v>
      </c>
      <c r="AD89" s="63">
        <v>115067.27000000002</v>
      </c>
      <c r="AE89" s="63">
        <v>115067.27000000002</v>
      </c>
      <c r="AF89" s="63">
        <v>115067.27000000002</v>
      </c>
      <c r="AG89" s="63">
        <v>115067.27000000002</v>
      </c>
      <c r="AH89" s="63">
        <v>115067.27000000002</v>
      </c>
      <c r="AI89" s="63">
        <v>115067.27000000002</v>
      </c>
      <c r="AJ89" s="63">
        <v>115067.27000000002</v>
      </c>
      <c r="AK89" s="63">
        <v>115067.27000000002</v>
      </c>
      <c r="AL89" s="62">
        <v>0</v>
      </c>
      <c r="AM89" s="62">
        <v>0</v>
      </c>
      <c r="AN89" s="63">
        <v>0</v>
      </c>
      <c r="AO89" s="63">
        <v>0</v>
      </c>
      <c r="AP89" s="63">
        <v>0</v>
      </c>
      <c r="AQ89" s="63">
        <v>0</v>
      </c>
      <c r="AR89" s="63">
        <v>0</v>
      </c>
      <c r="AS89" s="63">
        <v>0</v>
      </c>
      <c r="AT89" s="63">
        <v>0</v>
      </c>
      <c r="AU89" s="63">
        <v>0</v>
      </c>
      <c r="AV89" s="113">
        <v>0</v>
      </c>
      <c r="AW89" s="113">
        <v>0</v>
      </c>
      <c r="AX89" s="113">
        <v>0</v>
      </c>
      <c r="AY89" s="113">
        <v>0</v>
      </c>
      <c r="AZ89" s="113">
        <v>0</v>
      </c>
      <c r="BA89" s="113">
        <v>0</v>
      </c>
      <c r="BB89" s="113">
        <v>0</v>
      </c>
      <c r="BC89" s="113">
        <v>0</v>
      </c>
      <c r="BD89" s="113">
        <v>0</v>
      </c>
      <c r="BE89" s="113">
        <v>0</v>
      </c>
      <c r="BF89" s="113">
        <v>0</v>
      </c>
      <c r="BG89" s="149">
        <v>0</v>
      </c>
      <c r="BH89" s="149">
        <v>0</v>
      </c>
      <c r="BI89" s="149">
        <v>0</v>
      </c>
      <c r="BJ89" s="149">
        <v>0</v>
      </c>
      <c r="BK89" s="149">
        <v>0</v>
      </c>
      <c r="BL89" s="149">
        <v>0</v>
      </c>
      <c r="BM89" s="149">
        <v>0</v>
      </c>
      <c r="BN89" s="149">
        <v>0</v>
      </c>
      <c r="BO89" s="149">
        <v>0</v>
      </c>
      <c r="BP89" s="149">
        <v>0</v>
      </c>
    </row>
    <row r="90" spans="1:68" ht="15" hidden="1" customHeight="1" outlineLevel="1">
      <c r="A90" t="s">
        <v>18</v>
      </c>
      <c r="B90" s="38" t="s">
        <v>36</v>
      </c>
      <c r="C90" s="63">
        <v>0</v>
      </c>
      <c r="D90" s="63">
        <v>0</v>
      </c>
      <c r="E90" s="63">
        <v>0</v>
      </c>
      <c r="F90" s="63">
        <v>0</v>
      </c>
      <c r="G90" s="63">
        <v>0</v>
      </c>
      <c r="H90" s="63">
        <v>0</v>
      </c>
      <c r="I90" s="63">
        <v>0</v>
      </c>
      <c r="J90" s="63">
        <v>0</v>
      </c>
      <c r="K90" s="63">
        <v>0</v>
      </c>
      <c r="L90" s="63">
        <v>0</v>
      </c>
      <c r="M90" s="63">
        <v>0</v>
      </c>
      <c r="N90" s="63">
        <v>0</v>
      </c>
      <c r="O90" s="63">
        <v>0</v>
      </c>
      <c r="P90" s="63">
        <v>0</v>
      </c>
      <c r="Q90" s="63">
        <v>0</v>
      </c>
      <c r="R90" s="63">
        <v>0</v>
      </c>
      <c r="S90" s="63">
        <v>0</v>
      </c>
      <c r="T90" s="63">
        <v>0</v>
      </c>
      <c r="U90" s="63">
        <v>0</v>
      </c>
      <c r="V90" s="63">
        <v>0</v>
      </c>
      <c r="W90" s="63">
        <v>75975.600000000006</v>
      </c>
      <c r="X90" s="63">
        <v>75975.600000000006</v>
      </c>
      <c r="Y90" s="63">
        <v>75975.600000000006</v>
      </c>
      <c r="Z90" s="63">
        <v>75975.600000000006</v>
      </c>
      <c r="AA90" s="63">
        <v>75975.600000000006</v>
      </c>
      <c r="AB90" s="63">
        <v>75975.600000000006</v>
      </c>
      <c r="AC90" s="63">
        <v>75975.600000000006</v>
      </c>
      <c r="AD90" s="63">
        <v>75975.600000000006</v>
      </c>
      <c r="AE90" s="63">
        <v>75975.600000000006</v>
      </c>
      <c r="AF90" s="63">
        <v>75975.600000000006</v>
      </c>
      <c r="AG90" s="63">
        <v>75975.600000000006</v>
      </c>
      <c r="AH90" s="63">
        <v>75975.600000000006</v>
      </c>
      <c r="AI90" s="63">
        <v>75975.600000000006</v>
      </c>
      <c r="AJ90" s="63">
        <v>75975.600000000006</v>
      </c>
      <c r="AK90" s="63">
        <v>75975.600000000006</v>
      </c>
      <c r="AL90" s="62">
        <v>0</v>
      </c>
      <c r="AM90" s="62">
        <v>0</v>
      </c>
      <c r="AN90" s="63">
        <v>0</v>
      </c>
      <c r="AO90" s="63">
        <v>0</v>
      </c>
      <c r="AP90" s="63">
        <v>0</v>
      </c>
      <c r="AQ90" s="63">
        <v>0</v>
      </c>
      <c r="AR90" s="63">
        <v>0</v>
      </c>
      <c r="AS90" s="63">
        <v>0</v>
      </c>
      <c r="AT90" s="63">
        <v>0</v>
      </c>
      <c r="AU90" s="63">
        <v>0</v>
      </c>
      <c r="AV90" s="113">
        <v>0</v>
      </c>
      <c r="AW90" s="113">
        <v>0</v>
      </c>
      <c r="AX90" s="113">
        <v>0</v>
      </c>
      <c r="AY90" s="113">
        <v>0</v>
      </c>
      <c r="AZ90" s="113">
        <v>0</v>
      </c>
      <c r="BA90" s="113">
        <v>0</v>
      </c>
      <c r="BB90" s="113">
        <v>0</v>
      </c>
      <c r="BC90" s="113">
        <v>0</v>
      </c>
      <c r="BD90" s="113">
        <v>0</v>
      </c>
      <c r="BE90" s="113">
        <v>0</v>
      </c>
      <c r="BF90" s="113">
        <v>0</v>
      </c>
      <c r="BG90" s="149">
        <v>0</v>
      </c>
      <c r="BH90" s="149">
        <v>0</v>
      </c>
      <c r="BI90" s="149">
        <v>0</v>
      </c>
      <c r="BJ90" s="149">
        <v>0</v>
      </c>
      <c r="BK90" s="149">
        <v>0</v>
      </c>
      <c r="BL90" s="149">
        <v>0</v>
      </c>
      <c r="BM90" s="149">
        <v>0</v>
      </c>
      <c r="BN90" s="149">
        <v>0</v>
      </c>
      <c r="BO90" s="149">
        <v>0</v>
      </c>
      <c r="BP90" s="149">
        <v>0</v>
      </c>
    </row>
    <row r="91" spans="1:68" ht="15" hidden="1" customHeight="1" outlineLevel="1">
      <c r="A91" t="s">
        <v>18</v>
      </c>
      <c r="B91" s="38" t="s">
        <v>37</v>
      </c>
      <c r="C91" s="63">
        <v>0</v>
      </c>
      <c r="D91" s="63">
        <v>0</v>
      </c>
      <c r="E91" s="63">
        <v>0</v>
      </c>
      <c r="F91" s="63">
        <v>0</v>
      </c>
      <c r="G91" s="63">
        <v>0</v>
      </c>
      <c r="H91" s="63">
        <v>0</v>
      </c>
      <c r="I91" s="63">
        <v>0</v>
      </c>
      <c r="J91" s="63">
        <v>0</v>
      </c>
      <c r="K91" s="63">
        <v>0</v>
      </c>
      <c r="L91" s="63">
        <v>0</v>
      </c>
      <c r="M91" s="63">
        <v>0</v>
      </c>
      <c r="N91" s="63">
        <v>0</v>
      </c>
      <c r="O91" s="63">
        <v>0</v>
      </c>
      <c r="P91" s="63">
        <v>0</v>
      </c>
      <c r="Q91" s="63">
        <v>0</v>
      </c>
      <c r="R91" s="63">
        <v>0</v>
      </c>
      <c r="S91" s="63">
        <v>0</v>
      </c>
      <c r="T91" s="63">
        <v>0</v>
      </c>
      <c r="U91" s="63">
        <v>0</v>
      </c>
      <c r="V91" s="63">
        <v>0</v>
      </c>
      <c r="W91" s="63">
        <v>0</v>
      </c>
      <c r="X91" s="63">
        <v>33066.720000000001</v>
      </c>
      <c r="Y91" s="63">
        <v>33066.720000000001</v>
      </c>
      <c r="Z91" s="63">
        <v>33066.720000000001</v>
      </c>
      <c r="AA91" s="63">
        <v>33066.720000000001</v>
      </c>
      <c r="AB91" s="63">
        <v>33066.720000000001</v>
      </c>
      <c r="AC91" s="63">
        <v>33066.720000000001</v>
      </c>
      <c r="AD91" s="63">
        <v>33066.720000000001</v>
      </c>
      <c r="AE91" s="63">
        <v>33066.720000000001</v>
      </c>
      <c r="AF91" s="63">
        <v>33066.720000000001</v>
      </c>
      <c r="AG91" s="63">
        <v>33066.720000000001</v>
      </c>
      <c r="AH91" s="63">
        <v>33066.720000000001</v>
      </c>
      <c r="AI91" s="63">
        <v>33066.720000000001</v>
      </c>
      <c r="AJ91" s="63">
        <v>33066.720000000001</v>
      </c>
      <c r="AK91" s="63">
        <v>33066.720000000001</v>
      </c>
      <c r="AL91" s="62">
        <v>0</v>
      </c>
      <c r="AM91" s="62">
        <v>0</v>
      </c>
      <c r="AN91" s="63">
        <v>0</v>
      </c>
      <c r="AO91" s="63">
        <v>0</v>
      </c>
      <c r="AP91" s="63">
        <v>0</v>
      </c>
      <c r="AQ91" s="63">
        <v>0</v>
      </c>
      <c r="AR91" s="63">
        <v>0</v>
      </c>
      <c r="AS91" s="63">
        <v>0</v>
      </c>
      <c r="AT91" s="63">
        <v>0</v>
      </c>
      <c r="AU91" s="63">
        <v>0</v>
      </c>
      <c r="AV91" s="113">
        <v>0</v>
      </c>
      <c r="AW91" s="113">
        <v>0</v>
      </c>
      <c r="AX91" s="113">
        <v>0</v>
      </c>
      <c r="AY91" s="113">
        <v>0</v>
      </c>
      <c r="AZ91" s="113">
        <v>0</v>
      </c>
      <c r="BA91" s="113">
        <v>0</v>
      </c>
      <c r="BB91" s="113">
        <v>0</v>
      </c>
      <c r="BC91" s="113">
        <v>0</v>
      </c>
      <c r="BD91" s="113">
        <v>0</v>
      </c>
      <c r="BE91" s="113">
        <v>0</v>
      </c>
      <c r="BF91" s="113">
        <v>0</v>
      </c>
      <c r="BG91" s="149">
        <v>0</v>
      </c>
      <c r="BH91" s="149">
        <v>0</v>
      </c>
      <c r="BI91" s="149">
        <v>0</v>
      </c>
      <c r="BJ91" s="149">
        <v>0</v>
      </c>
      <c r="BK91" s="149">
        <v>0</v>
      </c>
      <c r="BL91" s="149">
        <v>0</v>
      </c>
      <c r="BM91" s="149">
        <v>0</v>
      </c>
      <c r="BN91" s="149">
        <v>0</v>
      </c>
      <c r="BO91" s="149">
        <v>0</v>
      </c>
      <c r="BP91" s="149">
        <v>0</v>
      </c>
    </row>
    <row r="92" spans="1:68" ht="15" hidden="1" customHeight="1" outlineLevel="1">
      <c r="A92" t="s">
        <v>18</v>
      </c>
      <c r="B92" s="38" t="s">
        <v>38</v>
      </c>
      <c r="C92" s="62">
        <v>0</v>
      </c>
      <c r="D92" s="62">
        <v>0</v>
      </c>
      <c r="E92" s="62">
        <v>0</v>
      </c>
      <c r="F92" s="62">
        <v>0</v>
      </c>
      <c r="G92" s="62">
        <v>0</v>
      </c>
      <c r="H92" s="62">
        <v>0</v>
      </c>
      <c r="I92" s="62">
        <v>0</v>
      </c>
      <c r="J92" s="62">
        <v>0</v>
      </c>
      <c r="K92" s="62">
        <v>0</v>
      </c>
      <c r="L92" s="62">
        <v>0</v>
      </c>
      <c r="M92" s="62">
        <v>0</v>
      </c>
      <c r="N92" s="62">
        <v>0</v>
      </c>
      <c r="O92" s="62">
        <v>0</v>
      </c>
      <c r="P92" s="62">
        <v>0</v>
      </c>
      <c r="Q92" s="62">
        <v>0</v>
      </c>
      <c r="R92" s="62">
        <v>0</v>
      </c>
      <c r="S92" s="62">
        <v>0</v>
      </c>
      <c r="T92" s="62">
        <v>0</v>
      </c>
      <c r="U92" s="62">
        <v>0</v>
      </c>
      <c r="V92" s="62">
        <v>0</v>
      </c>
      <c r="W92" s="62">
        <v>0</v>
      </c>
      <c r="X92" s="62">
        <v>0</v>
      </c>
      <c r="Y92" s="62">
        <v>0</v>
      </c>
      <c r="Z92" s="63">
        <v>165671.36000000002</v>
      </c>
      <c r="AA92" s="63">
        <v>165671.36000000002</v>
      </c>
      <c r="AB92" s="63">
        <v>165671.36000000002</v>
      </c>
      <c r="AC92" s="63">
        <v>229372.81</v>
      </c>
      <c r="AD92" s="63">
        <v>229372.81</v>
      </c>
      <c r="AE92" s="63">
        <v>229372.81</v>
      </c>
      <c r="AF92" s="63">
        <v>229372.81</v>
      </c>
      <c r="AG92" s="63">
        <v>229372.81</v>
      </c>
      <c r="AH92" s="63">
        <v>229372.81</v>
      </c>
      <c r="AI92" s="63">
        <v>229372.81</v>
      </c>
      <c r="AJ92" s="63">
        <v>229372.81</v>
      </c>
      <c r="AK92" s="63">
        <v>229372.81</v>
      </c>
      <c r="AL92" s="63">
        <v>229372.81</v>
      </c>
      <c r="AM92" s="63">
        <v>229372.81</v>
      </c>
      <c r="AN92" s="63">
        <v>229372.81</v>
      </c>
      <c r="AO92" s="63">
        <v>0</v>
      </c>
      <c r="AP92" s="63">
        <v>0</v>
      </c>
      <c r="AQ92" s="63">
        <v>0</v>
      </c>
      <c r="AR92" s="63">
        <v>0</v>
      </c>
      <c r="AS92" s="63">
        <v>0</v>
      </c>
      <c r="AT92" s="63">
        <v>0</v>
      </c>
      <c r="AU92" s="63">
        <v>0</v>
      </c>
      <c r="AV92" s="113">
        <v>0</v>
      </c>
      <c r="AW92" s="113">
        <v>0</v>
      </c>
      <c r="AX92" s="113">
        <v>0</v>
      </c>
      <c r="AY92" s="113">
        <v>0</v>
      </c>
      <c r="AZ92" s="113">
        <v>0</v>
      </c>
      <c r="BA92" s="113">
        <v>0</v>
      </c>
      <c r="BB92" s="113">
        <v>0</v>
      </c>
      <c r="BC92" s="113">
        <v>0</v>
      </c>
      <c r="BD92" s="113">
        <v>0</v>
      </c>
      <c r="BE92" s="113">
        <v>0</v>
      </c>
      <c r="BF92" s="113">
        <v>0</v>
      </c>
      <c r="BG92" s="149">
        <v>0</v>
      </c>
      <c r="BH92" s="149">
        <v>0</v>
      </c>
      <c r="BI92" s="149">
        <v>0</v>
      </c>
      <c r="BJ92" s="149">
        <v>0</v>
      </c>
      <c r="BK92" s="149">
        <v>0</v>
      </c>
      <c r="BL92" s="149">
        <v>0</v>
      </c>
      <c r="BM92" s="149">
        <v>0</v>
      </c>
      <c r="BN92" s="149">
        <v>0</v>
      </c>
      <c r="BO92" s="149">
        <v>0</v>
      </c>
      <c r="BP92" s="149">
        <v>0</v>
      </c>
    </row>
    <row r="93" spans="1:68" ht="15" hidden="1" customHeight="1" outlineLevel="1">
      <c r="A93" t="s">
        <v>18</v>
      </c>
      <c r="B93" s="38" t="s">
        <v>35</v>
      </c>
      <c r="C93" s="62">
        <v>0</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3">
        <v>70030.53</v>
      </c>
      <c r="Y93" s="63">
        <v>70030.53</v>
      </c>
      <c r="Z93" s="63">
        <v>70030.53</v>
      </c>
      <c r="AA93" s="63">
        <v>70030.53</v>
      </c>
      <c r="AB93" s="63">
        <v>70030.53</v>
      </c>
      <c r="AC93" s="63">
        <v>70030.53</v>
      </c>
      <c r="AD93" s="63">
        <v>70030.53</v>
      </c>
      <c r="AE93" s="63">
        <v>70030.53</v>
      </c>
      <c r="AF93" s="63">
        <v>70030.53</v>
      </c>
      <c r="AG93" s="63">
        <v>70030.53</v>
      </c>
      <c r="AH93" s="63">
        <v>70030.53</v>
      </c>
      <c r="AI93" s="63">
        <v>70030.53</v>
      </c>
      <c r="AJ93" s="63">
        <v>70030.53</v>
      </c>
      <c r="AK93" s="63">
        <v>70030.53</v>
      </c>
      <c r="AL93" s="62">
        <v>0</v>
      </c>
      <c r="AM93" s="62">
        <v>0</v>
      </c>
      <c r="AN93" s="63">
        <v>0</v>
      </c>
      <c r="AO93" s="63">
        <v>0</v>
      </c>
      <c r="AP93" s="63">
        <v>0</v>
      </c>
      <c r="AQ93" s="63">
        <v>0</v>
      </c>
      <c r="AR93" s="63">
        <v>0</v>
      </c>
      <c r="AS93" s="63">
        <v>0</v>
      </c>
      <c r="AT93" s="63">
        <v>0</v>
      </c>
      <c r="AU93" s="63">
        <v>0</v>
      </c>
      <c r="AV93" s="113">
        <v>0</v>
      </c>
      <c r="AW93" s="113">
        <v>0</v>
      </c>
      <c r="AX93" s="113">
        <v>0</v>
      </c>
      <c r="AY93" s="113">
        <v>0</v>
      </c>
      <c r="AZ93" s="113">
        <v>0</v>
      </c>
      <c r="BA93" s="113">
        <v>0</v>
      </c>
      <c r="BB93" s="113">
        <v>0</v>
      </c>
      <c r="BC93" s="113">
        <v>0</v>
      </c>
      <c r="BD93" s="113">
        <v>0</v>
      </c>
      <c r="BE93" s="113">
        <v>0</v>
      </c>
      <c r="BF93" s="113">
        <v>0</v>
      </c>
      <c r="BG93" s="149">
        <v>0</v>
      </c>
      <c r="BH93" s="149">
        <v>0</v>
      </c>
      <c r="BI93" s="149">
        <v>0</v>
      </c>
      <c r="BJ93" s="149">
        <v>0</v>
      </c>
      <c r="BK93" s="149">
        <v>0</v>
      </c>
      <c r="BL93" s="149">
        <v>0</v>
      </c>
      <c r="BM93" s="149">
        <v>0</v>
      </c>
      <c r="BN93" s="149">
        <v>0</v>
      </c>
      <c r="BO93" s="149">
        <v>0</v>
      </c>
      <c r="BP93" s="149">
        <v>0</v>
      </c>
    </row>
    <row r="94" spans="1:68" ht="15" hidden="1" customHeight="1" outlineLevel="1">
      <c r="A94" t="s">
        <v>18</v>
      </c>
      <c r="B94" s="38" t="s">
        <v>39</v>
      </c>
      <c r="C94" s="62">
        <v>0</v>
      </c>
      <c r="D94" s="62">
        <v>0</v>
      </c>
      <c r="E94" s="62">
        <v>0</v>
      </c>
      <c r="F94" s="62">
        <v>0</v>
      </c>
      <c r="G94" s="62">
        <v>0</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54453.350000000006</v>
      </c>
      <c r="AC94" s="62">
        <v>54453.350000000006</v>
      </c>
      <c r="AD94" s="62">
        <v>54453.350000000006</v>
      </c>
      <c r="AE94" s="62">
        <v>54453.350000000006</v>
      </c>
      <c r="AF94" s="62">
        <v>54453.350000000006</v>
      </c>
      <c r="AG94" s="62">
        <v>54453.350000000006</v>
      </c>
      <c r="AH94" s="62">
        <v>54453.350000000006</v>
      </c>
      <c r="AI94" s="62">
        <v>54453.350000000006</v>
      </c>
      <c r="AJ94" s="62">
        <v>54453.350000000006</v>
      </c>
      <c r="AK94" s="62">
        <v>54453.350000000006</v>
      </c>
      <c r="AL94" s="63">
        <v>54453.350000000006</v>
      </c>
      <c r="AM94" s="63">
        <v>54453.350000000006</v>
      </c>
      <c r="AN94" s="63">
        <v>54453.350000000006</v>
      </c>
      <c r="AO94" s="63">
        <v>0</v>
      </c>
      <c r="AP94" s="63">
        <v>0</v>
      </c>
      <c r="AQ94" s="63">
        <v>0</v>
      </c>
      <c r="AR94" s="63">
        <v>0</v>
      </c>
      <c r="AS94" s="63">
        <v>0</v>
      </c>
      <c r="AT94" s="63">
        <v>0</v>
      </c>
      <c r="AU94" s="63">
        <v>0</v>
      </c>
      <c r="AV94" s="113">
        <v>0</v>
      </c>
      <c r="AW94" s="113">
        <v>0</v>
      </c>
      <c r="AX94" s="113">
        <v>0</v>
      </c>
      <c r="AY94" s="113">
        <v>0</v>
      </c>
      <c r="AZ94" s="113">
        <v>0</v>
      </c>
      <c r="BA94" s="113">
        <v>0</v>
      </c>
      <c r="BB94" s="113">
        <v>0</v>
      </c>
      <c r="BC94" s="113">
        <v>0</v>
      </c>
      <c r="BD94" s="113">
        <v>0</v>
      </c>
      <c r="BE94" s="113">
        <v>0</v>
      </c>
      <c r="BF94" s="113">
        <v>0</v>
      </c>
      <c r="BG94" s="149">
        <v>0</v>
      </c>
      <c r="BH94" s="149">
        <v>0</v>
      </c>
      <c r="BI94" s="149">
        <v>0</v>
      </c>
      <c r="BJ94" s="149">
        <v>0</v>
      </c>
      <c r="BK94" s="149">
        <v>0</v>
      </c>
      <c r="BL94" s="149">
        <v>0</v>
      </c>
      <c r="BM94" s="149">
        <v>0</v>
      </c>
      <c r="BN94" s="149">
        <v>0</v>
      </c>
      <c r="BO94" s="149">
        <v>0</v>
      </c>
      <c r="BP94" s="149">
        <v>0</v>
      </c>
    </row>
    <row r="95" spans="1:68" ht="15" hidden="1" customHeight="1" outlineLevel="1">
      <c r="A95" t="s">
        <v>18</v>
      </c>
      <c r="B95" s="38" t="s">
        <v>21</v>
      </c>
      <c r="C95" s="63">
        <v>0</v>
      </c>
      <c r="D95" s="63">
        <v>0</v>
      </c>
      <c r="E95" s="63">
        <v>0</v>
      </c>
      <c r="F95" s="63">
        <v>0</v>
      </c>
      <c r="G95" s="63">
        <v>0</v>
      </c>
      <c r="H95" s="63">
        <v>0</v>
      </c>
      <c r="I95" s="63">
        <v>0</v>
      </c>
      <c r="J95" s="63">
        <v>0</v>
      </c>
      <c r="K95" s="63">
        <v>0</v>
      </c>
      <c r="L95" s="63">
        <v>0</v>
      </c>
      <c r="M95" s="63">
        <v>0</v>
      </c>
      <c r="N95" s="63">
        <v>0</v>
      </c>
      <c r="O95" s="63">
        <v>0</v>
      </c>
      <c r="P95" s="63">
        <v>0</v>
      </c>
      <c r="Q95" s="63">
        <v>0</v>
      </c>
      <c r="R95" s="63">
        <v>0</v>
      </c>
      <c r="S95" s="63">
        <v>0</v>
      </c>
      <c r="T95" s="63">
        <v>0</v>
      </c>
      <c r="U95" s="63">
        <v>0</v>
      </c>
      <c r="V95" s="63">
        <v>0</v>
      </c>
      <c r="W95" s="63">
        <v>0</v>
      </c>
      <c r="X95" s="63">
        <v>0</v>
      </c>
      <c r="Y95" s="63">
        <v>0</v>
      </c>
      <c r="Z95" s="63">
        <v>0</v>
      </c>
      <c r="AA95" s="63">
        <v>0</v>
      </c>
      <c r="AB95" s="63">
        <v>0</v>
      </c>
      <c r="AC95" s="63">
        <v>0</v>
      </c>
      <c r="AD95" s="63">
        <v>0</v>
      </c>
      <c r="AE95" s="63">
        <v>0</v>
      </c>
      <c r="AF95" s="63">
        <v>0</v>
      </c>
      <c r="AG95" s="63">
        <v>0</v>
      </c>
      <c r="AH95" s="63">
        <v>0</v>
      </c>
      <c r="AI95" s="63">
        <v>114075.18</v>
      </c>
      <c r="AJ95" s="63">
        <v>114075.18</v>
      </c>
      <c r="AK95" s="63">
        <v>114075.18</v>
      </c>
      <c r="AL95" s="62">
        <v>0</v>
      </c>
      <c r="AM95" s="62">
        <v>0</v>
      </c>
      <c r="AN95" s="63">
        <v>0</v>
      </c>
      <c r="AO95" s="63">
        <v>0</v>
      </c>
      <c r="AP95" s="63">
        <v>0</v>
      </c>
      <c r="AQ95" s="63">
        <v>0</v>
      </c>
      <c r="AR95" s="63">
        <v>0</v>
      </c>
      <c r="AS95" s="63">
        <v>0</v>
      </c>
      <c r="AT95" s="63">
        <v>0</v>
      </c>
      <c r="AU95" s="63">
        <v>0</v>
      </c>
      <c r="AV95" s="113">
        <v>0</v>
      </c>
      <c r="AW95" s="113">
        <v>0</v>
      </c>
      <c r="AX95" s="113">
        <v>0</v>
      </c>
      <c r="AY95" s="113">
        <v>0</v>
      </c>
      <c r="AZ95" s="113">
        <v>0</v>
      </c>
      <c r="BA95" s="113">
        <v>0</v>
      </c>
      <c r="BB95" s="113">
        <v>0</v>
      </c>
      <c r="BC95" s="113">
        <v>0</v>
      </c>
      <c r="BD95" s="113">
        <v>0</v>
      </c>
      <c r="BE95" s="113">
        <v>0</v>
      </c>
      <c r="BF95" s="113">
        <v>0</v>
      </c>
      <c r="BG95" s="149">
        <v>0</v>
      </c>
      <c r="BH95" s="149">
        <v>0</v>
      </c>
      <c r="BI95" s="149">
        <v>0</v>
      </c>
      <c r="BJ95" s="149">
        <v>0</v>
      </c>
      <c r="BK95" s="149">
        <v>0</v>
      </c>
      <c r="BL95" s="149">
        <v>0</v>
      </c>
      <c r="BM95" s="149">
        <v>0</v>
      </c>
      <c r="BN95" s="149">
        <v>0</v>
      </c>
      <c r="BO95" s="149">
        <v>0</v>
      </c>
      <c r="BP95" s="149">
        <v>0</v>
      </c>
    </row>
    <row r="96" spans="1:68" ht="15" hidden="1" customHeight="1" outlineLevel="1">
      <c r="A96" t="s">
        <v>18</v>
      </c>
      <c r="B96" s="38" t="s">
        <v>22</v>
      </c>
      <c r="C96" s="63">
        <v>0</v>
      </c>
      <c r="D96" s="63">
        <v>0</v>
      </c>
      <c r="E96" s="63">
        <v>0</v>
      </c>
      <c r="F96" s="63">
        <v>0</v>
      </c>
      <c r="G96" s="63">
        <v>0</v>
      </c>
      <c r="H96" s="63">
        <v>0</v>
      </c>
      <c r="I96" s="63">
        <v>0</v>
      </c>
      <c r="J96" s="63">
        <v>0</v>
      </c>
      <c r="K96" s="63">
        <v>0</v>
      </c>
      <c r="L96" s="63">
        <v>0</v>
      </c>
      <c r="M96" s="63">
        <v>0</v>
      </c>
      <c r="N96" s="63">
        <v>0</v>
      </c>
      <c r="O96" s="63">
        <v>0</v>
      </c>
      <c r="P96" s="63">
        <v>0</v>
      </c>
      <c r="Q96" s="63">
        <v>0</v>
      </c>
      <c r="R96" s="63">
        <v>0</v>
      </c>
      <c r="S96" s="63">
        <v>0</v>
      </c>
      <c r="T96" s="63">
        <v>0</v>
      </c>
      <c r="U96" s="63">
        <v>0</v>
      </c>
      <c r="V96" s="63">
        <v>0</v>
      </c>
      <c r="W96" s="63">
        <v>0</v>
      </c>
      <c r="X96" s="63">
        <v>0</v>
      </c>
      <c r="Y96" s="63">
        <v>0</v>
      </c>
      <c r="Z96" s="63">
        <v>0</v>
      </c>
      <c r="AA96" s="63">
        <v>0</v>
      </c>
      <c r="AB96" s="63">
        <v>0</v>
      </c>
      <c r="AC96" s="63">
        <v>0</v>
      </c>
      <c r="AD96" s="63">
        <v>0</v>
      </c>
      <c r="AE96" s="63">
        <v>0</v>
      </c>
      <c r="AF96" s="63">
        <v>0</v>
      </c>
      <c r="AG96" s="63">
        <v>0</v>
      </c>
      <c r="AH96" s="63">
        <v>0</v>
      </c>
      <c r="AI96" s="63">
        <v>0</v>
      </c>
      <c r="AJ96" s="63">
        <v>61008</v>
      </c>
      <c r="AK96" s="63">
        <v>61008</v>
      </c>
      <c r="AL96" s="62">
        <v>0</v>
      </c>
      <c r="AM96" s="62">
        <v>0</v>
      </c>
      <c r="AN96" s="63">
        <v>0</v>
      </c>
      <c r="AO96" s="63">
        <v>0</v>
      </c>
      <c r="AP96" s="63">
        <v>0</v>
      </c>
      <c r="AQ96" s="63">
        <v>0</v>
      </c>
      <c r="AR96" s="63">
        <v>0</v>
      </c>
      <c r="AS96" s="63">
        <v>0</v>
      </c>
      <c r="AT96" s="63">
        <v>0</v>
      </c>
      <c r="AU96" s="63">
        <v>0</v>
      </c>
      <c r="AV96" s="113">
        <v>0</v>
      </c>
      <c r="AW96" s="113">
        <v>0</v>
      </c>
      <c r="AX96" s="113">
        <v>0</v>
      </c>
      <c r="AY96" s="113">
        <v>0</v>
      </c>
      <c r="AZ96" s="113">
        <v>0</v>
      </c>
      <c r="BA96" s="113">
        <v>0</v>
      </c>
      <c r="BB96" s="113">
        <v>0</v>
      </c>
      <c r="BC96" s="113">
        <v>0</v>
      </c>
      <c r="BD96" s="113">
        <v>0</v>
      </c>
      <c r="BE96" s="113">
        <v>0</v>
      </c>
      <c r="BF96" s="113">
        <v>0</v>
      </c>
      <c r="BG96" s="149">
        <v>0</v>
      </c>
      <c r="BH96" s="149">
        <v>0</v>
      </c>
      <c r="BI96" s="149">
        <v>0</v>
      </c>
      <c r="BJ96" s="149">
        <v>0</v>
      </c>
      <c r="BK96" s="149">
        <v>0</v>
      </c>
      <c r="BL96" s="149">
        <v>0</v>
      </c>
      <c r="BM96" s="149">
        <v>0</v>
      </c>
      <c r="BN96" s="149">
        <v>0</v>
      </c>
      <c r="BO96" s="149">
        <v>0</v>
      </c>
      <c r="BP96" s="149">
        <v>0</v>
      </c>
    </row>
    <row r="97" spans="1:107 16122:16122" ht="15" hidden="1" customHeight="1" outlineLevel="1">
      <c r="A97" t="s">
        <v>18</v>
      </c>
      <c r="B97" s="38" t="s">
        <v>24</v>
      </c>
      <c r="C97" s="63">
        <v>0</v>
      </c>
      <c r="D97" s="63">
        <v>0</v>
      </c>
      <c r="E97" s="63">
        <v>0</v>
      </c>
      <c r="F97" s="63">
        <v>0</v>
      </c>
      <c r="G97" s="63">
        <v>0</v>
      </c>
      <c r="H97" s="63">
        <v>0</v>
      </c>
      <c r="I97" s="63">
        <v>0</v>
      </c>
      <c r="J97" s="63">
        <v>0</v>
      </c>
      <c r="K97" s="63">
        <v>0</v>
      </c>
      <c r="L97" s="63">
        <v>0</v>
      </c>
      <c r="M97" s="63">
        <v>0</v>
      </c>
      <c r="N97" s="63">
        <v>0</v>
      </c>
      <c r="O97" s="63">
        <v>0</v>
      </c>
      <c r="P97" s="63">
        <v>0</v>
      </c>
      <c r="Q97" s="63">
        <v>0</v>
      </c>
      <c r="R97" s="63">
        <v>0</v>
      </c>
      <c r="S97" s="63">
        <v>0</v>
      </c>
      <c r="T97" s="63">
        <v>0</v>
      </c>
      <c r="U97" s="63">
        <v>0</v>
      </c>
      <c r="V97" s="63">
        <v>0</v>
      </c>
      <c r="W97" s="63">
        <v>0</v>
      </c>
      <c r="X97" s="63">
        <v>0</v>
      </c>
      <c r="Y97" s="63">
        <v>0</v>
      </c>
      <c r="Z97" s="63">
        <v>0</v>
      </c>
      <c r="AA97" s="63">
        <v>0</v>
      </c>
      <c r="AB97" s="63">
        <v>0</v>
      </c>
      <c r="AC97" s="63">
        <v>0</v>
      </c>
      <c r="AD97" s="63">
        <v>0</v>
      </c>
      <c r="AE97" s="63">
        <v>0</v>
      </c>
      <c r="AF97" s="63">
        <v>0</v>
      </c>
      <c r="AG97" s="63">
        <v>0</v>
      </c>
      <c r="AH97" s="63">
        <v>0</v>
      </c>
      <c r="AI97" s="63">
        <v>0</v>
      </c>
      <c r="AJ97" s="62">
        <v>99471</v>
      </c>
      <c r="AK97" s="62">
        <v>99471</v>
      </c>
      <c r="AL97" s="62">
        <v>0</v>
      </c>
      <c r="AM97" s="62">
        <v>0</v>
      </c>
      <c r="AN97" s="63">
        <v>0</v>
      </c>
      <c r="AO97" s="63">
        <v>0</v>
      </c>
      <c r="AP97" s="63">
        <v>0</v>
      </c>
      <c r="AQ97" s="63">
        <v>0</v>
      </c>
      <c r="AR97" s="63">
        <v>0</v>
      </c>
      <c r="AS97" s="63">
        <v>0</v>
      </c>
      <c r="AT97" s="63">
        <v>0</v>
      </c>
      <c r="AU97" s="63">
        <v>0</v>
      </c>
      <c r="AV97" s="113">
        <v>0</v>
      </c>
      <c r="AW97" s="113">
        <v>0</v>
      </c>
      <c r="AX97" s="113">
        <v>0</v>
      </c>
      <c r="AY97" s="113">
        <v>0</v>
      </c>
      <c r="AZ97" s="113">
        <v>0</v>
      </c>
      <c r="BA97" s="113">
        <v>0</v>
      </c>
      <c r="BB97" s="113">
        <v>0</v>
      </c>
      <c r="BC97" s="113">
        <v>0</v>
      </c>
      <c r="BD97" s="113">
        <v>0</v>
      </c>
      <c r="BE97" s="113">
        <v>0</v>
      </c>
      <c r="BF97" s="113">
        <v>0</v>
      </c>
      <c r="BG97" s="149">
        <v>0</v>
      </c>
      <c r="BH97" s="149">
        <v>0</v>
      </c>
      <c r="BI97" s="149">
        <v>0</v>
      </c>
      <c r="BJ97" s="149">
        <v>0</v>
      </c>
      <c r="BK97" s="149">
        <v>0</v>
      </c>
      <c r="BL97" s="149">
        <v>0</v>
      </c>
      <c r="BM97" s="149">
        <v>0</v>
      </c>
      <c r="BN97" s="149">
        <v>0</v>
      </c>
      <c r="BO97" s="149">
        <v>0</v>
      </c>
      <c r="BP97" s="149">
        <v>0</v>
      </c>
    </row>
    <row r="98" spans="1:107 16122:16122" ht="15" customHeight="1" collapsed="1" thickBot="1">
      <c r="A98" t="s">
        <v>18</v>
      </c>
      <c r="B98" s="150" t="str">
        <f>IF('Sumário | Summary'!P1=1,"Outros","Others")</f>
        <v>Outros</v>
      </c>
      <c r="C98" s="140">
        <f t="shared" ref="C98:BN98" si="29">SUM(C99:C99)</f>
        <v>0</v>
      </c>
      <c r="D98" s="140">
        <f t="shared" si="29"/>
        <v>0</v>
      </c>
      <c r="E98" s="140">
        <f t="shared" si="29"/>
        <v>0</v>
      </c>
      <c r="F98" s="140">
        <f t="shared" si="29"/>
        <v>0</v>
      </c>
      <c r="G98" s="140">
        <f t="shared" si="29"/>
        <v>0</v>
      </c>
      <c r="H98" s="140">
        <f t="shared" si="29"/>
        <v>0</v>
      </c>
      <c r="I98" s="140">
        <f t="shared" si="29"/>
        <v>0</v>
      </c>
      <c r="J98" s="140">
        <f t="shared" si="29"/>
        <v>0</v>
      </c>
      <c r="K98" s="140">
        <f t="shared" si="29"/>
        <v>0</v>
      </c>
      <c r="L98" s="140">
        <f t="shared" si="29"/>
        <v>0</v>
      </c>
      <c r="M98" s="140">
        <f t="shared" si="29"/>
        <v>0</v>
      </c>
      <c r="N98" s="140">
        <f t="shared" si="29"/>
        <v>0</v>
      </c>
      <c r="O98" s="140">
        <f t="shared" si="29"/>
        <v>0</v>
      </c>
      <c r="P98" s="140">
        <f t="shared" si="29"/>
        <v>0</v>
      </c>
      <c r="Q98" s="140">
        <f t="shared" si="29"/>
        <v>0</v>
      </c>
      <c r="R98" s="140">
        <f t="shared" si="29"/>
        <v>0</v>
      </c>
      <c r="S98" s="140">
        <f t="shared" si="29"/>
        <v>0</v>
      </c>
      <c r="T98" s="140">
        <f t="shared" si="29"/>
        <v>0</v>
      </c>
      <c r="U98" s="140">
        <f t="shared" si="29"/>
        <v>0</v>
      </c>
      <c r="V98" s="140">
        <f t="shared" si="29"/>
        <v>0</v>
      </c>
      <c r="W98" s="140">
        <f t="shared" si="29"/>
        <v>35947.5</v>
      </c>
      <c r="X98" s="140">
        <f t="shared" si="29"/>
        <v>35947.5</v>
      </c>
      <c r="Y98" s="140">
        <f t="shared" si="29"/>
        <v>35947.5</v>
      </c>
      <c r="Z98" s="140">
        <f t="shared" si="29"/>
        <v>35947.5</v>
      </c>
      <c r="AA98" s="140">
        <f t="shared" si="29"/>
        <v>35947.5</v>
      </c>
      <c r="AB98" s="140">
        <f t="shared" si="29"/>
        <v>34155</v>
      </c>
      <c r="AC98" s="140">
        <f t="shared" si="29"/>
        <v>34155</v>
      </c>
      <c r="AD98" s="140">
        <f t="shared" si="29"/>
        <v>34155</v>
      </c>
      <c r="AE98" s="140">
        <f t="shared" si="29"/>
        <v>34155</v>
      </c>
      <c r="AF98" s="140">
        <f t="shared" si="29"/>
        <v>34155</v>
      </c>
      <c r="AG98" s="140">
        <f t="shared" si="29"/>
        <v>34155</v>
      </c>
      <c r="AH98" s="140">
        <f t="shared" si="29"/>
        <v>34237.5</v>
      </c>
      <c r="AI98" s="140">
        <f t="shared" si="29"/>
        <v>34237.5</v>
      </c>
      <c r="AJ98" s="140">
        <f t="shared" si="29"/>
        <v>34237.5</v>
      </c>
      <c r="AK98" s="140">
        <f t="shared" si="29"/>
        <v>34237.5</v>
      </c>
      <c r="AL98" s="140">
        <f t="shared" si="29"/>
        <v>34285.5</v>
      </c>
      <c r="AM98" s="140">
        <f t="shared" si="29"/>
        <v>34404.149999999994</v>
      </c>
      <c r="AN98" s="140">
        <f t="shared" si="29"/>
        <v>34404.149999999994</v>
      </c>
      <c r="AO98" s="140">
        <f t="shared" si="29"/>
        <v>34404.149999999994</v>
      </c>
      <c r="AP98" s="140">
        <f t="shared" si="29"/>
        <v>34404.149999999994</v>
      </c>
      <c r="AQ98" s="140">
        <f t="shared" si="29"/>
        <v>34404.149999999994</v>
      </c>
      <c r="AR98" s="140">
        <f t="shared" si="29"/>
        <v>34383.360000000001</v>
      </c>
      <c r="AS98" s="140">
        <f t="shared" si="29"/>
        <v>34383.360000000001</v>
      </c>
      <c r="AT98" s="140">
        <f t="shared" si="29"/>
        <v>34383.360000000001</v>
      </c>
      <c r="AU98" s="140">
        <f t="shared" si="29"/>
        <v>34383</v>
      </c>
      <c r="AV98" s="140">
        <f t="shared" si="29"/>
        <v>34383</v>
      </c>
      <c r="AW98" s="140">
        <f t="shared" si="29"/>
        <v>34383</v>
      </c>
      <c r="AX98" s="140">
        <f t="shared" si="29"/>
        <v>34383</v>
      </c>
      <c r="AY98" s="140">
        <f t="shared" si="29"/>
        <v>34383</v>
      </c>
      <c r="AZ98" s="140">
        <f t="shared" si="29"/>
        <v>34383</v>
      </c>
      <c r="BA98" s="140">
        <f t="shared" si="29"/>
        <v>34383.360000000001</v>
      </c>
      <c r="BB98" s="140">
        <f t="shared" si="29"/>
        <v>34383</v>
      </c>
      <c r="BC98" s="140">
        <f t="shared" si="29"/>
        <v>34356.36</v>
      </c>
      <c r="BD98" s="140">
        <f t="shared" si="29"/>
        <v>34356.36</v>
      </c>
      <c r="BE98" s="140">
        <f t="shared" si="29"/>
        <v>34356.36</v>
      </c>
      <c r="BF98" s="140">
        <f t="shared" si="29"/>
        <v>34356.36</v>
      </c>
      <c r="BG98" s="140">
        <f t="shared" si="29"/>
        <v>34356.36</v>
      </c>
      <c r="BH98" s="140">
        <f t="shared" si="29"/>
        <v>34356.36</v>
      </c>
      <c r="BI98" s="140">
        <f t="shared" si="29"/>
        <v>34356.36</v>
      </c>
      <c r="BJ98" s="140">
        <f t="shared" si="29"/>
        <v>34356.36</v>
      </c>
      <c r="BK98" s="140">
        <f t="shared" si="29"/>
        <v>34356.36</v>
      </c>
      <c r="BL98" s="140">
        <f t="shared" si="29"/>
        <v>34357.86</v>
      </c>
      <c r="BM98" s="140">
        <f t="shared" si="29"/>
        <v>34356.375</v>
      </c>
      <c r="BN98" s="140">
        <f t="shared" si="29"/>
        <v>34356.375</v>
      </c>
      <c r="BO98" s="140">
        <f t="shared" ref="BO98" si="30">SUM(BO99:BO99)</f>
        <v>34356.375</v>
      </c>
      <c r="BP98" s="140">
        <f>SUM(BP99:BP99)</f>
        <v>34356.375</v>
      </c>
    </row>
    <row r="99" spans="1:107 16122:16122" ht="15" hidden="1" outlineLevel="1" thickBot="1">
      <c r="A99" t="s">
        <v>224</v>
      </c>
      <c r="B99" s="38" t="s">
        <v>25</v>
      </c>
      <c r="C99" s="63">
        <v>0</v>
      </c>
      <c r="D99" s="63">
        <v>0</v>
      </c>
      <c r="E99" s="63">
        <v>0</v>
      </c>
      <c r="F99" s="63">
        <v>0</v>
      </c>
      <c r="G99" s="63">
        <v>0</v>
      </c>
      <c r="H99" s="63">
        <v>0</v>
      </c>
      <c r="I99" s="63">
        <v>0</v>
      </c>
      <c r="J99" s="63">
        <v>0</v>
      </c>
      <c r="K99" s="63">
        <v>0</v>
      </c>
      <c r="L99" s="63">
        <v>0</v>
      </c>
      <c r="M99" s="63">
        <v>0</v>
      </c>
      <c r="N99" s="63">
        <v>0</v>
      </c>
      <c r="O99" s="63">
        <v>0</v>
      </c>
      <c r="P99" s="63">
        <v>0</v>
      </c>
      <c r="Q99" s="63">
        <v>0</v>
      </c>
      <c r="R99" s="63">
        <v>0</v>
      </c>
      <c r="S99" s="63">
        <v>0</v>
      </c>
      <c r="T99" s="63">
        <v>0</v>
      </c>
      <c r="U99" s="63">
        <v>0</v>
      </c>
      <c r="V99" s="63">
        <v>0</v>
      </c>
      <c r="W99" s="63">
        <v>35947.5</v>
      </c>
      <c r="X99" s="63">
        <v>35947.5</v>
      </c>
      <c r="Y99" s="63">
        <v>35947.5</v>
      </c>
      <c r="Z99" s="63">
        <v>35947.5</v>
      </c>
      <c r="AA99" s="63">
        <v>35947.5</v>
      </c>
      <c r="AB99" s="63">
        <v>34155</v>
      </c>
      <c r="AC99" s="63">
        <v>34155</v>
      </c>
      <c r="AD99" s="63">
        <v>34155</v>
      </c>
      <c r="AE99" s="63">
        <v>34155</v>
      </c>
      <c r="AF99" s="63">
        <v>34155</v>
      </c>
      <c r="AG99" s="63">
        <v>34155</v>
      </c>
      <c r="AH99" s="63">
        <v>34237.5</v>
      </c>
      <c r="AI99" s="63">
        <v>34237.5</v>
      </c>
      <c r="AJ99" s="63">
        <v>34237.5</v>
      </c>
      <c r="AK99" s="63">
        <v>34237.5</v>
      </c>
      <c r="AL99" s="63">
        <v>34285.5</v>
      </c>
      <c r="AM99" s="63">
        <v>34404.149999999994</v>
      </c>
      <c r="AN99" s="63">
        <v>34404.149999999994</v>
      </c>
      <c r="AO99" s="63">
        <v>34404.149999999994</v>
      </c>
      <c r="AP99" s="63">
        <v>34404.149999999994</v>
      </c>
      <c r="AQ99" s="63">
        <v>34404.149999999994</v>
      </c>
      <c r="AR99" s="63">
        <v>34383.360000000001</v>
      </c>
      <c r="AS99" s="63">
        <v>34383.360000000001</v>
      </c>
      <c r="AT99" s="63">
        <v>34383.360000000001</v>
      </c>
      <c r="AU99" s="149">
        <v>34383</v>
      </c>
      <c r="AV99" s="63">
        <v>34383</v>
      </c>
      <c r="AW99" s="63">
        <v>34383</v>
      </c>
      <c r="AX99" s="63">
        <v>34383</v>
      </c>
      <c r="AY99" s="63">
        <v>34383</v>
      </c>
      <c r="AZ99" s="149">
        <v>34383</v>
      </c>
      <c r="BA99" s="63">
        <v>34383.360000000001</v>
      </c>
      <c r="BB99" s="63">
        <v>34383</v>
      </c>
      <c r="BC99" s="63">
        <v>34356.36</v>
      </c>
      <c r="BD99" s="63">
        <v>34356.36</v>
      </c>
      <c r="BE99" s="63">
        <v>34356.36</v>
      </c>
      <c r="BF99" s="63">
        <v>34356.36</v>
      </c>
      <c r="BG99" s="149">
        <v>34356.36</v>
      </c>
      <c r="BH99" s="149">
        <v>34356.36</v>
      </c>
      <c r="BI99" s="149">
        <v>34356.36</v>
      </c>
      <c r="BJ99" s="149">
        <v>34356.36</v>
      </c>
      <c r="BK99" s="149">
        <v>34356.36</v>
      </c>
      <c r="BL99" s="149">
        <v>34357.86</v>
      </c>
      <c r="BM99" s="149">
        <v>34356.375</v>
      </c>
      <c r="BN99" s="149">
        <v>34356.375</v>
      </c>
      <c r="BO99" s="149">
        <v>34356.375</v>
      </c>
      <c r="BP99" s="149">
        <v>34356.375</v>
      </c>
    </row>
    <row r="100" spans="1:107 16122:16122" s="15" customFormat="1" ht="15" customHeight="1" collapsed="1" thickTop="1" thickBot="1">
      <c r="B100" s="151" t="s">
        <v>14</v>
      </c>
      <c r="C100" s="141">
        <f t="shared" ref="C100:BN100" si="31">C55+C77+C86+C98</f>
        <v>181652.916</v>
      </c>
      <c r="D100" s="141">
        <f t="shared" si="31"/>
        <v>196679.47999999998</v>
      </c>
      <c r="E100" s="141">
        <f t="shared" si="31"/>
        <v>196679.47999999998</v>
      </c>
      <c r="F100" s="141">
        <f t="shared" si="31"/>
        <v>196679.47999999998</v>
      </c>
      <c r="G100" s="141">
        <f t="shared" si="31"/>
        <v>203985.47999999998</v>
      </c>
      <c r="H100" s="141">
        <f t="shared" si="31"/>
        <v>203730.47999999998</v>
      </c>
      <c r="I100" s="141">
        <f t="shared" si="31"/>
        <v>204027.47999999998</v>
      </c>
      <c r="J100" s="141">
        <f t="shared" si="31"/>
        <v>206943.47999999998</v>
      </c>
      <c r="K100" s="141">
        <f t="shared" si="31"/>
        <v>205144.47999999998</v>
      </c>
      <c r="L100" s="141">
        <f t="shared" si="31"/>
        <v>202429.47999999998</v>
      </c>
      <c r="M100" s="141">
        <f t="shared" si="31"/>
        <v>203276.47999999998</v>
      </c>
      <c r="N100" s="141">
        <f t="shared" si="31"/>
        <v>203276.47999999998</v>
      </c>
      <c r="O100" s="141">
        <f t="shared" si="31"/>
        <v>203276.47999999998</v>
      </c>
      <c r="P100" s="141">
        <f t="shared" si="31"/>
        <v>201510.47999999998</v>
      </c>
      <c r="Q100" s="141">
        <f t="shared" si="31"/>
        <v>257107.47999999998</v>
      </c>
      <c r="R100" s="141">
        <f t="shared" si="31"/>
        <v>288734.48</v>
      </c>
      <c r="S100" s="141">
        <f t="shared" si="31"/>
        <v>316577.75</v>
      </c>
      <c r="T100" s="141">
        <f t="shared" si="31"/>
        <v>381839.75</v>
      </c>
      <c r="U100" s="141">
        <f t="shared" si="31"/>
        <v>381839.75</v>
      </c>
      <c r="V100" s="141">
        <f t="shared" si="31"/>
        <v>396373.75</v>
      </c>
      <c r="W100" s="141">
        <f t="shared" si="31"/>
        <v>508296.85</v>
      </c>
      <c r="X100" s="141">
        <f t="shared" si="31"/>
        <v>606882.15000000014</v>
      </c>
      <c r="Y100" s="141">
        <f t="shared" si="31"/>
        <v>617767.2803000001</v>
      </c>
      <c r="Z100" s="141">
        <f t="shared" si="31"/>
        <v>862773.64030000009</v>
      </c>
      <c r="AA100" s="141">
        <f t="shared" si="31"/>
        <v>862773.64030000009</v>
      </c>
      <c r="AB100" s="141">
        <f t="shared" si="31"/>
        <v>915434.49030000006</v>
      </c>
      <c r="AC100" s="141">
        <f t="shared" si="31"/>
        <v>998937.50975216192</v>
      </c>
      <c r="AD100" s="141">
        <f t="shared" si="31"/>
        <v>998936.56872078276</v>
      </c>
      <c r="AE100" s="141">
        <f t="shared" si="31"/>
        <v>998936.56872078276</v>
      </c>
      <c r="AF100" s="141">
        <f t="shared" si="31"/>
        <v>1014192.4106597448</v>
      </c>
      <c r="AG100" s="141">
        <f t="shared" si="31"/>
        <v>1014191.7257510447</v>
      </c>
      <c r="AH100" s="141">
        <f t="shared" si="31"/>
        <v>1013421.2257510448</v>
      </c>
      <c r="AI100" s="141">
        <f t="shared" si="31"/>
        <v>1108435.695340313</v>
      </c>
      <c r="AJ100" s="141">
        <f t="shared" si="31"/>
        <v>1295705.9506310783</v>
      </c>
      <c r="AK100" s="141">
        <f t="shared" si="31"/>
        <v>1282736.084274905</v>
      </c>
      <c r="AL100" s="141">
        <f t="shared" si="31"/>
        <v>637994.33907705452</v>
      </c>
      <c r="AM100" s="141">
        <f t="shared" si="31"/>
        <v>636063.33580271131</v>
      </c>
      <c r="AN100" s="141">
        <f t="shared" si="31"/>
        <v>652439.35600000003</v>
      </c>
      <c r="AO100" s="141">
        <f t="shared" si="31"/>
        <v>354728.30599999998</v>
      </c>
      <c r="AP100" s="141">
        <f t="shared" si="31"/>
        <v>356279.50787099998</v>
      </c>
      <c r="AQ100" s="141">
        <f t="shared" si="31"/>
        <v>354918.24507099995</v>
      </c>
      <c r="AR100" s="141">
        <f t="shared" si="31"/>
        <v>342294.32489199995</v>
      </c>
      <c r="AS100" s="141">
        <f t="shared" si="31"/>
        <v>342322.14550699998</v>
      </c>
      <c r="AT100" s="141">
        <f t="shared" si="31"/>
        <v>343163.58550699998</v>
      </c>
      <c r="AU100" s="141">
        <f t="shared" si="31"/>
        <v>410822.78600000002</v>
      </c>
      <c r="AV100" s="141">
        <f t="shared" si="31"/>
        <v>354589.87653333333</v>
      </c>
      <c r="AW100" s="141">
        <f t="shared" si="31"/>
        <v>401877.60319999995</v>
      </c>
      <c r="AX100" s="141">
        <f t="shared" si="31"/>
        <v>431254.91599999997</v>
      </c>
      <c r="AY100" s="141">
        <f t="shared" si="31"/>
        <v>431297.02797433332</v>
      </c>
      <c r="AZ100" s="141">
        <f t="shared" si="31"/>
        <v>432929.01464099996</v>
      </c>
      <c r="BA100" s="141">
        <f t="shared" si="31"/>
        <v>431375.84797433333</v>
      </c>
      <c r="BB100" s="141">
        <f t="shared" si="31"/>
        <v>433523.73940266669</v>
      </c>
      <c r="BC100" s="141">
        <f t="shared" si="31"/>
        <v>433311.98273599998</v>
      </c>
      <c r="BD100" s="141">
        <f t="shared" si="31"/>
        <v>431976.72993599996</v>
      </c>
      <c r="BE100" s="141">
        <f t="shared" si="31"/>
        <v>431442.60914837418</v>
      </c>
      <c r="BF100" s="141">
        <f t="shared" si="31"/>
        <v>325469.62392104079</v>
      </c>
      <c r="BG100" s="141">
        <f t="shared" si="31"/>
        <v>327097.48053404078</v>
      </c>
      <c r="BH100" s="141">
        <f t="shared" si="31"/>
        <v>327102.60053404083</v>
      </c>
      <c r="BI100" s="141">
        <f t="shared" si="31"/>
        <v>327134.0517443741</v>
      </c>
      <c r="BJ100" s="141">
        <f t="shared" si="31"/>
        <v>300289.92040404084</v>
      </c>
      <c r="BK100" s="141">
        <f t="shared" si="31"/>
        <v>300386.52697837411</v>
      </c>
      <c r="BL100" s="141">
        <f t="shared" si="31"/>
        <v>300540.04207837413</v>
      </c>
      <c r="BM100" s="141">
        <f t="shared" si="31"/>
        <v>300663.60954637412</v>
      </c>
      <c r="BN100" s="141">
        <f t="shared" si="31"/>
        <v>335496.11670037417</v>
      </c>
      <c r="BO100" s="141">
        <f t="shared" ref="BO100:BP100" si="32">BO55+BO77+BO86+BO98</f>
        <v>326695.89636437414</v>
      </c>
      <c r="BP100" s="141">
        <f>BP55+BP77+BP86+BP98</f>
        <v>260913.77414037415</v>
      </c>
      <c r="WVB100" s="141"/>
    </row>
    <row r="101" spans="1:107 16122:16122">
      <c r="B101" s="152"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101" s="222">
        <f>BF55+BF98</f>
        <v>122371.24921237414</v>
      </c>
      <c r="BJ101" s="222">
        <f>BJ55+BJ98</f>
        <v>123960.29921237416</v>
      </c>
    </row>
    <row r="102" spans="1:107 16122:16122" s="7" customFormat="1" ht="18.75" customHeight="1">
      <c r="B102" s="202" t="str">
        <f>IF('Sumário | Summary'!P1=1,"Participação SYN na SPE (%)","SYN's Stake in SPE (%)")</f>
        <v>Participação SYN na SPE (%)</v>
      </c>
      <c r="C102" s="203" t="str">
        <f t="shared" ref="C102:BH102" si="33">C6</f>
        <v>1T08</v>
      </c>
      <c r="D102" s="203" t="str">
        <f t="shared" si="33"/>
        <v>2T08</v>
      </c>
      <c r="E102" s="203" t="str">
        <f t="shared" si="33"/>
        <v>3T08</v>
      </c>
      <c r="F102" s="203" t="str">
        <f t="shared" si="33"/>
        <v>4T08</v>
      </c>
      <c r="G102" s="203" t="str">
        <f t="shared" si="33"/>
        <v>1T09</v>
      </c>
      <c r="H102" s="203" t="str">
        <f t="shared" si="33"/>
        <v>2T09</v>
      </c>
      <c r="I102" s="203" t="str">
        <f t="shared" si="33"/>
        <v>3T09</v>
      </c>
      <c r="J102" s="203" t="str">
        <f t="shared" si="33"/>
        <v>4T09</v>
      </c>
      <c r="K102" s="203" t="str">
        <f t="shared" si="33"/>
        <v>1T10</v>
      </c>
      <c r="L102" s="203" t="str">
        <f t="shared" si="33"/>
        <v>2T10</v>
      </c>
      <c r="M102" s="203" t="str">
        <f t="shared" si="33"/>
        <v>3T10</v>
      </c>
      <c r="N102" s="203" t="str">
        <f t="shared" si="33"/>
        <v>4T10</v>
      </c>
      <c r="O102" s="203" t="str">
        <f t="shared" si="33"/>
        <v>1T11</v>
      </c>
      <c r="P102" s="203" t="str">
        <f t="shared" si="33"/>
        <v>2T11</v>
      </c>
      <c r="Q102" s="203" t="str">
        <f t="shared" si="33"/>
        <v>3T11</v>
      </c>
      <c r="R102" s="203" t="str">
        <f t="shared" si="33"/>
        <v>4T11</v>
      </c>
      <c r="S102" s="203" t="str">
        <f t="shared" si="33"/>
        <v>1T12</v>
      </c>
      <c r="T102" s="203" t="str">
        <f t="shared" si="33"/>
        <v>2T12</v>
      </c>
      <c r="U102" s="203" t="str">
        <f t="shared" si="33"/>
        <v>3T12</v>
      </c>
      <c r="V102" s="203" t="str">
        <f t="shared" si="33"/>
        <v>4T12</v>
      </c>
      <c r="W102" s="203" t="str">
        <f t="shared" si="33"/>
        <v>1T13</v>
      </c>
      <c r="X102" s="203" t="str">
        <f t="shared" si="33"/>
        <v>2T13</v>
      </c>
      <c r="Y102" s="203" t="str">
        <f t="shared" si="33"/>
        <v>3T13</v>
      </c>
      <c r="Z102" s="203" t="str">
        <f t="shared" si="33"/>
        <v>4T13</v>
      </c>
      <c r="AA102" s="203" t="str">
        <f t="shared" si="33"/>
        <v>1T14</v>
      </c>
      <c r="AB102" s="203" t="str">
        <f t="shared" si="33"/>
        <v>2T14</v>
      </c>
      <c r="AC102" s="203" t="str">
        <f t="shared" si="33"/>
        <v>3T14</v>
      </c>
      <c r="AD102" s="203" t="str">
        <f t="shared" si="33"/>
        <v>4T14</v>
      </c>
      <c r="AE102" s="203" t="str">
        <f t="shared" si="33"/>
        <v>1T15</v>
      </c>
      <c r="AF102" s="203" t="str">
        <f t="shared" si="33"/>
        <v>2T15</v>
      </c>
      <c r="AG102" s="203" t="str">
        <f t="shared" si="33"/>
        <v>3T15</v>
      </c>
      <c r="AH102" s="203" t="str">
        <f t="shared" si="33"/>
        <v>4T15</v>
      </c>
      <c r="AI102" s="203" t="str">
        <f t="shared" si="33"/>
        <v>1T16</v>
      </c>
      <c r="AJ102" s="203" t="str">
        <f t="shared" si="33"/>
        <v>2T16</v>
      </c>
      <c r="AK102" s="203" t="str">
        <f t="shared" si="33"/>
        <v>3T16</v>
      </c>
      <c r="AL102" s="203" t="str">
        <f t="shared" si="33"/>
        <v>4T16</v>
      </c>
      <c r="AM102" s="203" t="str">
        <f t="shared" si="33"/>
        <v>1T17</v>
      </c>
      <c r="AN102" s="203" t="str">
        <f t="shared" si="33"/>
        <v>2T17</v>
      </c>
      <c r="AO102" s="203" t="str">
        <f t="shared" si="33"/>
        <v>3T17</v>
      </c>
      <c r="AP102" s="203" t="str">
        <f t="shared" si="33"/>
        <v>4T17</v>
      </c>
      <c r="AQ102" s="203" t="str">
        <f t="shared" si="33"/>
        <v>1T18</v>
      </c>
      <c r="AR102" s="203" t="str">
        <f t="shared" si="33"/>
        <v>2T18</v>
      </c>
      <c r="AS102" s="203" t="str">
        <f t="shared" si="33"/>
        <v>3T18</v>
      </c>
      <c r="AT102" s="203" t="str">
        <f t="shared" si="33"/>
        <v>4T18</v>
      </c>
      <c r="AU102" s="203" t="str">
        <f t="shared" si="33"/>
        <v>1T19</v>
      </c>
      <c r="AV102" s="203" t="str">
        <f t="shared" si="33"/>
        <v>2T19</v>
      </c>
      <c r="AW102" s="203" t="str">
        <f t="shared" si="33"/>
        <v>3T19</v>
      </c>
      <c r="AX102" s="203" t="str">
        <f t="shared" si="33"/>
        <v>4T19</v>
      </c>
      <c r="AY102" s="203" t="str">
        <f t="shared" si="33"/>
        <v>1T20</v>
      </c>
      <c r="AZ102" s="203" t="str">
        <f t="shared" si="33"/>
        <v>2T20</v>
      </c>
      <c r="BA102" s="203" t="str">
        <f t="shared" si="33"/>
        <v>3T20</v>
      </c>
      <c r="BB102" s="203" t="str">
        <f t="shared" si="33"/>
        <v>4T20</v>
      </c>
      <c r="BC102" s="203" t="str">
        <f t="shared" si="33"/>
        <v>1T21</v>
      </c>
      <c r="BD102" s="203" t="str">
        <f t="shared" si="33"/>
        <v>2T21</v>
      </c>
      <c r="BE102" s="203" t="str">
        <f t="shared" si="33"/>
        <v>3T21</v>
      </c>
      <c r="BF102" s="203" t="str">
        <f t="shared" si="33"/>
        <v>4T21</v>
      </c>
      <c r="BG102" s="203" t="str">
        <f t="shared" si="33"/>
        <v>1T22</v>
      </c>
      <c r="BH102" s="203" t="str">
        <f t="shared" si="33"/>
        <v>2T22</v>
      </c>
      <c r="BI102" s="203" t="str">
        <f t="shared" ref="BI102:BM102" si="34">BI6</f>
        <v>3T22</v>
      </c>
      <c r="BJ102" s="203" t="str">
        <f t="shared" si="34"/>
        <v>4T22</v>
      </c>
      <c r="BK102" s="203" t="str">
        <f t="shared" si="34"/>
        <v>1T23</v>
      </c>
      <c r="BL102" s="203" t="str">
        <f t="shared" si="34"/>
        <v>2T23</v>
      </c>
      <c r="BM102" s="203" t="str">
        <f t="shared" si="34"/>
        <v>3T23</v>
      </c>
      <c r="BN102" s="203" t="s">
        <v>315</v>
      </c>
      <c r="BO102" s="203" t="s">
        <v>321</v>
      </c>
      <c r="BP102" s="203" t="str">
        <f t="shared" ref="BP102" si="35">BP6</f>
        <v>2T24</v>
      </c>
    </row>
    <row r="103" spans="1:107 16122:16122" s="158" customFormat="1" ht="15" customHeight="1">
      <c r="B103" s="153" t="str">
        <f>IF('Sumário | Summary'!P1=1,"Escritórios","Offices")</f>
        <v>Escritórios</v>
      </c>
      <c r="C103" s="142">
        <f t="shared" ref="C103:BN106" si="36">IFERROR(C151/C55,"-")</f>
        <v>0.93116489434453198</v>
      </c>
      <c r="D103" s="142">
        <f t="shared" si="36"/>
        <v>0.94241844844791267</v>
      </c>
      <c r="E103" s="142">
        <f t="shared" si="36"/>
        <v>0.94241844844791267</v>
      </c>
      <c r="F103" s="142">
        <f t="shared" si="36"/>
        <v>0.94241844844791267</v>
      </c>
      <c r="G103" s="142">
        <f t="shared" si="36"/>
        <v>0.9466584438322897</v>
      </c>
      <c r="H103" s="142">
        <f t="shared" si="36"/>
        <v>0.94652099982377547</v>
      </c>
      <c r="I103" s="142">
        <f t="shared" si="36"/>
        <v>0.94652099982377547</v>
      </c>
      <c r="J103" s="142">
        <f t="shared" si="36"/>
        <v>0.94610109167966483</v>
      </c>
      <c r="K103" s="142">
        <f t="shared" si="36"/>
        <v>0.94509518371560908</v>
      </c>
      <c r="L103" s="142">
        <f t="shared" si="36"/>
        <v>0.94350394600150045</v>
      </c>
      <c r="M103" s="142">
        <f t="shared" si="36"/>
        <v>0.94350394600150045</v>
      </c>
      <c r="N103" s="142">
        <f t="shared" si="36"/>
        <v>0.94350394600150045</v>
      </c>
      <c r="O103" s="142">
        <f t="shared" si="36"/>
        <v>0.94350394600150045</v>
      </c>
      <c r="P103" s="142">
        <f t="shared" si="36"/>
        <v>0.94241844844791267</v>
      </c>
      <c r="Q103" s="142">
        <f t="shared" si="36"/>
        <v>0.94241844844791267</v>
      </c>
      <c r="R103" s="142">
        <f t="shared" si="36"/>
        <v>0.94241844844791267</v>
      </c>
      <c r="S103" s="142">
        <f t="shared" si="36"/>
        <v>0.94241844844791267</v>
      </c>
      <c r="T103" s="142">
        <f t="shared" si="36"/>
        <v>0.94241844844791267</v>
      </c>
      <c r="U103" s="142">
        <f t="shared" si="36"/>
        <v>0.94241844844791267</v>
      </c>
      <c r="V103" s="142">
        <f t="shared" si="36"/>
        <v>0.94241844844791267</v>
      </c>
      <c r="W103" s="142">
        <f t="shared" si="36"/>
        <v>0.94241844844791267</v>
      </c>
      <c r="X103" s="142">
        <f t="shared" si="36"/>
        <v>0.94241847977162052</v>
      </c>
      <c r="Y103" s="142">
        <f t="shared" si="36"/>
        <v>0.86909958940258081</v>
      </c>
      <c r="Z103" s="142">
        <f t="shared" si="36"/>
        <v>0.86909958940258081</v>
      </c>
      <c r="AA103" s="142">
        <f t="shared" si="36"/>
        <v>0.86909958940258081</v>
      </c>
      <c r="AB103" s="142">
        <f t="shared" si="36"/>
        <v>0.86909958940258081</v>
      </c>
      <c r="AC103" s="142">
        <f t="shared" si="36"/>
        <v>0.8895214174099707</v>
      </c>
      <c r="AD103" s="142">
        <f t="shared" si="36"/>
        <v>0.88952137205796367</v>
      </c>
      <c r="AE103" s="142">
        <f t="shared" si="36"/>
        <v>0.88952137205796367</v>
      </c>
      <c r="AF103" s="142">
        <f t="shared" si="36"/>
        <v>0.88688041815307972</v>
      </c>
      <c r="AG103" s="142">
        <f t="shared" si="36"/>
        <v>0.88687640429036119</v>
      </c>
      <c r="AH103" s="142">
        <f t="shared" si="36"/>
        <v>0.88687640429036119</v>
      </c>
      <c r="AI103" s="142">
        <f t="shared" si="36"/>
        <v>0.86537552285871788</v>
      </c>
      <c r="AJ103" s="142">
        <f t="shared" si="36"/>
        <v>0.86537552285871788</v>
      </c>
      <c r="AK103" s="142">
        <f t="shared" si="36"/>
        <v>0.86537555977656355</v>
      </c>
      <c r="AL103" s="142">
        <f t="shared" si="36"/>
        <v>0.96787138860915289</v>
      </c>
      <c r="AM103" s="142">
        <f t="shared" si="36"/>
        <v>0.98533683314663667</v>
      </c>
      <c r="AN103" s="142">
        <f t="shared" si="36"/>
        <v>0.97241204760477762</v>
      </c>
      <c r="AO103" s="142">
        <f t="shared" si="36"/>
        <v>0.69446887926685497</v>
      </c>
      <c r="AP103" s="142">
        <f t="shared" si="36"/>
        <v>0.69447531992884814</v>
      </c>
      <c r="AQ103" s="142">
        <f t="shared" si="36"/>
        <v>0.69447531992884814</v>
      </c>
      <c r="AR103" s="142">
        <f t="shared" si="36"/>
        <v>0.69447531992884814</v>
      </c>
      <c r="AS103" s="142">
        <f t="shared" si="36"/>
        <v>0.69447531992884814</v>
      </c>
      <c r="AT103" s="142">
        <f t="shared" si="36"/>
        <v>0.69293639413063923</v>
      </c>
      <c r="AU103" s="142">
        <f t="shared" si="36"/>
        <v>0.62942570506067352</v>
      </c>
      <c r="AV103" s="142">
        <f t="shared" si="36"/>
        <v>0.72236426136776855</v>
      </c>
      <c r="AW103" s="142">
        <f t="shared" si="36"/>
        <v>0.66548816054874127</v>
      </c>
      <c r="AX103" s="142">
        <f t="shared" si="36"/>
        <v>0.59361644741158992</v>
      </c>
      <c r="AY103" s="142">
        <f t="shared" si="36"/>
        <v>0.59361644741158992</v>
      </c>
      <c r="AZ103" s="142">
        <f t="shared" si="36"/>
        <v>0.59298450146817616</v>
      </c>
      <c r="BA103" s="142">
        <f t="shared" si="36"/>
        <v>0.59224154853173538</v>
      </c>
      <c r="BB103" s="142">
        <f t="shared" si="36"/>
        <v>0.59078881622128987</v>
      </c>
      <c r="BC103" s="142">
        <f t="shared" si="36"/>
        <v>0.59078859037948706</v>
      </c>
      <c r="BD103" s="142">
        <f t="shared" si="36"/>
        <v>0.59078859037948706</v>
      </c>
      <c r="BE103" s="142">
        <f t="shared" si="36"/>
        <v>0.59078934380350345</v>
      </c>
      <c r="BF103" s="142">
        <f t="shared" si="36"/>
        <v>0.51743946975632138</v>
      </c>
      <c r="BG103" s="142">
        <f t="shared" si="36"/>
        <v>0.51358232969897932</v>
      </c>
      <c r="BH103" s="142">
        <f t="shared" si="36"/>
        <v>0.5135837777805764</v>
      </c>
      <c r="BI103" s="142">
        <f t="shared" si="36"/>
        <v>0.5135837777805764</v>
      </c>
      <c r="BJ103" s="142">
        <f t="shared" si="36"/>
        <v>0.5135837777805764</v>
      </c>
      <c r="BK103" s="142">
        <f t="shared" si="36"/>
        <v>0.5135837777805764</v>
      </c>
      <c r="BL103" s="142">
        <f t="shared" si="36"/>
        <v>0.5135837777805764</v>
      </c>
      <c r="BM103" s="142">
        <f t="shared" si="36"/>
        <v>0.51358289504899668</v>
      </c>
      <c r="BN103" s="142">
        <f t="shared" si="36"/>
        <v>0.50675348511244511</v>
      </c>
      <c r="BO103" s="142">
        <f t="shared" ref="BO103:BP105" si="37">IFERROR(BO151/BO55,"-")</f>
        <v>0.50675348511244511</v>
      </c>
      <c r="BP103" s="142">
        <f t="shared" ref="BP103" si="38">IFERROR(BP151/BP55,"-")</f>
        <v>0.43332947817164452</v>
      </c>
      <c r="BT103" s="230"/>
      <c r="BU103" s="230"/>
      <c r="BV103" s="230"/>
      <c r="BW103" s="230"/>
      <c r="BX103" s="230"/>
      <c r="BY103" s="230"/>
      <c r="BZ103" s="230"/>
      <c r="CA103" s="230"/>
      <c r="CB103" s="230"/>
      <c r="CC103" s="230"/>
      <c r="CD103" s="230"/>
      <c r="CE103" s="230"/>
      <c r="CF103" s="230"/>
      <c r="CG103" s="230"/>
      <c r="CH103" s="230"/>
      <c r="CI103" s="230"/>
      <c r="CJ103" s="230"/>
      <c r="CK103" s="230"/>
      <c r="CL103" s="230"/>
      <c r="CM103" s="230"/>
      <c r="CN103" s="230"/>
      <c r="CO103" s="230"/>
      <c r="CP103" s="230"/>
      <c r="CQ103" s="230"/>
      <c r="CR103" s="230"/>
      <c r="CS103" s="230"/>
      <c r="CT103" s="230"/>
      <c r="CU103" s="230"/>
      <c r="CV103" s="230"/>
      <c r="CW103" s="230"/>
      <c r="CX103" s="230"/>
      <c r="CY103" s="230"/>
      <c r="CZ103" s="230"/>
      <c r="DA103" s="230"/>
      <c r="DB103" s="230"/>
      <c r="DC103" s="230"/>
    </row>
    <row r="104" spans="1:107 16122:16122" s="15" customFormat="1" ht="15" customHeight="1">
      <c r="B104" s="85" t="str">
        <f>IF('Sumário | Summary'!P1=1,"Escritórios AAA","Triple A Offices")</f>
        <v>Escritórios AAA</v>
      </c>
      <c r="C104" s="142">
        <f t="shared" si="36"/>
        <v>1</v>
      </c>
      <c r="D104" s="142">
        <f t="shared" si="36"/>
        <v>1</v>
      </c>
      <c r="E104" s="142">
        <f t="shared" si="36"/>
        <v>1</v>
      </c>
      <c r="F104" s="142">
        <f t="shared" si="36"/>
        <v>1</v>
      </c>
      <c r="G104" s="142">
        <f t="shared" si="36"/>
        <v>1</v>
      </c>
      <c r="H104" s="142">
        <f t="shared" si="36"/>
        <v>1</v>
      </c>
      <c r="I104" s="142">
        <f t="shared" si="36"/>
        <v>1</v>
      </c>
      <c r="J104" s="142">
        <f t="shared" si="36"/>
        <v>1</v>
      </c>
      <c r="K104" s="142">
        <f t="shared" si="36"/>
        <v>1</v>
      </c>
      <c r="L104" s="142">
        <f t="shared" si="36"/>
        <v>1</v>
      </c>
      <c r="M104" s="142">
        <f t="shared" si="36"/>
        <v>1</v>
      </c>
      <c r="N104" s="142">
        <f t="shared" si="36"/>
        <v>1</v>
      </c>
      <c r="O104" s="142">
        <f t="shared" si="36"/>
        <v>1</v>
      </c>
      <c r="P104" s="142">
        <f t="shared" si="36"/>
        <v>1</v>
      </c>
      <c r="Q104" s="142">
        <f t="shared" si="36"/>
        <v>1</v>
      </c>
      <c r="R104" s="142">
        <f t="shared" si="36"/>
        <v>1</v>
      </c>
      <c r="S104" s="142">
        <f t="shared" si="36"/>
        <v>1</v>
      </c>
      <c r="T104" s="142">
        <f t="shared" si="36"/>
        <v>1</v>
      </c>
      <c r="U104" s="142">
        <f t="shared" si="36"/>
        <v>1</v>
      </c>
      <c r="V104" s="142">
        <f t="shared" si="36"/>
        <v>1</v>
      </c>
      <c r="W104" s="142">
        <f t="shared" si="36"/>
        <v>1</v>
      </c>
      <c r="X104" s="142">
        <f t="shared" si="36"/>
        <v>1</v>
      </c>
      <c r="Y104" s="142">
        <f t="shared" si="36"/>
        <v>0.86698925913706515</v>
      </c>
      <c r="Z104" s="142">
        <f t="shared" si="36"/>
        <v>0.86698925913706515</v>
      </c>
      <c r="AA104" s="142">
        <f t="shared" si="36"/>
        <v>0.86698925913706515</v>
      </c>
      <c r="AB104" s="142">
        <f t="shared" si="36"/>
        <v>0.86698925913706515</v>
      </c>
      <c r="AC104" s="142">
        <f t="shared" si="36"/>
        <v>0.89843370881091511</v>
      </c>
      <c r="AD104" s="142">
        <f t="shared" si="36"/>
        <v>0.89843370881091511</v>
      </c>
      <c r="AE104" s="142">
        <f t="shared" si="36"/>
        <v>0.89843370881091511</v>
      </c>
      <c r="AF104" s="142">
        <f t="shared" si="36"/>
        <v>0.89843370881091511</v>
      </c>
      <c r="AG104" s="142">
        <f t="shared" si="36"/>
        <v>0.89842839769966931</v>
      </c>
      <c r="AH104" s="142">
        <f t="shared" si="36"/>
        <v>0.89842839769966931</v>
      </c>
      <c r="AI104" s="142">
        <f t="shared" si="36"/>
        <v>0.86698925913706515</v>
      </c>
      <c r="AJ104" s="142">
        <f t="shared" si="36"/>
        <v>0.86698925913706515</v>
      </c>
      <c r="AK104" s="142">
        <f t="shared" si="36"/>
        <v>0.86698984566882953</v>
      </c>
      <c r="AL104" s="142">
        <f t="shared" si="36"/>
        <v>0.86698984566882953</v>
      </c>
      <c r="AM104" s="142">
        <f t="shared" si="36"/>
        <v>0.88995880590818466</v>
      </c>
      <c r="AN104" s="142">
        <f t="shared" si="36"/>
        <v>0.89269277153074544</v>
      </c>
      <c r="AO104" s="142">
        <f t="shared" si="36"/>
        <v>0.63549230372819121</v>
      </c>
      <c r="AP104" s="142">
        <f t="shared" si="36"/>
        <v>0.63549939759097895</v>
      </c>
      <c r="AQ104" s="142">
        <f t="shared" si="36"/>
        <v>0.63549939759097895</v>
      </c>
      <c r="AR104" s="142">
        <f t="shared" si="36"/>
        <v>0.63549939759097895</v>
      </c>
      <c r="AS104" s="142">
        <f t="shared" si="36"/>
        <v>0.63549939759097895</v>
      </c>
      <c r="AT104" s="142">
        <f t="shared" si="36"/>
        <v>0.63403538164074424</v>
      </c>
      <c r="AU104" s="142">
        <f t="shared" si="36"/>
        <v>0.63403538164074424</v>
      </c>
      <c r="AV104" s="142">
        <f t="shared" si="36"/>
        <v>0.63403538164074424</v>
      </c>
      <c r="AW104" s="142">
        <f t="shared" si="36"/>
        <v>0.63403538164074424</v>
      </c>
      <c r="AX104" s="142">
        <f t="shared" si="36"/>
        <v>0.53968625370185774</v>
      </c>
      <c r="AY104" s="142">
        <f t="shared" si="36"/>
        <v>0.53968625370185774</v>
      </c>
      <c r="AZ104" s="142">
        <f t="shared" si="36"/>
        <v>0.53957840691225556</v>
      </c>
      <c r="BA104" s="142">
        <f t="shared" si="36"/>
        <v>0.53772523555251883</v>
      </c>
      <c r="BB104" s="142">
        <f t="shared" si="36"/>
        <v>0.53659215108173364</v>
      </c>
      <c r="BC104" s="142">
        <f t="shared" si="36"/>
        <v>0.53659215108173364</v>
      </c>
      <c r="BD104" s="142">
        <f t="shared" si="36"/>
        <v>0.53659215108173364</v>
      </c>
      <c r="BE104" s="142">
        <f t="shared" si="36"/>
        <v>0.53659310992903519</v>
      </c>
      <c r="BF104" s="142">
        <f t="shared" si="36"/>
        <v>0.28665236484598988</v>
      </c>
      <c r="BG104" s="142">
        <f t="shared" si="36"/>
        <v>0.28715307011363322</v>
      </c>
      <c r="BH104" s="142">
        <f t="shared" si="36"/>
        <v>0.28715342088151358</v>
      </c>
      <c r="BI104" s="142">
        <f t="shared" si="36"/>
        <v>0.28715342088151358</v>
      </c>
      <c r="BJ104" s="142">
        <f t="shared" si="36"/>
        <v>0.28715342088151358</v>
      </c>
      <c r="BK104" s="142">
        <f t="shared" si="36"/>
        <v>0.28715342088151358</v>
      </c>
      <c r="BL104" s="142">
        <f t="shared" si="36"/>
        <v>0.28715342088151358</v>
      </c>
      <c r="BM104" s="142">
        <f t="shared" si="36"/>
        <v>0.28715315783530448</v>
      </c>
      <c r="BN104" s="142">
        <f t="shared" si="36"/>
        <v>0.28715315783530448</v>
      </c>
      <c r="BO104" s="142">
        <f t="shared" si="37"/>
        <v>0.28715315783530448</v>
      </c>
      <c r="BP104" s="142">
        <f t="shared" ref="BP104" si="39">IFERROR(BP152/BP56,"-")</f>
        <v>0.13854052649408666</v>
      </c>
    </row>
    <row r="105" spans="1:107 16122:16122" s="159" customFormat="1" ht="15" hidden="1" customHeight="1" outlineLevel="1">
      <c r="A105" t="s">
        <v>18</v>
      </c>
      <c r="B105" s="154" t="s">
        <v>2</v>
      </c>
      <c r="C105" s="143">
        <f t="shared" si="36"/>
        <v>1</v>
      </c>
      <c r="D105" s="143">
        <f t="shared" si="36"/>
        <v>1</v>
      </c>
      <c r="E105" s="143">
        <f t="shared" si="36"/>
        <v>1</v>
      </c>
      <c r="F105" s="143">
        <f t="shared" si="36"/>
        <v>1</v>
      </c>
      <c r="G105" s="143">
        <f t="shared" si="36"/>
        <v>1</v>
      </c>
      <c r="H105" s="143">
        <f t="shared" si="36"/>
        <v>1</v>
      </c>
      <c r="I105" s="143">
        <f t="shared" si="36"/>
        <v>1</v>
      </c>
      <c r="J105" s="143">
        <f t="shared" si="36"/>
        <v>1</v>
      </c>
      <c r="K105" s="143">
        <f t="shared" si="36"/>
        <v>1</v>
      </c>
      <c r="L105" s="143">
        <f t="shared" si="36"/>
        <v>1</v>
      </c>
      <c r="M105" s="143">
        <f t="shared" si="36"/>
        <v>1</v>
      </c>
      <c r="N105" s="143">
        <f t="shared" si="36"/>
        <v>1</v>
      </c>
      <c r="O105" s="143">
        <f t="shared" si="36"/>
        <v>1</v>
      </c>
      <c r="P105" s="143">
        <f t="shared" si="36"/>
        <v>1</v>
      </c>
      <c r="Q105" s="143">
        <f t="shared" si="36"/>
        <v>1</v>
      </c>
      <c r="R105" s="143">
        <f t="shared" si="36"/>
        <v>1</v>
      </c>
      <c r="S105" s="143">
        <f t="shared" si="36"/>
        <v>1</v>
      </c>
      <c r="T105" s="143">
        <f t="shared" si="36"/>
        <v>1</v>
      </c>
      <c r="U105" s="143">
        <f t="shared" si="36"/>
        <v>1</v>
      </c>
      <c r="V105" s="143">
        <f t="shared" si="36"/>
        <v>1</v>
      </c>
      <c r="W105" s="143">
        <f t="shared" si="36"/>
        <v>1</v>
      </c>
      <c r="X105" s="143">
        <f t="shared" si="36"/>
        <v>1</v>
      </c>
      <c r="Y105" s="143">
        <f t="shared" si="36"/>
        <v>1</v>
      </c>
      <c r="Z105" s="143">
        <f t="shared" si="36"/>
        <v>1</v>
      </c>
      <c r="AA105" s="143">
        <f t="shared" si="36"/>
        <v>1</v>
      </c>
      <c r="AB105" s="143">
        <f t="shared" si="36"/>
        <v>1</v>
      </c>
      <c r="AC105" s="143">
        <f t="shared" si="36"/>
        <v>1</v>
      </c>
      <c r="AD105" s="143">
        <f t="shared" si="36"/>
        <v>1</v>
      </c>
      <c r="AE105" s="143">
        <f t="shared" si="36"/>
        <v>1</v>
      </c>
      <c r="AF105" s="143">
        <f t="shared" si="36"/>
        <v>1</v>
      </c>
      <c r="AG105" s="143">
        <f t="shared" si="36"/>
        <v>1</v>
      </c>
      <c r="AH105" s="143">
        <f t="shared" si="36"/>
        <v>1</v>
      </c>
      <c r="AI105" s="143">
        <f t="shared" si="36"/>
        <v>1</v>
      </c>
      <c r="AJ105" s="143">
        <f t="shared" si="36"/>
        <v>1</v>
      </c>
      <c r="AK105" s="143">
        <f t="shared" si="36"/>
        <v>1</v>
      </c>
      <c r="AL105" s="143">
        <f t="shared" si="36"/>
        <v>1</v>
      </c>
      <c r="AM105" s="143">
        <f t="shared" si="36"/>
        <v>1</v>
      </c>
      <c r="AN105" s="143">
        <f t="shared" si="36"/>
        <v>1</v>
      </c>
      <c r="AO105" s="143">
        <f t="shared" si="36"/>
        <v>0.66559204782053871</v>
      </c>
      <c r="AP105" s="143">
        <f t="shared" si="36"/>
        <v>0.66569999999999996</v>
      </c>
      <c r="AQ105" s="143">
        <f t="shared" si="36"/>
        <v>0.66569999999999996</v>
      </c>
      <c r="AR105" s="143">
        <f t="shared" si="36"/>
        <v>0.66569999999999996</v>
      </c>
      <c r="AS105" s="143">
        <f t="shared" si="36"/>
        <v>0.66569999999999996</v>
      </c>
      <c r="AT105" s="143">
        <f t="shared" si="36"/>
        <v>0.66569999999999996</v>
      </c>
      <c r="AU105" s="143">
        <f t="shared" si="36"/>
        <v>0.66569999999999996</v>
      </c>
      <c r="AV105" s="143">
        <f t="shared" si="36"/>
        <v>0.66569999999999996</v>
      </c>
      <c r="AW105" s="143">
        <f t="shared" si="36"/>
        <v>0.66569999999999996</v>
      </c>
      <c r="AX105" s="143">
        <f t="shared" si="36"/>
        <v>0.66569999999999996</v>
      </c>
      <c r="AY105" s="143">
        <f t="shared" si="36"/>
        <v>0.66569999999999996</v>
      </c>
      <c r="AZ105" s="143">
        <f t="shared" si="36"/>
        <v>0.66569999999999996</v>
      </c>
      <c r="BA105" s="143">
        <f t="shared" si="36"/>
        <v>0.66569999999999996</v>
      </c>
      <c r="BB105" s="143">
        <f t="shared" si="36"/>
        <v>0.66569999999999996</v>
      </c>
      <c r="BC105" s="143">
        <f t="shared" si="36"/>
        <v>0.66569999999999996</v>
      </c>
      <c r="BD105" s="143">
        <f t="shared" si="36"/>
        <v>0.66569999999999996</v>
      </c>
      <c r="BE105" s="143">
        <f t="shared" si="36"/>
        <v>0.66569999999999996</v>
      </c>
      <c r="BF105" s="143" t="str">
        <f t="shared" si="36"/>
        <v>-</v>
      </c>
      <c r="BG105" s="143" t="str">
        <f t="shared" si="36"/>
        <v>-</v>
      </c>
      <c r="BH105" s="143" t="str">
        <f t="shared" si="36"/>
        <v>-</v>
      </c>
      <c r="BI105" s="143" t="str">
        <f t="shared" si="36"/>
        <v>-</v>
      </c>
      <c r="BJ105" s="143" t="str">
        <f t="shared" si="36"/>
        <v>-</v>
      </c>
      <c r="BK105" s="143" t="str">
        <f t="shared" si="36"/>
        <v>-</v>
      </c>
      <c r="BL105" s="143" t="str">
        <f t="shared" si="36"/>
        <v>-</v>
      </c>
      <c r="BM105" s="143" t="str">
        <f t="shared" si="36"/>
        <v>-</v>
      </c>
      <c r="BN105" s="143" t="str">
        <f t="shared" si="36"/>
        <v>-</v>
      </c>
      <c r="BO105" s="143" t="str">
        <f t="shared" si="37"/>
        <v>-</v>
      </c>
      <c r="BP105" s="143" t="str">
        <f t="shared" ref="BP105" si="40">IFERROR(BP153/BP57,"-")</f>
        <v>-</v>
      </c>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row>
    <row r="106" spans="1:107 16122:16122" s="159" customFormat="1" ht="15" hidden="1" customHeight="1" outlineLevel="1">
      <c r="A106" t="s">
        <v>18</v>
      </c>
      <c r="B106" s="154" t="s">
        <v>3</v>
      </c>
      <c r="C106" s="143">
        <f t="shared" si="36"/>
        <v>1</v>
      </c>
      <c r="D106" s="143">
        <f t="shared" si="36"/>
        <v>1</v>
      </c>
      <c r="E106" s="143">
        <f t="shared" si="36"/>
        <v>1</v>
      </c>
      <c r="F106" s="143">
        <f t="shared" si="36"/>
        <v>1</v>
      </c>
      <c r="G106" s="143">
        <f t="shared" si="36"/>
        <v>1</v>
      </c>
      <c r="H106" s="143">
        <f t="shared" si="36"/>
        <v>1</v>
      </c>
      <c r="I106" s="143">
        <f t="shared" si="36"/>
        <v>1</v>
      </c>
      <c r="J106" s="143">
        <f t="shared" si="36"/>
        <v>1</v>
      </c>
      <c r="K106" s="143">
        <f t="shared" si="36"/>
        <v>1</v>
      </c>
      <c r="L106" s="143">
        <f t="shared" si="36"/>
        <v>1</v>
      </c>
      <c r="M106" s="143">
        <f t="shared" si="36"/>
        <v>1</v>
      </c>
      <c r="N106" s="143">
        <f t="shared" si="36"/>
        <v>1</v>
      </c>
      <c r="O106" s="143">
        <f t="shared" si="36"/>
        <v>1</v>
      </c>
      <c r="P106" s="143">
        <f t="shared" si="36"/>
        <v>1</v>
      </c>
      <c r="Q106" s="143">
        <f t="shared" si="36"/>
        <v>1</v>
      </c>
      <c r="R106" s="143">
        <f t="shared" si="36"/>
        <v>1</v>
      </c>
      <c r="S106" s="143">
        <f t="shared" si="36"/>
        <v>1</v>
      </c>
      <c r="T106" s="143">
        <f t="shared" si="36"/>
        <v>1</v>
      </c>
      <c r="U106" s="143">
        <f t="shared" si="36"/>
        <v>1</v>
      </c>
      <c r="V106" s="143">
        <f t="shared" si="36"/>
        <v>1</v>
      </c>
      <c r="W106" s="143">
        <f t="shared" si="36"/>
        <v>1</v>
      </c>
      <c r="X106" s="143">
        <f t="shared" si="36"/>
        <v>1</v>
      </c>
      <c r="Y106" s="143">
        <f t="shared" si="36"/>
        <v>1</v>
      </c>
      <c r="Z106" s="143">
        <f t="shared" si="36"/>
        <v>1</v>
      </c>
      <c r="AA106" s="143">
        <f t="shared" si="36"/>
        <v>1</v>
      </c>
      <c r="AB106" s="143">
        <f t="shared" si="36"/>
        <v>1</v>
      </c>
      <c r="AC106" s="143">
        <f t="shared" si="36"/>
        <v>1</v>
      </c>
      <c r="AD106" s="143">
        <f t="shared" si="36"/>
        <v>1</v>
      </c>
      <c r="AE106" s="143">
        <f t="shared" si="36"/>
        <v>1</v>
      </c>
      <c r="AF106" s="143">
        <f t="shared" si="36"/>
        <v>1</v>
      </c>
      <c r="AG106" s="143">
        <f t="shared" si="36"/>
        <v>1</v>
      </c>
      <c r="AH106" s="143">
        <f t="shared" si="36"/>
        <v>1</v>
      </c>
      <c r="AI106" s="143">
        <f t="shared" si="36"/>
        <v>1</v>
      </c>
      <c r="AJ106" s="143">
        <f t="shared" si="36"/>
        <v>1</v>
      </c>
      <c r="AK106" s="143">
        <f t="shared" si="36"/>
        <v>1</v>
      </c>
      <c r="AL106" s="143">
        <f t="shared" si="36"/>
        <v>1</v>
      </c>
      <c r="AM106" s="143">
        <f t="shared" si="36"/>
        <v>2</v>
      </c>
      <c r="AN106" s="143">
        <f t="shared" si="36"/>
        <v>0.99985481906036366</v>
      </c>
      <c r="AO106" s="143">
        <f t="shared" si="36"/>
        <v>0.66593865789689632</v>
      </c>
      <c r="AP106" s="143">
        <f t="shared" si="36"/>
        <v>0.66569999999999996</v>
      </c>
      <c r="AQ106" s="143">
        <f t="shared" si="36"/>
        <v>0.66569999999999996</v>
      </c>
      <c r="AR106" s="143">
        <f t="shared" si="36"/>
        <v>0.66569999999999996</v>
      </c>
      <c r="AS106" s="143">
        <f t="shared" si="36"/>
        <v>0.66569999999999996</v>
      </c>
      <c r="AT106" s="143">
        <f t="shared" si="36"/>
        <v>0.66569999999999996</v>
      </c>
      <c r="AU106" s="143">
        <f t="shared" si="36"/>
        <v>0.66569999999999996</v>
      </c>
      <c r="AV106" s="143">
        <f t="shared" si="36"/>
        <v>0.66569999999999996</v>
      </c>
      <c r="AW106" s="143">
        <f t="shared" si="36"/>
        <v>0.66569999999999996</v>
      </c>
      <c r="AX106" s="143">
        <f t="shared" si="36"/>
        <v>0.66569999999999996</v>
      </c>
      <c r="AY106" s="143">
        <f t="shared" si="36"/>
        <v>0.66569999999999996</v>
      </c>
      <c r="AZ106" s="143">
        <f t="shared" si="36"/>
        <v>0.66569999999999996</v>
      </c>
      <c r="BA106" s="143" t="str">
        <f t="shared" si="36"/>
        <v>-</v>
      </c>
      <c r="BB106" s="143" t="str">
        <f t="shared" si="36"/>
        <v>-</v>
      </c>
      <c r="BC106" s="143" t="str">
        <f t="shared" si="36"/>
        <v>-</v>
      </c>
      <c r="BD106" s="143" t="str">
        <f t="shared" si="36"/>
        <v>-</v>
      </c>
      <c r="BE106" s="143" t="str">
        <f t="shared" si="36"/>
        <v>-</v>
      </c>
      <c r="BF106" s="143" t="str">
        <f t="shared" si="36"/>
        <v>-</v>
      </c>
      <c r="BG106" s="143" t="str">
        <f t="shared" si="36"/>
        <v>-</v>
      </c>
      <c r="BH106" s="143" t="str">
        <f t="shared" si="36"/>
        <v>-</v>
      </c>
      <c r="BI106" s="143" t="str">
        <f t="shared" si="36"/>
        <v>-</v>
      </c>
      <c r="BJ106" s="143" t="str">
        <f t="shared" si="36"/>
        <v>-</v>
      </c>
      <c r="BK106" s="143" t="str">
        <f t="shared" si="36"/>
        <v>-</v>
      </c>
      <c r="BL106" s="143" t="str">
        <f t="shared" si="36"/>
        <v>-</v>
      </c>
      <c r="BM106" s="143" t="str">
        <f t="shared" si="36"/>
        <v>-</v>
      </c>
      <c r="BN106" s="143" t="str">
        <f t="shared" ref="BN106:BP109" si="41">IFERROR(BN154/BN58,"-")</f>
        <v>-</v>
      </c>
      <c r="BO106" s="143" t="str">
        <f t="shared" si="41"/>
        <v>-</v>
      </c>
      <c r="BP106" s="143" t="str">
        <f t="shared" ref="BP106" si="42">IFERROR(BP154/BP58,"-")</f>
        <v>-</v>
      </c>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row>
    <row r="107" spans="1:107 16122:16122" s="159" customFormat="1" ht="15" hidden="1" customHeight="1" outlineLevel="1">
      <c r="A107" t="s">
        <v>18</v>
      </c>
      <c r="B107" s="154" t="s">
        <v>0</v>
      </c>
      <c r="C107" s="143">
        <f t="shared" ref="C107:BN110" si="43">IFERROR(C155/C59,"-")</f>
        <v>1</v>
      </c>
      <c r="D107" s="143">
        <f t="shared" si="43"/>
        <v>1</v>
      </c>
      <c r="E107" s="143">
        <f t="shared" si="43"/>
        <v>1</v>
      </c>
      <c r="F107" s="143">
        <f t="shared" si="43"/>
        <v>1</v>
      </c>
      <c r="G107" s="143">
        <f t="shared" si="43"/>
        <v>1</v>
      </c>
      <c r="H107" s="143">
        <f t="shared" si="43"/>
        <v>1</v>
      </c>
      <c r="I107" s="143">
        <f t="shared" si="43"/>
        <v>1</v>
      </c>
      <c r="J107" s="143">
        <f t="shared" si="43"/>
        <v>1</v>
      </c>
      <c r="K107" s="143">
        <f t="shared" si="43"/>
        <v>1</v>
      </c>
      <c r="L107" s="143">
        <f t="shared" si="43"/>
        <v>1</v>
      </c>
      <c r="M107" s="143">
        <f t="shared" si="43"/>
        <v>1</v>
      </c>
      <c r="N107" s="143">
        <f t="shared" si="43"/>
        <v>1</v>
      </c>
      <c r="O107" s="143">
        <f t="shared" si="43"/>
        <v>1</v>
      </c>
      <c r="P107" s="143">
        <f t="shared" si="43"/>
        <v>1</v>
      </c>
      <c r="Q107" s="143">
        <f t="shared" si="43"/>
        <v>1</v>
      </c>
      <c r="R107" s="143">
        <f t="shared" si="43"/>
        <v>1</v>
      </c>
      <c r="S107" s="143">
        <f t="shared" si="43"/>
        <v>1</v>
      </c>
      <c r="T107" s="143">
        <f t="shared" si="43"/>
        <v>1</v>
      </c>
      <c r="U107" s="143">
        <f t="shared" si="43"/>
        <v>1</v>
      </c>
      <c r="V107" s="143">
        <f t="shared" si="43"/>
        <v>1</v>
      </c>
      <c r="W107" s="143">
        <f t="shared" si="43"/>
        <v>1</v>
      </c>
      <c r="X107" s="143">
        <f t="shared" si="43"/>
        <v>1</v>
      </c>
      <c r="Y107" s="143">
        <f t="shared" si="43"/>
        <v>1</v>
      </c>
      <c r="Z107" s="143">
        <f t="shared" si="43"/>
        <v>1</v>
      </c>
      <c r="AA107" s="143">
        <f t="shared" si="43"/>
        <v>1</v>
      </c>
      <c r="AB107" s="143">
        <f t="shared" si="43"/>
        <v>1</v>
      </c>
      <c r="AC107" s="143">
        <f t="shared" si="43"/>
        <v>1</v>
      </c>
      <c r="AD107" s="143">
        <f t="shared" si="43"/>
        <v>1</v>
      </c>
      <c r="AE107" s="143">
        <f t="shared" si="43"/>
        <v>1</v>
      </c>
      <c r="AF107" s="143">
        <f t="shared" si="43"/>
        <v>1</v>
      </c>
      <c r="AG107" s="143">
        <f t="shared" si="43"/>
        <v>1</v>
      </c>
      <c r="AH107" s="143">
        <f t="shared" si="43"/>
        <v>1</v>
      </c>
      <c r="AI107" s="143">
        <f t="shared" si="43"/>
        <v>1</v>
      </c>
      <c r="AJ107" s="143">
        <f t="shared" si="43"/>
        <v>1</v>
      </c>
      <c r="AK107" s="143">
        <f t="shared" si="43"/>
        <v>1</v>
      </c>
      <c r="AL107" s="143">
        <f t="shared" si="43"/>
        <v>1</v>
      </c>
      <c r="AM107" s="143">
        <f t="shared" si="43"/>
        <v>1</v>
      </c>
      <c r="AN107" s="143">
        <f t="shared" si="43"/>
        <v>1</v>
      </c>
      <c r="AO107" s="143">
        <f t="shared" si="43"/>
        <v>0.66568264814673239</v>
      </c>
      <c r="AP107" s="143">
        <f t="shared" si="43"/>
        <v>0.66569999999999996</v>
      </c>
      <c r="AQ107" s="143">
        <f t="shared" si="43"/>
        <v>0.66569999999999996</v>
      </c>
      <c r="AR107" s="143">
        <f t="shared" si="43"/>
        <v>0.66569999999999996</v>
      </c>
      <c r="AS107" s="143">
        <f t="shared" si="43"/>
        <v>0.66569999999999996</v>
      </c>
      <c r="AT107" s="143">
        <f t="shared" si="43"/>
        <v>0.66569999999999996</v>
      </c>
      <c r="AU107" s="143">
        <f t="shared" si="43"/>
        <v>0.66569999999999996</v>
      </c>
      <c r="AV107" s="143">
        <f t="shared" si="43"/>
        <v>0.66569999999999996</v>
      </c>
      <c r="AW107" s="143">
        <f t="shared" si="43"/>
        <v>0.66569999999999996</v>
      </c>
      <c r="AX107" s="143">
        <f t="shared" si="43"/>
        <v>0.65478020566871542</v>
      </c>
      <c r="AY107" s="143">
        <f t="shared" si="43"/>
        <v>0.65478020566871542</v>
      </c>
      <c r="AZ107" s="143">
        <f t="shared" si="43"/>
        <v>0.64549214605544858</v>
      </c>
      <c r="BA107" s="143">
        <f t="shared" si="43"/>
        <v>0.64549214605544858</v>
      </c>
      <c r="BB107" s="143">
        <f t="shared" si="43"/>
        <v>0.63130163468105971</v>
      </c>
      <c r="BC107" s="143">
        <f t="shared" si="43"/>
        <v>0.63130163468105971</v>
      </c>
      <c r="BD107" s="143">
        <f t="shared" si="43"/>
        <v>0.6313016346810596</v>
      </c>
      <c r="BE107" s="143">
        <f t="shared" si="43"/>
        <v>0.6313016346810596</v>
      </c>
      <c r="BF107" s="143" t="str">
        <f t="shared" si="43"/>
        <v>-</v>
      </c>
      <c r="BG107" s="143" t="str">
        <f t="shared" si="43"/>
        <v>-</v>
      </c>
      <c r="BH107" s="143" t="str">
        <f t="shared" si="43"/>
        <v>-</v>
      </c>
      <c r="BI107" s="143" t="str">
        <f t="shared" si="43"/>
        <v>-</v>
      </c>
      <c r="BJ107" s="155" t="str">
        <f t="shared" si="43"/>
        <v>-</v>
      </c>
      <c r="BK107" s="155" t="str">
        <f t="shared" si="43"/>
        <v>-</v>
      </c>
      <c r="BL107" s="155" t="str">
        <f t="shared" si="43"/>
        <v>-</v>
      </c>
      <c r="BM107" s="155" t="str">
        <f t="shared" si="43"/>
        <v>-</v>
      </c>
      <c r="BN107" s="155" t="str">
        <f t="shared" si="43"/>
        <v>-</v>
      </c>
      <c r="BO107" s="155" t="str">
        <f t="shared" si="41"/>
        <v>-</v>
      </c>
      <c r="BP107" s="155" t="str">
        <f t="shared" ref="BP107" si="44">IFERROR(BP155/BP59,"-")</f>
        <v>-</v>
      </c>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row>
    <row r="108" spans="1:107 16122:16122" s="159" customFormat="1" ht="15" hidden="1" customHeight="1" outlineLevel="1">
      <c r="A108" t="s">
        <v>18</v>
      </c>
      <c r="B108" s="154" t="s">
        <v>1</v>
      </c>
      <c r="C108" s="143">
        <f t="shared" si="43"/>
        <v>1</v>
      </c>
      <c r="D108" s="143">
        <f t="shared" si="43"/>
        <v>1</v>
      </c>
      <c r="E108" s="143">
        <f t="shared" si="43"/>
        <v>1</v>
      </c>
      <c r="F108" s="143">
        <f t="shared" si="43"/>
        <v>1</v>
      </c>
      <c r="G108" s="143">
        <f t="shared" si="43"/>
        <v>1</v>
      </c>
      <c r="H108" s="143">
        <f t="shared" si="43"/>
        <v>1</v>
      </c>
      <c r="I108" s="143">
        <f t="shared" si="43"/>
        <v>1</v>
      </c>
      <c r="J108" s="143">
        <f t="shared" si="43"/>
        <v>1</v>
      </c>
      <c r="K108" s="143">
        <f t="shared" si="43"/>
        <v>1</v>
      </c>
      <c r="L108" s="143">
        <f t="shared" si="43"/>
        <v>1</v>
      </c>
      <c r="M108" s="143">
        <f t="shared" si="43"/>
        <v>1</v>
      </c>
      <c r="N108" s="143">
        <f t="shared" si="43"/>
        <v>1</v>
      </c>
      <c r="O108" s="143">
        <f t="shared" si="43"/>
        <v>1</v>
      </c>
      <c r="P108" s="143">
        <f t="shared" si="43"/>
        <v>1</v>
      </c>
      <c r="Q108" s="143">
        <f t="shared" si="43"/>
        <v>1</v>
      </c>
      <c r="R108" s="143">
        <f t="shared" si="43"/>
        <v>1</v>
      </c>
      <c r="S108" s="143">
        <f t="shared" si="43"/>
        <v>1</v>
      </c>
      <c r="T108" s="143">
        <f t="shared" si="43"/>
        <v>1</v>
      </c>
      <c r="U108" s="143">
        <f t="shared" si="43"/>
        <v>1</v>
      </c>
      <c r="V108" s="143">
        <f t="shared" si="43"/>
        <v>1</v>
      </c>
      <c r="W108" s="143">
        <f t="shared" si="43"/>
        <v>1</v>
      </c>
      <c r="X108" s="143">
        <f t="shared" si="43"/>
        <v>1</v>
      </c>
      <c r="Y108" s="143">
        <f t="shared" si="43"/>
        <v>1</v>
      </c>
      <c r="Z108" s="143">
        <f t="shared" si="43"/>
        <v>1</v>
      </c>
      <c r="AA108" s="143">
        <f t="shared" si="43"/>
        <v>1</v>
      </c>
      <c r="AB108" s="143">
        <f t="shared" si="43"/>
        <v>1</v>
      </c>
      <c r="AC108" s="143">
        <f t="shared" si="43"/>
        <v>1</v>
      </c>
      <c r="AD108" s="143">
        <f t="shared" si="43"/>
        <v>1</v>
      </c>
      <c r="AE108" s="143">
        <f t="shared" si="43"/>
        <v>1</v>
      </c>
      <c r="AF108" s="143">
        <f t="shared" si="43"/>
        <v>1</v>
      </c>
      <c r="AG108" s="143">
        <f t="shared" si="43"/>
        <v>1</v>
      </c>
      <c r="AH108" s="143">
        <f t="shared" si="43"/>
        <v>1</v>
      </c>
      <c r="AI108" s="143">
        <f t="shared" si="43"/>
        <v>1</v>
      </c>
      <c r="AJ108" s="143">
        <f t="shared" si="43"/>
        <v>1</v>
      </c>
      <c r="AK108" s="143">
        <f t="shared" si="43"/>
        <v>1</v>
      </c>
      <c r="AL108" s="143">
        <f t="shared" si="43"/>
        <v>1</v>
      </c>
      <c r="AM108" s="143">
        <f t="shared" si="43"/>
        <v>1</v>
      </c>
      <c r="AN108" s="143">
        <f t="shared" si="43"/>
        <v>1</v>
      </c>
      <c r="AO108" s="143">
        <f t="shared" si="43"/>
        <v>0.66570000000000007</v>
      </c>
      <c r="AP108" s="143">
        <f t="shared" si="43"/>
        <v>0.66570000000000007</v>
      </c>
      <c r="AQ108" s="143">
        <f t="shared" si="43"/>
        <v>0.66570000000000007</v>
      </c>
      <c r="AR108" s="143">
        <f t="shared" si="43"/>
        <v>0.66570000000000007</v>
      </c>
      <c r="AS108" s="143">
        <f t="shared" si="43"/>
        <v>0.66570000000000007</v>
      </c>
      <c r="AT108" s="143">
        <f t="shared" si="43"/>
        <v>0.66570000000000007</v>
      </c>
      <c r="AU108" s="143">
        <f t="shared" si="43"/>
        <v>0.66570000000000007</v>
      </c>
      <c r="AV108" s="143">
        <f t="shared" si="43"/>
        <v>0.66570000000000007</v>
      </c>
      <c r="AW108" s="143">
        <f t="shared" si="43"/>
        <v>0.66570000000000007</v>
      </c>
      <c r="AX108" s="143">
        <f t="shared" si="43"/>
        <v>0.66570000000000007</v>
      </c>
      <c r="AY108" s="143">
        <f t="shared" si="43"/>
        <v>0.66570000000000007</v>
      </c>
      <c r="AZ108" s="143">
        <f t="shared" si="43"/>
        <v>0.66570000000000007</v>
      </c>
      <c r="BA108" s="143">
        <f t="shared" si="43"/>
        <v>0.66570000000000007</v>
      </c>
      <c r="BB108" s="143">
        <f t="shared" si="43"/>
        <v>0.66570000000000007</v>
      </c>
      <c r="BC108" s="143">
        <f t="shared" si="43"/>
        <v>0.66570000000000007</v>
      </c>
      <c r="BD108" s="143">
        <f t="shared" si="43"/>
        <v>0.66570000000000007</v>
      </c>
      <c r="BE108" s="143">
        <f t="shared" si="43"/>
        <v>0.66570000000000007</v>
      </c>
      <c r="BF108" s="143" t="str">
        <f t="shared" si="43"/>
        <v>-</v>
      </c>
      <c r="BG108" s="143" t="str">
        <f t="shared" si="43"/>
        <v>-</v>
      </c>
      <c r="BH108" s="143" t="str">
        <f t="shared" si="43"/>
        <v>-</v>
      </c>
      <c r="BI108" s="143" t="str">
        <f t="shared" si="43"/>
        <v>-</v>
      </c>
      <c r="BJ108" s="143" t="str">
        <f t="shared" si="43"/>
        <v>-</v>
      </c>
      <c r="BK108" s="143" t="str">
        <f t="shared" si="43"/>
        <v>-</v>
      </c>
      <c r="BL108" s="143" t="str">
        <f t="shared" si="43"/>
        <v>-</v>
      </c>
      <c r="BM108" s="143" t="str">
        <f t="shared" si="43"/>
        <v>-</v>
      </c>
      <c r="BN108" s="143" t="str">
        <f t="shared" si="43"/>
        <v>-</v>
      </c>
      <c r="BO108" s="143" t="str">
        <f t="shared" si="41"/>
        <v>-</v>
      </c>
      <c r="BP108" s="143" t="str">
        <f t="shared" ref="BP108" si="45">IFERROR(BP156/BP60,"-")</f>
        <v>-</v>
      </c>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row>
    <row r="109" spans="1:107 16122:16122" s="159" customFormat="1" ht="15" hidden="1" customHeight="1" outlineLevel="1">
      <c r="A109" t="s">
        <v>18</v>
      </c>
      <c r="B109" s="154" t="s">
        <v>33</v>
      </c>
      <c r="C109" s="143" t="str">
        <f t="shared" si="43"/>
        <v>-</v>
      </c>
      <c r="D109" s="143">
        <f t="shared" si="43"/>
        <v>1</v>
      </c>
      <c r="E109" s="143">
        <f t="shared" si="43"/>
        <v>1</v>
      </c>
      <c r="F109" s="143">
        <f t="shared" si="43"/>
        <v>1</v>
      </c>
      <c r="G109" s="143">
        <f t="shared" si="43"/>
        <v>1</v>
      </c>
      <c r="H109" s="143">
        <f t="shared" si="43"/>
        <v>1</v>
      </c>
      <c r="I109" s="143">
        <f t="shared" si="43"/>
        <v>1</v>
      </c>
      <c r="J109" s="143">
        <f t="shared" si="43"/>
        <v>1</v>
      </c>
      <c r="K109" s="143">
        <f t="shared" si="43"/>
        <v>1</v>
      </c>
      <c r="L109" s="143">
        <f t="shared" si="43"/>
        <v>1</v>
      </c>
      <c r="M109" s="143">
        <f t="shared" si="43"/>
        <v>1</v>
      </c>
      <c r="N109" s="143">
        <f t="shared" si="43"/>
        <v>1</v>
      </c>
      <c r="O109" s="143">
        <f t="shared" si="43"/>
        <v>1</v>
      </c>
      <c r="P109" s="143">
        <f t="shared" si="43"/>
        <v>1</v>
      </c>
      <c r="Q109" s="143">
        <f t="shared" si="43"/>
        <v>1</v>
      </c>
      <c r="R109" s="143">
        <f t="shared" si="43"/>
        <v>1</v>
      </c>
      <c r="S109" s="143">
        <f t="shared" si="43"/>
        <v>1</v>
      </c>
      <c r="T109" s="143">
        <f t="shared" si="43"/>
        <v>1</v>
      </c>
      <c r="U109" s="143">
        <f t="shared" si="43"/>
        <v>1</v>
      </c>
      <c r="V109" s="143">
        <f t="shared" si="43"/>
        <v>1</v>
      </c>
      <c r="W109" s="143">
        <f t="shared" si="43"/>
        <v>1</v>
      </c>
      <c r="X109" s="143">
        <f t="shared" si="43"/>
        <v>1</v>
      </c>
      <c r="Y109" s="143">
        <f t="shared" si="43"/>
        <v>1</v>
      </c>
      <c r="Z109" s="143">
        <f t="shared" si="43"/>
        <v>1</v>
      </c>
      <c r="AA109" s="143">
        <f t="shared" si="43"/>
        <v>1</v>
      </c>
      <c r="AB109" s="143">
        <f t="shared" si="43"/>
        <v>1</v>
      </c>
      <c r="AC109" s="143">
        <f t="shared" si="43"/>
        <v>1</v>
      </c>
      <c r="AD109" s="143">
        <f t="shared" si="43"/>
        <v>1</v>
      </c>
      <c r="AE109" s="143">
        <f t="shared" si="43"/>
        <v>1</v>
      </c>
      <c r="AF109" s="143">
        <f t="shared" si="43"/>
        <v>1</v>
      </c>
      <c r="AG109" s="143">
        <f t="shared" si="43"/>
        <v>1</v>
      </c>
      <c r="AH109" s="143">
        <f t="shared" si="43"/>
        <v>1</v>
      </c>
      <c r="AI109" s="143">
        <f t="shared" si="43"/>
        <v>1</v>
      </c>
      <c r="AJ109" s="143">
        <f t="shared" si="43"/>
        <v>1</v>
      </c>
      <c r="AK109" s="143">
        <f t="shared" si="43"/>
        <v>1.0000390102002725</v>
      </c>
      <c r="AL109" s="143">
        <f t="shared" si="43"/>
        <v>1.0000390102002725</v>
      </c>
      <c r="AM109" s="143">
        <f t="shared" si="43"/>
        <v>0.99999946316266985</v>
      </c>
      <c r="AN109" s="143">
        <f t="shared" si="43"/>
        <v>1</v>
      </c>
      <c r="AO109" s="143">
        <f t="shared" si="43"/>
        <v>0.62129973686023532</v>
      </c>
      <c r="AP109" s="143">
        <f t="shared" si="43"/>
        <v>0.62129999999999996</v>
      </c>
      <c r="AQ109" s="143">
        <f t="shared" si="43"/>
        <v>0.62129999999999996</v>
      </c>
      <c r="AR109" s="143">
        <f t="shared" si="43"/>
        <v>0.62129999999999996</v>
      </c>
      <c r="AS109" s="143">
        <f t="shared" si="43"/>
        <v>0.62129999999999996</v>
      </c>
      <c r="AT109" s="143">
        <f t="shared" si="43"/>
        <v>0.6129</v>
      </c>
      <c r="AU109" s="143">
        <f t="shared" si="43"/>
        <v>0.6129</v>
      </c>
      <c r="AV109" s="143">
        <f t="shared" si="43"/>
        <v>0.6129</v>
      </c>
      <c r="AW109" s="143">
        <f t="shared" si="43"/>
        <v>0.6129</v>
      </c>
      <c r="AX109" s="143">
        <f t="shared" si="43"/>
        <v>0.6129</v>
      </c>
      <c r="AY109" s="143">
        <f t="shared" si="43"/>
        <v>0.6129</v>
      </c>
      <c r="AZ109" s="143">
        <f t="shared" si="43"/>
        <v>0.6129</v>
      </c>
      <c r="BA109" s="143">
        <f t="shared" si="43"/>
        <v>0.6129</v>
      </c>
      <c r="BB109" s="143">
        <f t="shared" si="43"/>
        <v>0.6129</v>
      </c>
      <c r="BC109" s="143">
        <f t="shared" si="43"/>
        <v>0.6129</v>
      </c>
      <c r="BD109" s="143">
        <f t="shared" si="43"/>
        <v>0.6129</v>
      </c>
      <c r="BE109" s="143">
        <f t="shared" si="43"/>
        <v>0.6129</v>
      </c>
      <c r="BF109" s="143" t="str">
        <f t="shared" si="43"/>
        <v>-</v>
      </c>
      <c r="BG109" s="143" t="str">
        <f t="shared" si="43"/>
        <v>-</v>
      </c>
      <c r="BH109" s="143" t="str">
        <f t="shared" si="43"/>
        <v>-</v>
      </c>
      <c r="BI109" s="143" t="str">
        <f t="shared" si="43"/>
        <v>-</v>
      </c>
      <c r="BJ109" s="143" t="str">
        <f t="shared" si="43"/>
        <v>-</v>
      </c>
      <c r="BK109" s="143" t="str">
        <f t="shared" si="43"/>
        <v>-</v>
      </c>
      <c r="BL109" s="143" t="str">
        <f t="shared" si="43"/>
        <v>-</v>
      </c>
      <c r="BM109" s="143" t="str">
        <f t="shared" si="43"/>
        <v>-</v>
      </c>
      <c r="BN109" s="143" t="str">
        <f t="shared" si="43"/>
        <v>-</v>
      </c>
      <c r="BO109" s="143" t="str">
        <f t="shared" si="41"/>
        <v>-</v>
      </c>
      <c r="BP109" s="143" t="str">
        <f t="shared" ref="BP109" si="46">IFERROR(BP157/BP61,"-")</f>
        <v>-</v>
      </c>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row>
    <row r="110" spans="1:107 16122:16122" s="159" customFormat="1" ht="15" hidden="1" customHeight="1" outlineLevel="1">
      <c r="A110" t="s">
        <v>235</v>
      </c>
      <c r="B110" s="154" t="s">
        <v>28</v>
      </c>
      <c r="C110" s="143" t="str">
        <f t="shared" si="43"/>
        <v>-</v>
      </c>
      <c r="D110" s="143" t="str">
        <f t="shared" si="43"/>
        <v>-</v>
      </c>
      <c r="E110" s="143" t="str">
        <f t="shared" si="43"/>
        <v>-</v>
      </c>
      <c r="F110" s="143" t="str">
        <f t="shared" si="43"/>
        <v>-</v>
      </c>
      <c r="G110" s="143" t="str">
        <f t="shared" si="43"/>
        <v>-</v>
      </c>
      <c r="H110" s="143" t="str">
        <f t="shared" si="43"/>
        <v>-</v>
      </c>
      <c r="I110" s="143" t="str">
        <f t="shared" si="43"/>
        <v>-</v>
      </c>
      <c r="J110" s="143" t="str">
        <f t="shared" si="43"/>
        <v>-</v>
      </c>
      <c r="K110" s="143" t="str">
        <f t="shared" si="43"/>
        <v>-</v>
      </c>
      <c r="L110" s="143" t="str">
        <f t="shared" si="43"/>
        <v>-</v>
      </c>
      <c r="M110" s="143" t="str">
        <f t="shared" si="43"/>
        <v>-</v>
      </c>
      <c r="N110" s="143" t="str">
        <f t="shared" si="43"/>
        <v>-</v>
      </c>
      <c r="O110" s="143" t="str">
        <f t="shared" si="43"/>
        <v>-</v>
      </c>
      <c r="P110" s="143" t="str">
        <f t="shared" si="43"/>
        <v>-</v>
      </c>
      <c r="Q110" s="143" t="str">
        <f t="shared" si="43"/>
        <v>-</v>
      </c>
      <c r="R110" s="143" t="str">
        <f t="shared" si="43"/>
        <v>-</v>
      </c>
      <c r="S110" s="143" t="str">
        <f t="shared" si="43"/>
        <v>-</v>
      </c>
      <c r="T110" s="143" t="str">
        <f t="shared" si="43"/>
        <v>-</v>
      </c>
      <c r="U110" s="143" t="str">
        <f t="shared" si="43"/>
        <v>-</v>
      </c>
      <c r="V110" s="143" t="str">
        <f t="shared" si="43"/>
        <v>-</v>
      </c>
      <c r="W110" s="143" t="str">
        <f t="shared" si="43"/>
        <v>-</v>
      </c>
      <c r="X110" s="143" t="str">
        <f t="shared" si="43"/>
        <v>-</v>
      </c>
      <c r="Y110" s="143">
        <f t="shared" si="43"/>
        <v>0.25000689002599841</v>
      </c>
      <c r="Z110" s="143">
        <f t="shared" si="43"/>
        <v>0.25000689002599841</v>
      </c>
      <c r="AA110" s="143">
        <f t="shared" si="43"/>
        <v>0.25000689002599841</v>
      </c>
      <c r="AB110" s="143">
        <f t="shared" si="43"/>
        <v>0.25000689002599841</v>
      </c>
      <c r="AC110" s="143">
        <f t="shared" si="43"/>
        <v>0.25000689002599841</v>
      </c>
      <c r="AD110" s="143">
        <f t="shared" si="43"/>
        <v>0.25000689002599841</v>
      </c>
      <c r="AE110" s="143">
        <f t="shared" si="43"/>
        <v>0.25000689002599841</v>
      </c>
      <c r="AF110" s="143">
        <f t="shared" si="43"/>
        <v>0.25000689002599841</v>
      </c>
      <c r="AG110" s="143">
        <f t="shared" si="43"/>
        <v>0.24997014322067376</v>
      </c>
      <c r="AH110" s="143">
        <f t="shared" si="43"/>
        <v>0.24997014322067376</v>
      </c>
      <c r="AI110" s="143">
        <f t="shared" si="43"/>
        <v>0.25000689002599841</v>
      </c>
      <c r="AJ110" s="143">
        <f t="shared" si="43"/>
        <v>0.25000689002599841</v>
      </c>
      <c r="AK110" s="143">
        <f t="shared" si="43"/>
        <v>0.24997014322067376</v>
      </c>
      <c r="AL110" s="143">
        <f t="shared" si="43"/>
        <v>0.24997014322067376</v>
      </c>
      <c r="AM110" s="143">
        <f t="shared" si="43"/>
        <v>0.25</v>
      </c>
      <c r="AN110" s="143">
        <f t="shared" si="43"/>
        <v>0.25</v>
      </c>
      <c r="AO110" s="143">
        <f t="shared" si="43"/>
        <v>0.25</v>
      </c>
      <c r="AP110" s="143">
        <f t="shared" si="43"/>
        <v>0.25</v>
      </c>
      <c r="AQ110" s="143">
        <f t="shared" si="43"/>
        <v>0.25</v>
      </c>
      <c r="AR110" s="143">
        <f t="shared" si="43"/>
        <v>0.25</v>
      </c>
      <c r="AS110" s="143">
        <f t="shared" si="43"/>
        <v>0.25</v>
      </c>
      <c r="AT110" s="143">
        <f t="shared" si="43"/>
        <v>0.25</v>
      </c>
      <c r="AU110" s="143">
        <f t="shared" si="43"/>
        <v>0.25</v>
      </c>
      <c r="AV110" s="143">
        <f t="shared" si="43"/>
        <v>0.25</v>
      </c>
      <c r="AW110" s="143">
        <f t="shared" si="43"/>
        <v>0.25</v>
      </c>
      <c r="AX110" s="143">
        <f t="shared" si="43"/>
        <v>0.25</v>
      </c>
      <c r="AY110" s="143">
        <f t="shared" si="43"/>
        <v>0.25</v>
      </c>
      <c r="AZ110" s="143">
        <f t="shared" si="43"/>
        <v>0.25</v>
      </c>
      <c r="BA110" s="143">
        <f t="shared" si="43"/>
        <v>0.25</v>
      </c>
      <c r="BB110" s="143">
        <f t="shared" si="43"/>
        <v>0.25</v>
      </c>
      <c r="BC110" s="143">
        <f t="shared" si="43"/>
        <v>0.25</v>
      </c>
      <c r="BD110" s="143">
        <f t="shared" si="43"/>
        <v>0.25</v>
      </c>
      <c r="BE110" s="143">
        <f t="shared" si="43"/>
        <v>0.25</v>
      </c>
      <c r="BF110" s="143">
        <f t="shared" si="43"/>
        <v>0.25</v>
      </c>
      <c r="BG110" s="143">
        <f t="shared" si="43"/>
        <v>0.25</v>
      </c>
      <c r="BH110" s="143">
        <f t="shared" si="43"/>
        <v>0.25</v>
      </c>
      <c r="BI110" s="143">
        <f t="shared" si="43"/>
        <v>0.25</v>
      </c>
      <c r="BJ110" s="143">
        <f t="shared" si="43"/>
        <v>0.25</v>
      </c>
      <c r="BK110" s="143">
        <f t="shared" si="43"/>
        <v>0.25</v>
      </c>
      <c r="BL110" s="143">
        <f t="shared" si="43"/>
        <v>0.25</v>
      </c>
      <c r="BM110" s="143">
        <f t="shared" si="43"/>
        <v>0.25</v>
      </c>
      <c r="BN110" s="143">
        <f t="shared" ref="BN110:BP113" si="47">IFERROR(BN158/BN62,"-")</f>
        <v>0.25</v>
      </c>
      <c r="BO110" s="143">
        <f t="shared" si="47"/>
        <v>0.25</v>
      </c>
      <c r="BP110" s="143">
        <f t="shared" ref="BP110" si="48">IFERROR(BP158/BP62,"-")</f>
        <v>0.25</v>
      </c>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row>
    <row r="111" spans="1:107 16122:16122" s="159" customFormat="1" ht="15" hidden="1" customHeight="1" outlineLevel="1">
      <c r="A111" t="s">
        <v>18</v>
      </c>
      <c r="B111" s="154" t="s">
        <v>27</v>
      </c>
      <c r="C111" s="143" t="str">
        <f t="shared" ref="C111:BN114" si="49">IFERROR(C159/C63,"-")</f>
        <v>-</v>
      </c>
      <c r="D111" s="143" t="str">
        <f t="shared" si="49"/>
        <v>-</v>
      </c>
      <c r="E111" s="143" t="str">
        <f t="shared" si="49"/>
        <v>-</v>
      </c>
      <c r="F111" s="143" t="str">
        <f t="shared" si="49"/>
        <v>-</v>
      </c>
      <c r="G111" s="143" t="str">
        <f t="shared" si="49"/>
        <v>-</v>
      </c>
      <c r="H111" s="143" t="str">
        <f t="shared" si="49"/>
        <v>-</v>
      </c>
      <c r="I111" s="143" t="str">
        <f t="shared" si="49"/>
        <v>-</v>
      </c>
      <c r="J111" s="143" t="str">
        <f t="shared" si="49"/>
        <v>-</v>
      </c>
      <c r="K111" s="143" t="str">
        <f t="shared" si="49"/>
        <v>-</v>
      </c>
      <c r="L111" s="143" t="str">
        <f t="shared" si="49"/>
        <v>-</v>
      </c>
      <c r="M111" s="143" t="str">
        <f t="shared" si="49"/>
        <v>-</v>
      </c>
      <c r="N111" s="143" t="str">
        <f t="shared" si="49"/>
        <v>-</v>
      </c>
      <c r="O111" s="143" t="str">
        <f t="shared" si="49"/>
        <v>-</v>
      </c>
      <c r="P111" s="143" t="str">
        <f t="shared" si="49"/>
        <v>-</v>
      </c>
      <c r="Q111" s="143" t="str">
        <f t="shared" si="49"/>
        <v>-</v>
      </c>
      <c r="R111" s="143" t="str">
        <f t="shared" si="49"/>
        <v>-</v>
      </c>
      <c r="S111" s="143" t="str">
        <f t="shared" si="49"/>
        <v>-</v>
      </c>
      <c r="T111" s="143" t="str">
        <f t="shared" si="49"/>
        <v>-</v>
      </c>
      <c r="U111" s="143" t="str">
        <f t="shared" si="49"/>
        <v>-</v>
      </c>
      <c r="V111" s="143" t="str">
        <f t="shared" si="49"/>
        <v>-</v>
      </c>
      <c r="W111" s="143" t="str">
        <f t="shared" si="49"/>
        <v>-</v>
      </c>
      <c r="X111" s="143" t="str">
        <f t="shared" si="49"/>
        <v>-</v>
      </c>
      <c r="Y111" s="143" t="str">
        <f t="shared" si="49"/>
        <v>-</v>
      </c>
      <c r="Z111" s="143" t="str">
        <f t="shared" si="49"/>
        <v>-</v>
      </c>
      <c r="AA111" s="143" t="str">
        <f t="shared" si="49"/>
        <v>-</v>
      </c>
      <c r="AB111" s="143" t="str">
        <f t="shared" si="49"/>
        <v>-</v>
      </c>
      <c r="AC111" s="143" t="str">
        <f t="shared" si="49"/>
        <v>-</v>
      </c>
      <c r="AD111" s="143" t="str">
        <f t="shared" si="49"/>
        <v>-</v>
      </c>
      <c r="AE111" s="143" t="str">
        <f t="shared" si="49"/>
        <v>-</v>
      </c>
      <c r="AF111" s="143" t="str">
        <f t="shared" si="49"/>
        <v>-</v>
      </c>
      <c r="AG111" s="143" t="str">
        <f t="shared" si="49"/>
        <v>-</v>
      </c>
      <c r="AH111" s="143" t="str">
        <f t="shared" si="49"/>
        <v>-</v>
      </c>
      <c r="AI111" s="143" t="str">
        <f t="shared" si="49"/>
        <v>-</v>
      </c>
      <c r="AJ111" s="143" t="str">
        <f t="shared" si="49"/>
        <v>-</v>
      </c>
      <c r="AK111" s="143" t="str">
        <f t="shared" si="49"/>
        <v>-</v>
      </c>
      <c r="AL111" s="143" t="str">
        <f t="shared" si="49"/>
        <v>-</v>
      </c>
      <c r="AM111" s="143" t="str">
        <f t="shared" si="49"/>
        <v>-</v>
      </c>
      <c r="AN111" s="143">
        <f t="shared" si="49"/>
        <v>1</v>
      </c>
      <c r="AO111" s="143">
        <f t="shared" si="49"/>
        <v>0.83289336361962063</v>
      </c>
      <c r="AP111" s="143">
        <f t="shared" si="49"/>
        <v>0.83289999999999997</v>
      </c>
      <c r="AQ111" s="143">
        <f t="shared" si="49"/>
        <v>0.83289999999999997</v>
      </c>
      <c r="AR111" s="143">
        <f t="shared" si="49"/>
        <v>0.83289999999999997</v>
      </c>
      <c r="AS111" s="143">
        <f t="shared" si="49"/>
        <v>0.83289999999999997</v>
      </c>
      <c r="AT111" s="143">
        <f t="shared" si="49"/>
        <v>0.83289999999999997</v>
      </c>
      <c r="AU111" s="143">
        <f t="shared" si="49"/>
        <v>0.83289999999999997</v>
      </c>
      <c r="AV111" s="143">
        <f t="shared" si="49"/>
        <v>0.83289999999999997</v>
      </c>
      <c r="AW111" s="143">
        <f t="shared" si="49"/>
        <v>0.83289999999999997</v>
      </c>
      <c r="AX111" s="143">
        <f t="shared" si="49"/>
        <v>0.83289999999999997</v>
      </c>
      <c r="AY111" s="143">
        <f t="shared" si="49"/>
        <v>0.83289999999999997</v>
      </c>
      <c r="AZ111" s="143">
        <f t="shared" si="49"/>
        <v>0.83289999999999997</v>
      </c>
      <c r="BA111" s="143">
        <f t="shared" si="49"/>
        <v>0.83289999999999997</v>
      </c>
      <c r="BB111" s="143">
        <f t="shared" si="49"/>
        <v>0.83289999999999997</v>
      </c>
      <c r="BC111" s="143">
        <f t="shared" si="49"/>
        <v>0.83289999999999997</v>
      </c>
      <c r="BD111" s="143">
        <f t="shared" si="49"/>
        <v>0.83289999999999997</v>
      </c>
      <c r="BE111" s="143">
        <f t="shared" si="49"/>
        <v>0.83289999999999997</v>
      </c>
      <c r="BF111" s="143" t="str">
        <f t="shared" si="49"/>
        <v>-</v>
      </c>
      <c r="BG111" s="143" t="str">
        <f t="shared" si="49"/>
        <v>-</v>
      </c>
      <c r="BH111" s="143" t="str">
        <f t="shared" si="49"/>
        <v>-</v>
      </c>
      <c r="BI111" s="143" t="str">
        <f t="shared" si="49"/>
        <v>-</v>
      </c>
      <c r="BJ111" s="143" t="str">
        <f t="shared" si="49"/>
        <v>-</v>
      </c>
      <c r="BK111" s="143" t="str">
        <f t="shared" si="49"/>
        <v>-</v>
      </c>
      <c r="BL111" s="143" t="str">
        <f t="shared" si="49"/>
        <v>-</v>
      </c>
      <c r="BM111" s="143" t="str">
        <f t="shared" si="49"/>
        <v>-</v>
      </c>
      <c r="BN111" s="143" t="str">
        <f t="shared" si="49"/>
        <v>-</v>
      </c>
      <c r="BO111" s="143" t="str">
        <f t="shared" si="47"/>
        <v>-</v>
      </c>
      <c r="BP111" s="143" t="str">
        <f t="shared" ref="BP111" si="50">IFERROR(BP159/BP63,"-")</f>
        <v>-</v>
      </c>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row>
    <row r="112" spans="1:107 16122:16122" s="159" customFormat="1" ht="15" hidden="1" customHeight="1" outlineLevel="1">
      <c r="A112" t="s">
        <v>18</v>
      </c>
      <c r="B112" s="154" t="s">
        <v>19</v>
      </c>
      <c r="C112" s="143" t="str">
        <f t="shared" si="49"/>
        <v>-</v>
      </c>
      <c r="D112" s="143" t="str">
        <f t="shared" si="49"/>
        <v>-</v>
      </c>
      <c r="E112" s="143" t="str">
        <f t="shared" si="49"/>
        <v>-</v>
      </c>
      <c r="F112" s="143" t="str">
        <f t="shared" si="49"/>
        <v>-</v>
      </c>
      <c r="G112" s="143" t="str">
        <f t="shared" si="49"/>
        <v>-</v>
      </c>
      <c r="H112" s="143" t="str">
        <f t="shared" si="49"/>
        <v>-</v>
      </c>
      <c r="I112" s="143" t="str">
        <f t="shared" si="49"/>
        <v>-</v>
      </c>
      <c r="J112" s="143" t="str">
        <f t="shared" si="49"/>
        <v>-</v>
      </c>
      <c r="K112" s="143" t="str">
        <f t="shared" si="49"/>
        <v>-</v>
      </c>
      <c r="L112" s="143" t="str">
        <f t="shared" si="49"/>
        <v>-</v>
      </c>
      <c r="M112" s="143" t="str">
        <f t="shared" si="49"/>
        <v>-</v>
      </c>
      <c r="N112" s="143" t="str">
        <f t="shared" si="49"/>
        <v>-</v>
      </c>
      <c r="O112" s="143" t="str">
        <f t="shared" si="49"/>
        <v>-</v>
      </c>
      <c r="P112" s="143" t="str">
        <f t="shared" si="49"/>
        <v>-</v>
      </c>
      <c r="Q112" s="143" t="str">
        <f t="shared" si="49"/>
        <v>-</v>
      </c>
      <c r="R112" s="143" t="str">
        <f t="shared" si="49"/>
        <v>-</v>
      </c>
      <c r="S112" s="143" t="str">
        <f t="shared" si="49"/>
        <v>-</v>
      </c>
      <c r="T112" s="143" t="str">
        <f t="shared" si="49"/>
        <v>-</v>
      </c>
      <c r="U112" s="143" t="str">
        <f t="shared" si="49"/>
        <v>-</v>
      </c>
      <c r="V112" s="143" t="str">
        <f t="shared" si="49"/>
        <v>-</v>
      </c>
      <c r="W112" s="143" t="str">
        <f t="shared" si="49"/>
        <v>-</v>
      </c>
      <c r="X112" s="143" t="str">
        <f t="shared" si="49"/>
        <v>-</v>
      </c>
      <c r="Y112" s="143" t="str">
        <f t="shared" si="49"/>
        <v>-</v>
      </c>
      <c r="Z112" s="143" t="str">
        <f t="shared" si="49"/>
        <v>-</v>
      </c>
      <c r="AA112" s="143" t="str">
        <f t="shared" si="49"/>
        <v>-</v>
      </c>
      <c r="AB112" s="143" t="str">
        <f t="shared" si="49"/>
        <v>-</v>
      </c>
      <c r="AC112" s="143">
        <f t="shared" si="49"/>
        <v>1</v>
      </c>
      <c r="AD112" s="143">
        <f t="shared" si="49"/>
        <v>1</v>
      </c>
      <c r="AE112" s="143">
        <f t="shared" si="49"/>
        <v>1</v>
      </c>
      <c r="AF112" s="143">
        <f t="shared" si="49"/>
        <v>1</v>
      </c>
      <c r="AG112" s="143">
        <f t="shared" si="49"/>
        <v>1</v>
      </c>
      <c r="AH112" s="143">
        <f t="shared" si="49"/>
        <v>1</v>
      </c>
      <c r="AI112" s="143" t="str">
        <f t="shared" si="49"/>
        <v>-</v>
      </c>
      <c r="AJ112" s="143" t="str">
        <f t="shared" si="49"/>
        <v>-</v>
      </c>
      <c r="AK112" s="143" t="str">
        <f t="shared" si="49"/>
        <v>-</v>
      </c>
      <c r="AL112" s="143" t="str">
        <f t="shared" si="49"/>
        <v>-</v>
      </c>
      <c r="AM112" s="143" t="str">
        <f t="shared" si="49"/>
        <v>-</v>
      </c>
      <c r="AN112" s="143" t="str">
        <f t="shared" si="49"/>
        <v>-</v>
      </c>
      <c r="AO112" s="143" t="str">
        <f t="shared" si="49"/>
        <v>-</v>
      </c>
      <c r="AP112" s="143" t="str">
        <f t="shared" si="49"/>
        <v>-</v>
      </c>
      <c r="AQ112" s="143" t="str">
        <f t="shared" si="49"/>
        <v>-</v>
      </c>
      <c r="AR112" s="63" t="str">
        <f t="shared" si="49"/>
        <v>-</v>
      </c>
      <c r="AS112" s="143" t="str">
        <f t="shared" si="49"/>
        <v>-</v>
      </c>
      <c r="AT112" s="143" t="str">
        <f t="shared" si="49"/>
        <v>-</v>
      </c>
      <c r="AU112" s="143" t="str">
        <f t="shared" si="49"/>
        <v>-</v>
      </c>
      <c r="AV112" s="143" t="str">
        <f t="shared" si="49"/>
        <v>-</v>
      </c>
      <c r="AW112" s="143" t="str">
        <f t="shared" si="49"/>
        <v>-</v>
      </c>
      <c r="AX112" s="143" t="str">
        <f t="shared" si="49"/>
        <v>-</v>
      </c>
      <c r="AY112" s="143" t="str">
        <f t="shared" si="49"/>
        <v>-</v>
      </c>
      <c r="AZ112" s="143" t="str">
        <f t="shared" si="49"/>
        <v>-</v>
      </c>
      <c r="BA112" s="143" t="str">
        <f t="shared" si="49"/>
        <v>-</v>
      </c>
      <c r="BB112" s="143" t="str">
        <f t="shared" si="49"/>
        <v>-</v>
      </c>
      <c r="BC112" s="143" t="str">
        <f t="shared" si="49"/>
        <v>-</v>
      </c>
      <c r="BD112" s="143" t="str">
        <f t="shared" si="49"/>
        <v>-</v>
      </c>
      <c r="BE112" s="143" t="str">
        <f t="shared" si="49"/>
        <v>-</v>
      </c>
      <c r="BF112" s="143" t="str">
        <f t="shared" si="49"/>
        <v>-</v>
      </c>
      <c r="BG112" s="143" t="str">
        <f t="shared" si="49"/>
        <v>-</v>
      </c>
      <c r="BH112" s="143" t="str">
        <f t="shared" si="49"/>
        <v>-</v>
      </c>
      <c r="BI112" s="143" t="str">
        <f t="shared" si="49"/>
        <v>-</v>
      </c>
      <c r="BJ112" s="143" t="str">
        <f t="shared" si="49"/>
        <v>-</v>
      </c>
      <c r="BK112" s="143" t="str">
        <f t="shared" si="49"/>
        <v>-</v>
      </c>
      <c r="BL112" s="143" t="str">
        <f t="shared" si="49"/>
        <v>-</v>
      </c>
      <c r="BM112" s="143" t="str">
        <f t="shared" si="49"/>
        <v>-</v>
      </c>
      <c r="BN112" s="143" t="str">
        <f t="shared" si="49"/>
        <v>-</v>
      </c>
      <c r="BO112" s="143" t="str">
        <f t="shared" si="47"/>
        <v>-</v>
      </c>
      <c r="BP112" s="143" t="str">
        <f t="shared" ref="BP112" si="51">IFERROR(BP160/BP64,"-")</f>
        <v>-</v>
      </c>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c r="CS112" s="231"/>
      <c r="CT112" s="231"/>
      <c r="CU112" s="231"/>
      <c r="CV112" s="231"/>
      <c r="CW112" s="231"/>
      <c r="CX112" s="231"/>
      <c r="CY112" s="231"/>
      <c r="CZ112" s="231"/>
      <c r="DA112" s="231"/>
      <c r="DB112" s="231"/>
      <c r="DC112" s="231"/>
    </row>
    <row r="113" spans="1:107" s="159" customFormat="1" ht="15" hidden="1" customHeight="1" outlineLevel="1">
      <c r="A113" t="s">
        <v>18</v>
      </c>
      <c r="B113" s="154" t="s">
        <v>5</v>
      </c>
      <c r="C113" s="143" t="str">
        <f t="shared" si="49"/>
        <v>-</v>
      </c>
      <c r="D113" s="143" t="str">
        <f t="shared" si="49"/>
        <v>-</v>
      </c>
      <c r="E113" s="143" t="str">
        <f t="shared" si="49"/>
        <v>-</v>
      </c>
      <c r="F113" s="143" t="str">
        <f t="shared" si="49"/>
        <v>-</v>
      </c>
      <c r="G113" s="143">
        <f t="shared" si="49"/>
        <v>1</v>
      </c>
      <c r="H113" s="143">
        <f t="shared" si="49"/>
        <v>1</v>
      </c>
      <c r="I113" s="143">
        <f t="shared" si="49"/>
        <v>1</v>
      </c>
      <c r="J113" s="143">
        <f t="shared" si="49"/>
        <v>1</v>
      </c>
      <c r="K113" s="143">
        <f t="shared" si="49"/>
        <v>1</v>
      </c>
      <c r="L113" s="143">
        <f t="shared" si="49"/>
        <v>1</v>
      </c>
      <c r="M113" s="143">
        <f t="shared" si="49"/>
        <v>1</v>
      </c>
      <c r="N113" s="143">
        <f t="shared" si="49"/>
        <v>1</v>
      </c>
      <c r="O113" s="143">
        <f t="shared" si="49"/>
        <v>1</v>
      </c>
      <c r="P113" s="143" t="str">
        <f t="shared" si="49"/>
        <v>-</v>
      </c>
      <c r="Q113" s="143" t="str">
        <f t="shared" si="49"/>
        <v>-</v>
      </c>
      <c r="R113" s="143" t="str">
        <f t="shared" si="49"/>
        <v>-</v>
      </c>
      <c r="S113" s="143" t="str">
        <f t="shared" si="49"/>
        <v>-</v>
      </c>
      <c r="T113" s="143" t="str">
        <f t="shared" si="49"/>
        <v>-</v>
      </c>
      <c r="U113" s="143" t="str">
        <f t="shared" si="49"/>
        <v>-</v>
      </c>
      <c r="V113" s="143" t="str">
        <f t="shared" si="49"/>
        <v>-</v>
      </c>
      <c r="W113" s="143" t="str">
        <f t="shared" si="49"/>
        <v>-</v>
      </c>
      <c r="X113" s="143" t="str">
        <f t="shared" si="49"/>
        <v>-</v>
      </c>
      <c r="Y113" s="143" t="str">
        <f t="shared" si="49"/>
        <v>-</v>
      </c>
      <c r="Z113" s="143" t="str">
        <f t="shared" si="49"/>
        <v>-</v>
      </c>
      <c r="AA113" s="143" t="str">
        <f t="shared" si="49"/>
        <v>-</v>
      </c>
      <c r="AB113" s="143" t="str">
        <f t="shared" si="49"/>
        <v>-</v>
      </c>
      <c r="AC113" s="143" t="str">
        <f t="shared" si="49"/>
        <v>-</v>
      </c>
      <c r="AD113" s="143" t="str">
        <f t="shared" si="49"/>
        <v>-</v>
      </c>
      <c r="AE113" s="143" t="str">
        <f t="shared" si="49"/>
        <v>-</v>
      </c>
      <c r="AF113" s="143" t="str">
        <f t="shared" si="49"/>
        <v>-</v>
      </c>
      <c r="AG113" s="143" t="str">
        <f t="shared" si="49"/>
        <v>-</v>
      </c>
      <c r="AH113" s="143" t="str">
        <f t="shared" si="49"/>
        <v>-</v>
      </c>
      <c r="AI113" s="143" t="str">
        <f t="shared" si="49"/>
        <v>-</v>
      </c>
      <c r="AJ113" s="143" t="str">
        <f t="shared" si="49"/>
        <v>-</v>
      </c>
      <c r="AK113" s="143" t="str">
        <f t="shared" si="49"/>
        <v>-</v>
      </c>
      <c r="AL113" s="143" t="str">
        <f t="shared" si="49"/>
        <v>-</v>
      </c>
      <c r="AM113" s="143" t="str">
        <f t="shared" si="49"/>
        <v>-</v>
      </c>
      <c r="AN113" s="143" t="str">
        <f t="shared" si="49"/>
        <v>-</v>
      </c>
      <c r="AO113" s="143" t="str">
        <f t="shared" si="49"/>
        <v>-</v>
      </c>
      <c r="AP113" s="143" t="str">
        <f t="shared" si="49"/>
        <v>-</v>
      </c>
      <c r="AQ113" s="143" t="str">
        <f t="shared" si="49"/>
        <v>-</v>
      </c>
      <c r="AR113" s="63" t="str">
        <f t="shared" si="49"/>
        <v>-</v>
      </c>
      <c r="AS113" s="143" t="str">
        <f t="shared" si="49"/>
        <v>-</v>
      </c>
      <c r="AT113" s="143" t="str">
        <f t="shared" si="49"/>
        <v>-</v>
      </c>
      <c r="AU113" s="143" t="str">
        <f t="shared" si="49"/>
        <v>-</v>
      </c>
      <c r="AV113" s="143" t="str">
        <f t="shared" si="49"/>
        <v>-</v>
      </c>
      <c r="AW113" s="143" t="str">
        <f t="shared" si="49"/>
        <v>-</v>
      </c>
      <c r="AX113" s="143" t="str">
        <f t="shared" si="49"/>
        <v>-</v>
      </c>
      <c r="AY113" s="143" t="str">
        <f t="shared" si="49"/>
        <v>-</v>
      </c>
      <c r="AZ113" s="143" t="str">
        <f t="shared" si="49"/>
        <v>-</v>
      </c>
      <c r="BA113" s="143" t="str">
        <f t="shared" si="49"/>
        <v>-</v>
      </c>
      <c r="BB113" s="143" t="str">
        <f t="shared" si="49"/>
        <v>-</v>
      </c>
      <c r="BC113" s="143" t="str">
        <f t="shared" si="49"/>
        <v>-</v>
      </c>
      <c r="BD113" s="143" t="str">
        <f t="shared" si="49"/>
        <v>-</v>
      </c>
      <c r="BE113" s="143" t="str">
        <f t="shared" si="49"/>
        <v>-</v>
      </c>
      <c r="BF113" s="143" t="str">
        <f t="shared" si="49"/>
        <v>-</v>
      </c>
      <c r="BG113" s="143" t="str">
        <f t="shared" si="49"/>
        <v>-</v>
      </c>
      <c r="BH113" s="143" t="str">
        <f t="shared" si="49"/>
        <v>-</v>
      </c>
      <c r="BI113" s="143" t="str">
        <f t="shared" si="49"/>
        <v>-</v>
      </c>
      <c r="BJ113" s="143" t="str">
        <f t="shared" si="49"/>
        <v>-</v>
      </c>
      <c r="BK113" s="143" t="str">
        <f t="shared" si="49"/>
        <v>-</v>
      </c>
      <c r="BL113" s="143" t="str">
        <f t="shared" si="49"/>
        <v>-</v>
      </c>
      <c r="BM113" s="143" t="str">
        <f t="shared" si="49"/>
        <v>-</v>
      </c>
      <c r="BN113" s="143" t="str">
        <f t="shared" si="49"/>
        <v>-</v>
      </c>
      <c r="BO113" s="143" t="str">
        <f t="shared" si="47"/>
        <v>-</v>
      </c>
      <c r="BP113" s="143" t="str">
        <f t="shared" ref="BP113" si="52">IFERROR(BP161/BP65,"-")</f>
        <v>-</v>
      </c>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row>
    <row r="114" spans="1:107" ht="15" hidden="1" customHeight="1" outlineLevel="1">
      <c r="A114" t="s">
        <v>236</v>
      </c>
      <c r="B114" s="38" t="s">
        <v>48</v>
      </c>
      <c r="C114" s="143" t="str">
        <f t="shared" si="49"/>
        <v>-</v>
      </c>
      <c r="D114" s="143" t="str">
        <f t="shared" si="49"/>
        <v>-</v>
      </c>
      <c r="E114" s="143" t="str">
        <f t="shared" si="49"/>
        <v>-</v>
      </c>
      <c r="F114" s="143" t="str">
        <f t="shared" si="49"/>
        <v>-</v>
      </c>
      <c r="G114" s="143" t="str">
        <f t="shared" si="49"/>
        <v>-</v>
      </c>
      <c r="H114" s="143" t="str">
        <f t="shared" si="49"/>
        <v>-</v>
      </c>
      <c r="I114" s="143" t="str">
        <f t="shared" si="49"/>
        <v>-</v>
      </c>
      <c r="J114" s="143" t="str">
        <f t="shared" si="49"/>
        <v>-</v>
      </c>
      <c r="K114" s="143" t="str">
        <f t="shared" si="49"/>
        <v>-</v>
      </c>
      <c r="L114" s="143" t="str">
        <f t="shared" si="49"/>
        <v>-</v>
      </c>
      <c r="M114" s="143" t="str">
        <f t="shared" si="49"/>
        <v>-</v>
      </c>
      <c r="N114" s="143" t="str">
        <f t="shared" si="49"/>
        <v>-</v>
      </c>
      <c r="O114" s="143" t="str">
        <f t="shared" si="49"/>
        <v>-</v>
      </c>
      <c r="P114" s="143" t="str">
        <f t="shared" si="49"/>
        <v>-</v>
      </c>
      <c r="Q114" s="143" t="str">
        <f t="shared" si="49"/>
        <v>-</v>
      </c>
      <c r="R114" s="143" t="str">
        <f t="shared" si="49"/>
        <v>-</v>
      </c>
      <c r="S114" s="143" t="str">
        <f t="shared" si="49"/>
        <v>-</v>
      </c>
      <c r="T114" s="143" t="str">
        <f t="shared" si="49"/>
        <v>-</v>
      </c>
      <c r="U114" s="143" t="str">
        <f t="shared" si="49"/>
        <v>-</v>
      </c>
      <c r="V114" s="143" t="str">
        <f t="shared" si="49"/>
        <v>-</v>
      </c>
      <c r="W114" s="143" t="str">
        <f t="shared" si="49"/>
        <v>-</v>
      </c>
      <c r="X114" s="143" t="str">
        <f t="shared" si="49"/>
        <v>-</v>
      </c>
      <c r="Y114" s="143" t="str">
        <f t="shared" si="49"/>
        <v>-</v>
      </c>
      <c r="Z114" s="143" t="str">
        <f t="shared" si="49"/>
        <v>-</v>
      </c>
      <c r="AA114" s="143" t="str">
        <f t="shared" si="49"/>
        <v>-</v>
      </c>
      <c r="AB114" s="143" t="str">
        <f t="shared" si="49"/>
        <v>-</v>
      </c>
      <c r="AC114" s="143" t="str">
        <f t="shared" si="49"/>
        <v>-</v>
      </c>
      <c r="AD114" s="143" t="str">
        <f t="shared" si="49"/>
        <v>-</v>
      </c>
      <c r="AE114" s="143" t="str">
        <f t="shared" si="49"/>
        <v>-</v>
      </c>
      <c r="AF114" s="143" t="str">
        <f t="shared" si="49"/>
        <v>-</v>
      </c>
      <c r="AG114" s="143" t="str">
        <f t="shared" si="49"/>
        <v>-</v>
      </c>
      <c r="AH114" s="143" t="str">
        <f t="shared" si="49"/>
        <v>-</v>
      </c>
      <c r="AI114" s="143" t="str">
        <f t="shared" si="49"/>
        <v>-</v>
      </c>
      <c r="AJ114" s="143" t="str">
        <f t="shared" si="49"/>
        <v>-</v>
      </c>
      <c r="AK114" s="143" t="str">
        <f t="shared" si="49"/>
        <v>-</v>
      </c>
      <c r="AL114" s="143" t="str">
        <f t="shared" si="49"/>
        <v>-</v>
      </c>
      <c r="AM114" s="143" t="str">
        <f t="shared" si="49"/>
        <v>-</v>
      </c>
      <c r="AN114" s="143" t="str">
        <f t="shared" si="49"/>
        <v>-</v>
      </c>
      <c r="AO114" s="143" t="str">
        <f t="shared" si="49"/>
        <v>-</v>
      </c>
      <c r="AP114" s="143" t="str">
        <f t="shared" si="49"/>
        <v>-</v>
      </c>
      <c r="AQ114" s="143" t="str">
        <f t="shared" si="49"/>
        <v>-</v>
      </c>
      <c r="AR114" s="143" t="str">
        <f t="shared" si="49"/>
        <v>-</v>
      </c>
      <c r="AS114" s="143" t="str">
        <f t="shared" si="49"/>
        <v>-</v>
      </c>
      <c r="AT114" s="143" t="str">
        <f t="shared" si="49"/>
        <v>-</v>
      </c>
      <c r="AU114" s="143" t="str">
        <f t="shared" si="49"/>
        <v>-</v>
      </c>
      <c r="AV114" s="143" t="str">
        <f t="shared" si="49"/>
        <v>-</v>
      </c>
      <c r="AW114" s="143" t="str">
        <f t="shared" si="49"/>
        <v>-</v>
      </c>
      <c r="AX114" s="143">
        <f t="shared" si="49"/>
        <v>0.3</v>
      </c>
      <c r="AY114" s="143">
        <f t="shared" si="49"/>
        <v>0.3</v>
      </c>
      <c r="AZ114" s="143">
        <f t="shared" si="49"/>
        <v>0.3</v>
      </c>
      <c r="BA114" s="143">
        <f t="shared" si="49"/>
        <v>0.3</v>
      </c>
      <c r="BB114" s="143">
        <f t="shared" si="49"/>
        <v>0.3</v>
      </c>
      <c r="BC114" s="143">
        <f t="shared" si="49"/>
        <v>0.3</v>
      </c>
      <c r="BD114" s="143">
        <f t="shared" si="49"/>
        <v>0.3</v>
      </c>
      <c r="BE114" s="143">
        <f t="shared" si="49"/>
        <v>0.3</v>
      </c>
      <c r="BF114" s="143">
        <f t="shared" si="49"/>
        <v>0.3</v>
      </c>
      <c r="BG114" s="143">
        <f t="shared" si="49"/>
        <v>0.3</v>
      </c>
      <c r="BH114" s="143">
        <f t="shared" si="49"/>
        <v>0.3</v>
      </c>
      <c r="BI114" s="143">
        <f t="shared" si="49"/>
        <v>0.3</v>
      </c>
      <c r="BJ114" s="143">
        <f t="shared" si="49"/>
        <v>0.3</v>
      </c>
      <c r="BK114" s="143">
        <f t="shared" si="49"/>
        <v>0.3</v>
      </c>
      <c r="BL114" s="143">
        <f t="shared" si="49"/>
        <v>0.3</v>
      </c>
      <c r="BM114" s="143">
        <f t="shared" si="49"/>
        <v>0.3</v>
      </c>
      <c r="BN114" s="143">
        <f t="shared" ref="BN114:BP117" si="53">IFERROR(BN162/BN66,"-")</f>
        <v>0.3</v>
      </c>
      <c r="BO114" s="143">
        <f t="shared" si="53"/>
        <v>0.3</v>
      </c>
      <c r="BP114" s="143">
        <f t="shared" ref="BP114" si="54">IFERROR(BP162/BP66,"-")</f>
        <v>0.1</v>
      </c>
    </row>
    <row r="115" spans="1:107" ht="15" hidden="1" customHeight="1" outlineLevel="1">
      <c r="A115" t="s">
        <v>237</v>
      </c>
      <c r="B115" s="38" t="s">
        <v>49</v>
      </c>
      <c r="C115" s="143" t="str">
        <f t="shared" ref="C115:BN118" si="55">IFERROR(C163/C67,"-")</f>
        <v>-</v>
      </c>
      <c r="D115" s="143" t="str">
        <f t="shared" si="55"/>
        <v>-</v>
      </c>
      <c r="E115" s="143" t="str">
        <f t="shared" si="55"/>
        <v>-</v>
      </c>
      <c r="F115" s="143" t="str">
        <f t="shared" si="55"/>
        <v>-</v>
      </c>
      <c r="G115" s="143" t="str">
        <f t="shared" si="55"/>
        <v>-</v>
      </c>
      <c r="H115" s="143" t="str">
        <f t="shared" si="55"/>
        <v>-</v>
      </c>
      <c r="I115" s="143" t="str">
        <f t="shared" si="55"/>
        <v>-</v>
      </c>
      <c r="J115" s="143" t="str">
        <f t="shared" si="55"/>
        <v>-</v>
      </c>
      <c r="K115" s="143" t="str">
        <f t="shared" si="55"/>
        <v>-</v>
      </c>
      <c r="L115" s="143" t="str">
        <f t="shared" si="55"/>
        <v>-</v>
      </c>
      <c r="M115" s="143" t="str">
        <f t="shared" si="55"/>
        <v>-</v>
      </c>
      <c r="N115" s="143" t="str">
        <f t="shared" si="55"/>
        <v>-</v>
      </c>
      <c r="O115" s="143" t="str">
        <f t="shared" si="55"/>
        <v>-</v>
      </c>
      <c r="P115" s="143" t="str">
        <f t="shared" si="55"/>
        <v>-</v>
      </c>
      <c r="Q115" s="143" t="str">
        <f t="shared" si="55"/>
        <v>-</v>
      </c>
      <c r="R115" s="143" t="str">
        <f t="shared" si="55"/>
        <v>-</v>
      </c>
      <c r="S115" s="143" t="str">
        <f t="shared" si="55"/>
        <v>-</v>
      </c>
      <c r="T115" s="143" t="str">
        <f t="shared" si="55"/>
        <v>-</v>
      </c>
      <c r="U115" s="143" t="str">
        <f t="shared" si="55"/>
        <v>-</v>
      </c>
      <c r="V115" s="143" t="str">
        <f t="shared" si="55"/>
        <v>-</v>
      </c>
      <c r="W115" s="143" t="str">
        <f t="shared" si="55"/>
        <v>-</v>
      </c>
      <c r="X115" s="143" t="str">
        <f t="shared" si="55"/>
        <v>-</v>
      </c>
      <c r="Y115" s="143" t="str">
        <f t="shared" si="55"/>
        <v>-</v>
      </c>
      <c r="Z115" s="143" t="str">
        <f t="shared" si="55"/>
        <v>-</v>
      </c>
      <c r="AA115" s="143" t="str">
        <f t="shared" si="55"/>
        <v>-</v>
      </c>
      <c r="AB115" s="143" t="str">
        <f t="shared" si="55"/>
        <v>-</v>
      </c>
      <c r="AC115" s="143" t="str">
        <f t="shared" si="55"/>
        <v>-</v>
      </c>
      <c r="AD115" s="143" t="str">
        <f t="shared" si="55"/>
        <v>-</v>
      </c>
      <c r="AE115" s="143" t="str">
        <f t="shared" si="55"/>
        <v>-</v>
      </c>
      <c r="AF115" s="143" t="str">
        <f t="shared" si="55"/>
        <v>-</v>
      </c>
      <c r="AG115" s="143" t="str">
        <f t="shared" si="55"/>
        <v>-</v>
      </c>
      <c r="AH115" s="143" t="str">
        <f t="shared" si="55"/>
        <v>-</v>
      </c>
      <c r="AI115" s="143" t="str">
        <f t="shared" si="55"/>
        <v>-</v>
      </c>
      <c r="AJ115" s="143" t="str">
        <f t="shared" si="55"/>
        <v>-</v>
      </c>
      <c r="AK115" s="143" t="str">
        <f t="shared" si="55"/>
        <v>-</v>
      </c>
      <c r="AL115" s="143" t="str">
        <f t="shared" si="55"/>
        <v>-</v>
      </c>
      <c r="AM115" s="143" t="str">
        <f t="shared" si="55"/>
        <v>-</v>
      </c>
      <c r="AN115" s="143" t="str">
        <f t="shared" si="55"/>
        <v>-</v>
      </c>
      <c r="AO115" s="143" t="str">
        <f t="shared" si="55"/>
        <v>-</v>
      </c>
      <c r="AP115" s="143" t="str">
        <f t="shared" si="55"/>
        <v>-</v>
      </c>
      <c r="AQ115" s="143" t="str">
        <f t="shared" si="55"/>
        <v>-</v>
      </c>
      <c r="AR115" s="143" t="str">
        <f t="shared" si="55"/>
        <v>-</v>
      </c>
      <c r="AS115" s="143" t="str">
        <f t="shared" si="55"/>
        <v>-</v>
      </c>
      <c r="AT115" s="143" t="str">
        <f t="shared" si="55"/>
        <v>-</v>
      </c>
      <c r="AU115" s="143" t="str">
        <f t="shared" si="55"/>
        <v>-</v>
      </c>
      <c r="AV115" s="143" t="str">
        <f t="shared" si="55"/>
        <v>-</v>
      </c>
      <c r="AW115" s="143" t="str">
        <f t="shared" si="55"/>
        <v>-</v>
      </c>
      <c r="AX115" s="143">
        <f t="shared" si="55"/>
        <v>0.3</v>
      </c>
      <c r="AY115" s="143">
        <f t="shared" si="55"/>
        <v>0.3</v>
      </c>
      <c r="AZ115" s="143">
        <f t="shared" si="55"/>
        <v>0.3</v>
      </c>
      <c r="BA115" s="143">
        <f t="shared" si="55"/>
        <v>0.3</v>
      </c>
      <c r="BB115" s="143">
        <f t="shared" si="55"/>
        <v>0.3</v>
      </c>
      <c r="BC115" s="143">
        <f t="shared" si="55"/>
        <v>0.3</v>
      </c>
      <c r="BD115" s="143">
        <f t="shared" si="55"/>
        <v>0.3</v>
      </c>
      <c r="BE115" s="143">
        <f t="shared" si="55"/>
        <v>0.30000248412231811</v>
      </c>
      <c r="BF115" s="143">
        <f t="shared" si="55"/>
        <v>0.3</v>
      </c>
      <c r="BG115" s="143">
        <f t="shared" si="55"/>
        <v>0.3</v>
      </c>
      <c r="BH115" s="143">
        <f t="shared" si="55"/>
        <v>0.3</v>
      </c>
      <c r="BI115" s="143">
        <f t="shared" si="55"/>
        <v>0.3</v>
      </c>
      <c r="BJ115" s="143">
        <f t="shared" si="55"/>
        <v>0.3</v>
      </c>
      <c r="BK115" s="143">
        <f t="shared" si="55"/>
        <v>0.3</v>
      </c>
      <c r="BL115" s="143">
        <f t="shared" si="55"/>
        <v>0.3</v>
      </c>
      <c r="BM115" s="143">
        <f t="shared" si="55"/>
        <v>0.3</v>
      </c>
      <c r="BN115" s="143">
        <f t="shared" si="55"/>
        <v>0.3</v>
      </c>
      <c r="BO115" s="143">
        <f t="shared" si="53"/>
        <v>0.3</v>
      </c>
      <c r="BP115" s="143">
        <f t="shared" ref="BP115" si="56">IFERROR(BP163/BP67,"-")</f>
        <v>0.1</v>
      </c>
    </row>
    <row r="116" spans="1:107" s="30" customFormat="1" ht="15" customHeight="1" collapsed="1">
      <c r="B116" s="85" t="str">
        <f>IF('Sumário | Summary'!P1=1,"Escritórios Classe A","Class A Offices")</f>
        <v>Escritórios Classe A</v>
      </c>
      <c r="C116" s="142">
        <f t="shared" si="55"/>
        <v>0.85913328803266542</v>
      </c>
      <c r="D116" s="142">
        <f t="shared" si="55"/>
        <v>0.87222651015096375</v>
      </c>
      <c r="E116" s="142">
        <f t="shared" si="55"/>
        <v>0.87222651015096375</v>
      </c>
      <c r="F116" s="142">
        <f t="shared" si="55"/>
        <v>0.87222651015096375</v>
      </c>
      <c r="G116" s="142">
        <f t="shared" si="55"/>
        <v>0.87222651015096375</v>
      </c>
      <c r="H116" s="142">
        <f t="shared" si="55"/>
        <v>0.87222651015096375</v>
      </c>
      <c r="I116" s="142">
        <f t="shared" si="55"/>
        <v>0.87222651015096375</v>
      </c>
      <c r="J116" s="142">
        <f t="shared" si="55"/>
        <v>0.87222651015096375</v>
      </c>
      <c r="K116" s="142">
        <f t="shared" si="55"/>
        <v>0.87222651015096375</v>
      </c>
      <c r="L116" s="142">
        <f t="shared" si="55"/>
        <v>0.87222651015096375</v>
      </c>
      <c r="M116" s="142">
        <f t="shared" si="55"/>
        <v>0.87222651015096375</v>
      </c>
      <c r="N116" s="142">
        <f t="shared" si="55"/>
        <v>0.87222651015096375</v>
      </c>
      <c r="O116" s="142">
        <f t="shared" si="55"/>
        <v>0.87222651015096375</v>
      </c>
      <c r="P116" s="142">
        <f t="shared" si="55"/>
        <v>0.87222651015096375</v>
      </c>
      <c r="Q116" s="142">
        <f t="shared" si="55"/>
        <v>0.87222651015096375</v>
      </c>
      <c r="R116" s="142">
        <f t="shared" si="55"/>
        <v>0.87222651015096375</v>
      </c>
      <c r="S116" s="142">
        <f t="shared" si="55"/>
        <v>0.87222651015096375</v>
      </c>
      <c r="T116" s="142">
        <f t="shared" si="55"/>
        <v>0.87222651015096375</v>
      </c>
      <c r="U116" s="142">
        <f t="shared" si="55"/>
        <v>0.87222651015096375</v>
      </c>
      <c r="V116" s="142">
        <f t="shared" si="55"/>
        <v>0.87222651015096375</v>
      </c>
      <c r="W116" s="142">
        <f t="shared" si="55"/>
        <v>0.87222651015096375</v>
      </c>
      <c r="X116" s="142">
        <f t="shared" si="55"/>
        <v>0.87222666438764274</v>
      </c>
      <c r="Y116" s="142">
        <f t="shared" si="55"/>
        <v>0.87222666438764274</v>
      </c>
      <c r="Z116" s="142">
        <f t="shared" si="55"/>
        <v>0.87222666438764274</v>
      </c>
      <c r="AA116" s="142">
        <f t="shared" si="55"/>
        <v>0.87222666438764274</v>
      </c>
      <c r="AB116" s="142">
        <f t="shared" si="55"/>
        <v>0.87222666438764274</v>
      </c>
      <c r="AC116" s="142">
        <f t="shared" si="55"/>
        <v>0.87222666438764274</v>
      </c>
      <c r="AD116" s="142">
        <f t="shared" si="55"/>
        <v>0.87222651015096375</v>
      </c>
      <c r="AE116" s="142">
        <f t="shared" si="55"/>
        <v>0.87222651015096375</v>
      </c>
      <c r="AF116" s="142">
        <f t="shared" si="55"/>
        <v>0.8628080321326782</v>
      </c>
      <c r="AG116" s="142">
        <f t="shared" si="55"/>
        <v>0.8628065384853667</v>
      </c>
      <c r="AH116" s="142">
        <f t="shared" si="55"/>
        <v>0.8628065384853667</v>
      </c>
      <c r="AI116" s="142">
        <f t="shared" si="55"/>
        <v>0.8628080321326782</v>
      </c>
      <c r="AJ116" s="142">
        <f t="shared" si="55"/>
        <v>0.8628080321326782</v>
      </c>
      <c r="AK116" s="142">
        <f t="shared" si="55"/>
        <v>0.86280717862391132</v>
      </c>
      <c r="AL116" s="142">
        <f t="shared" si="55"/>
        <v>1.1890712607953988</v>
      </c>
      <c r="AM116" s="142">
        <f t="shared" si="55"/>
        <v>1.1890696397498044</v>
      </c>
      <c r="AN116" s="142">
        <f t="shared" si="55"/>
        <v>1.1890892670674229</v>
      </c>
      <c r="AO116" s="142">
        <f t="shared" si="55"/>
        <v>0.85476497446279343</v>
      </c>
      <c r="AP116" s="142">
        <f t="shared" si="55"/>
        <v>0.85476963974980413</v>
      </c>
      <c r="AQ116" s="142">
        <f t="shared" si="55"/>
        <v>0.85476963974980413</v>
      </c>
      <c r="AR116" s="142">
        <f t="shared" si="55"/>
        <v>0.85476963974980413</v>
      </c>
      <c r="AS116" s="142">
        <f t="shared" si="55"/>
        <v>0.85476963974980413</v>
      </c>
      <c r="AT116" s="142">
        <f t="shared" si="55"/>
        <v>0.85476963974980413</v>
      </c>
      <c r="AU116" s="142">
        <f t="shared" si="55"/>
        <v>0.6202355465065249</v>
      </c>
      <c r="AV116" s="142">
        <f t="shared" si="55"/>
        <v>0.89154663881922036</v>
      </c>
      <c r="AW116" s="142">
        <f t="shared" si="55"/>
        <v>0.71371540246920373</v>
      </c>
      <c r="AX116" s="142">
        <f t="shared" si="55"/>
        <v>0.71667704024440615</v>
      </c>
      <c r="AY116" s="142">
        <f t="shared" si="55"/>
        <v>0.71667704024440615</v>
      </c>
      <c r="AZ116" s="142">
        <f t="shared" si="55"/>
        <v>0.71667704024440615</v>
      </c>
      <c r="BA116" s="142">
        <f t="shared" si="55"/>
        <v>0.71667704024440615</v>
      </c>
      <c r="BB116" s="142">
        <f t="shared" si="55"/>
        <v>0.71667704024440615</v>
      </c>
      <c r="BC116" s="142">
        <f t="shared" si="55"/>
        <v>0.71667612991225582</v>
      </c>
      <c r="BD116" s="142">
        <f t="shared" si="55"/>
        <v>0.71667612991225582</v>
      </c>
      <c r="BE116" s="142">
        <f t="shared" si="55"/>
        <v>0.71667612991225582</v>
      </c>
      <c r="BF116" s="142">
        <f t="shared" si="55"/>
        <v>0.71667704024440615</v>
      </c>
      <c r="BG116" s="142">
        <f t="shared" si="55"/>
        <v>0.71667612991225582</v>
      </c>
      <c r="BH116" s="142">
        <f t="shared" si="55"/>
        <v>0.716676429813211</v>
      </c>
      <c r="BI116" s="142">
        <f t="shared" si="55"/>
        <v>0.716676429813211</v>
      </c>
      <c r="BJ116" s="142">
        <f t="shared" si="55"/>
        <v>0.716676429813211</v>
      </c>
      <c r="BK116" s="142">
        <f t="shared" si="55"/>
        <v>0.716676429813211</v>
      </c>
      <c r="BL116" s="142">
        <f t="shared" si="55"/>
        <v>0.716676429813211</v>
      </c>
      <c r="BM116" s="142">
        <f t="shared" si="55"/>
        <v>0.716676429813211</v>
      </c>
      <c r="BN116" s="142">
        <f t="shared" si="55"/>
        <v>0.72119996664841202</v>
      </c>
      <c r="BO116" s="142">
        <f t="shared" si="53"/>
        <v>0.72119996664841202</v>
      </c>
      <c r="BP116" s="142">
        <f t="shared" ref="BP116" si="57">IFERROR(BP164/BP68,"-")</f>
        <v>0.72119996664841202</v>
      </c>
    </row>
    <row r="117" spans="1:107" s="159" customFormat="1" ht="15" hidden="1" customHeight="1" outlineLevel="1">
      <c r="A117" t="s">
        <v>238</v>
      </c>
      <c r="B117" s="154" t="s">
        <v>6</v>
      </c>
      <c r="C117" s="143">
        <f t="shared" si="55"/>
        <v>1</v>
      </c>
      <c r="D117" s="143">
        <f t="shared" si="55"/>
        <v>1</v>
      </c>
      <c r="E117" s="143">
        <f t="shared" si="55"/>
        <v>1</v>
      </c>
      <c r="F117" s="143">
        <f t="shared" si="55"/>
        <v>1</v>
      </c>
      <c r="G117" s="143">
        <f t="shared" si="55"/>
        <v>1</v>
      </c>
      <c r="H117" s="143">
        <f t="shared" si="55"/>
        <v>1</v>
      </c>
      <c r="I117" s="143">
        <f t="shared" si="55"/>
        <v>1</v>
      </c>
      <c r="J117" s="143">
        <f t="shared" si="55"/>
        <v>1</v>
      </c>
      <c r="K117" s="143">
        <f t="shared" si="55"/>
        <v>1</v>
      </c>
      <c r="L117" s="143">
        <f t="shared" si="55"/>
        <v>1</v>
      </c>
      <c r="M117" s="143">
        <f t="shared" si="55"/>
        <v>1</v>
      </c>
      <c r="N117" s="143">
        <f t="shared" si="55"/>
        <v>1</v>
      </c>
      <c r="O117" s="143">
        <f t="shared" si="55"/>
        <v>1</v>
      </c>
      <c r="P117" s="143">
        <f t="shared" si="55"/>
        <v>1</v>
      </c>
      <c r="Q117" s="143">
        <f t="shared" si="55"/>
        <v>1</v>
      </c>
      <c r="R117" s="143">
        <f t="shared" si="55"/>
        <v>1</v>
      </c>
      <c r="S117" s="143">
        <f t="shared" si="55"/>
        <v>1</v>
      </c>
      <c r="T117" s="143">
        <f t="shared" si="55"/>
        <v>1</v>
      </c>
      <c r="U117" s="143">
        <f t="shared" si="55"/>
        <v>1</v>
      </c>
      <c r="V117" s="143">
        <f t="shared" si="55"/>
        <v>1</v>
      </c>
      <c r="W117" s="143">
        <f t="shared" si="55"/>
        <v>1</v>
      </c>
      <c r="X117" s="143">
        <f t="shared" si="55"/>
        <v>1</v>
      </c>
      <c r="Y117" s="143">
        <f t="shared" si="55"/>
        <v>1</v>
      </c>
      <c r="Z117" s="143">
        <f t="shared" si="55"/>
        <v>1</v>
      </c>
      <c r="AA117" s="143">
        <f t="shared" si="55"/>
        <v>1</v>
      </c>
      <c r="AB117" s="143">
        <f t="shared" si="55"/>
        <v>1</v>
      </c>
      <c r="AC117" s="143">
        <f t="shared" si="55"/>
        <v>1</v>
      </c>
      <c r="AD117" s="143">
        <f t="shared" si="55"/>
        <v>1</v>
      </c>
      <c r="AE117" s="143">
        <f t="shared" si="55"/>
        <v>1</v>
      </c>
      <c r="AF117" s="143">
        <f t="shared" si="55"/>
        <v>1</v>
      </c>
      <c r="AG117" s="143">
        <f t="shared" si="55"/>
        <v>1</v>
      </c>
      <c r="AH117" s="143">
        <f t="shared" si="55"/>
        <v>1</v>
      </c>
      <c r="AI117" s="143">
        <f t="shared" si="55"/>
        <v>1</v>
      </c>
      <c r="AJ117" s="143">
        <f t="shared" si="55"/>
        <v>1</v>
      </c>
      <c r="AK117" s="143">
        <f t="shared" si="55"/>
        <v>1</v>
      </c>
      <c r="AL117" s="143">
        <f t="shared" si="55"/>
        <v>1</v>
      </c>
      <c r="AM117" s="143">
        <f t="shared" si="55"/>
        <v>1</v>
      </c>
      <c r="AN117" s="143">
        <f t="shared" si="55"/>
        <v>1</v>
      </c>
      <c r="AO117" s="143">
        <f t="shared" si="55"/>
        <v>0.66570731402114769</v>
      </c>
      <c r="AP117" s="143">
        <f t="shared" si="55"/>
        <v>0.66569999999999996</v>
      </c>
      <c r="AQ117" s="143">
        <f t="shared" si="55"/>
        <v>0.66569999999999996</v>
      </c>
      <c r="AR117" s="143">
        <f t="shared" si="55"/>
        <v>0.66569999999999996</v>
      </c>
      <c r="AS117" s="143">
        <f t="shared" si="55"/>
        <v>0.66569999999999996</v>
      </c>
      <c r="AT117" s="143">
        <f t="shared" si="55"/>
        <v>0.66569999999999996</v>
      </c>
      <c r="AU117" s="143">
        <f t="shared" si="55"/>
        <v>0.66569999999999996</v>
      </c>
      <c r="AV117" s="143">
        <f t="shared" si="55"/>
        <v>0.66569999999999996</v>
      </c>
      <c r="AW117" s="143">
        <f t="shared" si="55"/>
        <v>0.66569999999999996</v>
      </c>
      <c r="AX117" s="143">
        <f t="shared" si="55"/>
        <v>0.66569999999999996</v>
      </c>
      <c r="AY117" s="143">
        <f t="shared" si="55"/>
        <v>0.66569999999999996</v>
      </c>
      <c r="AZ117" s="143">
        <f t="shared" si="55"/>
        <v>0.66569999999999996</v>
      </c>
      <c r="BA117" s="143">
        <f t="shared" si="55"/>
        <v>0.66569999999999996</v>
      </c>
      <c r="BB117" s="143">
        <f t="shared" si="55"/>
        <v>0.66569999999999996</v>
      </c>
      <c r="BC117" s="143">
        <f t="shared" si="55"/>
        <v>0.66569999999999996</v>
      </c>
      <c r="BD117" s="143">
        <f t="shared" si="55"/>
        <v>0.66569999999999996</v>
      </c>
      <c r="BE117" s="143">
        <f t="shared" si="55"/>
        <v>0.66569999999999996</v>
      </c>
      <c r="BF117" s="143">
        <f t="shared" si="55"/>
        <v>0.66569999999999996</v>
      </c>
      <c r="BG117" s="143">
        <f t="shared" si="55"/>
        <v>0.66569999999999996</v>
      </c>
      <c r="BH117" s="143">
        <f t="shared" si="55"/>
        <v>0.66569999999999996</v>
      </c>
      <c r="BI117" s="143">
        <f t="shared" si="55"/>
        <v>0.66569999999999996</v>
      </c>
      <c r="BJ117" s="143">
        <f t="shared" si="55"/>
        <v>0.66569999999999996</v>
      </c>
      <c r="BK117" s="143">
        <f t="shared" si="55"/>
        <v>0.66569999999999996</v>
      </c>
      <c r="BL117" s="143">
        <f t="shared" si="55"/>
        <v>0.66569999999999996</v>
      </c>
      <c r="BM117" s="143">
        <f t="shared" si="55"/>
        <v>0.66569999999999996</v>
      </c>
      <c r="BN117" s="143">
        <f t="shared" si="55"/>
        <v>0.66569999999999996</v>
      </c>
      <c r="BO117" s="143">
        <f t="shared" si="53"/>
        <v>0.66569999999999996</v>
      </c>
      <c r="BP117" s="143">
        <f t="shared" ref="BP117" si="58">IFERROR(BP165/BP69,"-")</f>
        <v>0.66569999999999996</v>
      </c>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row>
    <row r="118" spans="1:107" s="159" customFormat="1" ht="15" hidden="1" customHeight="1" outlineLevel="1">
      <c r="A118" t="s">
        <v>239</v>
      </c>
      <c r="B118" s="154" t="s">
        <v>7</v>
      </c>
      <c r="C118" s="143">
        <f t="shared" si="55"/>
        <v>1</v>
      </c>
      <c r="D118" s="143">
        <f t="shared" si="55"/>
        <v>1</v>
      </c>
      <c r="E118" s="143">
        <f t="shared" si="55"/>
        <v>1</v>
      </c>
      <c r="F118" s="143">
        <f t="shared" si="55"/>
        <v>1</v>
      </c>
      <c r="G118" s="143">
        <f t="shared" si="55"/>
        <v>1</v>
      </c>
      <c r="H118" s="143">
        <f t="shared" si="55"/>
        <v>1</v>
      </c>
      <c r="I118" s="143">
        <f t="shared" si="55"/>
        <v>1</v>
      </c>
      <c r="J118" s="143">
        <f t="shared" si="55"/>
        <v>1</v>
      </c>
      <c r="K118" s="143">
        <f t="shared" si="55"/>
        <v>1</v>
      </c>
      <c r="L118" s="143">
        <f t="shared" si="55"/>
        <v>1</v>
      </c>
      <c r="M118" s="143">
        <f t="shared" si="55"/>
        <v>1</v>
      </c>
      <c r="N118" s="143">
        <f t="shared" si="55"/>
        <v>1</v>
      </c>
      <c r="O118" s="143">
        <f t="shared" si="55"/>
        <v>1</v>
      </c>
      <c r="P118" s="143">
        <f t="shared" si="55"/>
        <v>1</v>
      </c>
      <c r="Q118" s="143">
        <f t="shared" si="55"/>
        <v>1</v>
      </c>
      <c r="R118" s="143">
        <f t="shared" si="55"/>
        <v>1</v>
      </c>
      <c r="S118" s="143">
        <f t="shared" si="55"/>
        <v>1</v>
      </c>
      <c r="T118" s="143">
        <f t="shared" si="55"/>
        <v>1</v>
      </c>
      <c r="U118" s="143">
        <f t="shared" si="55"/>
        <v>1</v>
      </c>
      <c r="V118" s="143">
        <f t="shared" si="55"/>
        <v>1</v>
      </c>
      <c r="W118" s="143">
        <f t="shared" si="55"/>
        <v>1</v>
      </c>
      <c r="X118" s="143">
        <f t="shared" si="55"/>
        <v>1</v>
      </c>
      <c r="Y118" s="143">
        <f t="shared" si="55"/>
        <v>1</v>
      </c>
      <c r="Z118" s="143">
        <f t="shared" si="55"/>
        <v>1</v>
      </c>
      <c r="AA118" s="143">
        <f t="shared" si="55"/>
        <v>1</v>
      </c>
      <c r="AB118" s="143">
        <f t="shared" si="55"/>
        <v>1</v>
      </c>
      <c r="AC118" s="143">
        <f t="shared" si="55"/>
        <v>1</v>
      </c>
      <c r="AD118" s="143">
        <f t="shared" si="55"/>
        <v>1</v>
      </c>
      <c r="AE118" s="143">
        <f t="shared" si="55"/>
        <v>1</v>
      </c>
      <c r="AF118" s="143">
        <f t="shared" si="55"/>
        <v>1</v>
      </c>
      <c r="AG118" s="143">
        <f t="shared" si="55"/>
        <v>1</v>
      </c>
      <c r="AH118" s="143">
        <f t="shared" si="55"/>
        <v>1</v>
      </c>
      <c r="AI118" s="143">
        <f t="shared" si="55"/>
        <v>1</v>
      </c>
      <c r="AJ118" s="143">
        <f t="shared" si="55"/>
        <v>1</v>
      </c>
      <c r="AK118" s="143">
        <f t="shared" si="55"/>
        <v>1</v>
      </c>
      <c r="AL118" s="143">
        <f t="shared" si="55"/>
        <v>1</v>
      </c>
      <c r="AM118" s="143">
        <f t="shared" si="55"/>
        <v>1</v>
      </c>
      <c r="AN118" s="143">
        <f t="shared" si="55"/>
        <v>1</v>
      </c>
      <c r="AO118" s="143">
        <f t="shared" si="55"/>
        <v>0.66564748587496514</v>
      </c>
      <c r="AP118" s="143">
        <f t="shared" si="55"/>
        <v>0.66569999999999996</v>
      </c>
      <c r="AQ118" s="143">
        <f t="shared" si="55"/>
        <v>0.66569999999999996</v>
      </c>
      <c r="AR118" s="143">
        <f t="shared" si="55"/>
        <v>0.66569999999999996</v>
      </c>
      <c r="AS118" s="143">
        <f t="shared" si="55"/>
        <v>0.66569999999999996</v>
      </c>
      <c r="AT118" s="143">
        <f t="shared" si="55"/>
        <v>0.66569999999999996</v>
      </c>
      <c r="AU118" s="143">
        <f t="shared" si="55"/>
        <v>0.66569999999999996</v>
      </c>
      <c r="AV118" s="143">
        <f t="shared" si="55"/>
        <v>0.66569999999999996</v>
      </c>
      <c r="AW118" s="143">
        <f t="shared" si="55"/>
        <v>0.66569999999999996</v>
      </c>
      <c r="AX118" s="143">
        <f t="shared" si="55"/>
        <v>0.66569999999999996</v>
      </c>
      <c r="AY118" s="143">
        <f t="shared" si="55"/>
        <v>0.66569999999999996</v>
      </c>
      <c r="AZ118" s="143">
        <f t="shared" si="55"/>
        <v>0.66569999999999996</v>
      </c>
      <c r="BA118" s="143">
        <f t="shared" si="55"/>
        <v>0.66569999999999996</v>
      </c>
      <c r="BB118" s="143">
        <f t="shared" si="55"/>
        <v>0.66569999999999996</v>
      </c>
      <c r="BC118" s="143">
        <f t="shared" si="55"/>
        <v>0.66569999999999996</v>
      </c>
      <c r="BD118" s="143">
        <f t="shared" si="55"/>
        <v>0.66569999999999996</v>
      </c>
      <c r="BE118" s="143">
        <f t="shared" si="55"/>
        <v>0.66569999999999996</v>
      </c>
      <c r="BF118" s="143">
        <f t="shared" si="55"/>
        <v>0.66569999999999996</v>
      </c>
      <c r="BG118" s="143">
        <f t="shared" si="55"/>
        <v>0.66569999999999996</v>
      </c>
      <c r="BH118" s="143">
        <f t="shared" si="55"/>
        <v>0.66569999999999996</v>
      </c>
      <c r="BI118" s="143">
        <f t="shared" si="55"/>
        <v>0.66569999999999996</v>
      </c>
      <c r="BJ118" s="143">
        <f t="shared" si="55"/>
        <v>0.66569999999999996</v>
      </c>
      <c r="BK118" s="143">
        <f t="shared" si="55"/>
        <v>0.66569999999999996</v>
      </c>
      <c r="BL118" s="143">
        <f t="shared" si="55"/>
        <v>0.66569999999999996</v>
      </c>
      <c r="BM118" s="143">
        <f t="shared" si="55"/>
        <v>0.66569999999999996</v>
      </c>
      <c r="BN118" s="143">
        <f t="shared" ref="BN118:BP121" si="59">IFERROR(BN166/BN70,"-")</f>
        <v>0.66569999999999996</v>
      </c>
      <c r="BO118" s="143">
        <f t="shared" si="59"/>
        <v>0.66569999999999996</v>
      </c>
      <c r="BP118" s="143">
        <f t="shared" ref="BP118" si="60">IFERROR(BP166/BP70,"-")</f>
        <v>0.66569999999999996</v>
      </c>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row>
    <row r="119" spans="1:107" s="159" customFormat="1" ht="15" hidden="1" customHeight="1" outlineLevel="1">
      <c r="A119" t="s">
        <v>18</v>
      </c>
      <c r="B119" s="154" t="s">
        <v>29</v>
      </c>
      <c r="C119" s="143">
        <f t="shared" ref="C119:BN122" si="61">IFERROR(C167/C71,"-")</f>
        <v>1</v>
      </c>
      <c r="D119" s="143">
        <f t="shared" si="61"/>
        <v>1</v>
      </c>
      <c r="E119" s="143">
        <f t="shared" si="61"/>
        <v>1</v>
      </c>
      <c r="F119" s="143">
        <f t="shared" si="61"/>
        <v>1</v>
      </c>
      <c r="G119" s="143">
        <f t="shared" si="61"/>
        <v>1</v>
      </c>
      <c r="H119" s="143">
        <f t="shared" si="61"/>
        <v>1</v>
      </c>
      <c r="I119" s="143">
        <f t="shared" si="61"/>
        <v>1</v>
      </c>
      <c r="J119" s="143">
        <f t="shared" si="61"/>
        <v>1</v>
      </c>
      <c r="K119" s="143">
        <f t="shared" si="61"/>
        <v>1</v>
      </c>
      <c r="L119" s="143">
        <f t="shared" si="61"/>
        <v>1</v>
      </c>
      <c r="M119" s="143">
        <f t="shared" si="61"/>
        <v>1</v>
      </c>
      <c r="N119" s="143">
        <f t="shared" si="61"/>
        <v>1</v>
      </c>
      <c r="O119" s="143">
        <f t="shared" si="61"/>
        <v>1</v>
      </c>
      <c r="P119" s="143">
        <f t="shared" si="61"/>
        <v>1</v>
      </c>
      <c r="Q119" s="143">
        <f t="shared" si="61"/>
        <v>1</v>
      </c>
      <c r="R119" s="143">
        <f t="shared" si="61"/>
        <v>1</v>
      </c>
      <c r="S119" s="143">
        <f t="shared" si="61"/>
        <v>1</v>
      </c>
      <c r="T119" s="143">
        <f t="shared" si="61"/>
        <v>1</v>
      </c>
      <c r="U119" s="143">
        <f t="shared" si="61"/>
        <v>1</v>
      </c>
      <c r="V119" s="143">
        <f t="shared" si="61"/>
        <v>1</v>
      </c>
      <c r="W119" s="143">
        <f t="shared" si="61"/>
        <v>1</v>
      </c>
      <c r="X119" s="143">
        <f t="shared" si="61"/>
        <v>1</v>
      </c>
      <c r="Y119" s="143">
        <f t="shared" si="61"/>
        <v>1</v>
      </c>
      <c r="Z119" s="143">
        <f t="shared" si="61"/>
        <v>1</v>
      </c>
      <c r="AA119" s="143">
        <f t="shared" si="61"/>
        <v>1</v>
      </c>
      <c r="AB119" s="143">
        <f t="shared" si="61"/>
        <v>1</v>
      </c>
      <c r="AC119" s="143">
        <f t="shared" si="61"/>
        <v>1</v>
      </c>
      <c r="AD119" s="143">
        <f t="shared" si="61"/>
        <v>1</v>
      </c>
      <c r="AE119" s="143">
        <f t="shared" si="61"/>
        <v>1</v>
      </c>
      <c r="AF119" s="143">
        <f t="shared" si="61"/>
        <v>1</v>
      </c>
      <c r="AG119" s="143">
        <f t="shared" si="61"/>
        <v>1</v>
      </c>
      <c r="AH119" s="143">
        <f t="shared" si="61"/>
        <v>1</v>
      </c>
      <c r="AI119" s="143">
        <f t="shared" si="61"/>
        <v>1</v>
      </c>
      <c r="AJ119" s="143">
        <f t="shared" si="61"/>
        <v>1</v>
      </c>
      <c r="AK119" s="143">
        <f t="shared" si="61"/>
        <v>1</v>
      </c>
      <c r="AL119" s="143">
        <f t="shared" si="61"/>
        <v>1</v>
      </c>
      <c r="AM119" s="143">
        <f t="shared" si="61"/>
        <v>1</v>
      </c>
      <c r="AN119" s="143">
        <f t="shared" si="61"/>
        <v>1</v>
      </c>
      <c r="AO119" s="143">
        <f t="shared" si="61"/>
        <v>0.66567237699085979</v>
      </c>
      <c r="AP119" s="143">
        <f t="shared" si="61"/>
        <v>0.66569999999999996</v>
      </c>
      <c r="AQ119" s="143">
        <f t="shared" si="61"/>
        <v>0.66569999999999996</v>
      </c>
      <c r="AR119" s="143">
        <f t="shared" si="61"/>
        <v>0.66569999999999996</v>
      </c>
      <c r="AS119" s="143">
        <f t="shared" si="61"/>
        <v>0.66569999999999996</v>
      </c>
      <c r="AT119" s="143">
        <f t="shared" si="61"/>
        <v>0.66569999999999996</v>
      </c>
      <c r="AU119" s="143">
        <f t="shared" si="61"/>
        <v>0.66569999999999996</v>
      </c>
      <c r="AV119" s="143">
        <f t="shared" si="61"/>
        <v>0.66569999999999996</v>
      </c>
      <c r="AW119" s="143">
        <f t="shared" si="61"/>
        <v>0.66569999999999996</v>
      </c>
      <c r="AX119" s="143" t="str">
        <f t="shared" si="61"/>
        <v>-</v>
      </c>
      <c r="AY119" s="143" t="str">
        <f t="shared" si="61"/>
        <v>-</v>
      </c>
      <c r="AZ119" s="143" t="str">
        <f t="shared" si="61"/>
        <v>-</v>
      </c>
      <c r="BA119" s="143" t="str">
        <f t="shared" si="61"/>
        <v>-</v>
      </c>
      <c r="BB119" s="143" t="str">
        <f t="shared" si="61"/>
        <v>-</v>
      </c>
      <c r="BC119" s="143" t="str">
        <f t="shared" si="61"/>
        <v>-</v>
      </c>
      <c r="BD119" s="143" t="str">
        <f t="shared" si="61"/>
        <v>-</v>
      </c>
      <c r="BE119" s="143" t="str">
        <f t="shared" si="61"/>
        <v>-</v>
      </c>
      <c r="BF119" s="143" t="str">
        <f t="shared" si="61"/>
        <v>-</v>
      </c>
      <c r="BG119" s="143" t="str">
        <f t="shared" si="61"/>
        <v>-</v>
      </c>
      <c r="BH119" s="143" t="str">
        <f t="shared" si="61"/>
        <v>-</v>
      </c>
      <c r="BI119" s="143" t="str">
        <f t="shared" si="61"/>
        <v>-</v>
      </c>
      <c r="BJ119" s="143" t="str">
        <f t="shared" si="61"/>
        <v>-</v>
      </c>
      <c r="BK119" s="143" t="str">
        <f t="shared" si="61"/>
        <v>-</v>
      </c>
      <c r="BL119" s="143" t="str">
        <f t="shared" si="61"/>
        <v>-</v>
      </c>
      <c r="BM119" s="143" t="str">
        <f t="shared" si="61"/>
        <v>-</v>
      </c>
      <c r="BN119" s="143" t="str">
        <f t="shared" si="61"/>
        <v>-</v>
      </c>
      <c r="BO119" s="143" t="str">
        <f t="shared" si="59"/>
        <v>-</v>
      </c>
      <c r="BP119" s="143" t="str">
        <f t="shared" ref="BP119" si="62">IFERROR(BP167/BP71,"-")</f>
        <v>-</v>
      </c>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1"/>
      <c r="CU119" s="231"/>
      <c r="CV119" s="231"/>
      <c r="CW119" s="231"/>
      <c r="CX119" s="231"/>
      <c r="CY119" s="231"/>
      <c r="CZ119" s="231"/>
      <c r="DA119" s="231"/>
      <c r="DB119" s="231"/>
      <c r="DC119" s="231"/>
    </row>
    <row r="120" spans="1:107" s="159" customFormat="1" ht="15" hidden="1" customHeight="1" outlineLevel="1">
      <c r="A120" t="s">
        <v>241</v>
      </c>
      <c r="B120" s="154" t="s">
        <v>9</v>
      </c>
      <c r="C120" s="143">
        <f t="shared" si="61"/>
        <v>0.49999999999999989</v>
      </c>
      <c r="D120" s="143">
        <f t="shared" si="61"/>
        <v>0.49999999999999989</v>
      </c>
      <c r="E120" s="143">
        <f t="shared" si="61"/>
        <v>0.49999999999999989</v>
      </c>
      <c r="F120" s="143">
        <f t="shared" si="61"/>
        <v>0.49999999999999989</v>
      </c>
      <c r="G120" s="143">
        <f t="shared" si="61"/>
        <v>0.49999999999999989</v>
      </c>
      <c r="H120" s="143">
        <f t="shared" si="61"/>
        <v>0.49999999999999989</v>
      </c>
      <c r="I120" s="143">
        <f t="shared" si="61"/>
        <v>0.49999999999999989</v>
      </c>
      <c r="J120" s="143">
        <f t="shared" si="61"/>
        <v>0.49999999999999989</v>
      </c>
      <c r="K120" s="143">
        <f t="shared" si="61"/>
        <v>0.49999999999999989</v>
      </c>
      <c r="L120" s="143">
        <f t="shared" si="61"/>
        <v>0.49999999999999989</v>
      </c>
      <c r="M120" s="143">
        <f t="shared" si="61"/>
        <v>0.49999999999999989</v>
      </c>
      <c r="N120" s="143">
        <f t="shared" si="61"/>
        <v>0.49999999999999989</v>
      </c>
      <c r="O120" s="143">
        <f t="shared" si="61"/>
        <v>0.49999999999999989</v>
      </c>
      <c r="P120" s="143">
        <f t="shared" si="61"/>
        <v>0.49999999999999989</v>
      </c>
      <c r="Q120" s="143">
        <f t="shared" si="61"/>
        <v>0.49999999999999989</v>
      </c>
      <c r="R120" s="143">
        <f t="shared" si="61"/>
        <v>0.49999999999999989</v>
      </c>
      <c r="S120" s="143">
        <f t="shared" si="61"/>
        <v>0.49999999999999989</v>
      </c>
      <c r="T120" s="143">
        <f t="shared" si="61"/>
        <v>0.49999999999999989</v>
      </c>
      <c r="U120" s="143">
        <f t="shared" si="61"/>
        <v>0.49999999999999989</v>
      </c>
      <c r="V120" s="143">
        <f t="shared" si="61"/>
        <v>0.49999999999999989</v>
      </c>
      <c r="W120" s="143">
        <f t="shared" si="61"/>
        <v>0.49999999999999989</v>
      </c>
      <c r="X120" s="143">
        <f t="shared" si="61"/>
        <v>0.49999999999999989</v>
      </c>
      <c r="Y120" s="143">
        <f t="shared" si="61"/>
        <v>0.49999999999999989</v>
      </c>
      <c r="Z120" s="143">
        <f t="shared" si="61"/>
        <v>0.49999999999999989</v>
      </c>
      <c r="AA120" s="143">
        <f t="shared" si="61"/>
        <v>0.49999999999999989</v>
      </c>
      <c r="AB120" s="143">
        <f t="shared" si="61"/>
        <v>0.49999999999999989</v>
      </c>
      <c r="AC120" s="143">
        <f t="shared" si="61"/>
        <v>0.49999999999999989</v>
      </c>
      <c r="AD120" s="143">
        <f t="shared" si="61"/>
        <v>0.49999999999999989</v>
      </c>
      <c r="AE120" s="143">
        <f t="shared" si="61"/>
        <v>0.49999999999999989</v>
      </c>
      <c r="AF120" s="143">
        <f t="shared" si="61"/>
        <v>0.49999999999999989</v>
      </c>
      <c r="AG120" s="143">
        <f t="shared" si="61"/>
        <v>0.49999999999999989</v>
      </c>
      <c r="AH120" s="143">
        <f t="shared" si="61"/>
        <v>0.49999999999999989</v>
      </c>
      <c r="AI120" s="143">
        <f t="shared" si="61"/>
        <v>0.49999999999999989</v>
      </c>
      <c r="AJ120" s="143">
        <f t="shared" si="61"/>
        <v>0.49999999999999989</v>
      </c>
      <c r="AK120" s="143">
        <f t="shared" si="61"/>
        <v>0.49999999999999989</v>
      </c>
      <c r="AL120" s="143" t="str">
        <f t="shared" si="61"/>
        <v>-</v>
      </c>
      <c r="AM120" s="143" t="str">
        <f t="shared" si="61"/>
        <v>-</v>
      </c>
      <c r="AN120" s="143" t="str">
        <f t="shared" si="61"/>
        <v>-</v>
      </c>
      <c r="AO120" s="143" t="str">
        <f t="shared" si="61"/>
        <v>-</v>
      </c>
      <c r="AP120" s="143" t="str">
        <f t="shared" si="61"/>
        <v>-</v>
      </c>
      <c r="AQ120" s="143" t="str">
        <f t="shared" si="61"/>
        <v>-</v>
      </c>
      <c r="AR120" s="143" t="str">
        <f t="shared" si="61"/>
        <v>-</v>
      </c>
      <c r="AS120" s="143" t="str">
        <f t="shared" si="61"/>
        <v>-</v>
      </c>
      <c r="AT120" s="143" t="str">
        <f t="shared" si="61"/>
        <v>-</v>
      </c>
      <c r="AU120" s="143">
        <f t="shared" si="61"/>
        <v>0.50000283419933877</v>
      </c>
      <c r="AV120" s="143" t="str">
        <f t="shared" si="61"/>
        <v>-</v>
      </c>
      <c r="AW120" s="143">
        <f t="shared" si="61"/>
        <v>0.50004997501249371</v>
      </c>
      <c r="AX120" s="143">
        <f t="shared" si="61"/>
        <v>0.50000299850074958</v>
      </c>
      <c r="AY120" s="143">
        <f t="shared" si="61"/>
        <v>0.50000299850074958</v>
      </c>
      <c r="AZ120" s="143">
        <f t="shared" si="61"/>
        <v>0.50000299850074958</v>
      </c>
      <c r="BA120" s="143">
        <f t="shared" si="61"/>
        <v>0.50000299850074958</v>
      </c>
      <c r="BB120" s="143">
        <f t="shared" si="61"/>
        <v>0.50000299850074958</v>
      </c>
      <c r="BC120" s="143">
        <f t="shared" si="61"/>
        <v>0.5</v>
      </c>
      <c r="BD120" s="143">
        <f t="shared" si="61"/>
        <v>0.5</v>
      </c>
      <c r="BE120" s="143">
        <f t="shared" si="61"/>
        <v>0.5</v>
      </c>
      <c r="BF120" s="143">
        <f t="shared" si="61"/>
        <v>0.50000299850074958</v>
      </c>
      <c r="BG120" s="143">
        <f t="shared" si="61"/>
        <v>0.5</v>
      </c>
      <c r="BH120" s="143">
        <f t="shared" si="61"/>
        <v>0.5</v>
      </c>
      <c r="BI120" s="143">
        <f t="shared" si="61"/>
        <v>0.5</v>
      </c>
      <c r="BJ120" s="143">
        <f t="shared" si="61"/>
        <v>0.5</v>
      </c>
      <c r="BK120" s="143">
        <f t="shared" si="61"/>
        <v>0.5</v>
      </c>
      <c r="BL120" s="143">
        <f t="shared" si="61"/>
        <v>0.5</v>
      </c>
      <c r="BM120" s="143">
        <f t="shared" si="61"/>
        <v>0.5</v>
      </c>
      <c r="BN120" s="143">
        <f t="shared" si="61"/>
        <v>0.5</v>
      </c>
      <c r="BO120" s="143">
        <f t="shared" si="59"/>
        <v>0.5</v>
      </c>
      <c r="BP120" s="143">
        <f t="shared" ref="BP120" si="63">IFERROR(BP168/BP72,"-")</f>
        <v>0.5</v>
      </c>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c r="CS120" s="231"/>
      <c r="CT120" s="231"/>
      <c r="CU120" s="231"/>
      <c r="CV120" s="231"/>
      <c r="CW120" s="231"/>
      <c r="CX120" s="231"/>
      <c r="CY120" s="231"/>
      <c r="CZ120" s="231"/>
      <c r="DA120" s="231"/>
      <c r="DB120" s="231"/>
      <c r="DC120" s="231"/>
    </row>
    <row r="121" spans="1:107" s="159" customFormat="1" ht="15" hidden="1" customHeight="1" outlineLevel="1">
      <c r="A121" t="s">
        <v>242</v>
      </c>
      <c r="B121" s="154" t="s">
        <v>10</v>
      </c>
      <c r="C121" s="143">
        <f t="shared" si="61"/>
        <v>1</v>
      </c>
      <c r="D121" s="143">
        <f t="shared" si="61"/>
        <v>1</v>
      </c>
      <c r="E121" s="143">
        <f t="shared" si="61"/>
        <v>1</v>
      </c>
      <c r="F121" s="143">
        <f t="shared" si="61"/>
        <v>1</v>
      </c>
      <c r="G121" s="143">
        <f t="shared" si="61"/>
        <v>1</v>
      </c>
      <c r="H121" s="143">
        <f t="shared" si="61"/>
        <v>1</v>
      </c>
      <c r="I121" s="143">
        <f t="shared" si="61"/>
        <v>1</v>
      </c>
      <c r="J121" s="143">
        <f t="shared" si="61"/>
        <v>1</v>
      </c>
      <c r="K121" s="143">
        <f t="shared" si="61"/>
        <v>1</v>
      </c>
      <c r="L121" s="143">
        <f t="shared" si="61"/>
        <v>1</v>
      </c>
      <c r="M121" s="143">
        <f t="shared" si="61"/>
        <v>1</v>
      </c>
      <c r="N121" s="143">
        <f t="shared" si="61"/>
        <v>1</v>
      </c>
      <c r="O121" s="143">
        <f t="shared" si="61"/>
        <v>1</v>
      </c>
      <c r="P121" s="143">
        <f t="shared" si="61"/>
        <v>1</v>
      </c>
      <c r="Q121" s="143">
        <f t="shared" si="61"/>
        <v>1</v>
      </c>
      <c r="R121" s="143">
        <f t="shared" si="61"/>
        <v>1</v>
      </c>
      <c r="S121" s="143">
        <f t="shared" si="61"/>
        <v>1</v>
      </c>
      <c r="T121" s="143">
        <f t="shared" si="61"/>
        <v>1</v>
      </c>
      <c r="U121" s="143">
        <f t="shared" si="61"/>
        <v>1</v>
      </c>
      <c r="V121" s="143">
        <f t="shared" si="61"/>
        <v>1</v>
      </c>
      <c r="W121" s="143">
        <f t="shared" si="61"/>
        <v>1</v>
      </c>
      <c r="X121" s="143">
        <f t="shared" si="61"/>
        <v>1</v>
      </c>
      <c r="Y121" s="143">
        <f t="shared" si="61"/>
        <v>1</v>
      </c>
      <c r="Z121" s="143">
        <f t="shared" si="61"/>
        <v>1</v>
      </c>
      <c r="AA121" s="143">
        <f t="shared" si="61"/>
        <v>1</v>
      </c>
      <c r="AB121" s="143">
        <f t="shared" si="61"/>
        <v>1</v>
      </c>
      <c r="AC121" s="143">
        <f t="shared" si="61"/>
        <v>1</v>
      </c>
      <c r="AD121" s="143">
        <f t="shared" si="61"/>
        <v>1</v>
      </c>
      <c r="AE121" s="143">
        <f t="shared" si="61"/>
        <v>1</v>
      </c>
      <c r="AF121" s="143">
        <f t="shared" si="61"/>
        <v>1</v>
      </c>
      <c r="AG121" s="143">
        <f t="shared" si="61"/>
        <v>1</v>
      </c>
      <c r="AH121" s="143">
        <f t="shared" si="61"/>
        <v>1</v>
      </c>
      <c r="AI121" s="143">
        <f t="shared" si="61"/>
        <v>1</v>
      </c>
      <c r="AJ121" s="143">
        <f t="shared" si="61"/>
        <v>1</v>
      </c>
      <c r="AK121" s="143">
        <f t="shared" si="61"/>
        <v>1</v>
      </c>
      <c r="AL121" s="143">
        <f t="shared" si="61"/>
        <v>1</v>
      </c>
      <c r="AM121" s="143">
        <f t="shared" si="61"/>
        <v>1</v>
      </c>
      <c r="AN121" s="143">
        <f t="shared" si="61"/>
        <v>1</v>
      </c>
      <c r="AO121" s="143">
        <f t="shared" si="61"/>
        <v>0.66543743942509992</v>
      </c>
      <c r="AP121" s="143">
        <f t="shared" si="61"/>
        <v>0.66569999999999996</v>
      </c>
      <c r="AQ121" s="143">
        <f t="shared" si="61"/>
        <v>0.66569999999999996</v>
      </c>
      <c r="AR121" s="143">
        <f t="shared" si="61"/>
        <v>0.66569999999999996</v>
      </c>
      <c r="AS121" s="143">
        <f t="shared" si="61"/>
        <v>0.66569999999999996</v>
      </c>
      <c r="AT121" s="143">
        <f t="shared" si="61"/>
        <v>0.66569999999999996</v>
      </c>
      <c r="AU121" s="143">
        <f t="shared" si="61"/>
        <v>0.66569999999999996</v>
      </c>
      <c r="AV121" s="143">
        <f t="shared" si="61"/>
        <v>0.66569999999999996</v>
      </c>
      <c r="AW121" s="143">
        <f t="shared" si="61"/>
        <v>0.66569999999999996</v>
      </c>
      <c r="AX121" s="143">
        <f t="shared" si="61"/>
        <v>0.66569999999999996</v>
      </c>
      <c r="AY121" s="143">
        <f t="shared" si="61"/>
        <v>0.66569999999999996</v>
      </c>
      <c r="AZ121" s="143">
        <f t="shared" si="61"/>
        <v>0.66569999999999996</v>
      </c>
      <c r="BA121" s="143">
        <f t="shared" si="61"/>
        <v>0.66569999999999996</v>
      </c>
      <c r="BB121" s="143">
        <f t="shared" si="61"/>
        <v>0.66569999999999996</v>
      </c>
      <c r="BC121" s="143">
        <f t="shared" si="61"/>
        <v>0.66569999999999996</v>
      </c>
      <c r="BD121" s="143">
        <f t="shared" si="61"/>
        <v>0.66569999999999996</v>
      </c>
      <c r="BE121" s="143">
        <f t="shared" si="61"/>
        <v>0.66569999999999996</v>
      </c>
      <c r="BF121" s="143">
        <f t="shared" si="61"/>
        <v>0.66569999999999996</v>
      </c>
      <c r="BG121" s="143">
        <f t="shared" si="61"/>
        <v>0.66569999999999996</v>
      </c>
      <c r="BH121" s="143">
        <f t="shared" si="61"/>
        <v>0.66569999999999996</v>
      </c>
      <c r="BI121" s="143">
        <f t="shared" si="61"/>
        <v>0.66569999999999996</v>
      </c>
      <c r="BJ121" s="143">
        <f t="shared" si="61"/>
        <v>0.66569999999999996</v>
      </c>
      <c r="BK121" s="143">
        <f t="shared" si="61"/>
        <v>0.66569999999999996</v>
      </c>
      <c r="BL121" s="143">
        <f t="shared" si="61"/>
        <v>0.66569999999999996</v>
      </c>
      <c r="BM121" s="143">
        <f t="shared" si="61"/>
        <v>0.66569999999999996</v>
      </c>
      <c r="BN121" s="143">
        <f t="shared" si="61"/>
        <v>0.66569999999999996</v>
      </c>
      <c r="BO121" s="143">
        <f t="shared" si="59"/>
        <v>0.66569999999999996</v>
      </c>
      <c r="BP121" s="143">
        <f t="shared" ref="BP121" si="64">IFERROR(BP169/BP73,"-")</f>
        <v>0.66569999999999996</v>
      </c>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c r="CS121" s="231"/>
      <c r="CT121" s="231"/>
      <c r="CU121" s="231"/>
      <c r="CV121" s="231"/>
      <c r="CW121" s="231"/>
      <c r="CX121" s="231"/>
      <c r="CY121" s="231"/>
      <c r="CZ121" s="231"/>
      <c r="DA121" s="231"/>
      <c r="DB121" s="231"/>
      <c r="DC121" s="231"/>
    </row>
    <row r="122" spans="1:107" s="159" customFormat="1" ht="15" hidden="1" customHeight="1" outlineLevel="1">
      <c r="A122" t="s">
        <v>243</v>
      </c>
      <c r="B122" s="154" t="s">
        <v>11</v>
      </c>
      <c r="C122" s="143" t="str">
        <f t="shared" si="61"/>
        <v>-</v>
      </c>
      <c r="D122" s="143">
        <f t="shared" si="61"/>
        <v>1</v>
      </c>
      <c r="E122" s="143">
        <f t="shared" si="61"/>
        <v>1</v>
      </c>
      <c r="F122" s="143">
        <f t="shared" si="61"/>
        <v>1</v>
      </c>
      <c r="G122" s="143">
        <f t="shared" si="61"/>
        <v>1</v>
      </c>
      <c r="H122" s="143">
        <f t="shared" si="61"/>
        <v>1</v>
      </c>
      <c r="I122" s="143">
        <f t="shared" si="61"/>
        <v>1</v>
      </c>
      <c r="J122" s="143">
        <f t="shared" si="61"/>
        <v>1</v>
      </c>
      <c r="K122" s="143">
        <f t="shared" si="61"/>
        <v>1</v>
      </c>
      <c r="L122" s="143">
        <f t="shared" si="61"/>
        <v>1</v>
      </c>
      <c r="M122" s="143">
        <f t="shared" si="61"/>
        <v>1</v>
      </c>
      <c r="N122" s="143">
        <f t="shared" si="61"/>
        <v>1</v>
      </c>
      <c r="O122" s="143">
        <f t="shared" si="61"/>
        <v>1</v>
      </c>
      <c r="P122" s="143">
        <f t="shared" si="61"/>
        <v>1</v>
      </c>
      <c r="Q122" s="143">
        <f t="shared" si="61"/>
        <v>1</v>
      </c>
      <c r="R122" s="143">
        <f t="shared" si="61"/>
        <v>1</v>
      </c>
      <c r="S122" s="143">
        <f t="shared" si="61"/>
        <v>1</v>
      </c>
      <c r="T122" s="143">
        <f t="shared" si="61"/>
        <v>1</v>
      </c>
      <c r="U122" s="143">
        <f t="shared" si="61"/>
        <v>1</v>
      </c>
      <c r="V122" s="143">
        <f t="shared" si="61"/>
        <v>1</v>
      </c>
      <c r="W122" s="143">
        <f t="shared" si="61"/>
        <v>1</v>
      </c>
      <c r="X122" s="143">
        <f t="shared" si="61"/>
        <v>1</v>
      </c>
      <c r="Y122" s="143">
        <f t="shared" si="61"/>
        <v>1</v>
      </c>
      <c r="Z122" s="143">
        <f t="shared" si="61"/>
        <v>1</v>
      </c>
      <c r="AA122" s="143">
        <f t="shared" si="61"/>
        <v>1</v>
      </c>
      <c r="AB122" s="143">
        <f t="shared" si="61"/>
        <v>1</v>
      </c>
      <c r="AC122" s="143">
        <f t="shared" si="61"/>
        <v>1</v>
      </c>
      <c r="AD122" s="143">
        <f t="shared" si="61"/>
        <v>1</v>
      </c>
      <c r="AE122" s="143">
        <f t="shared" si="61"/>
        <v>1</v>
      </c>
      <c r="AF122" s="143">
        <f t="shared" si="61"/>
        <v>1</v>
      </c>
      <c r="AG122" s="143">
        <f t="shared" si="61"/>
        <v>1</v>
      </c>
      <c r="AH122" s="143">
        <f t="shared" si="61"/>
        <v>1</v>
      </c>
      <c r="AI122" s="143">
        <f t="shared" si="61"/>
        <v>1</v>
      </c>
      <c r="AJ122" s="143">
        <f t="shared" si="61"/>
        <v>1</v>
      </c>
      <c r="AK122" s="143">
        <f t="shared" si="61"/>
        <v>1</v>
      </c>
      <c r="AL122" s="143">
        <f t="shared" si="61"/>
        <v>1</v>
      </c>
      <c r="AM122" s="143">
        <f t="shared" si="61"/>
        <v>1</v>
      </c>
      <c r="AN122" s="143">
        <f t="shared" si="61"/>
        <v>1</v>
      </c>
      <c r="AO122" s="143">
        <f t="shared" si="61"/>
        <v>0.6657142857142857</v>
      </c>
      <c r="AP122" s="143">
        <f t="shared" si="61"/>
        <v>0.66569999999999996</v>
      </c>
      <c r="AQ122" s="143">
        <f t="shared" si="61"/>
        <v>0.66569999999999996</v>
      </c>
      <c r="AR122" s="143">
        <f t="shared" si="61"/>
        <v>0.66569999999999996</v>
      </c>
      <c r="AS122" s="143">
        <f t="shared" si="61"/>
        <v>0.66569999999999996</v>
      </c>
      <c r="AT122" s="143">
        <f t="shared" si="61"/>
        <v>0.66569999999999996</v>
      </c>
      <c r="AU122" s="143">
        <f t="shared" si="61"/>
        <v>0.66569999999999996</v>
      </c>
      <c r="AV122" s="143">
        <f t="shared" si="61"/>
        <v>0.66569999999999996</v>
      </c>
      <c r="AW122" s="143">
        <f t="shared" si="61"/>
        <v>0.66569999999999996</v>
      </c>
      <c r="AX122" s="143">
        <f t="shared" si="61"/>
        <v>0.66569999999999996</v>
      </c>
      <c r="AY122" s="143">
        <f t="shared" si="61"/>
        <v>0.66569999999999996</v>
      </c>
      <c r="AZ122" s="143">
        <f t="shared" si="61"/>
        <v>0.66569999999999996</v>
      </c>
      <c r="BA122" s="143">
        <f t="shared" si="61"/>
        <v>0.66569999999999996</v>
      </c>
      <c r="BB122" s="143">
        <f t="shared" si="61"/>
        <v>0.66569999999999996</v>
      </c>
      <c r="BC122" s="143">
        <f t="shared" si="61"/>
        <v>0.66569999999999996</v>
      </c>
      <c r="BD122" s="143">
        <f t="shared" si="61"/>
        <v>0.66569999999999996</v>
      </c>
      <c r="BE122" s="143">
        <f t="shared" si="61"/>
        <v>0.66569999999999996</v>
      </c>
      <c r="BF122" s="143">
        <f t="shared" si="61"/>
        <v>0.66569999999999996</v>
      </c>
      <c r="BG122" s="143">
        <f t="shared" si="61"/>
        <v>0.66569999999999996</v>
      </c>
      <c r="BH122" s="143">
        <f t="shared" si="61"/>
        <v>0.66569999999999996</v>
      </c>
      <c r="BI122" s="143">
        <f t="shared" si="61"/>
        <v>0.66569999999999996</v>
      </c>
      <c r="BJ122" s="143">
        <f t="shared" si="61"/>
        <v>0.66569999999999996</v>
      </c>
      <c r="BK122" s="143">
        <f t="shared" si="61"/>
        <v>0.66569999999999996</v>
      </c>
      <c r="BL122" s="143">
        <f t="shared" si="61"/>
        <v>0.66569999999999996</v>
      </c>
      <c r="BM122" s="143">
        <f t="shared" si="61"/>
        <v>0.66569999999999996</v>
      </c>
      <c r="BN122" s="143" t="str">
        <f t="shared" ref="BN122:BP125" si="65">IFERROR(BN170/BN74,"-")</f>
        <v>-</v>
      </c>
      <c r="BO122" s="143" t="str">
        <f t="shared" si="65"/>
        <v>-</v>
      </c>
      <c r="BP122" s="143" t="str">
        <f t="shared" ref="BP122" si="66">IFERROR(BP170/BP74,"-")</f>
        <v>-</v>
      </c>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c r="CS122" s="231"/>
      <c r="CT122" s="231"/>
      <c r="CU122" s="231"/>
      <c r="CV122" s="231"/>
      <c r="CW122" s="231"/>
      <c r="CX122" s="231"/>
      <c r="CY122" s="231"/>
      <c r="CZ122" s="231"/>
      <c r="DA122" s="231"/>
      <c r="DB122" s="231"/>
      <c r="DC122" s="231"/>
    </row>
    <row r="123" spans="1:107" s="159" customFormat="1" ht="15" hidden="1" customHeight="1" outlineLevel="1">
      <c r="A123" t="s">
        <v>18</v>
      </c>
      <c r="B123" s="154" t="s">
        <v>8</v>
      </c>
      <c r="C123" s="143">
        <f t="shared" ref="C123:BN126" si="67">IFERROR(C171/C75,"-")</f>
        <v>1</v>
      </c>
      <c r="D123" s="143">
        <f t="shared" si="67"/>
        <v>1</v>
      </c>
      <c r="E123" s="143">
        <f t="shared" si="67"/>
        <v>1</v>
      </c>
      <c r="F123" s="143">
        <f t="shared" si="67"/>
        <v>1</v>
      </c>
      <c r="G123" s="143">
        <f t="shared" si="67"/>
        <v>1</v>
      </c>
      <c r="H123" s="143">
        <f t="shared" si="67"/>
        <v>1</v>
      </c>
      <c r="I123" s="143">
        <f t="shared" si="67"/>
        <v>1</v>
      </c>
      <c r="J123" s="143">
        <f t="shared" si="67"/>
        <v>1</v>
      </c>
      <c r="K123" s="143">
        <f t="shared" si="67"/>
        <v>1</v>
      </c>
      <c r="L123" s="143">
        <f t="shared" si="67"/>
        <v>1</v>
      </c>
      <c r="M123" s="143">
        <f t="shared" si="67"/>
        <v>1</v>
      </c>
      <c r="N123" s="143">
        <f t="shared" si="67"/>
        <v>1</v>
      </c>
      <c r="O123" s="143">
        <f t="shared" si="67"/>
        <v>1</v>
      </c>
      <c r="P123" s="143">
        <f t="shared" si="67"/>
        <v>1</v>
      </c>
      <c r="Q123" s="143">
        <f t="shared" si="67"/>
        <v>1</v>
      </c>
      <c r="R123" s="143">
        <f t="shared" si="67"/>
        <v>1</v>
      </c>
      <c r="S123" s="143">
        <f t="shared" si="67"/>
        <v>1</v>
      </c>
      <c r="T123" s="143">
        <f t="shared" si="67"/>
        <v>1</v>
      </c>
      <c r="U123" s="143">
        <f t="shared" si="67"/>
        <v>1</v>
      </c>
      <c r="V123" s="143">
        <f t="shared" si="67"/>
        <v>1</v>
      </c>
      <c r="W123" s="143">
        <f t="shared" si="67"/>
        <v>1</v>
      </c>
      <c r="X123" s="143">
        <f t="shared" si="67"/>
        <v>1</v>
      </c>
      <c r="Y123" s="143">
        <f t="shared" si="67"/>
        <v>1</v>
      </c>
      <c r="Z123" s="143">
        <f t="shared" si="67"/>
        <v>1</v>
      </c>
      <c r="AA123" s="143">
        <f t="shared" si="67"/>
        <v>1</v>
      </c>
      <c r="AB123" s="143">
        <f t="shared" si="67"/>
        <v>1</v>
      </c>
      <c r="AC123" s="143">
        <f t="shared" si="67"/>
        <v>1</v>
      </c>
      <c r="AD123" s="143">
        <f t="shared" si="67"/>
        <v>1</v>
      </c>
      <c r="AE123" s="143">
        <f t="shared" si="67"/>
        <v>1</v>
      </c>
      <c r="AF123" s="143" t="str">
        <f t="shared" si="67"/>
        <v>-</v>
      </c>
      <c r="AG123" s="143" t="str">
        <f t="shared" si="67"/>
        <v>-</v>
      </c>
      <c r="AH123" s="143" t="str">
        <f t="shared" si="67"/>
        <v>-</v>
      </c>
      <c r="AI123" s="143" t="str">
        <f t="shared" si="67"/>
        <v>-</v>
      </c>
      <c r="AJ123" s="143" t="str">
        <f t="shared" si="67"/>
        <v>-</v>
      </c>
      <c r="AK123" s="143" t="str">
        <f t="shared" si="67"/>
        <v>-</v>
      </c>
      <c r="AL123" s="143" t="str">
        <f t="shared" si="67"/>
        <v>-</v>
      </c>
      <c r="AM123" s="143" t="str">
        <f t="shared" si="67"/>
        <v>-</v>
      </c>
      <c r="AN123" s="143" t="str">
        <f t="shared" si="67"/>
        <v>-</v>
      </c>
      <c r="AO123" s="143" t="str">
        <f t="shared" si="67"/>
        <v>-</v>
      </c>
      <c r="AP123" s="143" t="str">
        <f t="shared" si="67"/>
        <v>-</v>
      </c>
      <c r="AQ123" s="143" t="str">
        <f t="shared" si="67"/>
        <v>-</v>
      </c>
      <c r="AR123" s="143" t="str">
        <f t="shared" si="67"/>
        <v>-</v>
      </c>
      <c r="AS123" s="143" t="str">
        <f t="shared" si="67"/>
        <v>-</v>
      </c>
      <c r="AT123" s="143" t="str">
        <f t="shared" si="67"/>
        <v>-</v>
      </c>
      <c r="AU123" s="143" t="str">
        <f t="shared" si="67"/>
        <v>-</v>
      </c>
      <c r="AV123" s="143" t="str">
        <f t="shared" si="67"/>
        <v>-</v>
      </c>
      <c r="AW123" s="143" t="str">
        <f t="shared" si="67"/>
        <v>-</v>
      </c>
      <c r="AX123" s="143" t="str">
        <f t="shared" si="67"/>
        <v>-</v>
      </c>
      <c r="AY123" s="143" t="str">
        <f t="shared" si="67"/>
        <v>-</v>
      </c>
      <c r="AZ123" s="143" t="str">
        <f t="shared" si="67"/>
        <v>-</v>
      </c>
      <c r="BA123" s="143" t="str">
        <f t="shared" si="67"/>
        <v>-</v>
      </c>
      <c r="BB123" s="143" t="str">
        <f t="shared" si="67"/>
        <v>-</v>
      </c>
      <c r="BC123" s="143" t="str">
        <f t="shared" si="67"/>
        <v>-</v>
      </c>
      <c r="BD123" s="143" t="str">
        <f t="shared" si="67"/>
        <v>-</v>
      </c>
      <c r="BE123" s="143" t="str">
        <f t="shared" si="67"/>
        <v>-</v>
      </c>
      <c r="BF123" s="143" t="str">
        <f t="shared" si="67"/>
        <v>-</v>
      </c>
      <c r="BG123" s="143" t="str">
        <f t="shared" si="67"/>
        <v>-</v>
      </c>
      <c r="BH123" s="143" t="str">
        <f t="shared" si="67"/>
        <v>-</v>
      </c>
      <c r="BI123" s="143" t="str">
        <f t="shared" si="67"/>
        <v>-</v>
      </c>
      <c r="BJ123" s="143" t="str">
        <f t="shared" si="67"/>
        <v>-</v>
      </c>
      <c r="BK123" s="143" t="str">
        <f t="shared" si="67"/>
        <v>-</v>
      </c>
      <c r="BL123" s="143" t="str">
        <f t="shared" si="67"/>
        <v>-</v>
      </c>
      <c r="BM123" s="143" t="str">
        <f t="shared" si="67"/>
        <v>-</v>
      </c>
      <c r="BN123" s="143" t="str">
        <f t="shared" si="67"/>
        <v>-</v>
      </c>
      <c r="BO123" s="143" t="str">
        <f t="shared" si="65"/>
        <v>-</v>
      </c>
      <c r="BP123" s="143" t="str">
        <f t="shared" ref="BP123" si="68">IFERROR(BP171/BP75,"-")</f>
        <v>-</v>
      </c>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row>
    <row r="124" spans="1:107" s="159" customFormat="1" ht="15" hidden="1" customHeight="1" outlineLevel="1">
      <c r="A124" t="s">
        <v>244</v>
      </c>
      <c r="B124" s="154" t="s">
        <v>45</v>
      </c>
      <c r="C124" s="143" t="str">
        <f t="shared" si="67"/>
        <v>-</v>
      </c>
      <c r="D124" s="143" t="str">
        <f t="shared" si="67"/>
        <v>-</v>
      </c>
      <c r="E124" s="143" t="str">
        <f t="shared" si="67"/>
        <v>-</v>
      </c>
      <c r="F124" s="143" t="str">
        <f t="shared" si="67"/>
        <v>-</v>
      </c>
      <c r="G124" s="143" t="str">
        <f t="shared" si="67"/>
        <v>-</v>
      </c>
      <c r="H124" s="143" t="str">
        <f t="shared" si="67"/>
        <v>-</v>
      </c>
      <c r="I124" s="143" t="str">
        <f t="shared" si="67"/>
        <v>-</v>
      </c>
      <c r="J124" s="143" t="str">
        <f t="shared" si="67"/>
        <v>-</v>
      </c>
      <c r="K124" s="143" t="str">
        <f t="shared" si="67"/>
        <v>-</v>
      </c>
      <c r="L124" s="143" t="str">
        <f t="shared" si="67"/>
        <v>-</v>
      </c>
      <c r="M124" s="143" t="str">
        <f t="shared" si="67"/>
        <v>-</v>
      </c>
      <c r="N124" s="143" t="str">
        <f t="shared" si="67"/>
        <v>-</v>
      </c>
      <c r="O124" s="143" t="str">
        <f t="shared" si="67"/>
        <v>-</v>
      </c>
      <c r="P124" s="143" t="str">
        <f t="shared" si="67"/>
        <v>-</v>
      </c>
      <c r="Q124" s="143" t="str">
        <f t="shared" si="67"/>
        <v>-</v>
      </c>
      <c r="R124" s="143" t="str">
        <f t="shared" si="67"/>
        <v>-</v>
      </c>
      <c r="S124" s="143" t="str">
        <f t="shared" si="67"/>
        <v>-</v>
      </c>
      <c r="T124" s="143" t="str">
        <f t="shared" si="67"/>
        <v>-</v>
      </c>
      <c r="U124" s="143" t="str">
        <f t="shared" si="67"/>
        <v>-</v>
      </c>
      <c r="V124" s="143" t="str">
        <f t="shared" si="67"/>
        <v>-</v>
      </c>
      <c r="W124" s="143" t="str">
        <f t="shared" si="67"/>
        <v>-</v>
      </c>
      <c r="X124" s="143" t="str">
        <f t="shared" si="67"/>
        <v>-</v>
      </c>
      <c r="Y124" s="143" t="str">
        <f t="shared" si="67"/>
        <v>-</v>
      </c>
      <c r="Z124" s="143" t="str">
        <f t="shared" si="67"/>
        <v>-</v>
      </c>
      <c r="AA124" s="143" t="str">
        <f t="shared" si="67"/>
        <v>-</v>
      </c>
      <c r="AB124" s="143" t="str">
        <f t="shared" si="67"/>
        <v>-</v>
      </c>
      <c r="AC124" s="143" t="str">
        <f t="shared" si="67"/>
        <v>-</v>
      </c>
      <c r="AD124" s="143" t="str">
        <f t="shared" si="67"/>
        <v>-</v>
      </c>
      <c r="AE124" s="143" t="str">
        <f t="shared" si="67"/>
        <v>-</v>
      </c>
      <c r="AF124" s="143" t="str">
        <f t="shared" si="67"/>
        <v>-</v>
      </c>
      <c r="AG124" s="143" t="str">
        <f t="shared" si="67"/>
        <v>-</v>
      </c>
      <c r="AH124" s="143" t="str">
        <f t="shared" si="67"/>
        <v>-</v>
      </c>
      <c r="AI124" s="143" t="str">
        <f t="shared" si="67"/>
        <v>-</v>
      </c>
      <c r="AJ124" s="143" t="str">
        <f t="shared" si="67"/>
        <v>-</v>
      </c>
      <c r="AK124" s="143" t="str">
        <f t="shared" si="67"/>
        <v>-</v>
      </c>
      <c r="AL124" s="143" t="str">
        <f t="shared" si="67"/>
        <v>-</v>
      </c>
      <c r="AM124" s="143" t="str">
        <f t="shared" si="67"/>
        <v>-</v>
      </c>
      <c r="AN124" s="143" t="str">
        <f t="shared" si="67"/>
        <v>-</v>
      </c>
      <c r="AO124" s="143" t="str">
        <f t="shared" si="67"/>
        <v>-</v>
      </c>
      <c r="AP124" s="143" t="str">
        <f t="shared" si="67"/>
        <v>-</v>
      </c>
      <c r="AQ124" s="143" t="str">
        <f t="shared" si="67"/>
        <v>-</v>
      </c>
      <c r="AR124" s="143" t="str">
        <f t="shared" si="67"/>
        <v>-</v>
      </c>
      <c r="AS124" s="143" t="str">
        <f t="shared" si="67"/>
        <v>-</v>
      </c>
      <c r="AT124" s="143" t="str">
        <f t="shared" si="67"/>
        <v>-</v>
      </c>
      <c r="AU124" s="143" t="str">
        <f t="shared" si="67"/>
        <v>-</v>
      </c>
      <c r="AV124" s="143">
        <f t="shared" si="67"/>
        <v>1</v>
      </c>
      <c r="AW124" s="143">
        <f t="shared" si="67"/>
        <v>1</v>
      </c>
      <c r="AX124" s="143">
        <f t="shared" si="67"/>
        <v>1</v>
      </c>
      <c r="AY124" s="143">
        <f t="shared" si="67"/>
        <v>1</v>
      </c>
      <c r="AZ124" s="143">
        <f t="shared" si="67"/>
        <v>1</v>
      </c>
      <c r="BA124" s="143">
        <f t="shared" si="67"/>
        <v>1</v>
      </c>
      <c r="BB124" s="143">
        <f t="shared" si="67"/>
        <v>1</v>
      </c>
      <c r="BC124" s="143">
        <f t="shared" si="67"/>
        <v>1</v>
      </c>
      <c r="BD124" s="143">
        <f t="shared" si="67"/>
        <v>1</v>
      </c>
      <c r="BE124" s="143">
        <f t="shared" si="67"/>
        <v>1</v>
      </c>
      <c r="BF124" s="143">
        <f t="shared" si="67"/>
        <v>1</v>
      </c>
      <c r="BG124" s="143">
        <f t="shared" si="67"/>
        <v>1</v>
      </c>
      <c r="BH124" s="143">
        <f t="shared" si="67"/>
        <v>1</v>
      </c>
      <c r="BI124" s="143">
        <f t="shared" si="67"/>
        <v>1</v>
      </c>
      <c r="BJ124" s="143">
        <f t="shared" si="67"/>
        <v>1</v>
      </c>
      <c r="BK124" s="143">
        <f t="shared" si="67"/>
        <v>1</v>
      </c>
      <c r="BL124" s="143">
        <f t="shared" si="67"/>
        <v>1</v>
      </c>
      <c r="BM124" s="143">
        <f t="shared" si="67"/>
        <v>1</v>
      </c>
      <c r="BN124" s="143">
        <f t="shared" si="67"/>
        <v>1</v>
      </c>
      <c r="BO124" s="143">
        <f t="shared" si="65"/>
        <v>1</v>
      </c>
      <c r="BP124" s="143">
        <f t="shared" ref="BP124" si="69">IFERROR(BP172/BP76,"-")</f>
        <v>1</v>
      </c>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c r="CS124" s="231"/>
      <c r="CT124" s="231"/>
      <c r="CU124" s="231"/>
      <c r="CV124" s="231"/>
      <c r="CW124" s="231"/>
      <c r="CX124" s="231"/>
      <c r="CY124" s="231"/>
      <c r="CZ124" s="231"/>
      <c r="DA124" s="231"/>
      <c r="DB124" s="231"/>
      <c r="DC124" s="231"/>
    </row>
    <row r="125" spans="1:107" s="158" customFormat="1" ht="15" customHeight="1" collapsed="1">
      <c r="A125" s="15"/>
      <c r="B125" s="82" t="s">
        <v>15</v>
      </c>
      <c r="C125" s="142">
        <f t="shared" si="67"/>
        <v>0.59988201689021359</v>
      </c>
      <c r="D125" s="142">
        <f t="shared" si="67"/>
        <v>0.59988201689021359</v>
      </c>
      <c r="E125" s="142">
        <f t="shared" si="67"/>
        <v>0.59988201689021359</v>
      </c>
      <c r="F125" s="142">
        <f t="shared" si="67"/>
        <v>0.59988201689021359</v>
      </c>
      <c r="G125" s="142">
        <f t="shared" si="67"/>
        <v>0.59988201689021359</v>
      </c>
      <c r="H125" s="142">
        <f t="shared" si="67"/>
        <v>0.59988201689021359</v>
      </c>
      <c r="I125" s="142">
        <f t="shared" si="67"/>
        <v>0.58974240106315579</v>
      </c>
      <c r="J125" s="142">
        <f t="shared" si="67"/>
        <v>0.61185672514619882</v>
      </c>
      <c r="K125" s="142">
        <f t="shared" si="67"/>
        <v>0.61185672514619882</v>
      </c>
      <c r="L125" s="142">
        <f t="shared" si="67"/>
        <v>0.61185672514619882</v>
      </c>
      <c r="M125" s="142">
        <f t="shared" si="67"/>
        <v>0.61660432942943377</v>
      </c>
      <c r="N125" s="142">
        <f t="shared" si="67"/>
        <v>0.61660432942943377</v>
      </c>
      <c r="O125" s="142">
        <f t="shared" si="67"/>
        <v>0.61660432942943377</v>
      </c>
      <c r="P125" s="142">
        <f t="shared" si="67"/>
        <v>0.61660432942943377</v>
      </c>
      <c r="Q125" s="142">
        <f t="shared" si="67"/>
        <v>0.66112611376666142</v>
      </c>
      <c r="R125" s="142">
        <f t="shared" si="67"/>
        <v>0.66112611376666142</v>
      </c>
      <c r="S125" s="142">
        <f t="shared" si="67"/>
        <v>0.66112611376666142</v>
      </c>
      <c r="T125" s="142">
        <f t="shared" si="67"/>
        <v>0.49451709551033762</v>
      </c>
      <c r="U125" s="142">
        <f t="shared" si="67"/>
        <v>0.49451709551033762</v>
      </c>
      <c r="V125" s="142">
        <f t="shared" si="67"/>
        <v>0.50453895855558462</v>
      </c>
      <c r="W125" s="142">
        <f t="shared" si="67"/>
        <v>0.50453895855558462</v>
      </c>
      <c r="X125" s="142">
        <f t="shared" si="67"/>
        <v>0.50978682773937767</v>
      </c>
      <c r="Y125" s="142">
        <f t="shared" si="67"/>
        <v>0.5097878494371314</v>
      </c>
      <c r="Z125" s="142">
        <f t="shared" si="67"/>
        <v>0.52404183791151804</v>
      </c>
      <c r="AA125" s="142">
        <f t="shared" si="67"/>
        <v>0.52404183791151804</v>
      </c>
      <c r="AB125" s="142">
        <f t="shared" si="67"/>
        <v>0.52404183791151804</v>
      </c>
      <c r="AC125" s="142">
        <f t="shared" si="67"/>
        <v>0.52525436244133883</v>
      </c>
      <c r="AD125" s="142">
        <f t="shared" si="67"/>
        <v>0.52525492262446738</v>
      </c>
      <c r="AE125" s="142">
        <f t="shared" si="67"/>
        <v>0.52525492262446738</v>
      </c>
      <c r="AF125" s="142">
        <f t="shared" si="67"/>
        <v>0.55955485874139232</v>
      </c>
      <c r="AG125" s="142">
        <f t="shared" si="67"/>
        <v>0.55955485874139232</v>
      </c>
      <c r="AH125" s="142">
        <f t="shared" si="67"/>
        <v>0.55758090242337022</v>
      </c>
      <c r="AI125" s="142">
        <f t="shared" si="67"/>
        <v>0.55760474865687726</v>
      </c>
      <c r="AJ125" s="142">
        <f t="shared" si="67"/>
        <v>0.55511887068900811</v>
      </c>
      <c r="AK125" s="142">
        <f t="shared" si="67"/>
        <v>0.55513199518762479</v>
      </c>
      <c r="AL125" s="142">
        <f t="shared" si="67"/>
        <v>0.73424184211936228</v>
      </c>
      <c r="AM125" s="142">
        <f t="shared" si="67"/>
        <v>0.73362493790600736</v>
      </c>
      <c r="AN125" s="142">
        <f t="shared" si="67"/>
        <v>0.73350515219727341</v>
      </c>
      <c r="AO125" s="142">
        <f t="shared" si="67"/>
        <v>0.73016136022760592</v>
      </c>
      <c r="AP125" s="142">
        <f t="shared" si="67"/>
        <v>0.72865319016964847</v>
      </c>
      <c r="AQ125" s="142">
        <f t="shared" si="67"/>
        <v>0.69173836345063677</v>
      </c>
      <c r="AR125" s="142">
        <f t="shared" si="67"/>
        <v>0.69434810678556813</v>
      </c>
      <c r="AS125" s="142">
        <f t="shared" si="67"/>
        <v>0.69391481246324438</v>
      </c>
      <c r="AT125" s="142">
        <f t="shared" si="67"/>
        <v>0.69412319289496749</v>
      </c>
      <c r="AU125" s="142">
        <f t="shared" si="67"/>
        <v>0.54096462970686832</v>
      </c>
      <c r="AV125" s="142">
        <f t="shared" si="67"/>
        <v>0.69553664073049137</v>
      </c>
      <c r="AW125" s="142">
        <f t="shared" si="67"/>
        <v>0.58880864970504343</v>
      </c>
      <c r="AX125" s="142">
        <f t="shared" si="67"/>
        <v>0.58530897906818624</v>
      </c>
      <c r="AY125" s="142">
        <f t="shared" si="67"/>
        <v>0.58527948454905709</v>
      </c>
      <c r="AZ125" s="142">
        <f t="shared" si="67"/>
        <v>0.58526882731411123</v>
      </c>
      <c r="BA125" s="142">
        <f t="shared" si="67"/>
        <v>0.58524297908729406</v>
      </c>
      <c r="BB125" s="142">
        <f t="shared" si="67"/>
        <v>0.58495523702974472</v>
      </c>
      <c r="BC125" s="142">
        <f t="shared" si="67"/>
        <v>0.58507064103844064</v>
      </c>
      <c r="BD125" s="142">
        <f t="shared" si="67"/>
        <v>0.58831673306307264</v>
      </c>
      <c r="BE125" s="142">
        <f t="shared" si="67"/>
        <v>0.58906891109964366</v>
      </c>
      <c r="BF125" s="142">
        <f t="shared" si="67"/>
        <v>0.62416678992716668</v>
      </c>
      <c r="BG125" s="142">
        <f t="shared" si="67"/>
        <v>0.6242379403542867</v>
      </c>
      <c r="BH125" s="142">
        <f t="shared" si="67"/>
        <v>0.62431878976391753</v>
      </c>
      <c r="BI125" s="142">
        <f t="shared" si="67"/>
        <v>0.62427233442973051</v>
      </c>
      <c r="BJ125" s="142">
        <f t="shared" si="67"/>
        <v>0.71943692916900537</v>
      </c>
      <c r="BK125" s="142">
        <f t="shared" si="67"/>
        <v>0.71959055846494779</v>
      </c>
      <c r="BL125" s="142">
        <f t="shared" si="67"/>
        <v>0.71944634955624642</v>
      </c>
      <c r="BM125" s="142">
        <f t="shared" si="67"/>
        <v>0.71964442051818778</v>
      </c>
      <c r="BN125" s="142">
        <f t="shared" si="67"/>
        <v>0.7196500455153686</v>
      </c>
      <c r="BO125" s="142">
        <f t="shared" si="65"/>
        <v>0.75740835394559713</v>
      </c>
      <c r="BP125" s="142">
        <f t="shared" ref="BP125" si="70">IFERROR(BP173/BP77,"-")</f>
        <v>0.28662122228508019</v>
      </c>
      <c r="BT125" s="230"/>
      <c r="BU125" s="230"/>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c r="DA125" s="230"/>
      <c r="DB125" s="230"/>
      <c r="DC125" s="230"/>
    </row>
    <row r="126" spans="1:107" s="159" customFormat="1" ht="15" hidden="1" customHeight="1" outlineLevel="1">
      <c r="A126" t="s">
        <v>245</v>
      </c>
      <c r="B126" s="154" t="s">
        <v>12</v>
      </c>
      <c r="C126" s="143">
        <f t="shared" si="67"/>
        <v>1</v>
      </c>
      <c r="D126" s="143">
        <f t="shared" si="67"/>
        <v>1</v>
      </c>
      <c r="E126" s="143">
        <f t="shared" si="67"/>
        <v>1</v>
      </c>
      <c r="F126" s="143">
        <f t="shared" si="67"/>
        <v>1</v>
      </c>
      <c r="G126" s="143">
        <f t="shared" si="67"/>
        <v>1</v>
      </c>
      <c r="H126" s="143">
        <f t="shared" si="67"/>
        <v>1</v>
      </c>
      <c r="I126" s="143">
        <f t="shared" si="67"/>
        <v>1</v>
      </c>
      <c r="J126" s="143">
        <f t="shared" si="67"/>
        <v>1</v>
      </c>
      <c r="K126" s="143">
        <f t="shared" si="67"/>
        <v>1</v>
      </c>
      <c r="L126" s="143">
        <f t="shared" si="67"/>
        <v>1</v>
      </c>
      <c r="M126" s="143">
        <f t="shared" si="67"/>
        <v>1</v>
      </c>
      <c r="N126" s="143">
        <f t="shared" si="67"/>
        <v>1</v>
      </c>
      <c r="O126" s="143">
        <f t="shared" si="67"/>
        <v>1</v>
      </c>
      <c r="P126" s="143">
        <f t="shared" si="67"/>
        <v>1</v>
      </c>
      <c r="Q126" s="143">
        <f t="shared" si="67"/>
        <v>1</v>
      </c>
      <c r="R126" s="143">
        <f t="shared" si="67"/>
        <v>1</v>
      </c>
      <c r="S126" s="143">
        <f t="shared" si="67"/>
        <v>1</v>
      </c>
      <c r="T126" s="143">
        <f t="shared" si="67"/>
        <v>1</v>
      </c>
      <c r="U126" s="143">
        <f t="shared" si="67"/>
        <v>1</v>
      </c>
      <c r="V126" s="143">
        <f t="shared" si="67"/>
        <v>1</v>
      </c>
      <c r="W126" s="143">
        <f t="shared" si="67"/>
        <v>1</v>
      </c>
      <c r="X126" s="143">
        <f t="shared" si="67"/>
        <v>1</v>
      </c>
      <c r="Y126" s="143">
        <f t="shared" si="67"/>
        <v>1</v>
      </c>
      <c r="Z126" s="143">
        <f t="shared" si="67"/>
        <v>1</v>
      </c>
      <c r="AA126" s="143">
        <f t="shared" si="67"/>
        <v>1</v>
      </c>
      <c r="AB126" s="143">
        <f t="shared" si="67"/>
        <v>1</v>
      </c>
      <c r="AC126" s="143">
        <f t="shared" si="67"/>
        <v>1</v>
      </c>
      <c r="AD126" s="143">
        <f t="shared" si="67"/>
        <v>1</v>
      </c>
      <c r="AE126" s="143">
        <f t="shared" si="67"/>
        <v>1</v>
      </c>
      <c r="AF126" s="143">
        <f t="shared" si="67"/>
        <v>1</v>
      </c>
      <c r="AG126" s="143">
        <f t="shared" si="67"/>
        <v>1</v>
      </c>
      <c r="AH126" s="143">
        <f t="shared" si="67"/>
        <v>1</v>
      </c>
      <c r="AI126" s="143">
        <f t="shared" si="67"/>
        <v>1</v>
      </c>
      <c r="AJ126" s="143">
        <f t="shared" si="67"/>
        <v>1</v>
      </c>
      <c r="AK126" s="143">
        <f t="shared" si="67"/>
        <v>1</v>
      </c>
      <c r="AL126" s="143">
        <f t="shared" si="67"/>
        <v>1</v>
      </c>
      <c r="AM126" s="143">
        <f t="shared" si="67"/>
        <v>1</v>
      </c>
      <c r="AN126" s="143">
        <f t="shared" si="67"/>
        <v>1</v>
      </c>
      <c r="AO126" s="143">
        <f t="shared" si="67"/>
        <v>1</v>
      </c>
      <c r="AP126" s="143">
        <f t="shared" si="67"/>
        <v>1</v>
      </c>
      <c r="AQ126" s="143">
        <f t="shared" si="67"/>
        <v>1</v>
      </c>
      <c r="AR126" s="143">
        <f t="shared" si="67"/>
        <v>1</v>
      </c>
      <c r="AS126" s="143">
        <f t="shared" si="67"/>
        <v>1</v>
      </c>
      <c r="AT126" s="143">
        <f t="shared" si="67"/>
        <v>1</v>
      </c>
      <c r="AU126" s="143">
        <f t="shared" si="67"/>
        <v>0.31589703473091363</v>
      </c>
      <c r="AV126" s="143">
        <f t="shared" si="67"/>
        <v>1</v>
      </c>
      <c r="AW126" s="143">
        <f t="shared" si="67"/>
        <v>1</v>
      </c>
      <c r="AX126" s="143">
        <f t="shared" si="67"/>
        <v>1</v>
      </c>
      <c r="AY126" s="143">
        <f t="shared" si="67"/>
        <v>1</v>
      </c>
      <c r="AZ126" s="143">
        <f t="shared" si="67"/>
        <v>1</v>
      </c>
      <c r="BA126" s="143">
        <f t="shared" si="67"/>
        <v>0.99996700444053144</v>
      </c>
      <c r="BB126" s="143">
        <f t="shared" si="67"/>
        <v>1.0000513372434079</v>
      </c>
      <c r="BC126" s="143">
        <f t="shared" si="67"/>
        <v>1</v>
      </c>
      <c r="BD126" s="143">
        <f t="shared" si="67"/>
        <v>1</v>
      </c>
      <c r="BE126" s="143">
        <f t="shared" si="67"/>
        <v>1</v>
      </c>
      <c r="BF126" s="143">
        <f t="shared" si="67"/>
        <v>1</v>
      </c>
      <c r="BG126" s="143">
        <f t="shared" si="67"/>
        <v>1</v>
      </c>
      <c r="BH126" s="143">
        <f t="shared" si="67"/>
        <v>1</v>
      </c>
      <c r="BI126" s="143">
        <f t="shared" si="67"/>
        <v>1</v>
      </c>
      <c r="BJ126" s="143">
        <f t="shared" si="67"/>
        <v>1</v>
      </c>
      <c r="BK126" s="143">
        <f t="shared" si="67"/>
        <v>1</v>
      </c>
      <c r="BL126" s="143">
        <f t="shared" si="67"/>
        <v>1</v>
      </c>
      <c r="BM126" s="143">
        <f t="shared" si="67"/>
        <v>1</v>
      </c>
      <c r="BN126" s="143">
        <f t="shared" ref="BN126:BP129" si="71">IFERROR(BN174/BN78,"-")</f>
        <v>1</v>
      </c>
      <c r="BO126" s="143">
        <f t="shared" si="71"/>
        <v>1</v>
      </c>
      <c r="BP126" s="143">
        <f t="shared" ref="BP126" si="72">IFERROR(BP174/BP78,"-")</f>
        <v>0.35879565096180643</v>
      </c>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c r="CS126" s="231"/>
      <c r="CT126" s="231"/>
      <c r="CU126" s="231"/>
      <c r="CV126" s="231"/>
      <c r="CW126" s="231"/>
      <c r="CX126" s="231"/>
      <c r="CY126" s="231"/>
      <c r="CZ126" s="231"/>
      <c r="DA126" s="231"/>
      <c r="DB126" s="231"/>
      <c r="DC126" s="231"/>
    </row>
    <row r="127" spans="1:107" s="159" customFormat="1" ht="15" hidden="1" customHeight="1" outlineLevel="1">
      <c r="A127" t="s">
        <v>246</v>
      </c>
      <c r="B127" s="154" t="s">
        <v>30</v>
      </c>
      <c r="C127" s="143">
        <f t="shared" ref="C127:BN130" si="73">IFERROR(C175/C79,"-")</f>
        <v>0.57023994130692146</v>
      </c>
      <c r="D127" s="143">
        <f t="shared" si="73"/>
        <v>0.57023994130692146</v>
      </c>
      <c r="E127" s="143">
        <f t="shared" si="73"/>
        <v>0.57023994130692146</v>
      </c>
      <c r="F127" s="143">
        <f t="shared" si="73"/>
        <v>0.57023994130692146</v>
      </c>
      <c r="G127" s="143">
        <f t="shared" si="73"/>
        <v>0.57023994130692146</v>
      </c>
      <c r="H127" s="143">
        <f t="shared" si="73"/>
        <v>0.57023994130692146</v>
      </c>
      <c r="I127" s="143">
        <f t="shared" si="73"/>
        <v>0.55717716916302495</v>
      </c>
      <c r="J127" s="143">
        <f t="shared" si="73"/>
        <v>0.55717716916302495</v>
      </c>
      <c r="K127" s="143">
        <f t="shared" si="73"/>
        <v>0.55717716916302495</v>
      </c>
      <c r="L127" s="143">
        <f t="shared" si="73"/>
        <v>0.55717716916302495</v>
      </c>
      <c r="M127" s="143">
        <f t="shared" si="73"/>
        <v>0.55717716916302495</v>
      </c>
      <c r="N127" s="143">
        <f t="shared" si="73"/>
        <v>0.55717716916302495</v>
      </c>
      <c r="O127" s="143">
        <f t="shared" si="73"/>
        <v>0.55717716916302495</v>
      </c>
      <c r="P127" s="143">
        <f t="shared" si="73"/>
        <v>0.55717716916302495</v>
      </c>
      <c r="Q127" s="143">
        <f t="shared" si="73"/>
        <v>0.6085999266104013</v>
      </c>
      <c r="R127" s="143">
        <f t="shared" si="73"/>
        <v>0.6085999266104013</v>
      </c>
      <c r="S127" s="143">
        <f t="shared" si="73"/>
        <v>0.6085999266104013</v>
      </c>
      <c r="T127" s="143">
        <f t="shared" si="73"/>
        <v>0.5973079360843313</v>
      </c>
      <c r="U127" s="143">
        <f t="shared" si="73"/>
        <v>0.5973079360843313</v>
      </c>
      <c r="V127" s="143">
        <f t="shared" si="73"/>
        <v>0.59730426377403067</v>
      </c>
      <c r="W127" s="143">
        <f t="shared" si="73"/>
        <v>0.59730426377403067</v>
      </c>
      <c r="X127" s="143">
        <f t="shared" si="73"/>
        <v>0.61412484280324686</v>
      </c>
      <c r="Y127" s="143">
        <f t="shared" si="73"/>
        <v>0.61413099999999998</v>
      </c>
      <c r="Z127" s="143">
        <f t="shared" si="73"/>
        <v>0.61413099999999998</v>
      </c>
      <c r="AA127" s="143">
        <f t="shared" si="73"/>
        <v>0.61413099999999998</v>
      </c>
      <c r="AB127" s="143">
        <f t="shared" si="73"/>
        <v>0.61413099999999998</v>
      </c>
      <c r="AC127" s="143">
        <f t="shared" si="73"/>
        <v>0.61409999999999998</v>
      </c>
      <c r="AD127" s="143">
        <f t="shared" si="73"/>
        <v>0.61409999999999998</v>
      </c>
      <c r="AE127" s="143">
        <f t="shared" si="73"/>
        <v>0.61409999999999998</v>
      </c>
      <c r="AF127" s="143">
        <f t="shared" si="73"/>
        <v>0.61409999999999998</v>
      </c>
      <c r="AG127" s="143">
        <f t="shared" si="73"/>
        <v>0.61409999999999998</v>
      </c>
      <c r="AH127" s="143">
        <f t="shared" si="73"/>
        <v>0.61409999999999998</v>
      </c>
      <c r="AI127" s="143">
        <f t="shared" si="73"/>
        <v>0.61409999999999998</v>
      </c>
      <c r="AJ127" s="143">
        <f t="shared" si="73"/>
        <v>0.61409999999999998</v>
      </c>
      <c r="AK127" s="143">
        <f t="shared" si="73"/>
        <v>0.61409999999999998</v>
      </c>
      <c r="AL127" s="143">
        <f t="shared" si="73"/>
        <v>0.61409999999999998</v>
      </c>
      <c r="AM127" s="143">
        <f t="shared" si="73"/>
        <v>0.61409999999999998</v>
      </c>
      <c r="AN127" s="143">
        <f t="shared" si="73"/>
        <v>0.61409913257022919</v>
      </c>
      <c r="AO127" s="143">
        <f t="shared" si="73"/>
        <v>0.61409913257022919</v>
      </c>
      <c r="AP127" s="143">
        <f t="shared" si="73"/>
        <v>0.61409999999999998</v>
      </c>
      <c r="AQ127" s="143">
        <f t="shared" si="73"/>
        <v>0.61409999999999998</v>
      </c>
      <c r="AR127" s="143">
        <f t="shared" si="73"/>
        <v>0.61409999999999998</v>
      </c>
      <c r="AS127" s="143">
        <f t="shared" si="73"/>
        <v>0.61409999999999998</v>
      </c>
      <c r="AT127" s="143">
        <f t="shared" si="73"/>
        <v>0.61409999999999998</v>
      </c>
      <c r="AU127" s="143">
        <f t="shared" si="73"/>
        <v>0.61410002943841235</v>
      </c>
      <c r="AV127" s="143">
        <f t="shared" si="73"/>
        <v>0.61409999999999998</v>
      </c>
      <c r="AW127" s="143">
        <f t="shared" si="73"/>
        <v>0.6140969036284929</v>
      </c>
      <c r="AX127" s="143">
        <f t="shared" si="73"/>
        <v>0.61409739969102384</v>
      </c>
      <c r="AY127" s="143">
        <f t="shared" si="73"/>
        <v>0.61409999999999998</v>
      </c>
      <c r="AZ127" s="143">
        <f t="shared" si="73"/>
        <v>0.61409973400615059</v>
      </c>
      <c r="BA127" s="143">
        <f t="shared" si="73"/>
        <v>0.6141000591097755</v>
      </c>
      <c r="BB127" s="143">
        <f t="shared" si="73"/>
        <v>0.61409766568386204</v>
      </c>
      <c r="BC127" s="143">
        <f t="shared" si="73"/>
        <v>0.61409973400615048</v>
      </c>
      <c r="BD127" s="143">
        <f t="shared" si="73"/>
        <v>0.61409999999999998</v>
      </c>
      <c r="BE127" s="143">
        <f t="shared" si="73"/>
        <v>0.61409999999999998</v>
      </c>
      <c r="BF127" s="143">
        <f t="shared" si="73"/>
        <v>0.61409999999999998</v>
      </c>
      <c r="BG127" s="143">
        <f t="shared" si="73"/>
        <v>0.61409999999999998</v>
      </c>
      <c r="BH127" s="143">
        <f t="shared" si="73"/>
        <v>0.61409999999999998</v>
      </c>
      <c r="BI127" s="143">
        <f t="shared" si="73"/>
        <v>0.61409999999999998</v>
      </c>
      <c r="BJ127" s="143">
        <f t="shared" si="73"/>
        <v>1</v>
      </c>
      <c r="BK127" s="143">
        <f t="shared" si="73"/>
        <v>1</v>
      </c>
      <c r="BL127" s="143">
        <f t="shared" si="73"/>
        <v>1</v>
      </c>
      <c r="BM127" s="143">
        <f t="shared" si="73"/>
        <v>1</v>
      </c>
      <c r="BN127" s="143">
        <f t="shared" si="73"/>
        <v>1</v>
      </c>
      <c r="BO127" s="143">
        <f t="shared" si="71"/>
        <v>1</v>
      </c>
      <c r="BP127" s="143">
        <f t="shared" ref="BP127" si="74">IFERROR(BP175/BP79,"-")</f>
        <v>0.16951636541279921</v>
      </c>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row>
    <row r="128" spans="1:107" s="159" customFormat="1" ht="15" hidden="1" customHeight="1" outlineLevel="1">
      <c r="A128" t="s">
        <v>18</v>
      </c>
      <c r="B128" s="154" t="s">
        <v>31</v>
      </c>
      <c r="C128" s="143" t="str">
        <f t="shared" si="73"/>
        <v>-</v>
      </c>
      <c r="D128" s="143" t="str">
        <f t="shared" si="73"/>
        <v>-</v>
      </c>
      <c r="E128" s="143" t="str">
        <f t="shared" si="73"/>
        <v>-</v>
      </c>
      <c r="F128" s="143" t="str">
        <f t="shared" si="73"/>
        <v>-</v>
      </c>
      <c r="G128" s="143" t="str">
        <f t="shared" si="73"/>
        <v>-</v>
      </c>
      <c r="H128" s="143" t="str">
        <f t="shared" si="73"/>
        <v>-</v>
      </c>
      <c r="I128" s="143" t="str">
        <f t="shared" si="73"/>
        <v>-</v>
      </c>
      <c r="J128" s="143" t="str">
        <f t="shared" si="73"/>
        <v>-</v>
      </c>
      <c r="K128" s="143" t="str">
        <f t="shared" si="73"/>
        <v>-</v>
      </c>
      <c r="L128" s="143" t="str">
        <f t="shared" si="73"/>
        <v>-</v>
      </c>
      <c r="M128" s="143" t="str">
        <f t="shared" si="73"/>
        <v>-</v>
      </c>
      <c r="N128" s="143" t="str">
        <f t="shared" si="73"/>
        <v>-</v>
      </c>
      <c r="O128" s="143" t="str">
        <f t="shared" si="73"/>
        <v>-</v>
      </c>
      <c r="P128" s="143" t="str">
        <f t="shared" si="73"/>
        <v>-</v>
      </c>
      <c r="Q128" s="143" t="str">
        <f t="shared" si="73"/>
        <v>-</v>
      </c>
      <c r="R128" s="143" t="str">
        <f t="shared" si="73"/>
        <v>-</v>
      </c>
      <c r="S128" s="143" t="str">
        <f t="shared" si="73"/>
        <v>-</v>
      </c>
      <c r="T128" s="143">
        <f t="shared" si="73"/>
        <v>0.40000588546877758</v>
      </c>
      <c r="U128" s="143">
        <f t="shared" si="73"/>
        <v>0.40000588546877758</v>
      </c>
      <c r="V128" s="143">
        <f t="shared" si="73"/>
        <v>0.40000588546877758</v>
      </c>
      <c r="W128" s="143">
        <f t="shared" si="73"/>
        <v>0.40000588546877758</v>
      </c>
      <c r="X128" s="143">
        <f t="shared" si="73"/>
        <v>0.40000588546877758</v>
      </c>
      <c r="Y128" s="143">
        <f t="shared" si="73"/>
        <v>0.4</v>
      </c>
      <c r="Z128" s="143">
        <f t="shared" si="73"/>
        <v>0.4</v>
      </c>
      <c r="AA128" s="143">
        <f t="shared" si="73"/>
        <v>0.4</v>
      </c>
      <c r="AB128" s="143">
        <f t="shared" si="73"/>
        <v>0.4</v>
      </c>
      <c r="AC128" s="143">
        <f t="shared" si="73"/>
        <v>0.4</v>
      </c>
      <c r="AD128" s="143">
        <f t="shared" si="73"/>
        <v>0.4</v>
      </c>
      <c r="AE128" s="143">
        <f t="shared" si="73"/>
        <v>0.4</v>
      </c>
      <c r="AF128" s="143">
        <f t="shared" si="73"/>
        <v>0.4</v>
      </c>
      <c r="AG128" s="143">
        <f t="shared" si="73"/>
        <v>0.4</v>
      </c>
      <c r="AH128" s="143">
        <f t="shared" si="73"/>
        <v>0.4</v>
      </c>
      <c r="AI128" s="143">
        <f t="shared" si="73"/>
        <v>0.4</v>
      </c>
      <c r="AJ128" s="143">
        <f t="shared" si="73"/>
        <v>0.4</v>
      </c>
      <c r="AK128" s="143">
        <f t="shared" si="73"/>
        <v>0.4</v>
      </c>
      <c r="AL128" s="143" t="str">
        <f t="shared" si="73"/>
        <v>-</v>
      </c>
      <c r="AM128" s="143" t="str">
        <f t="shared" si="73"/>
        <v>-</v>
      </c>
      <c r="AN128" s="143" t="str">
        <f t="shared" si="73"/>
        <v>-</v>
      </c>
      <c r="AO128" s="143" t="str">
        <f t="shared" si="73"/>
        <v>-</v>
      </c>
      <c r="AP128" s="143" t="str">
        <f t="shared" si="73"/>
        <v>-</v>
      </c>
      <c r="AQ128" s="143" t="str">
        <f t="shared" si="73"/>
        <v>-</v>
      </c>
      <c r="AR128" s="143" t="str">
        <f t="shared" si="73"/>
        <v>-</v>
      </c>
      <c r="AS128" s="143" t="str">
        <f t="shared" si="73"/>
        <v>-</v>
      </c>
      <c r="AT128" s="143" t="str">
        <f t="shared" si="73"/>
        <v>-</v>
      </c>
      <c r="AU128" s="143">
        <f t="shared" si="73"/>
        <v>0.40000241787786112</v>
      </c>
      <c r="AV128" s="143" t="str">
        <f t="shared" si="73"/>
        <v>-</v>
      </c>
      <c r="AW128" s="143">
        <f t="shared" si="73"/>
        <v>0.40001621139661181</v>
      </c>
      <c r="AX128" s="143">
        <f t="shared" si="73"/>
        <v>0.39998929078204065</v>
      </c>
      <c r="AY128" s="143">
        <f t="shared" si="73"/>
        <v>0.39999711160439694</v>
      </c>
      <c r="AZ128" s="143">
        <f t="shared" si="73"/>
        <v>0.39999632867288665</v>
      </c>
      <c r="BA128" s="143">
        <f t="shared" si="73"/>
        <v>0.39999704392267904</v>
      </c>
      <c r="BB128" s="143">
        <f t="shared" si="73"/>
        <v>0.40001067976718108</v>
      </c>
      <c r="BC128" s="143">
        <f t="shared" si="73"/>
        <v>0.4</v>
      </c>
      <c r="BD128" s="143">
        <f t="shared" si="73"/>
        <v>0.4</v>
      </c>
      <c r="BE128" s="143">
        <f t="shared" si="73"/>
        <v>0.39999999999999991</v>
      </c>
      <c r="BF128" s="143" t="str">
        <f t="shared" si="73"/>
        <v>-</v>
      </c>
      <c r="BG128" s="143" t="str">
        <f t="shared" si="73"/>
        <v>-</v>
      </c>
      <c r="BH128" s="143" t="str">
        <f t="shared" si="73"/>
        <v>-</v>
      </c>
      <c r="BI128" s="143" t="str">
        <f t="shared" si="73"/>
        <v>-</v>
      </c>
      <c r="BJ128" s="143" t="str">
        <f t="shared" si="73"/>
        <v>-</v>
      </c>
      <c r="BK128" s="143" t="str">
        <f t="shared" si="73"/>
        <v>-</v>
      </c>
      <c r="BL128" s="143" t="str">
        <f t="shared" si="73"/>
        <v>-</v>
      </c>
      <c r="BM128" s="143" t="str">
        <f t="shared" si="73"/>
        <v>-</v>
      </c>
      <c r="BN128" s="143" t="str">
        <f t="shared" si="73"/>
        <v>-</v>
      </c>
      <c r="BO128" s="143" t="str">
        <f t="shared" si="71"/>
        <v>-</v>
      </c>
      <c r="BP128" s="143" t="str">
        <f t="shared" ref="BP128" si="75">IFERROR(BP176/BP80,"-")</f>
        <v>-</v>
      </c>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c r="CN128" s="231"/>
      <c r="CO128" s="231"/>
      <c r="CP128" s="231"/>
      <c r="CQ128" s="231"/>
      <c r="CR128" s="231"/>
      <c r="CS128" s="231"/>
      <c r="CT128" s="231"/>
      <c r="CU128" s="231"/>
      <c r="CV128" s="231"/>
      <c r="CW128" s="231"/>
      <c r="CX128" s="231"/>
      <c r="CY128" s="231"/>
      <c r="CZ128" s="231"/>
      <c r="DA128" s="231"/>
      <c r="DB128" s="231"/>
      <c r="DC128" s="231"/>
    </row>
    <row r="129" spans="1:107" s="159" customFormat="1" ht="15" hidden="1" customHeight="1" outlineLevel="1">
      <c r="A129" t="s">
        <v>247</v>
      </c>
      <c r="B129" s="154" t="s">
        <v>16</v>
      </c>
      <c r="C129" s="143" t="str">
        <f t="shared" si="73"/>
        <v>-</v>
      </c>
      <c r="D129" s="143" t="str">
        <f t="shared" si="73"/>
        <v>-</v>
      </c>
      <c r="E129" s="143" t="str">
        <f t="shared" si="73"/>
        <v>-</v>
      </c>
      <c r="F129" s="143" t="str">
        <f t="shared" si="73"/>
        <v>-</v>
      </c>
      <c r="G129" s="143" t="str">
        <f t="shared" si="73"/>
        <v>-</v>
      </c>
      <c r="H129" s="143" t="str">
        <f t="shared" si="73"/>
        <v>-</v>
      </c>
      <c r="I129" s="143" t="str">
        <f t="shared" si="73"/>
        <v>-</v>
      </c>
      <c r="J129" s="143" t="str">
        <f t="shared" si="73"/>
        <v>-</v>
      </c>
      <c r="K129" s="143" t="str">
        <f t="shared" si="73"/>
        <v>-</v>
      </c>
      <c r="L129" s="143" t="str">
        <f t="shared" si="73"/>
        <v>-</v>
      </c>
      <c r="M129" s="143" t="str">
        <f t="shared" si="73"/>
        <v>-</v>
      </c>
      <c r="N129" s="143" t="str">
        <f t="shared" si="73"/>
        <v>-</v>
      </c>
      <c r="O129" s="143" t="str">
        <f t="shared" si="73"/>
        <v>-</v>
      </c>
      <c r="P129" s="143" t="str">
        <f t="shared" si="73"/>
        <v>-</v>
      </c>
      <c r="Q129" s="143" t="str">
        <f t="shared" si="73"/>
        <v>-</v>
      </c>
      <c r="R129" s="143" t="str">
        <f t="shared" si="73"/>
        <v>-</v>
      </c>
      <c r="S129" s="143" t="str">
        <f t="shared" si="73"/>
        <v>-</v>
      </c>
      <c r="T129" s="143" t="str">
        <f t="shared" si="73"/>
        <v>-</v>
      </c>
      <c r="U129" s="143" t="str">
        <f t="shared" si="73"/>
        <v>-</v>
      </c>
      <c r="V129" s="143" t="str">
        <f t="shared" si="73"/>
        <v>-</v>
      </c>
      <c r="W129" s="143" t="str">
        <f t="shared" si="73"/>
        <v>-</v>
      </c>
      <c r="X129" s="143" t="str">
        <f t="shared" si="73"/>
        <v>-</v>
      </c>
      <c r="Y129" s="143" t="str">
        <f t="shared" si="73"/>
        <v>-</v>
      </c>
      <c r="Z129" s="143">
        <f t="shared" si="73"/>
        <v>0.8</v>
      </c>
      <c r="AA129" s="143">
        <f t="shared" si="73"/>
        <v>0.8</v>
      </c>
      <c r="AB129" s="143">
        <f t="shared" si="73"/>
        <v>0.8</v>
      </c>
      <c r="AC129" s="143">
        <f t="shared" si="73"/>
        <v>0.8</v>
      </c>
      <c r="AD129" s="143">
        <f t="shared" si="73"/>
        <v>0.8</v>
      </c>
      <c r="AE129" s="143">
        <f t="shared" si="73"/>
        <v>0.8</v>
      </c>
      <c r="AF129" s="143">
        <f t="shared" si="73"/>
        <v>0.8</v>
      </c>
      <c r="AG129" s="143">
        <f t="shared" si="73"/>
        <v>0.8</v>
      </c>
      <c r="AH129" s="143">
        <f t="shared" si="73"/>
        <v>0.8</v>
      </c>
      <c r="AI129" s="143">
        <f t="shared" si="73"/>
        <v>0.8</v>
      </c>
      <c r="AJ129" s="143">
        <f t="shared" si="73"/>
        <v>0.8</v>
      </c>
      <c r="AK129" s="143">
        <f t="shared" si="73"/>
        <v>0.8</v>
      </c>
      <c r="AL129" s="143">
        <f t="shared" si="73"/>
        <v>0.8</v>
      </c>
      <c r="AM129" s="143">
        <f t="shared" si="73"/>
        <v>0.8</v>
      </c>
      <c r="AN129" s="143">
        <f t="shared" si="73"/>
        <v>0.79999202454988549</v>
      </c>
      <c r="AO129" s="143">
        <f t="shared" si="73"/>
        <v>0.79999202454988549</v>
      </c>
      <c r="AP129" s="143">
        <f t="shared" si="73"/>
        <v>0.8</v>
      </c>
      <c r="AQ129" s="143">
        <f t="shared" si="73"/>
        <v>0.8</v>
      </c>
      <c r="AR129" s="143">
        <f t="shared" si="73"/>
        <v>0.79999999999999982</v>
      </c>
      <c r="AS129" s="143">
        <f t="shared" si="73"/>
        <v>0.8</v>
      </c>
      <c r="AT129" s="143">
        <f t="shared" si="73"/>
        <v>0.8</v>
      </c>
      <c r="AU129" s="143">
        <f t="shared" si="73"/>
        <v>0.8000042309813612</v>
      </c>
      <c r="AV129" s="143">
        <f t="shared" si="73"/>
        <v>0.7998530648386909</v>
      </c>
      <c r="AW129" s="143">
        <f t="shared" si="73"/>
        <v>0.79999093237821051</v>
      </c>
      <c r="AX129" s="143">
        <f t="shared" si="73"/>
        <v>0.80000453350258405</v>
      </c>
      <c r="AY129" s="143">
        <f t="shared" si="73"/>
        <v>0.8</v>
      </c>
      <c r="AZ129" s="143">
        <f t="shared" si="73"/>
        <v>0.80000326412186062</v>
      </c>
      <c r="BA129" s="143">
        <f t="shared" si="73"/>
        <v>0.8</v>
      </c>
      <c r="BB129" s="143">
        <f t="shared" si="73"/>
        <v>0.80000695257362353</v>
      </c>
      <c r="BC129" s="143">
        <f t="shared" si="73"/>
        <v>0.80000018167366871</v>
      </c>
      <c r="BD129" s="143">
        <f t="shared" si="73"/>
        <v>0.8</v>
      </c>
      <c r="BE129" s="143">
        <f t="shared" si="73"/>
        <v>0.8</v>
      </c>
      <c r="BF129" s="143">
        <f t="shared" si="73"/>
        <v>0.8</v>
      </c>
      <c r="BG129" s="143">
        <f t="shared" si="73"/>
        <v>0.8</v>
      </c>
      <c r="BH129" s="143">
        <f t="shared" si="73"/>
        <v>0.8</v>
      </c>
      <c r="BI129" s="143">
        <f t="shared" si="73"/>
        <v>0.8</v>
      </c>
      <c r="BJ129" s="143">
        <f t="shared" si="73"/>
        <v>0.8</v>
      </c>
      <c r="BK129" s="143">
        <f t="shared" si="73"/>
        <v>0.8</v>
      </c>
      <c r="BL129" s="143">
        <f t="shared" si="73"/>
        <v>0.8</v>
      </c>
      <c r="BM129" s="143">
        <f t="shared" si="73"/>
        <v>0.8</v>
      </c>
      <c r="BN129" s="143">
        <f t="shared" si="73"/>
        <v>0.8</v>
      </c>
      <c r="BO129" s="143">
        <f t="shared" si="71"/>
        <v>1</v>
      </c>
      <c r="BP129" s="143">
        <f t="shared" ref="BP129" si="76">IFERROR(BP177/BP81,"-")</f>
        <v>0.125</v>
      </c>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row>
    <row r="130" spans="1:107" s="159" customFormat="1" ht="15" hidden="1" customHeight="1" outlineLevel="1">
      <c r="A130" t="s">
        <v>248</v>
      </c>
      <c r="B130" s="154" t="s">
        <v>17</v>
      </c>
      <c r="C130" s="143" t="str">
        <f t="shared" si="73"/>
        <v>-</v>
      </c>
      <c r="D130" s="143" t="str">
        <f t="shared" si="73"/>
        <v>-</v>
      </c>
      <c r="E130" s="143" t="str">
        <f t="shared" si="73"/>
        <v>-</v>
      </c>
      <c r="F130" s="143" t="str">
        <f t="shared" si="73"/>
        <v>-</v>
      </c>
      <c r="G130" s="143" t="str">
        <f t="shared" si="73"/>
        <v>-</v>
      </c>
      <c r="H130" s="143" t="str">
        <f t="shared" si="73"/>
        <v>-</v>
      </c>
      <c r="I130" s="143" t="str">
        <f t="shared" si="73"/>
        <v>-</v>
      </c>
      <c r="J130" s="143" t="str">
        <f t="shared" si="73"/>
        <v>-</v>
      </c>
      <c r="K130" s="143" t="str">
        <f t="shared" si="73"/>
        <v>-</v>
      </c>
      <c r="L130" s="143" t="str">
        <f t="shared" si="73"/>
        <v>-</v>
      </c>
      <c r="M130" s="143" t="str">
        <f t="shared" si="73"/>
        <v>-</v>
      </c>
      <c r="N130" s="143" t="str">
        <f t="shared" si="73"/>
        <v>-</v>
      </c>
      <c r="O130" s="143" t="str">
        <f t="shared" si="73"/>
        <v>-</v>
      </c>
      <c r="P130" s="143" t="str">
        <f t="shared" si="73"/>
        <v>-</v>
      </c>
      <c r="Q130" s="143" t="str">
        <f t="shared" si="73"/>
        <v>-</v>
      </c>
      <c r="R130" s="143" t="str">
        <f t="shared" si="73"/>
        <v>-</v>
      </c>
      <c r="S130" s="143" t="str">
        <f t="shared" si="73"/>
        <v>-</v>
      </c>
      <c r="T130" s="143" t="str">
        <f t="shared" si="73"/>
        <v>-</v>
      </c>
      <c r="U130" s="143" t="str">
        <f t="shared" si="73"/>
        <v>-</v>
      </c>
      <c r="V130" s="143" t="str">
        <f t="shared" si="73"/>
        <v>-</v>
      </c>
      <c r="W130" s="143" t="str">
        <f t="shared" si="73"/>
        <v>-</v>
      </c>
      <c r="X130" s="143" t="str">
        <f t="shared" si="73"/>
        <v>-</v>
      </c>
      <c r="Y130" s="143" t="str">
        <f t="shared" si="73"/>
        <v>-</v>
      </c>
      <c r="Z130" s="143">
        <f t="shared" si="73"/>
        <v>0.25</v>
      </c>
      <c r="AA130" s="143">
        <f t="shared" si="73"/>
        <v>0.25</v>
      </c>
      <c r="AB130" s="143">
        <f t="shared" si="73"/>
        <v>0.25</v>
      </c>
      <c r="AC130" s="143">
        <f t="shared" si="73"/>
        <v>0.25</v>
      </c>
      <c r="AD130" s="143">
        <f t="shared" si="73"/>
        <v>0.25</v>
      </c>
      <c r="AE130" s="143">
        <f t="shared" si="73"/>
        <v>0.25</v>
      </c>
      <c r="AF130" s="143">
        <f t="shared" si="73"/>
        <v>0.25</v>
      </c>
      <c r="AG130" s="143">
        <f t="shared" si="73"/>
        <v>0.25</v>
      </c>
      <c r="AH130" s="143">
        <f t="shared" si="73"/>
        <v>0.25</v>
      </c>
      <c r="AI130" s="143">
        <f t="shared" si="73"/>
        <v>0.25</v>
      </c>
      <c r="AJ130" s="143">
        <f t="shared" si="73"/>
        <v>0.25</v>
      </c>
      <c r="AK130" s="143">
        <f t="shared" si="73"/>
        <v>0.25</v>
      </c>
      <c r="AL130" s="143">
        <f t="shared" si="73"/>
        <v>0.25</v>
      </c>
      <c r="AM130" s="143">
        <f t="shared" si="73"/>
        <v>0.25</v>
      </c>
      <c r="AN130" s="143">
        <f t="shared" si="73"/>
        <v>0.24999740836383746</v>
      </c>
      <c r="AO130" s="143">
        <f t="shared" si="73"/>
        <v>0.25000668538574677</v>
      </c>
      <c r="AP130" s="143">
        <f t="shared" si="73"/>
        <v>0.25</v>
      </c>
      <c r="AQ130" s="143">
        <f t="shared" si="73"/>
        <v>0.25</v>
      </c>
      <c r="AR130" s="143">
        <f t="shared" si="73"/>
        <v>0.25</v>
      </c>
      <c r="AS130" s="143">
        <f t="shared" si="73"/>
        <v>0.25</v>
      </c>
      <c r="AT130" s="143">
        <f t="shared" si="73"/>
        <v>0.25</v>
      </c>
      <c r="AU130" s="143">
        <f t="shared" si="73"/>
        <v>0.25000026766595285</v>
      </c>
      <c r="AV130" s="143">
        <f t="shared" si="73"/>
        <v>0.25</v>
      </c>
      <c r="AW130" s="143">
        <f t="shared" si="73"/>
        <v>0.24999973233433373</v>
      </c>
      <c r="AX130" s="143">
        <f t="shared" si="73"/>
        <v>0.24999973233433373</v>
      </c>
      <c r="AY130" s="143">
        <f t="shared" si="73"/>
        <v>0.25</v>
      </c>
      <c r="AZ130" s="143">
        <f t="shared" si="73"/>
        <v>0.25000026766595285</v>
      </c>
      <c r="BA130" s="143">
        <f t="shared" si="73"/>
        <v>0.25000000000000006</v>
      </c>
      <c r="BB130" s="143">
        <f t="shared" si="73"/>
        <v>0.25001181978889025</v>
      </c>
      <c r="BC130" s="143">
        <f t="shared" si="73"/>
        <v>0.25000013351847894</v>
      </c>
      <c r="BD130" s="143">
        <f t="shared" si="73"/>
        <v>0.25</v>
      </c>
      <c r="BE130" s="143">
        <f t="shared" si="73"/>
        <v>0.25</v>
      </c>
      <c r="BF130" s="143">
        <f t="shared" si="73"/>
        <v>0.25</v>
      </c>
      <c r="BG130" s="143">
        <f t="shared" si="73"/>
        <v>0.25</v>
      </c>
      <c r="BH130" s="143">
        <f t="shared" si="73"/>
        <v>0.25</v>
      </c>
      <c r="BI130" s="143">
        <f t="shared" si="73"/>
        <v>0.25</v>
      </c>
      <c r="BJ130" s="143">
        <f t="shared" si="73"/>
        <v>0.25</v>
      </c>
      <c r="BK130" s="143">
        <f t="shared" si="73"/>
        <v>0.25</v>
      </c>
      <c r="BL130" s="143">
        <f t="shared" si="73"/>
        <v>0.25</v>
      </c>
      <c r="BM130" s="143">
        <f t="shared" si="73"/>
        <v>0.25</v>
      </c>
      <c r="BN130" s="143">
        <f t="shared" ref="BN130:BP133" si="77">IFERROR(BN178/BN82,"-")</f>
        <v>0.25</v>
      </c>
      <c r="BO130" s="143">
        <f t="shared" si="77"/>
        <v>0.25</v>
      </c>
      <c r="BP130" s="143">
        <f t="shared" ref="BP130" si="78">IFERROR(BP178/BP82,"-")</f>
        <v>1</v>
      </c>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row>
    <row r="131" spans="1:107" s="160" customFormat="1" ht="15" hidden="1" customHeight="1" outlineLevel="1">
      <c r="A131" t="s">
        <v>249</v>
      </c>
      <c r="B131" s="154" t="s">
        <v>20</v>
      </c>
      <c r="C131" s="143" t="str">
        <f t="shared" ref="C131:BN134" si="79">IFERROR(C179/C83,"-")</f>
        <v>-</v>
      </c>
      <c r="D131" s="143" t="str">
        <f t="shared" si="79"/>
        <v>-</v>
      </c>
      <c r="E131" s="143" t="str">
        <f t="shared" si="79"/>
        <v>-</v>
      </c>
      <c r="F131" s="143" t="str">
        <f t="shared" si="79"/>
        <v>-</v>
      </c>
      <c r="G131" s="143" t="str">
        <f t="shared" si="79"/>
        <v>-</v>
      </c>
      <c r="H131" s="143" t="str">
        <f t="shared" si="79"/>
        <v>-</v>
      </c>
      <c r="I131" s="143" t="str">
        <f t="shared" si="79"/>
        <v>-</v>
      </c>
      <c r="J131" s="143" t="str">
        <f t="shared" si="79"/>
        <v>-</v>
      </c>
      <c r="K131" s="143" t="str">
        <f t="shared" si="79"/>
        <v>-</v>
      </c>
      <c r="L131" s="143" t="str">
        <f t="shared" si="79"/>
        <v>-</v>
      </c>
      <c r="M131" s="143" t="str">
        <f t="shared" si="79"/>
        <v>-</v>
      </c>
      <c r="N131" s="143" t="str">
        <f t="shared" si="79"/>
        <v>-</v>
      </c>
      <c r="O131" s="143" t="str">
        <f t="shared" si="79"/>
        <v>-</v>
      </c>
      <c r="P131" s="143" t="str">
        <f t="shared" si="79"/>
        <v>-</v>
      </c>
      <c r="Q131" s="143" t="str">
        <f t="shared" si="79"/>
        <v>-</v>
      </c>
      <c r="R131" s="143" t="str">
        <f t="shared" si="79"/>
        <v>-</v>
      </c>
      <c r="S131" s="143" t="str">
        <f t="shared" si="79"/>
        <v>-</v>
      </c>
      <c r="T131" s="143" t="str">
        <f t="shared" si="79"/>
        <v>-</v>
      </c>
      <c r="U131" s="143" t="str">
        <f t="shared" si="79"/>
        <v>-</v>
      </c>
      <c r="V131" s="143" t="str">
        <f t="shared" si="79"/>
        <v>-</v>
      </c>
      <c r="W131" s="143" t="str">
        <f t="shared" si="79"/>
        <v>-</v>
      </c>
      <c r="X131" s="143" t="str">
        <f t="shared" si="79"/>
        <v>-</v>
      </c>
      <c r="Y131" s="143" t="str">
        <f t="shared" si="79"/>
        <v>-</v>
      </c>
      <c r="Z131" s="143" t="str">
        <f t="shared" si="79"/>
        <v>-</v>
      </c>
      <c r="AA131" s="143" t="str">
        <f t="shared" si="79"/>
        <v>-</v>
      </c>
      <c r="AB131" s="143" t="str">
        <f t="shared" si="79"/>
        <v>-</v>
      </c>
      <c r="AC131" s="143" t="str">
        <f t="shared" si="79"/>
        <v>-</v>
      </c>
      <c r="AD131" s="143" t="str">
        <f t="shared" si="79"/>
        <v>-</v>
      </c>
      <c r="AE131" s="143" t="str">
        <f t="shared" si="79"/>
        <v>-</v>
      </c>
      <c r="AF131" s="143">
        <f t="shared" si="79"/>
        <v>1</v>
      </c>
      <c r="AG131" s="143">
        <f t="shared" si="79"/>
        <v>1</v>
      </c>
      <c r="AH131" s="143">
        <f t="shared" si="79"/>
        <v>1</v>
      </c>
      <c r="AI131" s="143">
        <f t="shared" si="79"/>
        <v>1</v>
      </c>
      <c r="AJ131" s="143">
        <f t="shared" si="79"/>
        <v>1</v>
      </c>
      <c r="AK131" s="143">
        <f t="shared" si="79"/>
        <v>1</v>
      </c>
      <c r="AL131" s="143">
        <f t="shared" si="79"/>
        <v>1</v>
      </c>
      <c r="AM131" s="143">
        <f t="shared" si="79"/>
        <v>1</v>
      </c>
      <c r="AN131" s="143">
        <f t="shared" si="79"/>
        <v>1</v>
      </c>
      <c r="AO131" s="143">
        <f t="shared" si="79"/>
        <v>0.99997533005082617</v>
      </c>
      <c r="AP131" s="143">
        <f t="shared" si="79"/>
        <v>1</v>
      </c>
      <c r="AQ131" s="143">
        <f t="shared" si="79"/>
        <v>1</v>
      </c>
      <c r="AR131" s="143">
        <f t="shared" si="79"/>
        <v>1</v>
      </c>
      <c r="AS131" s="143">
        <f t="shared" si="79"/>
        <v>1</v>
      </c>
      <c r="AT131" s="143">
        <f t="shared" si="79"/>
        <v>1</v>
      </c>
      <c r="AU131" s="143">
        <f t="shared" si="79"/>
        <v>0.92002267235679513</v>
      </c>
      <c r="AV131" s="143">
        <f t="shared" si="79"/>
        <v>1</v>
      </c>
      <c r="AW131" s="143">
        <f t="shared" si="79"/>
        <v>0.99997274345821441</v>
      </c>
      <c r="AX131" s="143">
        <f t="shared" si="79"/>
        <v>0.91999279755116736</v>
      </c>
      <c r="AY131" s="143">
        <f t="shared" si="79"/>
        <v>0.92</v>
      </c>
      <c r="AZ131" s="143">
        <f t="shared" si="79"/>
        <v>0.92000220875097538</v>
      </c>
      <c r="BA131" s="143">
        <f t="shared" si="79"/>
        <v>0.92</v>
      </c>
      <c r="BB131" s="143">
        <f t="shared" si="79"/>
        <v>0.91998059244208308</v>
      </c>
      <c r="BC131" s="143">
        <f t="shared" si="79"/>
        <v>0.92</v>
      </c>
      <c r="BD131" s="143">
        <f t="shared" si="79"/>
        <v>1</v>
      </c>
      <c r="BE131" s="143">
        <f t="shared" si="79"/>
        <v>1</v>
      </c>
      <c r="BF131" s="143">
        <f t="shared" si="79"/>
        <v>1</v>
      </c>
      <c r="BG131" s="143">
        <f t="shared" si="79"/>
        <v>1</v>
      </c>
      <c r="BH131" s="143">
        <f t="shared" si="79"/>
        <v>1</v>
      </c>
      <c r="BI131" s="143">
        <f t="shared" si="79"/>
        <v>1</v>
      </c>
      <c r="BJ131" s="143">
        <f t="shared" si="79"/>
        <v>1</v>
      </c>
      <c r="BK131" s="143">
        <f t="shared" si="79"/>
        <v>1</v>
      </c>
      <c r="BL131" s="143">
        <f t="shared" si="79"/>
        <v>1</v>
      </c>
      <c r="BM131" s="143">
        <f t="shared" si="79"/>
        <v>1</v>
      </c>
      <c r="BN131" s="143">
        <f t="shared" si="79"/>
        <v>1</v>
      </c>
      <c r="BO131" s="143">
        <f t="shared" si="77"/>
        <v>1</v>
      </c>
      <c r="BP131" s="143">
        <f t="shared" ref="BP131" si="80">IFERROR(BP179/BP83,"-")</f>
        <v>1</v>
      </c>
      <c r="BT131" s="232"/>
      <c r="BU131" s="232"/>
      <c r="BV131" s="232"/>
      <c r="BW131" s="232"/>
      <c r="BX131" s="232"/>
      <c r="BY131" s="232"/>
      <c r="BZ131" s="232"/>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row>
    <row r="132" spans="1:107" s="159" customFormat="1" ht="15" hidden="1" customHeight="1" outlineLevel="1">
      <c r="A132" t="s">
        <v>250</v>
      </c>
      <c r="B132" s="154" t="s">
        <v>23</v>
      </c>
      <c r="C132" s="143" t="str">
        <f t="shared" si="79"/>
        <v>-</v>
      </c>
      <c r="D132" s="143" t="str">
        <f t="shared" si="79"/>
        <v>-</v>
      </c>
      <c r="E132" s="143" t="str">
        <f t="shared" si="79"/>
        <v>-</v>
      </c>
      <c r="F132" s="143" t="str">
        <f t="shared" si="79"/>
        <v>-</v>
      </c>
      <c r="G132" s="143" t="str">
        <f t="shared" si="79"/>
        <v>-</v>
      </c>
      <c r="H132" s="143" t="str">
        <f t="shared" si="79"/>
        <v>-</v>
      </c>
      <c r="I132" s="143" t="str">
        <f t="shared" si="79"/>
        <v>-</v>
      </c>
      <c r="J132" s="143" t="str">
        <f t="shared" si="79"/>
        <v>-</v>
      </c>
      <c r="K132" s="143" t="str">
        <f t="shared" si="79"/>
        <v>-</v>
      </c>
      <c r="L132" s="143" t="str">
        <f t="shared" si="79"/>
        <v>-</v>
      </c>
      <c r="M132" s="143" t="str">
        <f t="shared" si="79"/>
        <v>-</v>
      </c>
      <c r="N132" s="143" t="str">
        <f t="shared" si="79"/>
        <v>-</v>
      </c>
      <c r="O132" s="143" t="str">
        <f t="shared" si="79"/>
        <v>-</v>
      </c>
      <c r="P132" s="143" t="str">
        <f t="shared" si="79"/>
        <v>-</v>
      </c>
      <c r="Q132" s="143" t="str">
        <f t="shared" si="79"/>
        <v>-</v>
      </c>
      <c r="R132" s="143" t="str">
        <f t="shared" si="79"/>
        <v>-</v>
      </c>
      <c r="S132" s="143" t="str">
        <f t="shared" si="79"/>
        <v>-</v>
      </c>
      <c r="T132" s="143" t="str">
        <f t="shared" si="79"/>
        <v>-</v>
      </c>
      <c r="U132" s="143" t="str">
        <f t="shared" si="79"/>
        <v>-</v>
      </c>
      <c r="V132" s="143" t="str">
        <f t="shared" si="79"/>
        <v>-</v>
      </c>
      <c r="W132" s="143" t="str">
        <f t="shared" si="79"/>
        <v>-</v>
      </c>
      <c r="X132" s="143" t="str">
        <f t="shared" si="79"/>
        <v>-</v>
      </c>
      <c r="Y132" s="143" t="str">
        <f t="shared" si="79"/>
        <v>-</v>
      </c>
      <c r="Z132" s="143" t="str">
        <f t="shared" si="79"/>
        <v>-</v>
      </c>
      <c r="AA132" s="143" t="str">
        <f t="shared" si="79"/>
        <v>-</v>
      </c>
      <c r="AB132" s="143" t="str">
        <f t="shared" si="79"/>
        <v>-</v>
      </c>
      <c r="AC132" s="143" t="str">
        <f t="shared" si="79"/>
        <v>-</v>
      </c>
      <c r="AD132" s="143" t="str">
        <f t="shared" si="79"/>
        <v>-</v>
      </c>
      <c r="AE132" s="143" t="str">
        <f t="shared" si="79"/>
        <v>-</v>
      </c>
      <c r="AF132" s="143" t="str">
        <f t="shared" si="79"/>
        <v>-</v>
      </c>
      <c r="AG132" s="143" t="str">
        <f t="shared" si="79"/>
        <v>-</v>
      </c>
      <c r="AH132" s="143" t="str">
        <f t="shared" si="79"/>
        <v>-</v>
      </c>
      <c r="AI132" s="143" t="str">
        <f t="shared" si="79"/>
        <v>-</v>
      </c>
      <c r="AJ132" s="143">
        <f t="shared" si="79"/>
        <v>0.5312596156535847</v>
      </c>
      <c r="AK132" s="143">
        <f t="shared" si="79"/>
        <v>0.5312596156535847</v>
      </c>
      <c r="AL132" s="143">
        <f t="shared" si="79"/>
        <v>0.5312596156535847</v>
      </c>
      <c r="AM132" s="143">
        <f t="shared" si="79"/>
        <v>0.5312596156535847</v>
      </c>
      <c r="AN132" s="143">
        <f t="shared" si="79"/>
        <v>0.5312596156535847</v>
      </c>
      <c r="AO132" s="143">
        <f t="shared" si="79"/>
        <v>0.5312596156535847</v>
      </c>
      <c r="AP132" s="143">
        <f t="shared" si="79"/>
        <v>0.53125</v>
      </c>
      <c r="AQ132" s="143">
        <f t="shared" si="79"/>
        <v>0.53125</v>
      </c>
      <c r="AR132" s="143">
        <f t="shared" si="79"/>
        <v>0.53125505606571033</v>
      </c>
      <c r="AS132" s="143">
        <f t="shared" si="79"/>
        <v>0.53125</v>
      </c>
      <c r="AT132" s="143">
        <f t="shared" si="79"/>
        <v>0.53125</v>
      </c>
      <c r="AU132" s="143">
        <f t="shared" si="79"/>
        <v>0.53125</v>
      </c>
      <c r="AV132" s="143">
        <f t="shared" si="79"/>
        <v>0.53124103570051107</v>
      </c>
      <c r="AW132" s="143">
        <f t="shared" si="79"/>
        <v>0.5312770875469518</v>
      </c>
      <c r="AX132" s="143">
        <f t="shared" si="79"/>
        <v>0.5312770875469518</v>
      </c>
      <c r="AY132" s="143">
        <f t="shared" si="79"/>
        <v>0.53125</v>
      </c>
      <c r="AZ132" s="143">
        <f t="shared" si="79"/>
        <v>0.53125920976596352</v>
      </c>
      <c r="BA132" s="143">
        <f t="shared" si="79"/>
        <v>0.53125</v>
      </c>
      <c r="BB132" s="143">
        <f t="shared" si="79"/>
        <v>0.53126787747106374</v>
      </c>
      <c r="BC132" s="143">
        <f t="shared" si="79"/>
        <v>0.53125</v>
      </c>
      <c r="BD132" s="143">
        <f t="shared" si="79"/>
        <v>0.53125</v>
      </c>
      <c r="BE132" s="143">
        <f t="shared" si="79"/>
        <v>0.53125</v>
      </c>
      <c r="BF132" s="143">
        <f t="shared" si="79"/>
        <v>0.53125</v>
      </c>
      <c r="BG132" s="143">
        <f t="shared" si="79"/>
        <v>0.53125</v>
      </c>
      <c r="BH132" s="143">
        <f t="shared" si="79"/>
        <v>0.53125</v>
      </c>
      <c r="BI132" s="143">
        <f t="shared" si="79"/>
        <v>0.53125</v>
      </c>
      <c r="BJ132" s="143">
        <f t="shared" si="79"/>
        <v>0.53125</v>
      </c>
      <c r="BK132" s="143">
        <f t="shared" si="79"/>
        <v>0.53125</v>
      </c>
      <c r="BL132" s="143">
        <f t="shared" si="79"/>
        <v>0.53125</v>
      </c>
      <c r="BM132" s="143">
        <f t="shared" si="79"/>
        <v>0.53125</v>
      </c>
      <c r="BN132" s="143">
        <f t="shared" si="79"/>
        <v>0.53125</v>
      </c>
      <c r="BO132" s="143">
        <f t="shared" si="77"/>
        <v>0.53125</v>
      </c>
      <c r="BP132" s="143" t="str">
        <f t="shared" ref="BP132" si="81">IFERROR(BP180/BP84,"-")</f>
        <v>-</v>
      </c>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row>
    <row r="133" spans="1:107" s="159" customFormat="1" ht="15" hidden="1" customHeight="1" outlineLevel="1">
      <c r="A133" t="s">
        <v>18</v>
      </c>
      <c r="B133" s="154" t="s">
        <v>13</v>
      </c>
      <c r="C133" s="143" t="str">
        <f t="shared" si="79"/>
        <v>-</v>
      </c>
      <c r="D133" s="143" t="str">
        <f t="shared" si="79"/>
        <v>-</v>
      </c>
      <c r="E133" s="143" t="str">
        <f t="shared" si="79"/>
        <v>-</v>
      </c>
      <c r="F133" s="143" t="str">
        <f t="shared" si="79"/>
        <v>-</v>
      </c>
      <c r="G133" s="143" t="str">
        <f t="shared" si="79"/>
        <v>-</v>
      </c>
      <c r="H133" s="143" t="str">
        <f t="shared" si="79"/>
        <v>-</v>
      </c>
      <c r="I133" s="143" t="str">
        <f t="shared" si="79"/>
        <v>-</v>
      </c>
      <c r="J133" s="143" t="str">
        <f t="shared" si="79"/>
        <v>-</v>
      </c>
      <c r="K133" s="143" t="str">
        <f t="shared" si="79"/>
        <v>-</v>
      </c>
      <c r="L133" s="143" t="str">
        <f t="shared" si="79"/>
        <v>-</v>
      </c>
      <c r="M133" s="143" t="str">
        <f t="shared" si="79"/>
        <v>-</v>
      </c>
      <c r="N133" s="143" t="str">
        <f t="shared" si="79"/>
        <v>-</v>
      </c>
      <c r="O133" s="143" t="str">
        <f t="shared" si="79"/>
        <v>-</v>
      </c>
      <c r="P133" s="143" t="str">
        <f t="shared" si="79"/>
        <v>-</v>
      </c>
      <c r="Q133" s="143" t="str">
        <f t="shared" si="79"/>
        <v>-</v>
      </c>
      <c r="R133" s="143" t="str">
        <f t="shared" si="79"/>
        <v>-</v>
      </c>
      <c r="S133" s="143" t="str">
        <f t="shared" si="79"/>
        <v>-</v>
      </c>
      <c r="T133" s="143">
        <f t="shared" si="79"/>
        <v>0.25</v>
      </c>
      <c r="U133" s="143">
        <f t="shared" si="79"/>
        <v>0.25</v>
      </c>
      <c r="V133" s="143">
        <f t="shared" si="79"/>
        <v>0.25</v>
      </c>
      <c r="W133" s="143">
        <f t="shared" si="79"/>
        <v>0.25</v>
      </c>
      <c r="X133" s="143">
        <f t="shared" si="79"/>
        <v>0.25</v>
      </c>
      <c r="Y133" s="143">
        <f t="shared" si="79"/>
        <v>0.25</v>
      </c>
      <c r="Z133" s="143">
        <f t="shared" si="79"/>
        <v>0.25</v>
      </c>
      <c r="AA133" s="143">
        <f t="shared" si="79"/>
        <v>0.25</v>
      </c>
      <c r="AB133" s="143">
        <f t="shared" si="79"/>
        <v>0.25</v>
      </c>
      <c r="AC133" s="143">
        <f t="shared" si="79"/>
        <v>0.25</v>
      </c>
      <c r="AD133" s="143">
        <f t="shared" si="79"/>
        <v>0.25</v>
      </c>
      <c r="AE133" s="143">
        <f t="shared" si="79"/>
        <v>0.25</v>
      </c>
      <c r="AF133" s="143">
        <f t="shared" si="79"/>
        <v>0.25</v>
      </c>
      <c r="AG133" s="143">
        <f t="shared" si="79"/>
        <v>0.25</v>
      </c>
      <c r="AH133" s="143">
        <f t="shared" si="79"/>
        <v>0.25</v>
      </c>
      <c r="AI133" s="143">
        <f t="shared" si="79"/>
        <v>0.25</v>
      </c>
      <c r="AJ133" s="143">
        <f t="shared" si="79"/>
        <v>0.25</v>
      </c>
      <c r="AK133" s="143">
        <f t="shared" si="79"/>
        <v>0.25</v>
      </c>
      <c r="AL133" s="143" t="str">
        <f t="shared" si="79"/>
        <v>-</v>
      </c>
      <c r="AM133" s="143" t="str">
        <f t="shared" si="79"/>
        <v>-</v>
      </c>
      <c r="AN133" s="143" t="str">
        <f t="shared" si="79"/>
        <v>-</v>
      </c>
      <c r="AO133" s="143" t="str">
        <f t="shared" si="79"/>
        <v>-</v>
      </c>
      <c r="AP133" s="143" t="str">
        <f t="shared" si="79"/>
        <v>-</v>
      </c>
      <c r="AQ133" s="143" t="str">
        <f t="shared" si="79"/>
        <v>-</v>
      </c>
      <c r="AR133" s="143" t="str">
        <f t="shared" si="79"/>
        <v>-</v>
      </c>
      <c r="AS133" s="143" t="str">
        <f t="shared" si="79"/>
        <v>-</v>
      </c>
      <c r="AT133" s="143" t="str">
        <f t="shared" si="79"/>
        <v>-</v>
      </c>
      <c r="AU133" s="143" t="str">
        <f t="shared" si="79"/>
        <v>-</v>
      </c>
      <c r="AV133" s="143" t="str">
        <f t="shared" si="79"/>
        <v>-</v>
      </c>
      <c r="AW133" s="143" t="str">
        <f t="shared" si="79"/>
        <v>-</v>
      </c>
      <c r="AX133" s="143" t="str">
        <f t="shared" si="79"/>
        <v>-</v>
      </c>
      <c r="AY133" s="143" t="str">
        <f t="shared" si="79"/>
        <v>-</v>
      </c>
      <c r="AZ133" s="143" t="str">
        <f t="shared" si="79"/>
        <v>-</v>
      </c>
      <c r="BA133" s="143" t="str">
        <f t="shared" si="79"/>
        <v>-</v>
      </c>
      <c r="BB133" s="143" t="str">
        <f t="shared" si="79"/>
        <v>-</v>
      </c>
      <c r="BC133" s="143" t="str">
        <f t="shared" si="79"/>
        <v>-</v>
      </c>
      <c r="BD133" s="143" t="str">
        <f t="shared" si="79"/>
        <v>-</v>
      </c>
      <c r="BE133" s="143" t="str">
        <f t="shared" si="79"/>
        <v>-</v>
      </c>
      <c r="BF133" s="143" t="str">
        <f t="shared" si="79"/>
        <v>-</v>
      </c>
      <c r="BG133" s="143" t="str">
        <f t="shared" si="79"/>
        <v>-</v>
      </c>
      <c r="BH133" s="143" t="str">
        <f t="shared" si="79"/>
        <v>-</v>
      </c>
      <c r="BI133" s="143" t="str">
        <f t="shared" si="79"/>
        <v>-</v>
      </c>
      <c r="BJ133" s="143" t="str">
        <f t="shared" si="79"/>
        <v>-</v>
      </c>
      <c r="BK133" s="143" t="str">
        <f t="shared" si="79"/>
        <v>-</v>
      </c>
      <c r="BL133" s="143" t="str">
        <f t="shared" si="79"/>
        <v>-</v>
      </c>
      <c r="BM133" s="143" t="str">
        <f t="shared" si="79"/>
        <v>-</v>
      </c>
      <c r="BN133" s="143" t="str">
        <f t="shared" si="79"/>
        <v>-</v>
      </c>
      <c r="BO133" s="143" t="str">
        <f t="shared" si="77"/>
        <v>-</v>
      </c>
      <c r="BP133" s="143" t="str">
        <f t="shared" ref="BP133" si="82">IFERROR(BP181/BP85,"-")</f>
        <v>-</v>
      </c>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row>
    <row r="134" spans="1:107" s="158" customFormat="1" ht="15" customHeight="1" collapsed="1">
      <c r="A134" s="15"/>
      <c r="B134" s="82" t="str">
        <f>IF('Sumário | Summary'!P1=1,"Galpões Logísticos","Distribution Centers")</f>
        <v>Galpões Logísticos</v>
      </c>
      <c r="C134" s="142">
        <f t="shared" si="79"/>
        <v>1.0000039653193173</v>
      </c>
      <c r="D134" s="142">
        <f t="shared" si="79"/>
        <v>1.0000039653193173</v>
      </c>
      <c r="E134" s="142">
        <f t="shared" si="79"/>
        <v>1.0000039653193173</v>
      </c>
      <c r="F134" s="142">
        <f t="shared" si="79"/>
        <v>1.0000039653193173</v>
      </c>
      <c r="G134" s="142">
        <f t="shared" si="79"/>
        <v>1.0000039653193173</v>
      </c>
      <c r="H134" s="142">
        <f t="shared" si="79"/>
        <v>1.0000039653193173</v>
      </c>
      <c r="I134" s="142">
        <f t="shared" si="79"/>
        <v>1.0000039653193173</v>
      </c>
      <c r="J134" s="142">
        <f t="shared" si="79"/>
        <v>1.0000039653193173</v>
      </c>
      <c r="K134" s="142">
        <f t="shared" si="79"/>
        <v>1.0000039653193173</v>
      </c>
      <c r="L134" s="142">
        <f t="shared" si="79"/>
        <v>1.0000039653193173</v>
      </c>
      <c r="M134" s="142">
        <f t="shared" si="79"/>
        <v>1.0000039653193173</v>
      </c>
      <c r="N134" s="142">
        <f t="shared" si="79"/>
        <v>1.0000039653193173</v>
      </c>
      <c r="O134" s="142">
        <f t="shared" si="79"/>
        <v>1.0000039653193173</v>
      </c>
      <c r="P134" s="142">
        <f t="shared" si="79"/>
        <v>1.0000039653193173</v>
      </c>
      <c r="Q134" s="142">
        <f t="shared" si="79"/>
        <v>0.56540684403988706</v>
      </c>
      <c r="R134" s="142">
        <f t="shared" si="79"/>
        <v>0.3504715386790897</v>
      </c>
      <c r="S134" s="142">
        <f t="shared" si="79"/>
        <v>0.27813539963521389</v>
      </c>
      <c r="T134" s="142">
        <f t="shared" si="79"/>
        <v>0.27813539963521389</v>
      </c>
      <c r="U134" s="142">
        <f t="shared" si="79"/>
        <v>0.27813539963521389</v>
      </c>
      <c r="V134" s="142">
        <f t="shared" si="79"/>
        <v>0.27813539963521389</v>
      </c>
      <c r="W134" s="142">
        <f t="shared" si="79"/>
        <v>0.19501910842394299</v>
      </c>
      <c r="X134" s="142">
        <f t="shared" si="79"/>
        <v>0.16483735189830553</v>
      </c>
      <c r="Y134" s="142">
        <f t="shared" si="79"/>
        <v>0.16483735189830553</v>
      </c>
      <c r="Z134" s="142">
        <f t="shared" si="79"/>
        <v>0.19304563774137939</v>
      </c>
      <c r="AA134" s="142">
        <f t="shared" si="79"/>
        <v>0.19304516439410019</v>
      </c>
      <c r="AB134" s="142">
        <f t="shared" si="79"/>
        <v>0.22318269951815403</v>
      </c>
      <c r="AC134" s="142">
        <f t="shared" si="79"/>
        <v>0.22594519975149632</v>
      </c>
      <c r="AD134" s="142">
        <f t="shared" si="79"/>
        <v>0.2259459125859439</v>
      </c>
      <c r="AE134" s="142">
        <f t="shared" si="79"/>
        <v>0.2259459125859439</v>
      </c>
      <c r="AF134" s="142">
        <f t="shared" si="79"/>
        <v>0.22595728217469083</v>
      </c>
      <c r="AG134" s="142">
        <f t="shared" si="79"/>
        <v>0.22595728217469083</v>
      </c>
      <c r="AH134" s="142">
        <f t="shared" si="79"/>
        <v>0.22595728217469083</v>
      </c>
      <c r="AI134" s="142">
        <f t="shared" si="79"/>
        <v>0.22970238723480194</v>
      </c>
      <c r="AJ134" s="142">
        <f t="shared" si="79"/>
        <v>0.23804473057285028</v>
      </c>
      <c r="AK134" s="142">
        <f t="shared" si="79"/>
        <v>0.22690832175852527</v>
      </c>
      <c r="AL134" s="142">
        <f t="shared" si="79"/>
        <v>0.64141536740392135</v>
      </c>
      <c r="AM134" s="142">
        <f t="shared" si="79"/>
        <v>0.68342131068115386</v>
      </c>
      <c r="AN134" s="142">
        <f t="shared" si="79"/>
        <v>0.68342131068115386</v>
      </c>
      <c r="AO134" s="142">
        <f t="shared" si="79"/>
        <v>1.0000318753843511</v>
      </c>
      <c r="AP134" s="142">
        <f t="shared" si="79"/>
        <v>1.0000318753843511</v>
      </c>
      <c r="AQ134" s="142">
        <f t="shared" si="79"/>
        <v>1.0000318753843511</v>
      </c>
      <c r="AR134" s="142" t="str">
        <f t="shared" si="79"/>
        <v>-</v>
      </c>
      <c r="AS134" s="142" t="str">
        <f t="shared" si="79"/>
        <v>-</v>
      </c>
      <c r="AT134" s="142" t="str">
        <f t="shared" si="79"/>
        <v>-</v>
      </c>
      <c r="AU134" s="142" t="str">
        <f t="shared" si="79"/>
        <v>-</v>
      </c>
      <c r="AV134" s="142" t="str">
        <f t="shared" si="79"/>
        <v>-</v>
      </c>
      <c r="AW134" s="142" t="str">
        <f t="shared" si="79"/>
        <v>-</v>
      </c>
      <c r="AX134" s="142" t="str">
        <f t="shared" si="79"/>
        <v>-</v>
      </c>
      <c r="AY134" s="142" t="str">
        <f t="shared" si="79"/>
        <v>-</v>
      </c>
      <c r="AZ134" s="142" t="str">
        <f t="shared" si="79"/>
        <v>-</v>
      </c>
      <c r="BA134" s="142" t="str">
        <f t="shared" si="79"/>
        <v>-</v>
      </c>
      <c r="BB134" s="142" t="str">
        <f t="shared" si="79"/>
        <v>-</v>
      </c>
      <c r="BC134" s="142" t="str">
        <f t="shared" si="79"/>
        <v>-</v>
      </c>
      <c r="BD134" s="142" t="str">
        <f t="shared" si="79"/>
        <v>-</v>
      </c>
      <c r="BE134" s="142" t="str">
        <f t="shared" si="79"/>
        <v>-</v>
      </c>
      <c r="BF134" s="142" t="str">
        <f t="shared" si="79"/>
        <v>-</v>
      </c>
      <c r="BG134" s="142" t="str">
        <f t="shared" si="79"/>
        <v>-</v>
      </c>
      <c r="BH134" s="142" t="str">
        <f t="shared" si="79"/>
        <v>-</v>
      </c>
      <c r="BI134" s="142" t="str">
        <f t="shared" si="79"/>
        <v>-</v>
      </c>
      <c r="BJ134" s="142" t="str">
        <f t="shared" si="79"/>
        <v>-</v>
      </c>
      <c r="BK134" s="142" t="str">
        <f t="shared" si="79"/>
        <v>-</v>
      </c>
      <c r="BL134" s="142" t="str">
        <f t="shared" si="79"/>
        <v>-</v>
      </c>
      <c r="BM134" s="142" t="str">
        <f t="shared" si="79"/>
        <v>-</v>
      </c>
      <c r="BN134" s="142">
        <f t="shared" ref="BN134:BP137" si="83">IFERROR(BN182/BN86,"-")</f>
        <v>0.2</v>
      </c>
      <c r="BO134" s="142">
        <f t="shared" si="83"/>
        <v>0.2</v>
      </c>
      <c r="BP134" s="142">
        <f t="shared" ref="BP134" si="84">IFERROR(BP182/BP86,"-")</f>
        <v>0.2</v>
      </c>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row>
    <row r="135" spans="1:107" s="159" customFormat="1" ht="15" hidden="1" customHeight="1" outlineLevel="1">
      <c r="A135"/>
      <c r="B135" s="38" t="s">
        <v>317</v>
      </c>
      <c r="C135" s="143" t="str">
        <f t="shared" ref="C135:BN138" si="85">IFERROR(C183/C87,"-")</f>
        <v>-</v>
      </c>
      <c r="D135" s="143" t="str">
        <f t="shared" si="85"/>
        <v>-</v>
      </c>
      <c r="E135" s="143" t="str">
        <f t="shared" si="85"/>
        <v>-</v>
      </c>
      <c r="F135" s="143" t="str">
        <f t="shared" si="85"/>
        <v>-</v>
      </c>
      <c r="G135" s="143" t="str">
        <f t="shared" si="85"/>
        <v>-</v>
      </c>
      <c r="H135" s="143" t="str">
        <f t="shared" si="85"/>
        <v>-</v>
      </c>
      <c r="I135" s="143" t="str">
        <f t="shared" si="85"/>
        <v>-</v>
      </c>
      <c r="J135" s="143" t="str">
        <f t="shared" si="85"/>
        <v>-</v>
      </c>
      <c r="K135" s="143" t="str">
        <f t="shared" si="85"/>
        <v>-</v>
      </c>
      <c r="L135" s="143" t="str">
        <f t="shared" si="85"/>
        <v>-</v>
      </c>
      <c r="M135" s="143" t="str">
        <f t="shared" si="85"/>
        <v>-</v>
      </c>
      <c r="N135" s="143" t="str">
        <f t="shared" si="85"/>
        <v>-</v>
      </c>
      <c r="O135" s="143" t="str">
        <f t="shared" si="85"/>
        <v>-</v>
      </c>
      <c r="P135" s="143" t="str">
        <f t="shared" si="85"/>
        <v>-</v>
      </c>
      <c r="Q135" s="143" t="str">
        <f t="shared" si="85"/>
        <v>-</v>
      </c>
      <c r="R135" s="143" t="str">
        <f t="shared" si="85"/>
        <v>-</v>
      </c>
      <c r="S135" s="143" t="str">
        <f t="shared" si="85"/>
        <v>-</v>
      </c>
      <c r="T135" s="143" t="str">
        <f t="shared" si="85"/>
        <v>-</v>
      </c>
      <c r="U135" s="143" t="str">
        <f t="shared" si="85"/>
        <v>-</v>
      </c>
      <c r="V135" s="143" t="str">
        <f t="shared" si="85"/>
        <v>-</v>
      </c>
      <c r="W135" s="143" t="str">
        <f t="shared" si="85"/>
        <v>-</v>
      </c>
      <c r="X135" s="143" t="str">
        <f t="shared" si="85"/>
        <v>-</v>
      </c>
      <c r="Y135" s="143" t="str">
        <f t="shared" si="85"/>
        <v>-</v>
      </c>
      <c r="Z135" s="143" t="str">
        <f t="shared" si="85"/>
        <v>-</v>
      </c>
      <c r="AA135" s="143" t="str">
        <f t="shared" si="85"/>
        <v>-</v>
      </c>
      <c r="AB135" s="143" t="str">
        <f t="shared" si="85"/>
        <v>-</v>
      </c>
      <c r="AC135" s="143" t="str">
        <f t="shared" si="85"/>
        <v>-</v>
      </c>
      <c r="AD135" s="143" t="str">
        <f t="shared" si="85"/>
        <v>-</v>
      </c>
      <c r="AE135" s="143" t="str">
        <f t="shared" si="85"/>
        <v>-</v>
      </c>
      <c r="AF135" s="143" t="str">
        <f t="shared" si="85"/>
        <v>-</v>
      </c>
      <c r="AG135" s="143" t="str">
        <f t="shared" si="85"/>
        <v>-</v>
      </c>
      <c r="AH135" s="143" t="str">
        <f t="shared" si="85"/>
        <v>-</v>
      </c>
      <c r="AI135" s="143" t="str">
        <f t="shared" si="85"/>
        <v>-</v>
      </c>
      <c r="AJ135" s="143" t="str">
        <f t="shared" si="85"/>
        <v>-</v>
      </c>
      <c r="AK135" s="143" t="str">
        <f t="shared" si="85"/>
        <v>-</v>
      </c>
      <c r="AL135" s="143" t="str">
        <f t="shared" si="85"/>
        <v>-</v>
      </c>
      <c r="AM135" s="143" t="str">
        <f t="shared" si="85"/>
        <v>-</v>
      </c>
      <c r="AN135" s="143" t="str">
        <f t="shared" si="85"/>
        <v>-</v>
      </c>
      <c r="AO135" s="143" t="str">
        <f t="shared" si="85"/>
        <v>-</v>
      </c>
      <c r="AP135" s="143" t="str">
        <f t="shared" si="85"/>
        <v>-</v>
      </c>
      <c r="AQ135" s="143" t="str">
        <f t="shared" si="85"/>
        <v>-</v>
      </c>
      <c r="AR135" s="143" t="str">
        <f t="shared" si="85"/>
        <v>-</v>
      </c>
      <c r="AS135" s="143" t="str">
        <f t="shared" si="85"/>
        <v>-</v>
      </c>
      <c r="AT135" s="143" t="str">
        <f t="shared" si="85"/>
        <v>-</v>
      </c>
      <c r="AU135" s="143" t="str">
        <f t="shared" si="85"/>
        <v>-</v>
      </c>
      <c r="AV135" s="143" t="str">
        <f t="shared" si="85"/>
        <v>-</v>
      </c>
      <c r="AW135" s="143" t="str">
        <f t="shared" si="85"/>
        <v>-</v>
      </c>
      <c r="AX135" s="143" t="str">
        <f t="shared" si="85"/>
        <v>-</v>
      </c>
      <c r="AY135" s="143" t="str">
        <f t="shared" si="85"/>
        <v>-</v>
      </c>
      <c r="AZ135" s="143" t="str">
        <f t="shared" si="85"/>
        <v>-</v>
      </c>
      <c r="BA135" s="143" t="str">
        <f t="shared" si="85"/>
        <v>-</v>
      </c>
      <c r="BB135" s="143" t="str">
        <f t="shared" si="85"/>
        <v>-</v>
      </c>
      <c r="BC135" s="143" t="str">
        <f t="shared" si="85"/>
        <v>-</v>
      </c>
      <c r="BD135" s="143" t="str">
        <f t="shared" si="85"/>
        <v>-</v>
      </c>
      <c r="BE135" s="143" t="str">
        <f t="shared" si="85"/>
        <v>-</v>
      </c>
      <c r="BF135" s="143" t="str">
        <f t="shared" si="85"/>
        <v>-</v>
      </c>
      <c r="BG135" s="143" t="str">
        <f t="shared" si="85"/>
        <v>-</v>
      </c>
      <c r="BH135" s="143" t="str">
        <f t="shared" si="85"/>
        <v>-</v>
      </c>
      <c r="BI135" s="143" t="str">
        <f t="shared" si="85"/>
        <v>-</v>
      </c>
      <c r="BJ135" s="143" t="str">
        <f t="shared" si="85"/>
        <v>-</v>
      </c>
      <c r="BK135" s="143" t="str">
        <f t="shared" si="85"/>
        <v>-</v>
      </c>
      <c r="BL135" s="143" t="str">
        <f t="shared" si="85"/>
        <v>-</v>
      </c>
      <c r="BM135" s="143" t="str">
        <f t="shared" si="85"/>
        <v>-</v>
      </c>
      <c r="BN135" s="143">
        <f t="shared" si="85"/>
        <v>0.2</v>
      </c>
      <c r="BO135" s="143">
        <f t="shared" si="83"/>
        <v>0.2</v>
      </c>
      <c r="BP135" s="143">
        <f t="shared" ref="BP135" si="86">IFERROR(BP183/BP87,"-")</f>
        <v>0.2</v>
      </c>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row>
    <row r="136" spans="1:107" s="159" customFormat="1" ht="15" hidden="1" customHeight="1" outlineLevel="1">
      <c r="A136" t="s">
        <v>18</v>
      </c>
      <c r="B136" s="38" t="s">
        <v>32</v>
      </c>
      <c r="C136" s="143">
        <f t="shared" si="85"/>
        <v>1.0000039653193173</v>
      </c>
      <c r="D136" s="143">
        <f t="shared" si="85"/>
        <v>1.0000039653193173</v>
      </c>
      <c r="E136" s="143">
        <f t="shared" si="85"/>
        <v>1.0000039653193173</v>
      </c>
      <c r="F136" s="143">
        <f t="shared" si="85"/>
        <v>1.0000039653193173</v>
      </c>
      <c r="G136" s="143">
        <f t="shared" si="85"/>
        <v>1.0000039653193173</v>
      </c>
      <c r="H136" s="143">
        <f t="shared" si="85"/>
        <v>1.0000039653193173</v>
      </c>
      <c r="I136" s="143">
        <f t="shared" si="85"/>
        <v>1.0000039653193173</v>
      </c>
      <c r="J136" s="143">
        <f t="shared" si="85"/>
        <v>1.0000039653193173</v>
      </c>
      <c r="K136" s="143">
        <f t="shared" si="85"/>
        <v>1.0000039653193173</v>
      </c>
      <c r="L136" s="143">
        <f t="shared" si="85"/>
        <v>1.0000039653193173</v>
      </c>
      <c r="M136" s="143">
        <f t="shared" si="85"/>
        <v>1.0000039653193173</v>
      </c>
      <c r="N136" s="143">
        <f t="shared" si="85"/>
        <v>1.0000039653193173</v>
      </c>
      <c r="O136" s="143">
        <f t="shared" si="85"/>
        <v>1.0000039653193173</v>
      </c>
      <c r="P136" s="143">
        <f t="shared" si="85"/>
        <v>1.0000039653193173</v>
      </c>
      <c r="Q136" s="143">
        <f t="shared" si="85"/>
        <v>1.0000039653193173</v>
      </c>
      <c r="R136" s="143">
        <f t="shared" si="85"/>
        <v>1.0000039653193173</v>
      </c>
      <c r="S136" s="143">
        <f t="shared" si="85"/>
        <v>1.0000039653193173</v>
      </c>
      <c r="T136" s="143">
        <f t="shared" si="85"/>
        <v>1.0000039653193173</v>
      </c>
      <c r="U136" s="143">
        <f t="shared" si="85"/>
        <v>1.0000039653193173</v>
      </c>
      <c r="V136" s="143">
        <f t="shared" si="85"/>
        <v>1.0000039653193173</v>
      </c>
      <c r="W136" s="143">
        <f t="shared" si="85"/>
        <v>1.0000039653193173</v>
      </c>
      <c r="X136" s="143">
        <f t="shared" si="85"/>
        <v>1</v>
      </c>
      <c r="Y136" s="143">
        <f t="shared" si="85"/>
        <v>1</v>
      </c>
      <c r="Z136" s="143">
        <f t="shared" si="85"/>
        <v>1</v>
      </c>
      <c r="AA136" s="143">
        <f t="shared" si="85"/>
        <v>1</v>
      </c>
      <c r="AB136" s="143">
        <f t="shared" si="85"/>
        <v>1</v>
      </c>
      <c r="AC136" s="143">
        <f t="shared" si="85"/>
        <v>1</v>
      </c>
      <c r="AD136" s="143">
        <f t="shared" si="85"/>
        <v>1.0000039653193173</v>
      </c>
      <c r="AE136" s="143">
        <f t="shared" si="85"/>
        <v>1.0000039653193173</v>
      </c>
      <c r="AF136" s="143">
        <f t="shared" si="85"/>
        <v>1</v>
      </c>
      <c r="AG136" s="143">
        <f t="shared" si="85"/>
        <v>1</v>
      </c>
      <c r="AH136" s="143">
        <f t="shared" si="85"/>
        <v>1</v>
      </c>
      <c r="AI136" s="143">
        <f t="shared" si="85"/>
        <v>1</v>
      </c>
      <c r="AJ136" s="143">
        <f t="shared" si="85"/>
        <v>1</v>
      </c>
      <c r="AK136" s="143">
        <f t="shared" si="85"/>
        <v>1.0000025466649058</v>
      </c>
      <c r="AL136" s="143">
        <f t="shared" si="85"/>
        <v>1.0000025466649058</v>
      </c>
      <c r="AM136" s="143">
        <f t="shared" si="85"/>
        <v>1.0000025466649058</v>
      </c>
      <c r="AN136" s="143">
        <f t="shared" si="85"/>
        <v>1.0000025466649058</v>
      </c>
      <c r="AO136" s="143">
        <f t="shared" si="85"/>
        <v>1.0000318753843511</v>
      </c>
      <c r="AP136" s="143">
        <f t="shared" si="85"/>
        <v>1.0000318753843511</v>
      </c>
      <c r="AQ136" s="143">
        <f t="shared" si="85"/>
        <v>1.0000318753843511</v>
      </c>
      <c r="AR136" s="143" t="str">
        <f t="shared" si="85"/>
        <v>-</v>
      </c>
      <c r="AS136" s="143" t="str">
        <f t="shared" si="85"/>
        <v>-</v>
      </c>
      <c r="AT136" s="143" t="str">
        <f t="shared" si="85"/>
        <v>-</v>
      </c>
      <c r="AU136" s="143" t="str">
        <f t="shared" si="85"/>
        <v>-</v>
      </c>
      <c r="AV136" s="143" t="str">
        <f t="shared" si="85"/>
        <v>-</v>
      </c>
      <c r="AW136" s="143" t="str">
        <f t="shared" si="85"/>
        <v>-</v>
      </c>
      <c r="AX136" s="143" t="str">
        <f t="shared" si="85"/>
        <v>-</v>
      </c>
      <c r="AY136" s="143" t="str">
        <f t="shared" si="85"/>
        <v>-</v>
      </c>
      <c r="AZ136" s="143" t="str">
        <f t="shared" si="85"/>
        <v>-</v>
      </c>
      <c r="BA136" s="143" t="str">
        <f t="shared" si="85"/>
        <v>-</v>
      </c>
      <c r="BB136" s="143" t="str">
        <f t="shared" si="85"/>
        <v>-</v>
      </c>
      <c r="BC136" s="143" t="str">
        <f t="shared" si="85"/>
        <v>-</v>
      </c>
      <c r="BD136" s="143" t="str">
        <f t="shared" si="85"/>
        <v>-</v>
      </c>
      <c r="BE136" s="143" t="str">
        <f t="shared" si="85"/>
        <v>-</v>
      </c>
      <c r="BF136" s="143" t="str">
        <f t="shared" si="85"/>
        <v>-</v>
      </c>
      <c r="BG136" s="143" t="str">
        <f t="shared" si="85"/>
        <v>-</v>
      </c>
      <c r="BH136" s="143" t="str">
        <f t="shared" si="85"/>
        <v>-</v>
      </c>
      <c r="BI136" s="143" t="str">
        <f t="shared" si="85"/>
        <v>-</v>
      </c>
      <c r="BJ136" s="143" t="str">
        <f t="shared" si="85"/>
        <v>-</v>
      </c>
      <c r="BK136" s="143" t="str">
        <f t="shared" si="85"/>
        <v>-</v>
      </c>
      <c r="BL136" s="143" t="str">
        <f t="shared" si="85"/>
        <v>-</v>
      </c>
      <c r="BM136" s="143" t="str">
        <f t="shared" si="85"/>
        <v>-</v>
      </c>
      <c r="BN136" s="143" t="str">
        <f t="shared" si="85"/>
        <v>-</v>
      </c>
      <c r="BO136" s="143" t="str">
        <f t="shared" si="83"/>
        <v>-</v>
      </c>
      <c r="BP136" s="143" t="str">
        <f t="shared" ref="BP136" si="87">IFERROR(BP184/BP88,"-")</f>
        <v>-</v>
      </c>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row>
    <row r="137" spans="1:107" s="159" customFormat="1" ht="15" hidden="1" customHeight="1" outlineLevel="1">
      <c r="A137" t="s">
        <v>18</v>
      </c>
      <c r="B137" s="38" t="s">
        <v>34</v>
      </c>
      <c r="C137" s="143" t="str">
        <f t="shared" si="85"/>
        <v>-</v>
      </c>
      <c r="D137" s="143" t="str">
        <f t="shared" si="85"/>
        <v>-</v>
      </c>
      <c r="E137" s="143" t="str">
        <f t="shared" si="85"/>
        <v>-</v>
      </c>
      <c r="F137" s="143" t="str">
        <f t="shared" si="85"/>
        <v>-</v>
      </c>
      <c r="G137" s="143" t="str">
        <f t="shared" si="85"/>
        <v>-</v>
      </c>
      <c r="H137" s="143" t="str">
        <f t="shared" si="85"/>
        <v>-</v>
      </c>
      <c r="I137" s="143" t="str">
        <f t="shared" si="85"/>
        <v>-</v>
      </c>
      <c r="J137" s="143" t="str">
        <f t="shared" si="85"/>
        <v>-</v>
      </c>
      <c r="K137" s="143" t="str">
        <f t="shared" si="85"/>
        <v>-</v>
      </c>
      <c r="L137" s="143" t="str">
        <f t="shared" si="85"/>
        <v>-</v>
      </c>
      <c r="M137" s="143" t="str">
        <f t="shared" si="85"/>
        <v>-</v>
      </c>
      <c r="N137" s="143" t="str">
        <f t="shared" si="85"/>
        <v>-</v>
      </c>
      <c r="O137" s="143" t="str">
        <f t="shared" si="85"/>
        <v>-</v>
      </c>
      <c r="P137" s="143" t="str">
        <f t="shared" si="85"/>
        <v>-</v>
      </c>
      <c r="Q137" s="143">
        <f t="shared" si="85"/>
        <v>0.24999550335449755</v>
      </c>
      <c r="R137" s="143">
        <f t="shared" si="85"/>
        <v>4.9997707053104648E-2</v>
      </c>
      <c r="S137" s="143">
        <f t="shared" si="85"/>
        <v>2.5002765773447129E-2</v>
      </c>
      <c r="T137" s="143">
        <f t="shared" si="85"/>
        <v>2.5002765773447129E-2</v>
      </c>
      <c r="U137" s="143">
        <f t="shared" si="85"/>
        <v>2.5002765773447129E-2</v>
      </c>
      <c r="V137" s="143">
        <f t="shared" si="85"/>
        <v>2.5002765773447129E-2</v>
      </c>
      <c r="W137" s="143">
        <f t="shared" si="85"/>
        <v>2.5002765773447129E-2</v>
      </c>
      <c r="X137" s="143">
        <f t="shared" si="85"/>
        <v>2.5002765773447129E-2</v>
      </c>
      <c r="Y137" s="143">
        <f t="shared" si="85"/>
        <v>2.5002765773447129E-2</v>
      </c>
      <c r="Z137" s="143">
        <f t="shared" si="85"/>
        <v>2.4999999999999994E-2</v>
      </c>
      <c r="AA137" s="143">
        <f t="shared" si="85"/>
        <v>2.4999999999999994E-2</v>
      </c>
      <c r="AB137" s="143">
        <f t="shared" si="85"/>
        <v>2.4999999999999994E-2</v>
      </c>
      <c r="AC137" s="143">
        <f t="shared" si="85"/>
        <v>2.4999999999999994E-2</v>
      </c>
      <c r="AD137" s="143">
        <f t="shared" si="85"/>
        <v>2.5002765773447129E-2</v>
      </c>
      <c r="AE137" s="143">
        <f t="shared" si="85"/>
        <v>2.5002765773447129E-2</v>
      </c>
      <c r="AF137" s="143">
        <f t="shared" si="85"/>
        <v>2.4999999999999994E-2</v>
      </c>
      <c r="AG137" s="143">
        <f t="shared" si="85"/>
        <v>2.4999999999999994E-2</v>
      </c>
      <c r="AH137" s="143">
        <f t="shared" si="85"/>
        <v>2.4999999999999994E-2</v>
      </c>
      <c r="AI137" s="143">
        <f t="shared" si="85"/>
        <v>2.4999999999999994E-2</v>
      </c>
      <c r="AJ137" s="143">
        <f t="shared" si="85"/>
        <v>2.4999999999999994E-2</v>
      </c>
      <c r="AK137" s="143">
        <f t="shared" si="85"/>
        <v>2.5002765773447129E-2</v>
      </c>
      <c r="AL137" s="143" t="str">
        <f t="shared" si="85"/>
        <v>-</v>
      </c>
      <c r="AM137" s="143" t="str">
        <f t="shared" si="85"/>
        <v>-</v>
      </c>
      <c r="AN137" s="143" t="str">
        <f t="shared" si="85"/>
        <v>-</v>
      </c>
      <c r="AO137" s="143" t="str">
        <f t="shared" si="85"/>
        <v>-</v>
      </c>
      <c r="AP137" s="143" t="str">
        <f t="shared" si="85"/>
        <v>-</v>
      </c>
      <c r="AQ137" s="143" t="str">
        <f t="shared" si="85"/>
        <v>-</v>
      </c>
      <c r="AR137" s="143" t="str">
        <f t="shared" si="85"/>
        <v>-</v>
      </c>
      <c r="AS137" s="143" t="str">
        <f t="shared" si="85"/>
        <v>-</v>
      </c>
      <c r="AT137" s="143" t="str">
        <f t="shared" si="85"/>
        <v>-</v>
      </c>
      <c r="AU137" s="143" t="str">
        <f t="shared" si="85"/>
        <v>-</v>
      </c>
      <c r="AV137" s="143" t="str">
        <f t="shared" si="85"/>
        <v>-</v>
      </c>
      <c r="AW137" s="143" t="str">
        <f t="shared" si="85"/>
        <v>-</v>
      </c>
      <c r="AX137" s="143" t="str">
        <f t="shared" si="85"/>
        <v>-</v>
      </c>
      <c r="AY137" s="143" t="str">
        <f t="shared" si="85"/>
        <v>-</v>
      </c>
      <c r="AZ137" s="143" t="str">
        <f t="shared" si="85"/>
        <v>-</v>
      </c>
      <c r="BA137" s="143" t="str">
        <f t="shared" si="85"/>
        <v>-</v>
      </c>
      <c r="BB137" s="143" t="str">
        <f t="shared" si="85"/>
        <v>-</v>
      </c>
      <c r="BC137" s="143" t="str">
        <f t="shared" si="85"/>
        <v>-</v>
      </c>
      <c r="BD137" s="143" t="str">
        <f t="shared" si="85"/>
        <v>-</v>
      </c>
      <c r="BE137" s="143" t="str">
        <f t="shared" si="85"/>
        <v>-</v>
      </c>
      <c r="BF137" s="143" t="str">
        <f t="shared" si="85"/>
        <v>-</v>
      </c>
      <c r="BG137" s="143" t="str">
        <f t="shared" si="85"/>
        <v>-</v>
      </c>
      <c r="BH137" s="143" t="str">
        <f t="shared" si="85"/>
        <v>-</v>
      </c>
      <c r="BI137" s="143" t="str">
        <f t="shared" si="85"/>
        <v>-</v>
      </c>
      <c r="BJ137" s="143" t="str">
        <f t="shared" si="85"/>
        <v>-</v>
      </c>
      <c r="BK137" s="143" t="str">
        <f t="shared" si="85"/>
        <v>-</v>
      </c>
      <c r="BL137" s="143" t="str">
        <f t="shared" si="85"/>
        <v>-</v>
      </c>
      <c r="BM137" s="143" t="str">
        <f t="shared" si="85"/>
        <v>-</v>
      </c>
      <c r="BN137" s="143" t="str">
        <f t="shared" si="85"/>
        <v>-</v>
      </c>
      <c r="BO137" s="143" t="str">
        <f t="shared" si="83"/>
        <v>-</v>
      </c>
      <c r="BP137" s="143" t="str">
        <f t="shared" ref="BP137" si="88">IFERROR(BP185/BP89,"-")</f>
        <v>-</v>
      </c>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row>
    <row r="138" spans="1:107" s="159" customFormat="1" ht="15" hidden="1" customHeight="1" outlineLevel="1">
      <c r="A138" t="s">
        <v>18</v>
      </c>
      <c r="B138" s="38" t="s">
        <v>36</v>
      </c>
      <c r="C138" s="143" t="str">
        <f t="shared" si="85"/>
        <v>-</v>
      </c>
      <c r="D138" s="143" t="str">
        <f t="shared" si="85"/>
        <v>-</v>
      </c>
      <c r="E138" s="143" t="str">
        <f t="shared" si="85"/>
        <v>-</v>
      </c>
      <c r="F138" s="143" t="str">
        <f t="shared" si="85"/>
        <v>-</v>
      </c>
      <c r="G138" s="143" t="str">
        <f t="shared" si="85"/>
        <v>-</v>
      </c>
      <c r="H138" s="143" t="str">
        <f t="shared" si="85"/>
        <v>-</v>
      </c>
      <c r="I138" s="143" t="str">
        <f t="shared" si="85"/>
        <v>-</v>
      </c>
      <c r="J138" s="143" t="str">
        <f t="shared" si="85"/>
        <v>-</v>
      </c>
      <c r="K138" s="143" t="str">
        <f t="shared" si="85"/>
        <v>-</v>
      </c>
      <c r="L138" s="143" t="str">
        <f t="shared" si="85"/>
        <v>-</v>
      </c>
      <c r="M138" s="143" t="str">
        <f t="shared" si="85"/>
        <v>-</v>
      </c>
      <c r="N138" s="143" t="str">
        <f t="shared" si="85"/>
        <v>-</v>
      </c>
      <c r="O138" s="143" t="str">
        <f t="shared" si="85"/>
        <v>-</v>
      </c>
      <c r="P138" s="143" t="str">
        <f t="shared" si="85"/>
        <v>-</v>
      </c>
      <c r="Q138" s="143" t="str">
        <f t="shared" si="85"/>
        <v>-</v>
      </c>
      <c r="R138" s="143" t="str">
        <f t="shared" si="85"/>
        <v>-</v>
      </c>
      <c r="S138" s="143" t="str">
        <f t="shared" si="85"/>
        <v>-</v>
      </c>
      <c r="T138" s="143" t="str">
        <f t="shared" si="85"/>
        <v>-</v>
      </c>
      <c r="U138" s="143" t="str">
        <f t="shared" si="85"/>
        <v>-</v>
      </c>
      <c r="V138" s="143" t="str">
        <f t="shared" si="85"/>
        <v>-</v>
      </c>
      <c r="W138" s="143">
        <f t="shared" si="85"/>
        <v>2.49948667730166E-2</v>
      </c>
      <c r="X138" s="143">
        <f t="shared" si="85"/>
        <v>2.5000000000000001E-2</v>
      </c>
      <c r="Y138" s="143">
        <f t="shared" si="85"/>
        <v>2.5000000000000001E-2</v>
      </c>
      <c r="Z138" s="143">
        <f t="shared" si="85"/>
        <v>2.5000000000000001E-2</v>
      </c>
      <c r="AA138" s="143">
        <f t="shared" si="85"/>
        <v>2.5000000000000001E-2</v>
      </c>
      <c r="AB138" s="143">
        <f t="shared" si="85"/>
        <v>2.5000000000000001E-2</v>
      </c>
      <c r="AC138" s="143">
        <f t="shared" si="85"/>
        <v>2.5000000000000001E-2</v>
      </c>
      <c r="AD138" s="143">
        <f t="shared" si="85"/>
        <v>2.49948667730166E-2</v>
      </c>
      <c r="AE138" s="143">
        <f t="shared" si="85"/>
        <v>2.49948667730166E-2</v>
      </c>
      <c r="AF138" s="143">
        <f t="shared" si="85"/>
        <v>2.5000000000000001E-2</v>
      </c>
      <c r="AG138" s="143">
        <f t="shared" si="85"/>
        <v>2.5000000000000001E-2</v>
      </c>
      <c r="AH138" s="143">
        <f t="shared" si="85"/>
        <v>2.5000000000000001E-2</v>
      </c>
      <c r="AI138" s="143">
        <f t="shared" si="85"/>
        <v>2.5000000000000001E-2</v>
      </c>
      <c r="AJ138" s="143">
        <f t="shared" si="85"/>
        <v>2.5000000000000001E-2</v>
      </c>
      <c r="AK138" s="143">
        <f t="shared" si="85"/>
        <v>2.49948667730166E-2</v>
      </c>
      <c r="AL138" s="143" t="str">
        <f t="shared" si="85"/>
        <v>-</v>
      </c>
      <c r="AM138" s="143" t="str">
        <f t="shared" si="85"/>
        <v>-</v>
      </c>
      <c r="AN138" s="143" t="str">
        <f t="shared" si="85"/>
        <v>-</v>
      </c>
      <c r="AO138" s="143" t="str">
        <f t="shared" si="85"/>
        <v>-</v>
      </c>
      <c r="AP138" s="143" t="str">
        <f t="shared" si="85"/>
        <v>-</v>
      </c>
      <c r="AQ138" s="143" t="str">
        <f t="shared" si="85"/>
        <v>-</v>
      </c>
      <c r="AR138" s="143" t="str">
        <f t="shared" si="85"/>
        <v>-</v>
      </c>
      <c r="AS138" s="143" t="str">
        <f t="shared" si="85"/>
        <v>-</v>
      </c>
      <c r="AT138" s="143" t="str">
        <f t="shared" si="85"/>
        <v>-</v>
      </c>
      <c r="AU138" s="143" t="str">
        <f t="shared" si="85"/>
        <v>-</v>
      </c>
      <c r="AV138" s="143" t="str">
        <f t="shared" si="85"/>
        <v>-</v>
      </c>
      <c r="AW138" s="143" t="str">
        <f t="shared" si="85"/>
        <v>-</v>
      </c>
      <c r="AX138" s="143" t="str">
        <f t="shared" si="85"/>
        <v>-</v>
      </c>
      <c r="AY138" s="143" t="str">
        <f t="shared" si="85"/>
        <v>-</v>
      </c>
      <c r="AZ138" s="143" t="str">
        <f t="shared" si="85"/>
        <v>-</v>
      </c>
      <c r="BA138" s="143" t="str">
        <f t="shared" si="85"/>
        <v>-</v>
      </c>
      <c r="BB138" s="143" t="str">
        <f t="shared" si="85"/>
        <v>-</v>
      </c>
      <c r="BC138" s="143" t="str">
        <f t="shared" si="85"/>
        <v>-</v>
      </c>
      <c r="BD138" s="143" t="str">
        <f t="shared" si="85"/>
        <v>-</v>
      </c>
      <c r="BE138" s="143" t="str">
        <f t="shared" si="85"/>
        <v>-</v>
      </c>
      <c r="BF138" s="143" t="str">
        <f t="shared" si="85"/>
        <v>-</v>
      </c>
      <c r="BG138" s="143" t="str">
        <f t="shared" si="85"/>
        <v>-</v>
      </c>
      <c r="BH138" s="143" t="str">
        <f t="shared" si="85"/>
        <v>-</v>
      </c>
      <c r="BI138" s="143" t="str">
        <f t="shared" si="85"/>
        <v>-</v>
      </c>
      <c r="BJ138" s="143" t="str">
        <f t="shared" si="85"/>
        <v>-</v>
      </c>
      <c r="BK138" s="143" t="str">
        <f t="shared" si="85"/>
        <v>-</v>
      </c>
      <c r="BL138" s="143" t="str">
        <f t="shared" si="85"/>
        <v>-</v>
      </c>
      <c r="BM138" s="143" t="str">
        <f t="shared" si="85"/>
        <v>-</v>
      </c>
      <c r="BN138" s="143" t="str">
        <f t="shared" ref="BN138:BP141" si="89">IFERROR(BN186/BN90,"-")</f>
        <v>-</v>
      </c>
      <c r="BO138" s="143" t="str">
        <f t="shared" si="89"/>
        <v>-</v>
      </c>
      <c r="BP138" s="143" t="str">
        <f t="shared" ref="BP138" si="90">IFERROR(BP186/BP90,"-")</f>
        <v>-</v>
      </c>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row>
    <row r="139" spans="1:107" s="159" customFormat="1" ht="15" hidden="1" customHeight="1" outlineLevel="1">
      <c r="A139" t="s">
        <v>18</v>
      </c>
      <c r="B139" s="38" t="s">
        <v>37</v>
      </c>
      <c r="C139" s="143" t="str">
        <f t="shared" ref="C139:BN142" si="91">IFERROR(C187/C91,"-")</f>
        <v>-</v>
      </c>
      <c r="D139" s="143" t="str">
        <f t="shared" si="91"/>
        <v>-</v>
      </c>
      <c r="E139" s="143" t="str">
        <f t="shared" si="91"/>
        <v>-</v>
      </c>
      <c r="F139" s="143" t="str">
        <f t="shared" si="91"/>
        <v>-</v>
      </c>
      <c r="G139" s="143" t="str">
        <f t="shared" si="91"/>
        <v>-</v>
      </c>
      <c r="H139" s="143" t="str">
        <f t="shared" si="91"/>
        <v>-</v>
      </c>
      <c r="I139" s="143" t="str">
        <f t="shared" si="91"/>
        <v>-</v>
      </c>
      <c r="J139" s="143" t="str">
        <f t="shared" si="91"/>
        <v>-</v>
      </c>
      <c r="K139" s="143" t="str">
        <f t="shared" si="91"/>
        <v>-</v>
      </c>
      <c r="L139" s="143" t="str">
        <f t="shared" si="91"/>
        <v>-</v>
      </c>
      <c r="M139" s="143" t="str">
        <f t="shared" si="91"/>
        <v>-</v>
      </c>
      <c r="N139" s="143" t="str">
        <f t="shared" si="91"/>
        <v>-</v>
      </c>
      <c r="O139" s="143" t="str">
        <f t="shared" si="91"/>
        <v>-</v>
      </c>
      <c r="P139" s="143" t="str">
        <f t="shared" si="91"/>
        <v>-</v>
      </c>
      <c r="Q139" s="143" t="str">
        <f t="shared" si="91"/>
        <v>-</v>
      </c>
      <c r="R139" s="143" t="str">
        <f t="shared" si="91"/>
        <v>-</v>
      </c>
      <c r="S139" s="143" t="str">
        <f t="shared" si="91"/>
        <v>-</v>
      </c>
      <c r="T139" s="143" t="str">
        <f t="shared" si="91"/>
        <v>-</v>
      </c>
      <c r="U139" s="143" t="str">
        <f t="shared" si="91"/>
        <v>-</v>
      </c>
      <c r="V139" s="143" t="str">
        <f t="shared" si="91"/>
        <v>-</v>
      </c>
      <c r="W139" s="143" t="str">
        <f t="shared" si="91"/>
        <v>-</v>
      </c>
      <c r="X139" s="143">
        <f t="shared" si="91"/>
        <v>0.24977407021229064</v>
      </c>
      <c r="Y139" s="143">
        <f t="shared" si="91"/>
        <v>0.24977407021229064</v>
      </c>
      <c r="Z139" s="143">
        <f t="shared" si="91"/>
        <v>0.24977407021229064</v>
      </c>
      <c r="AA139" s="143">
        <f t="shared" si="91"/>
        <v>0.24977407021229064</v>
      </c>
      <c r="AB139" s="143">
        <f t="shared" si="91"/>
        <v>0.24977407021229064</v>
      </c>
      <c r="AC139" s="143">
        <f t="shared" si="91"/>
        <v>0.24977407021229064</v>
      </c>
      <c r="AD139" s="143">
        <f t="shared" si="91"/>
        <v>0.24976774231009305</v>
      </c>
      <c r="AE139" s="143">
        <f t="shared" si="91"/>
        <v>0.24976774231009305</v>
      </c>
      <c r="AF139" s="143">
        <f t="shared" si="91"/>
        <v>0.25</v>
      </c>
      <c r="AG139" s="143">
        <f t="shared" si="91"/>
        <v>0.25</v>
      </c>
      <c r="AH139" s="143">
        <f t="shared" si="91"/>
        <v>0.25</v>
      </c>
      <c r="AI139" s="143">
        <f t="shared" si="91"/>
        <v>0.25</v>
      </c>
      <c r="AJ139" s="143">
        <f t="shared" si="91"/>
        <v>0.25</v>
      </c>
      <c r="AK139" s="143">
        <f t="shared" si="91"/>
        <v>0.25000967740374613</v>
      </c>
      <c r="AL139" s="143" t="str">
        <f t="shared" si="91"/>
        <v>-</v>
      </c>
      <c r="AM139" s="143" t="str">
        <f t="shared" si="91"/>
        <v>-</v>
      </c>
      <c r="AN139" s="143" t="str">
        <f t="shared" si="91"/>
        <v>-</v>
      </c>
      <c r="AO139" s="143" t="str">
        <f t="shared" si="91"/>
        <v>-</v>
      </c>
      <c r="AP139" s="143" t="str">
        <f t="shared" si="91"/>
        <v>-</v>
      </c>
      <c r="AQ139" s="143" t="str">
        <f t="shared" si="91"/>
        <v>-</v>
      </c>
      <c r="AR139" s="143" t="str">
        <f t="shared" si="91"/>
        <v>-</v>
      </c>
      <c r="AS139" s="143" t="str">
        <f t="shared" si="91"/>
        <v>-</v>
      </c>
      <c r="AT139" s="143" t="str">
        <f t="shared" si="91"/>
        <v>-</v>
      </c>
      <c r="AU139" s="143" t="str">
        <f t="shared" si="91"/>
        <v>-</v>
      </c>
      <c r="AV139" s="143" t="str">
        <f t="shared" si="91"/>
        <v>-</v>
      </c>
      <c r="AW139" s="143" t="str">
        <f t="shared" si="91"/>
        <v>-</v>
      </c>
      <c r="AX139" s="143" t="str">
        <f t="shared" si="91"/>
        <v>-</v>
      </c>
      <c r="AY139" s="143" t="str">
        <f t="shared" si="91"/>
        <v>-</v>
      </c>
      <c r="AZ139" s="143" t="str">
        <f t="shared" si="91"/>
        <v>-</v>
      </c>
      <c r="BA139" s="143" t="str">
        <f t="shared" si="91"/>
        <v>-</v>
      </c>
      <c r="BB139" s="143" t="str">
        <f t="shared" si="91"/>
        <v>-</v>
      </c>
      <c r="BC139" s="143" t="str">
        <f t="shared" si="91"/>
        <v>-</v>
      </c>
      <c r="BD139" s="143" t="str">
        <f t="shared" si="91"/>
        <v>-</v>
      </c>
      <c r="BE139" s="143" t="str">
        <f t="shared" si="91"/>
        <v>-</v>
      </c>
      <c r="BF139" s="143" t="str">
        <f t="shared" si="91"/>
        <v>-</v>
      </c>
      <c r="BG139" s="143" t="str">
        <f t="shared" si="91"/>
        <v>-</v>
      </c>
      <c r="BH139" s="143" t="str">
        <f t="shared" si="91"/>
        <v>-</v>
      </c>
      <c r="BI139" s="143" t="str">
        <f t="shared" si="91"/>
        <v>-</v>
      </c>
      <c r="BJ139" s="143" t="str">
        <f t="shared" si="91"/>
        <v>-</v>
      </c>
      <c r="BK139" s="143" t="str">
        <f t="shared" si="91"/>
        <v>-</v>
      </c>
      <c r="BL139" s="143" t="str">
        <f t="shared" si="91"/>
        <v>-</v>
      </c>
      <c r="BM139" s="143" t="str">
        <f t="shared" si="91"/>
        <v>-</v>
      </c>
      <c r="BN139" s="143" t="str">
        <f t="shared" si="91"/>
        <v>-</v>
      </c>
      <c r="BO139" s="143" t="str">
        <f t="shared" si="89"/>
        <v>-</v>
      </c>
      <c r="BP139" s="143" t="str">
        <f t="shared" ref="BP139" si="92">IFERROR(BP187/BP91,"-")</f>
        <v>-</v>
      </c>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row>
    <row r="140" spans="1:107" s="159" customFormat="1" ht="15" hidden="1" customHeight="1" outlineLevel="1">
      <c r="A140" t="s">
        <v>18</v>
      </c>
      <c r="B140" s="38" t="s">
        <v>38</v>
      </c>
      <c r="C140" s="143" t="str">
        <f t="shared" si="91"/>
        <v>-</v>
      </c>
      <c r="D140" s="143" t="str">
        <f t="shared" si="91"/>
        <v>-</v>
      </c>
      <c r="E140" s="143" t="str">
        <f t="shared" si="91"/>
        <v>-</v>
      </c>
      <c r="F140" s="143" t="str">
        <f t="shared" si="91"/>
        <v>-</v>
      </c>
      <c r="G140" s="143" t="str">
        <f t="shared" si="91"/>
        <v>-</v>
      </c>
      <c r="H140" s="143" t="str">
        <f t="shared" si="91"/>
        <v>-</v>
      </c>
      <c r="I140" s="143" t="str">
        <f t="shared" si="91"/>
        <v>-</v>
      </c>
      <c r="J140" s="143" t="str">
        <f t="shared" si="91"/>
        <v>-</v>
      </c>
      <c r="K140" s="143" t="str">
        <f t="shared" si="91"/>
        <v>-</v>
      </c>
      <c r="L140" s="143" t="str">
        <f t="shared" si="91"/>
        <v>-</v>
      </c>
      <c r="M140" s="143" t="str">
        <f t="shared" si="91"/>
        <v>-</v>
      </c>
      <c r="N140" s="143" t="str">
        <f t="shared" si="91"/>
        <v>-</v>
      </c>
      <c r="O140" s="143" t="str">
        <f t="shared" si="91"/>
        <v>-</v>
      </c>
      <c r="P140" s="143" t="str">
        <f t="shared" si="91"/>
        <v>-</v>
      </c>
      <c r="Q140" s="143" t="str">
        <f t="shared" si="91"/>
        <v>-</v>
      </c>
      <c r="R140" s="143" t="str">
        <f t="shared" si="91"/>
        <v>-</v>
      </c>
      <c r="S140" s="143" t="str">
        <f t="shared" si="91"/>
        <v>-</v>
      </c>
      <c r="T140" s="143" t="str">
        <f t="shared" si="91"/>
        <v>-</v>
      </c>
      <c r="U140" s="143" t="str">
        <f t="shared" si="91"/>
        <v>-</v>
      </c>
      <c r="V140" s="143" t="str">
        <f t="shared" si="91"/>
        <v>-</v>
      </c>
      <c r="W140" s="143" t="str">
        <f t="shared" si="91"/>
        <v>-</v>
      </c>
      <c r="X140" s="143" t="str">
        <f t="shared" si="91"/>
        <v>-</v>
      </c>
      <c r="Y140" s="143" t="str">
        <f t="shared" si="91"/>
        <v>-</v>
      </c>
      <c r="Z140" s="143">
        <f t="shared" si="91"/>
        <v>0.25</v>
      </c>
      <c r="AA140" s="143">
        <f t="shared" si="91"/>
        <v>0.25</v>
      </c>
      <c r="AB140" s="143">
        <f t="shared" si="91"/>
        <v>0.25</v>
      </c>
      <c r="AC140" s="143">
        <f t="shared" si="91"/>
        <v>0.24999911715778345</v>
      </c>
      <c r="AD140" s="143">
        <f t="shared" si="91"/>
        <v>0.24999911715778345</v>
      </c>
      <c r="AE140" s="143">
        <f t="shared" si="91"/>
        <v>0.24999911715778345</v>
      </c>
      <c r="AF140" s="143">
        <f t="shared" si="91"/>
        <v>0.24999911715778345</v>
      </c>
      <c r="AG140" s="143">
        <f t="shared" si="91"/>
        <v>0.24999911715778345</v>
      </c>
      <c r="AH140" s="143">
        <f t="shared" si="91"/>
        <v>0.24999911715778345</v>
      </c>
      <c r="AI140" s="143">
        <f t="shared" si="91"/>
        <v>0.24999911715778345</v>
      </c>
      <c r="AJ140" s="143">
        <f t="shared" si="91"/>
        <v>0.24999911715778345</v>
      </c>
      <c r="AK140" s="143">
        <f t="shared" si="91"/>
        <v>0.24999911715778345</v>
      </c>
      <c r="AL140" s="143">
        <f t="shared" si="91"/>
        <v>0.24999911715778345</v>
      </c>
      <c r="AM140" s="143">
        <f t="shared" si="91"/>
        <v>0.24999911715778345</v>
      </c>
      <c r="AN140" s="143">
        <f t="shared" si="91"/>
        <v>0.24999911715778345</v>
      </c>
      <c r="AO140" s="143" t="str">
        <f t="shared" si="91"/>
        <v>-</v>
      </c>
      <c r="AP140" s="143" t="str">
        <f t="shared" si="91"/>
        <v>-</v>
      </c>
      <c r="AQ140" s="143" t="str">
        <f t="shared" si="91"/>
        <v>-</v>
      </c>
      <c r="AR140" s="143" t="str">
        <f t="shared" si="91"/>
        <v>-</v>
      </c>
      <c r="AS140" s="143" t="str">
        <f t="shared" si="91"/>
        <v>-</v>
      </c>
      <c r="AT140" s="143" t="str">
        <f t="shared" si="91"/>
        <v>-</v>
      </c>
      <c r="AU140" s="143" t="str">
        <f t="shared" si="91"/>
        <v>-</v>
      </c>
      <c r="AV140" s="143" t="str">
        <f t="shared" si="91"/>
        <v>-</v>
      </c>
      <c r="AW140" s="143" t="str">
        <f t="shared" si="91"/>
        <v>-</v>
      </c>
      <c r="AX140" s="143" t="str">
        <f t="shared" si="91"/>
        <v>-</v>
      </c>
      <c r="AY140" s="143" t="str">
        <f t="shared" si="91"/>
        <v>-</v>
      </c>
      <c r="AZ140" s="143" t="str">
        <f t="shared" si="91"/>
        <v>-</v>
      </c>
      <c r="BA140" s="143" t="str">
        <f t="shared" si="91"/>
        <v>-</v>
      </c>
      <c r="BB140" s="143" t="str">
        <f t="shared" si="91"/>
        <v>-</v>
      </c>
      <c r="BC140" s="143" t="str">
        <f t="shared" si="91"/>
        <v>-</v>
      </c>
      <c r="BD140" s="143" t="str">
        <f t="shared" si="91"/>
        <v>-</v>
      </c>
      <c r="BE140" s="143" t="str">
        <f t="shared" si="91"/>
        <v>-</v>
      </c>
      <c r="BF140" s="143" t="str">
        <f t="shared" si="91"/>
        <v>-</v>
      </c>
      <c r="BG140" s="143" t="str">
        <f t="shared" si="91"/>
        <v>-</v>
      </c>
      <c r="BH140" s="143" t="str">
        <f t="shared" si="91"/>
        <v>-</v>
      </c>
      <c r="BI140" s="143" t="str">
        <f t="shared" si="91"/>
        <v>-</v>
      </c>
      <c r="BJ140" s="143" t="str">
        <f t="shared" si="91"/>
        <v>-</v>
      </c>
      <c r="BK140" s="143" t="str">
        <f t="shared" si="91"/>
        <v>-</v>
      </c>
      <c r="BL140" s="143" t="str">
        <f t="shared" si="91"/>
        <v>-</v>
      </c>
      <c r="BM140" s="143" t="str">
        <f t="shared" si="91"/>
        <v>-</v>
      </c>
      <c r="BN140" s="143" t="str">
        <f t="shared" si="91"/>
        <v>-</v>
      </c>
      <c r="BO140" s="143" t="str">
        <f t="shared" si="89"/>
        <v>-</v>
      </c>
      <c r="BP140" s="143" t="str">
        <f t="shared" ref="BP140" si="93">IFERROR(BP188/BP92,"-")</f>
        <v>-</v>
      </c>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row>
    <row r="141" spans="1:107" s="159" customFormat="1" ht="15" hidden="1" customHeight="1" outlineLevel="1">
      <c r="A141" t="s">
        <v>18</v>
      </c>
      <c r="B141" s="38" t="s">
        <v>35</v>
      </c>
      <c r="C141" s="143" t="str">
        <f t="shared" si="91"/>
        <v>-</v>
      </c>
      <c r="D141" s="143" t="str">
        <f t="shared" si="91"/>
        <v>-</v>
      </c>
      <c r="E141" s="143" t="str">
        <f t="shared" si="91"/>
        <v>-</v>
      </c>
      <c r="F141" s="143" t="str">
        <f t="shared" si="91"/>
        <v>-</v>
      </c>
      <c r="G141" s="143" t="str">
        <f t="shared" si="91"/>
        <v>-</v>
      </c>
      <c r="H141" s="143" t="str">
        <f t="shared" si="91"/>
        <v>-</v>
      </c>
      <c r="I141" s="143" t="str">
        <f t="shared" si="91"/>
        <v>-</v>
      </c>
      <c r="J141" s="143" t="str">
        <f t="shared" si="91"/>
        <v>-</v>
      </c>
      <c r="K141" s="143" t="str">
        <f t="shared" si="91"/>
        <v>-</v>
      </c>
      <c r="L141" s="143" t="str">
        <f t="shared" si="91"/>
        <v>-</v>
      </c>
      <c r="M141" s="143" t="str">
        <f t="shared" si="91"/>
        <v>-</v>
      </c>
      <c r="N141" s="143" t="str">
        <f t="shared" si="91"/>
        <v>-</v>
      </c>
      <c r="O141" s="143" t="str">
        <f t="shared" si="91"/>
        <v>-</v>
      </c>
      <c r="P141" s="143" t="str">
        <f t="shared" si="91"/>
        <v>-</v>
      </c>
      <c r="Q141" s="143" t="str">
        <f t="shared" si="91"/>
        <v>-</v>
      </c>
      <c r="R141" s="143" t="str">
        <f t="shared" si="91"/>
        <v>-</v>
      </c>
      <c r="S141" s="143" t="str">
        <f t="shared" si="91"/>
        <v>-</v>
      </c>
      <c r="T141" s="143" t="str">
        <f t="shared" si="91"/>
        <v>-</v>
      </c>
      <c r="U141" s="143" t="str">
        <f t="shared" si="91"/>
        <v>-</v>
      </c>
      <c r="V141" s="143" t="str">
        <f t="shared" si="91"/>
        <v>-</v>
      </c>
      <c r="W141" s="143" t="str">
        <f t="shared" si="91"/>
        <v>-</v>
      </c>
      <c r="X141" s="143">
        <f t="shared" si="91"/>
        <v>2.5003380668402766E-2</v>
      </c>
      <c r="Y141" s="143">
        <f t="shared" si="91"/>
        <v>2.5003380668402766E-2</v>
      </c>
      <c r="Z141" s="143">
        <f t="shared" si="91"/>
        <v>2.5003380668402766E-2</v>
      </c>
      <c r="AA141" s="143">
        <f t="shared" si="91"/>
        <v>2.5000000000000001E-2</v>
      </c>
      <c r="AB141" s="143">
        <f t="shared" si="91"/>
        <v>2.5000000000000001E-2</v>
      </c>
      <c r="AC141" s="143">
        <f t="shared" si="91"/>
        <v>2.5000000000000001E-2</v>
      </c>
      <c r="AD141" s="143">
        <f t="shared" si="91"/>
        <v>2.5003380668402766E-2</v>
      </c>
      <c r="AE141" s="143">
        <f t="shared" si="91"/>
        <v>2.5003380668402766E-2</v>
      </c>
      <c r="AF141" s="143">
        <f t="shared" si="91"/>
        <v>2.5000000000000001E-2</v>
      </c>
      <c r="AG141" s="143">
        <f t="shared" si="91"/>
        <v>2.5000000000000001E-2</v>
      </c>
      <c r="AH141" s="143">
        <f t="shared" si="91"/>
        <v>2.5000000000000001E-2</v>
      </c>
      <c r="AI141" s="143">
        <f t="shared" si="91"/>
        <v>2.5000000000000001E-2</v>
      </c>
      <c r="AJ141" s="143">
        <f t="shared" si="91"/>
        <v>2.5000000000000001E-2</v>
      </c>
      <c r="AK141" s="143">
        <f t="shared" si="91"/>
        <v>2.5003380668402766E-2</v>
      </c>
      <c r="AL141" s="143" t="str">
        <f t="shared" si="91"/>
        <v>-</v>
      </c>
      <c r="AM141" s="143" t="str">
        <f t="shared" si="91"/>
        <v>-</v>
      </c>
      <c r="AN141" s="143" t="str">
        <f t="shared" si="91"/>
        <v>-</v>
      </c>
      <c r="AO141" s="143" t="str">
        <f t="shared" si="91"/>
        <v>-</v>
      </c>
      <c r="AP141" s="143" t="str">
        <f t="shared" si="91"/>
        <v>-</v>
      </c>
      <c r="AQ141" s="143" t="str">
        <f t="shared" si="91"/>
        <v>-</v>
      </c>
      <c r="AR141" s="143" t="str">
        <f t="shared" si="91"/>
        <v>-</v>
      </c>
      <c r="AS141" s="143" t="str">
        <f t="shared" si="91"/>
        <v>-</v>
      </c>
      <c r="AT141" s="143" t="str">
        <f t="shared" si="91"/>
        <v>-</v>
      </c>
      <c r="AU141" s="143" t="str">
        <f t="shared" si="91"/>
        <v>-</v>
      </c>
      <c r="AV141" s="143" t="str">
        <f t="shared" si="91"/>
        <v>-</v>
      </c>
      <c r="AW141" s="143" t="str">
        <f t="shared" si="91"/>
        <v>-</v>
      </c>
      <c r="AX141" s="143" t="str">
        <f t="shared" si="91"/>
        <v>-</v>
      </c>
      <c r="AY141" s="143" t="str">
        <f t="shared" si="91"/>
        <v>-</v>
      </c>
      <c r="AZ141" s="143" t="str">
        <f t="shared" si="91"/>
        <v>-</v>
      </c>
      <c r="BA141" s="143" t="str">
        <f t="shared" si="91"/>
        <v>-</v>
      </c>
      <c r="BB141" s="143" t="str">
        <f t="shared" si="91"/>
        <v>-</v>
      </c>
      <c r="BC141" s="143" t="str">
        <f t="shared" si="91"/>
        <v>-</v>
      </c>
      <c r="BD141" s="143" t="str">
        <f t="shared" si="91"/>
        <v>-</v>
      </c>
      <c r="BE141" s="143" t="str">
        <f t="shared" si="91"/>
        <v>-</v>
      </c>
      <c r="BF141" s="143" t="str">
        <f t="shared" si="91"/>
        <v>-</v>
      </c>
      <c r="BG141" s="143" t="str">
        <f t="shared" si="91"/>
        <v>-</v>
      </c>
      <c r="BH141" s="143" t="str">
        <f t="shared" si="91"/>
        <v>-</v>
      </c>
      <c r="BI141" s="143" t="str">
        <f t="shared" si="91"/>
        <v>-</v>
      </c>
      <c r="BJ141" s="143" t="str">
        <f t="shared" si="91"/>
        <v>-</v>
      </c>
      <c r="BK141" s="143" t="str">
        <f t="shared" si="91"/>
        <v>-</v>
      </c>
      <c r="BL141" s="143" t="str">
        <f t="shared" si="91"/>
        <v>-</v>
      </c>
      <c r="BM141" s="143" t="str">
        <f t="shared" si="91"/>
        <v>-</v>
      </c>
      <c r="BN141" s="143" t="str">
        <f t="shared" si="91"/>
        <v>-</v>
      </c>
      <c r="BO141" s="143" t="str">
        <f t="shared" si="89"/>
        <v>-</v>
      </c>
      <c r="BP141" s="143" t="str">
        <f t="shared" ref="BP141" si="94">IFERROR(BP189/BP93,"-")</f>
        <v>-</v>
      </c>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1"/>
      <c r="CV141" s="231"/>
      <c r="CW141" s="231"/>
      <c r="CX141" s="231"/>
      <c r="CY141" s="231"/>
      <c r="CZ141" s="231"/>
      <c r="DA141" s="231"/>
      <c r="DB141" s="231"/>
      <c r="DC141" s="231"/>
    </row>
    <row r="142" spans="1:107" s="159" customFormat="1" ht="15" hidden="1" customHeight="1" outlineLevel="1">
      <c r="A142" t="s">
        <v>18</v>
      </c>
      <c r="B142" s="38" t="s">
        <v>39</v>
      </c>
      <c r="C142" s="143" t="str">
        <f t="shared" si="91"/>
        <v>-</v>
      </c>
      <c r="D142" s="143" t="str">
        <f t="shared" si="91"/>
        <v>-</v>
      </c>
      <c r="E142" s="143" t="str">
        <f t="shared" si="91"/>
        <v>-</v>
      </c>
      <c r="F142" s="143" t="str">
        <f t="shared" si="91"/>
        <v>-</v>
      </c>
      <c r="G142" s="143" t="str">
        <f t="shared" si="91"/>
        <v>-</v>
      </c>
      <c r="H142" s="143" t="str">
        <f t="shared" si="91"/>
        <v>-</v>
      </c>
      <c r="I142" s="143" t="str">
        <f t="shared" si="91"/>
        <v>-</v>
      </c>
      <c r="J142" s="143" t="str">
        <f t="shared" si="91"/>
        <v>-</v>
      </c>
      <c r="K142" s="143" t="str">
        <f t="shared" si="91"/>
        <v>-</v>
      </c>
      <c r="L142" s="143" t="str">
        <f t="shared" si="91"/>
        <v>-</v>
      </c>
      <c r="M142" s="143" t="str">
        <f t="shared" si="91"/>
        <v>-</v>
      </c>
      <c r="N142" s="143" t="str">
        <f t="shared" si="91"/>
        <v>-</v>
      </c>
      <c r="O142" s="143" t="str">
        <f t="shared" si="91"/>
        <v>-</v>
      </c>
      <c r="P142" s="143" t="str">
        <f t="shared" si="91"/>
        <v>-</v>
      </c>
      <c r="Q142" s="143" t="str">
        <f t="shared" si="91"/>
        <v>-</v>
      </c>
      <c r="R142" s="143" t="str">
        <f t="shared" si="91"/>
        <v>-</v>
      </c>
      <c r="S142" s="143" t="str">
        <f t="shared" si="91"/>
        <v>-</v>
      </c>
      <c r="T142" s="143" t="str">
        <f t="shared" si="91"/>
        <v>-</v>
      </c>
      <c r="U142" s="143" t="str">
        <f t="shared" si="91"/>
        <v>-</v>
      </c>
      <c r="V142" s="143" t="str">
        <f t="shared" si="91"/>
        <v>-</v>
      </c>
      <c r="W142" s="143" t="str">
        <f t="shared" si="91"/>
        <v>-</v>
      </c>
      <c r="X142" s="143" t="str">
        <f t="shared" si="91"/>
        <v>-</v>
      </c>
      <c r="Y142" s="143" t="str">
        <f t="shared" si="91"/>
        <v>-</v>
      </c>
      <c r="Z142" s="143" t="str">
        <f t="shared" si="91"/>
        <v>-</v>
      </c>
      <c r="AA142" s="143" t="str">
        <f t="shared" si="91"/>
        <v>-</v>
      </c>
      <c r="AB142" s="143">
        <f t="shared" si="91"/>
        <v>0.5</v>
      </c>
      <c r="AC142" s="143">
        <f t="shared" si="91"/>
        <v>0.5</v>
      </c>
      <c r="AD142" s="143">
        <f t="shared" si="91"/>
        <v>0.50000596841149347</v>
      </c>
      <c r="AE142" s="143">
        <f t="shared" si="91"/>
        <v>0.50000596841149347</v>
      </c>
      <c r="AF142" s="143">
        <f t="shared" si="91"/>
        <v>0.5</v>
      </c>
      <c r="AG142" s="143">
        <f t="shared" si="91"/>
        <v>0.5</v>
      </c>
      <c r="AH142" s="143">
        <f t="shared" si="91"/>
        <v>0.5</v>
      </c>
      <c r="AI142" s="143">
        <f t="shared" si="91"/>
        <v>0.5</v>
      </c>
      <c r="AJ142" s="143">
        <f t="shared" si="91"/>
        <v>0.5</v>
      </c>
      <c r="AK142" s="143">
        <f t="shared" si="91"/>
        <v>0.50000596841149347</v>
      </c>
      <c r="AL142" s="143">
        <f t="shared" si="91"/>
        <v>0.50000596841149347</v>
      </c>
      <c r="AM142" s="143">
        <f t="shared" si="91"/>
        <v>0.50000596841149347</v>
      </c>
      <c r="AN142" s="143">
        <f t="shared" si="91"/>
        <v>0.50000596841149347</v>
      </c>
      <c r="AO142" s="143" t="str">
        <f t="shared" si="91"/>
        <v>-</v>
      </c>
      <c r="AP142" s="143" t="str">
        <f t="shared" si="91"/>
        <v>-</v>
      </c>
      <c r="AQ142" s="143" t="str">
        <f t="shared" si="91"/>
        <v>-</v>
      </c>
      <c r="AR142" s="143" t="str">
        <f t="shared" si="91"/>
        <v>-</v>
      </c>
      <c r="AS142" s="143" t="str">
        <f t="shared" si="91"/>
        <v>-</v>
      </c>
      <c r="AT142" s="143" t="str">
        <f t="shared" si="91"/>
        <v>-</v>
      </c>
      <c r="AU142" s="143" t="str">
        <f t="shared" si="91"/>
        <v>-</v>
      </c>
      <c r="AV142" s="143" t="str">
        <f t="shared" si="91"/>
        <v>-</v>
      </c>
      <c r="AW142" s="143" t="str">
        <f t="shared" si="91"/>
        <v>-</v>
      </c>
      <c r="AX142" s="143" t="str">
        <f t="shared" si="91"/>
        <v>-</v>
      </c>
      <c r="AY142" s="143" t="str">
        <f t="shared" si="91"/>
        <v>-</v>
      </c>
      <c r="AZ142" s="143" t="str">
        <f t="shared" si="91"/>
        <v>-</v>
      </c>
      <c r="BA142" s="143" t="str">
        <f t="shared" si="91"/>
        <v>-</v>
      </c>
      <c r="BB142" s="143" t="str">
        <f t="shared" si="91"/>
        <v>-</v>
      </c>
      <c r="BC142" s="143" t="str">
        <f t="shared" si="91"/>
        <v>-</v>
      </c>
      <c r="BD142" s="143" t="str">
        <f t="shared" si="91"/>
        <v>-</v>
      </c>
      <c r="BE142" s="143" t="str">
        <f t="shared" si="91"/>
        <v>-</v>
      </c>
      <c r="BF142" s="143" t="str">
        <f t="shared" si="91"/>
        <v>-</v>
      </c>
      <c r="BG142" s="143" t="str">
        <f t="shared" si="91"/>
        <v>-</v>
      </c>
      <c r="BH142" s="143" t="str">
        <f t="shared" si="91"/>
        <v>-</v>
      </c>
      <c r="BI142" s="143" t="str">
        <f t="shared" si="91"/>
        <v>-</v>
      </c>
      <c r="BJ142" s="143" t="str">
        <f t="shared" si="91"/>
        <v>-</v>
      </c>
      <c r="BK142" s="143" t="str">
        <f t="shared" si="91"/>
        <v>-</v>
      </c>
      <c r="BL142" s="143" t="str">
        <f t="shared" si="91"/>
        <v>-</v>
      </c>
      <c r="BM142" s="143" t="str">
        <f t="shared" si="91"/>
        <v>-</v>
      </c>
      <c r="BN142" s="143" t="str">
        <f t="shared" ref="BN142:BP145" si="95">IFERROR(BN190/BN94,"-")</f>
        <v>-</v>
      </c>
      <c r="BO142" s="143" t="str">
        <f t="shared" si="95"/>
        <v>-</v>
      </c>
      <c r="BP142" s="143" t="str">
        <f t="shared" ref="BP142" si="96">IFERROR(BP190/BP94,"-")</f>
        <v>-</v>
      </c>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row>
    <row r="143" spans="1:107" s="159" customFormat="1" ht="15" hidden="1" customHeight="1" outlineLevel="1">
      <c r="A143" t="s">
        <v>18</v>
      </c>
      <c r="B143" s="38" t="s">
        <v>21</v>
      </c>
      <c r="C143" s="143" t="str">
        <f t="shared" ref="C143:BN146" si="97">IFERROR(C191/C95,"-")</f>
        <v>-</v>
      </c>
      <c r="D143" s="143" t="str">
        <f t="shared" si="97"/>
        <v>-</v>
      </c>
      <c r="E143" s="143" t="str">
        <f t="shared" si="97"/>
        <v>-</v>
      </c>
      <c r="F143" s="143" t="str">
        <f t="shared" si="97"/>
        <v>-</v>
      </c>
      <c r="G143" s="143" t="str">
        <f t="shared" si="97"/>
        <v>-</v>
      </c>
      <c r="H143" s="143" t="str">
        <f t="shared" si="97"/>
        <v>-</v>
      </c>
      <c r="I143" s="143" t="str">
        <f t="shared" si="97"/>
        <v>-</v>
      </c>
      <c r="J143" s="143" t="str">
        <f t="shared" si="97"/>
        <v>-</v>
      </c>
      <c r="K143" s="143" t="str">
        <f t="shared" si="97"/>
        <v>-</v>
      </c>
      <c r="L143" s="143" t="str">
        <f t="shared" si="97"/>
        <v>-</v>
      </c>
      <c r="M143" s="143" t="str">
        <f t="shared" si="97"/>
        <v>-</v>
      </c>
      <c r="N143" s="143" t="str">
        <f t="shared" si="97"/>
        <v>-</v>
      </c>
      <c r="O143" s="143" t="str">
        <f t="shared" si="97"/>
        <v>-</v>
      </c>
      <c r="P143" s="143" t="str">
        <f t="shared" si="97"/>
        <v>-</v>
      </c>
      <c r="Q143" s="143" t="str">
        <f t="shared" si="97"/>
        <v>-</v>
      </c>
      <c r="R143" s="143" t="str">
        <f t="shared" si="97"/>
        <v>-</v>
      </c>
      <c r="S143" s="143" t="str">
        <f t="shared" si="97"/>
        <v>-</v>
      </c>
      <c r="T143" s="143" t="str">
        <f t="shared" si="97"/>
        <v>-</v>
      </c>
      <c r="U143" s="143" t="str">
        <f t="shared" si="97"/>
        <v>-</v>
      </c>
      <c r="V143" s="143" t="str">
        <f t="shared" si="97"/>
        <v>-</v>
      </c>
      <c r="W143" s="143" t="str">
        <f t="shared" si="97"/>
        <v>-</v>
      </c>
      <c r="X143" s="143" t="str">
        <f t="shared" si="97"/>
        <v>-</v>
      </c>
      <c r="Y143" s="143" t="str">
        <f t="shared" si="97"/>
        <v>-</v>
      </c>
      <c r="Z143" s="143" t="str">
        <f t="shared" si="97"/>
        <v>-</v>
      </c>
      <c r="AA143" s="143" t="str">
        <f t="shared" si="97"/>
        <v>-</v>
      </c>
      <c r="AB143" s="143" t="str">
        <f t="shared" si="97"/>
        <v>-</v>
      </c>
      <c r="AC143" s="143" t="str">
        <f t="shared" si="97"/>
        <v>-</v>
      </c>
      <c r="AD143" s="143" t="str">
        <f t="shared" si="97"/>
        <v>-</v>
      </c>
      <c r="AE143" s="143" t="str">
        <f t="shared" si="97"/>
        <v>-</v>
      </c>
      <c r="AF143" s="143" t="str">
        <f t="shared" si="97"/>
        <v>-</v>
      </c>
      <c r="AG143" s="143" t="str">
        <f t="shared" si="97"/>
        <v>-</v>
      </c>
      <c r="AH143" s="143" t="str">
        <f t="shared" si="97"/>
        <v>-</v>
      </c>
      <c r="AI143" s="143">
        <f t="shared" si="97"/>
        <v>0.25000179706049996</v>
      </c>
      <c r="AJ143" s="143">
        <f t="shared" si="97"/>
        <v>0.25000179706049996</v>
      </c>
      <c r="AK143" s="143">
        <f t="shared" si="97"/>
        <v>0.25000179706049996</v>
      </c>
      <c r="AL143" s="143" t="str">
        <f t="shared" si="97"/>
        <v>-</v>
      </c>
      <c r="AM143" s="143" t="str">
        <f t="shared" si="97"/>
        <v>-</v>
      </c>
      <c r="AN143" s="143" t="str">
        <f t="shared" si="97"/>
        <v>-</v>
      </c>
      <c r="AO143" s="143" t="str">
        <f t="shared" si="97"/>
        <v>-</v>
      </c>
      <c r="AP143" s="143" t="str">
        <f t="shared" si="97"/>
        <v>-</v>
      </c>
      <c r="AQ143" s="143" t="str">
        <f t="shared" si="97"/>
        <v>-</v>
      </c>
      <c r="AR143" s="143" t="str">
        <f t="shared" si="97"/>
        <v>-</v>
      </c>
      <c r="AS143" s="143" t="str">
        <f t="shared" si="97"/>
        <v>-</v>
      </c>
      <c r="AT143" s="143" t="str">
        <f t="shared" si="97"/>
        <v>-</v>
      </c>
      <c r="AU143" s="143" t="str">
        <f t="shared" si="97"/>
        <v>-</v>
      </c>
      <c r="AV143" s="143" t="str">
        <f t="shared" si="97"/>
        <v>-</v>
      </c>
      <c r="AW143" s="143" t="str">
        <f t="shared" si="97"/>
        <v>-</v>
      </c>
      <c r="AX143" s="143" t="str">
        <f t="shared" si="97"/>
        <v>-</v>
      </c>
      <c r="AY143" s="143" t="str">
        <f t="shared" si="97"/>
        <v>-</v>
      </c>
      <c r="AZ143" s="143" t="str">
        <f t="shared" si="97"/>
        <v>-</v>
      </c>
      <c r="BA143" s="143" t="str">
        <f t="shared" si="97"/>
        <v>-</v>
      </c>
      <c r="BB143" s="143" t="str">
        <f t="shared" si="97"/>
        <v>-</v>
      </c>
      <c r="BC143" s="143" t="str">
        <f t="shared" si="97"/>
        <v>-</v>
      </c>
      <c r="BD143" s="143" t="str">
        <f t="shared" si="97"/>
        <v>-</v>
      </c>
      <c r="BE143" s="143" t="str">
        <f t="shared" si="97"/>
        <v>-</v>
      </c>
      <c r="BF143" s="143" t="str">
        <f t="shared" si="97"/>
        <v>-</v>
      </c>
      <c r="BG143" s="143" t="str">
        <f t="shared" si="97"/>
        <v>-</v>
      </c>
      <c r="BH143" s="143" t="str">
        <f t="shared" si="97"/>
        <v>-</v>
      </c>
      <c r="BI143" s="143" t="str">
        <f t="shared" si="97"/>
        <v>-</v>
      </c>
      <c r="BJ143" s="143" t="str">
        <f t="shared" si="97"/>
        <v>-</v>
      </c>
      <c r="BK143" s="143" t="str">
        <f t="shared" si="97"/>
        <v>-</v>
      </c>
      <c r="BL143" s="143" t="str">
        <f t="shared" si="97"/>
        <v>-</v>
      </c>
      <c r="BM143" s="143" t="str">
        <f t="shared" si="97"/>
        <v>-</v>
      </c>
      <c r="BN143" s="143" t="str">
        <f t="shared" si="97"/>
        <v>-</v>
      </c>
      <c r="BO143" s="143" t="str">
        <f t="shared" si="95"/>
        <v>-</v>
      </c>
      <c r="BP143" s="143" t="str">
        <f t="shared" ref="BP143" si="98">IFERROR(BP191/BP95,"-")</f>
        <v>-</v>
      </c>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row>
    <row r="144" spans="1:107" s="159" customFormat="1" ht="15" hidden="1" customHeight="1" outlineLevel="1">
      <c r="A144" t="s">
        <v>18</v>
      </c>
      <c r="B144" s="38" t="s">
        <v>22</v>
      </c>
      <c r="C144" s="143" t="str">
        <f t="shared" si="97"/>
        <v>-</v>
      </c>
      <c r="D144" s="143" t="str">
        <f t="shared" si="97"/>
        <v>-</v>
      </c>
      <c r="E144" s="143" t="str">
        <f t="shared" si="97"/>
        <v>-</v>
      </c>
      <c r="F144" s="143" t="str">
        <f t="shared" si="97"/>
        <v>-</v>
      </c>
      <c r="G144" s="143" t="str">
        <f t="shared" si="97"/>
        <v>-</v>
      </c>
      <c r="H144" s="143" t="str">
        <f t="shared" si="97"/>
        <v>-</v>
      </c>
      <c r="I144" s="143" t="str">
        <f t="shared" si="97"/>
        <v>-</v>
      </c>
      <c r="J144" s="143" t="str">
        <f t="shared" si="97"/>
        <v>-</v>
      </c>
      <c r="K144" s="143" t="str">
        <f t="shared" si="97"/>
        <v>-</v>
      </c>
      <c r="L144" s="143" t="str">
        <f t="shared" si="97"/>
        <v>-</v>
      </c>
      <c r="M144" s="143" t="str">
        <f t="shared" si="97"/>
        <v>-</v>
      </c>
      <c r="N144" s="143" t="str">
        <f t="shared" si="97"/>
        <v>-</v>
      </c>
      <c r="O144" s="143" t="str">
        <f t="shared" si="97"/>
        <v>-</v>
      </c>
      <c r="P144" s="143" t="str">
        <f t="shared" si="97"/>
        <v>-</v>
      </c>
      <c r="Q144" s="143" t="str">
        <f t="shared" si="97"/>
        <v>-</v>
      </c>
      <c r="R144" s="143" t="str">
        <f t="shared" si="97"/>
        <v>-</v>
      </c>
      <c r="S144" s="143" t="str">
        <f t="shared" si="97"/>
        <v>-</v>
      </c>
      <c r="T144" s="143" t="str">
        <f t="shared" si="97"/>
        <v>-</v>
      </c>
      <c r="U144" s="143" t="str">
        <f t="shared" si="97"/>
        <v>-</v>
      </c>
      <c r="V144" s="143" t="str">
        <f t="shared" si="97"/>
        <v>-</v>
      </c>
      <c r="W144" s="143" t="str">
        <f t="shared" si="97"/>
        <v>-</v>
      </c>
      <c r="X144" s="143" t="str">
        <f t="shared" si="97"/>
        <v>-</v>
      </c>
      <c r="Y144" s="143" t="str">
        <f t="shared" si="97"/>
        <v>-</v>
      </c>
      <c r="Z144" s="143" t="str">
        <f t="shared" si="97"/>
        <v>-</v>
      </c>
      <c r="AA144" s="143" t="str">
        <f t="shared" si="97"/>
        <v>-</v>
      </c>
      <c r="AB144" s="143" t="str">
        <f t="shared" si="97"/>
        <v>-</v>
      </c>
      <c r="AC144" s="143" t="str">
        <f t="shared" si="97"/>
        <v>-</v>
      </c>
      <c r="AD144" s="143" t="str">
        <f t="shared" si="97"/>
        <v>-</v>
      </c>
      <c r="AE144" s="143" t="str">
        <f t="shared" si="97"/>
        <v>-</v>
      </c>
      <c r="AF144" s="143" t="str">
        <f t="shared" si="97"/>
        <v>-</v>
      </c>
      <c r="AG144" s="143" t="str">
        <f t="shared" si="97"/>
        <v>-</v>
      </c>
      <c r="AH144" s="143" t="str">
        <f t="shared" si="97"/>
        <v>-</v>
      </c>
      <c r="AI144" s="143" t="str">
        <f t="shared" si="97"/>
        <v>-</v>
      </c>
      <c r="AJ144" s="143">
        <f t="shared" si="97"/>
        <v>0.33500524521374248</v>
      </c>
      <c r="AK144" s="143">
        <f t="shared" si="97"/>
        <v>0.33500524521374248</v>
      </c>
      <c r="AL144" s="143" t="str">
        <f t="shared" si="97"/>
        <v>-</v>
      </c>
      <c r="AM144" s="143" t="str">
        <f t="shared" si="97"/>
        <v>-</v>
      </c>
      <c r="AN144" s="143" t="str">
        <f t="shared" si="97"/>
        <v>-</v>
      </c>
      <c r="AO144" s="143" t="str">
        <f t="shared" si="97"/>
        <v>-</v>
      </c>
      <c r="AP144" s="143" t="str">
        <f t="shared" si="97"/>
        <v>-</v>
      </c>
      <c r="AQ144" s="143" t="str">
        <f t="shared" si="97"/>
        <v>-</v>
      </c>
      <c r="AR144" s="143" t="str">
        <f t="shared" si="97"/>
        <v>-</v>
      </c>
      <c r="AS144" s="143" t="str">
        <f t="shared" si="97"/>
        <v>-</v>
      </c>
      <c r="AT144" s="143" t="str">
        <f t="shared" si="97"/>
        <v>-</v>
      </c>
      <c r="AU144" s="143" t="str">
        <f t="shared" si="97"/>
        <v>-</v>
      </c>
      <c r="AV144" s="143" t="str">
        <f t="shared" si="97"/>
        <v>-</v>
      </c>
      <c r="AW144" s="143" t="str">
        <f t="shared" si="97"/>
        <v>-</v>
      </c>
      <c r="AX144" s="143" t="str">
        <f t="shared" si="97"/>
        <v>-</v>
      </c>
      <c r="AY144" s="143" t="str">
        <f t="shared" si="97"/>
        <v>-</v>
      </c>
      <c r="AZ144" s="143" t="str">
        <f t="shared" si="97"/>
        <v>-</v>
      </c>
      <c r="BA144" s="143" t="str">
        <f t="shared" si="97"/>
        <v>-</v>
      </c>
      <c r="BB144" s="143" t="str">
        <f t="shared" si="97"/>
        <v>-</v>
      </c>
      <c r="BC144" s="143" t="str">
        <f t="shared" si="97"/>
        <v>-</v>
      </c>
      <c r="BD144" s="143" t="str">
        <f t="shared" si="97"/>
        <v>-</v>
      </c>
      <c r="BE144" s="143" t="str">
        <f t="shared" si="97"/>
        <v>-</v>
      </c>
      <c r="BF144" s="143" t="str">
        <f t="shared" si="97"/>
        <v>-</v>
      </c>
      <c r="BG144" s="143" t="str">
        <f t="shared" si="97"/>
        <v>-</v>
      </c>
      <c r="BH144" s="143" t="str">
        <f t="shared" si="97"/>
        <v>-</v>
      </c>
      <c r="BI144" s="143" t="str">
        <f t="shared" si="97"/>
        <v>-</v>
      </c>
      <c r="BJ144" s="143" t="str">
        <f t="shared" si="97"/>
        <v>-</v>
      </c>
      <c r="BK144" s="143" t="str">
        <f t="shared" si="97"/>
        <v>-</v>
      </c>
      <c r="BL144" s="143" t="str">
        <f t="shared" si="97"/>
        <v>-</v>
      </c>
      <c r="BM144" s="143" t="str">
        <f t="shared" si="97"/>
        <v>-</v>
      </c>
      <c r="BN144" s="143" t="str">
        <f t="shared" si="97"/>
        <v>-</v>
      </c>
      <c r="BO144" s="143" t="str">
        <f t="shared" si="95"/>
        <v>-</v>
      </c>
      <c r="BP144" s="143" t="str">
        <f t="shared" ref="BP144" si="99">IFERROR(BP192/BP96,"-")</f>
        <v>-</v>
      </c>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row>
    <row r="145" spans="1:107" s="159" customFormat="1" ht="15" hidden="1" customHeight="1" outlineLevel="1">
      <c r="A145" t="s">
        <v>18</v>
      </c>
      <c r="B145" s="38" t="s">
        <v>24</v>
      </c>
      <c r="C145" s="143" t="str">
        <f t="shared" si="97"/>
        <v>-</v>
      </c>
      <c r="D145" s="143" t="str">
        <f t="shared" si="97"/>
        <v>-</v>
      </c>
      <c r="E145" s="143" t="str">
        <f t="shared" si="97"/>
        <v>-</v>
      </c>
      <c r="F145" s="143" t="str">
        <f t="shared" si="97"/>
        <v>-</v>
      </c>
      <c r="G145" s="143" t="str">
        <f t="shared" si="97"/>
        <v>-</v>
      </c>
      <c r="H145" s="143" t="str">
        <f t="shared" si="97"/>
        <v>-</v>
      </c>
      <c r="I145" s="143" t="str">
        <f t="shared" si="97"/>
        <v>-</v>
      </c>
      <c r="J145" s="143" t="str">
        <f t="shared" si="97"/>
        <v>-</v>
      </c>
      <c r="K145" s="143" t="str">
        <f t="shared" si="97"/>
        <v>-</v>
      </c>
      <c r="L145" s="143" t="str">
        <f t="shared" si="97"/>
        <v>-</v>
      </c>
      <c r="M145" s="143" t="str">
        <f t="shared" si="97"/>
        <v>-</v>
      </c>
      <c r="N145" s="143" t="str">
        <f t="shared" si="97"/>
        <v>-</v>
      </c>
      <c r="O145" s="143" t="str">
        <f t="shared" si="97"/>
        <v>-</v>
      </c>
      <c r="P145" s="143" t="str">
        <f t="shared" si="97"/>
        <v>-</v>
      </c>
      <c r="Q145" s="143" t="str">
        <f t="shared" si="97"/>
        <v>-</v>
      </c>
      <c r="R145" s="143" t="str">
        <f t="shared" si="97"/>
        <v>-</v>
      </c>
      <c r="S145" s="143" t="str">
        <f t="shared" si="97"/>
        <v>-</v>
      </c>
      <c r="T145" s="143" t="str">
        <f t="shared" si="97"/>
        <v>-</v>
      </c>
      <c r="U145" s="143" t="str">
        <f t="shared" si="97"/>
        <v>-</v>
      </c>
      <c r="V145" s="143" t="str">
        <f t="shared" si="97"/>
        <v>-</v>
      </c>
      <c r="W145" s="143" t="str">
        <f t="shared" si="97"/>
        <v>-</v>
      </c>
      <c r="X145" s="143" t="str">
        <f t="shared" si="97"/>
        <v>-</v>
      </c>
      <c r="Y145" s="143" t="str">
        <f t="shared" si="97"/>
        <v>-</v>
      </c>
      <c r="Z145" s="143" t="str">
        <f t="shared" si="97"/>
        <v>-</v>
      </c>
      <c r="AA145" s="143" t="str">
        <f t="shared" si="97"/>
        <v>-</v>
      </c>
      <c r="AB145" s="143" t="str">
        <f t="shared" si="97"/>
        <v>-</v>
      </c>
      <c r="AC145" s="143" t="str">
        <f t="shared" si="97"/>
        <v>-</v>
      </c>
      <c r="AD145" s="143" t="str">
        <f t="shared" si="97"/>
        <v>-</v>
      </c>
      <c r="AE145" s="143" t="str">
        <f t="shared" si="97"/>
        <v>-</v>
      </c>
      <c r="AF145" s="143" t="str">
        <f t="shared" si="97"/>
        <v>-</v>
      </c>
      <c r="AG145" s="143" t="str">
        <f t="shared" si="97"/>
        <v>-</v>
      </c>
      <c r="AH145" s="143" t="str">
        <f t="shared" si="97"/>
        <v>-</v>
      </c>
      <c r="AI145" s="143" t="str">
        <f t="shared" si="97"/>
        <v>-</v>
      </c>
      <c r="AJ145" s="143">
        <f t="shared" si="97"/>
        <v>0.24000000000000002</v>
      </c>
      <c r="AK145" s="143">
        <f t="shared" si="97"/>
        <v>0.23999959787274683</v>
      </c>
      <c r="AL145" s="143" t="str">
        <f t="shared" si="97"/>
        <v>-</v>
      </c>
      <c r="AM145" s="143" t="str">
        <f t="shared" si="97"/>
        <v>-</v>
      </c>
      <c r="AN145" s="143" t="str">
        <f t="shared" si="97"/>
        <v>-</v>
      </c>
      <c r="AO145" s="143" t="str">
        <f t="shared" si="97"/>
        <v>-</v>
      </c>
      <c r="AP145" s="143" t="str">
        <f t="shared" si="97"/>
        <v>-</v>
      </c>
      <c r="AQ145" s="143" t="str">
        <f t="shared" si="97"/>
        <v>-</v>
      </c>
      <c r="AR145" s="143" t="str">
        <f t="shared" si="97"/>
        <v>-</v>
      </c>
      <c r="AS145" s="143" t="str">
        <f t="shared" si="97"/>
        <v>-</v>
      </c>
      <c r="AT145" s="143" t="str">
        <f t="shared" si="97"/>
        <v>-</v>
      </c>
      <c r="AU145" s="143" t="str">
        <f t="shared" si="97"/>
        <v>-</v>
      </c>
      <c r="AV145" s="143" t="str">
        <f t="shared" si="97"/>
        <v>-</v>
      </c>
      <c r="AW145" s="143" t="str">
        <f t="shared" si="97"/>
        <v>-</v>
      </c>
      <c r="AX145" s="143" t="str">
        <f t="shared" si="97"/>
        <v>-</v>
      </c>
      <c r="AY145" s="143" t="str">
        <f t="shared" si="97"/>
        <v>-</v>
      </c>
      <c r="AZ145" s="143" t="str">
        <f t="shared" si="97"/>
        <v>-</v>
      </c>
      <c r="BA145" s="143" t="str">
        <f t="shared" si="97"/>
        <v>-</v>
      </c>
      <c r="BB145" s="143" t="str">
        <f t="shared" si="97"/>
        <v>-</v>
      </c>
      <c r="BC145" s="143" t="str">
        <f t="shared" si="97"/>
        <v>-</v>
      </c>
      <c r="BD145" s="143" t="str">
        <f t="shared" si="97"/>
        <v>-</v>
      </c>
      <c r="BE145" s="143" t="str">
        <f t="shared" si="97"/>
        <v>-</v>
      </c>
      <c r="BF145" s="143" t="str">
        <f t="shared" si="97"/>
        <v>-</v>
      </c>
      <c r="BG145" s="143" t="str">
        <f t="shared" si="97"/>
        <v>-</v>
      </c>
      <c r="BH145" s="143" t="str">
        <f t="shared" si="97"/>
        <v>-</v>
      </c>
      <c r="BI145" s="143" t="str">
        <f t="shared" si="97"/>
        <v>-</v>
      </c>
      <c r="BJ145" s="143" t="str">
        <f t="shared" si="97"/>
        <v>-</v>
      </c>
      <c r="BK145" s="143" t="str">
        <f t="shared" si="97"/>
        <v>-</v>
      </c>
      <c r="BL145" s="143" t="str">
        <f t="shared" si="97"/>
        <v>-</v>
      </c>
      <c r="BM145" s="143" t="str">
        <f t="shared" si="97"/>
        <v>-</v>
      </c>
      <c r="BN145" s="143" t="str">
        <f t="shared" si="97"/>
        <v>-</v>
      </c>
      <c r="BO145" s="143" t="str">
        <f t="shared" si="95"/>
        <v>-</v>
      </c>
      <c r="BP145" s="143" t="str">
        <f t="shared" ref="BP145" si="100">IFERROR(BP193/BP97,"-")</f>
        <v>-</v>
      </c>
      <c r="BT145" s="231"/>
      <c r="BU145" s="231"/>
      <c r="BV145" s="231"/>
      <c r="BW145" s="231"/>
      <c r="BX145" s="231"/>
      <c r="BY145" s="231"/>
      <c r="BZ145" s="231"/>
      <c r="CA145" s="231"/>
      <c r="CB145" s="231"/>
      <c r="CC145" s="231"/>
      <c r="CD145" s="231"/>
      <c r="CE145" s="231"/>
      <c r="CF145" s="231"/>
      <c r="CG145" s="231"/>
      <c r="CH145" s="231"/>
      <c r="CI145" s="231"/>
      <c r="CJ145" s="231"/>
      <c r="CK145" s="231"/>
      <c r="CL145" s="231"/>
      <c r="CM145" s="231"/>
      <c r="CN145" s="231"/>
      <c r="CO145" s="231"/>
      <c r="CP145" s="231"/>
      <c r="CQ145" s="231"/>
      <c r="CR145" s="231"/>
      <c r="CS145" s="231"/>
      <c r="CT145" s="231"/>
      <c r="CU145" s="231"/>
      <c r="CV145" s="231"/>
      <c r="CW145" s="231"/>
      <c r="CX145" s="231"/>
      <c r="CY145" s="231"/>
      <c r="CZ145" s="231"/>
      <c r="DA145" s="231"/>
      <c r="DB145" s="231"/>
      <c r="DC145" s="231"/>
    </row>
    <row r="146" spans="1:107" s="161" customFormat="1" ht="15" customHeight="1" collapsed="1" thickBot="1">
      <c r="A146" t="s">
        <v>18</v>
      </c>
      <c r="B146" s="156" t="str">
        <f>IF('Sumário | Summary'!P1=1,"Outros","Others")</f>
        <v>Outros</v>
      </c>
      <c r="C146" s="142" t="str">
        <f t="shared" si="97"/>
        <v>-</v>
      </c>
      <c r="D146" s="142" t="str">
        <f t="shared" si="97"/>
        <v>-</v>
      </c>
      <c r="E146" s="142" t="str">
        <f t="shared" si="97"/>
        <v>-</v>
      </c>
      <c r="F146" s="142" t="str">
        <f t="shared" si="97"/>
        <v>-</v>
      </c>
      <c r="G146" s="142" t="str">
        <f t="shared" si="97"/>
        <v>-</v>
      </c>
      <c r="H146" s="142" t="str">
        <f t="shared" si="97"/>
        <v>-</v>
      </c>
      <c r="I146" s="142" t="str">
        <f t="shared" si="97"/>
        <v>-</v>
      </c>
      <c r="J146" s="142" t="str">
        <f t="shared" si="97"/>
        <v>-</v>
      </c>
      <c r="K146" s="142" t="str">
        <f t="shared" si="97"/>
        <v>-</v>
      </c>
      <c r="L146" s="142" t="str">
        <f t="shared" si="97"/>
        <v>-</v>
      </c>
      <c r="M146" s="142" t="str">
        <f t="shared" si="97"/>
        <v>-</v>
      </c>
      <c r="N146" s="142" t="str">
        <f t="shared" si="97"/>
        <v>-</v>
      </c>
      <c r="O146" s="142" t="str">
        <f t="shared" si="97"/>
        <v>-</v>
      </c>
      <c r="P146" s="142" t="str">
        <f t="shared" si="97"/>
        <v>-</v>
      </c>
      <c r="Q146" s="142" t="str">
        <f t="shared" si="97"/>
        <v>-</v>
      </c>
      <c r="R146" s="142" t="str">
        <f t="shared" si="97"/>
        <v>-</v>
      </c>
      <c r="S146" s="142" t="str">
        <f t="shared" si="97"/>
        <v>-</v>
      </c>
      <c r="T146" s="142" t="str">
        <f t="shared" si="97"/>
        <v>-</v>
      </c>
      <c r="U146" s="142" t="str">
        <f t="shared" si="97"/>
        <v>-</v>
      </c>
      <c r="V146" s="142" t="str">
        <f t="shared" si="97"/>
        <v>-</v>
      </c>
      <c r="W146" s="142">
        <f t="shared" si="97"/>
        <v>0.5111</v>
      </c>
      <c r="X146" s="142">
        <f t="shared" si="97"/>
        <v>0.5111</v>
      </c>
      <c r="Y146" s="142">
        <f t="shared" si="97"/>
        <v>0.5111</v>
      </c>
      <c r="Z146" s="142">
        <f t="shared" si="97"/>
        <v>0.5111</v>
      </c>
      <c r="AA146" s="142">
        <f t="shared" si="97"/>
        <v>0.5111</v>
      </c>
      <c r="AB146" s="142">
        <f t="shared" si="97"/>
        <v>0.5111</v>
      </c>
      <c r="AC146" s="142">
        <f t="shared" si="97"/>
        <v>0.5111</v>
      </c>
      <c r="AD146" s="142">
        <f t="shared" si="97"/>
        <v>0.5111</v>
      </c>
      <c r="AE146" s="142">
        <f t="shared" si="97"/>
        <v>0.5111</v>
      </c>
      <c r="AF146" s="142">
        <f t="shared" si="97"/>
        <v>0.5111</v>
      </c>
      <c r="AG146" s="142">
        <f t="shared" si="97"/>
        <v>0.5111</v>
      </c>
      <c r="AH146" s="142">
        <f t="shared" si="97"/>
        <v>0.5111</v>
      </c>
      <c r="AI146" s="142">
        <f t="shared" si="97"/>
        <v>0.5111</v>
      </c>
      <c r="AJ146" s="142">
        <f t="shared" si="97"/>
        <v>0.5111</v>
      </c>
      <c r="AK146" s="142">
        <f t="shared" si="97"/>
        <v>0.5111</v>
      </c>
      <c r="AL146" s="142">
        <f t="shared" si="97"/>
        <v>0.5111</v>
      </c>
      <c r="AM146" s="142">
        <f t="shared" si="97"/>
        <v>0.5111</v>
      </c>
      <c r="AN146" s="142">
        <f t="shared" si="97"/>
        <v>0.5111</v>
      </c>
      <c r="AO146" s="142">
        <f t="shared" si="97"/>
        <v>0.5111</v>
      </c>
      <c r="AP146" s="142">
        <f t="shared" si="97"/>
        <v>0.5111</v>
      </c>
      <c r="AQ146" s="142">
        <f t="shared" si="97"/>
        <v>0.5111</v>
      </c>
      <c r="AR146" s="142">
        <f t="shared" si="97"/>
        <v>0.5111</v>
      </c>
      <c r="AS146" s="142">
        <f t="shared" si="97"/>
        <v>0.5111</v>
      </c>
      <c r="AT146" s="142">
        <f t="shared" si="97"/>
        <v>0.5111</v>
      </c>
      <c r="AU146" s="142">
        <f t="shared" si="97"/>
        <v>0.5111</v>
      </c>
      <c r="AV146" s="142">
        <f t="shared" si="97"/>
        <v>0.5111</v>
      </c>
      <c r="AW146" s="142">
        <f t="shared" si="97"/>
        <v>0.5111</v>
      </c>
      <c r="AX146" s="142">
        <f t="shared" si="97"/>
        <v>0.5111</v>
      </c>
      <c r="AY146" s="142">
        <f t="shared" si="97"/>
        <v>0.5111</v>
      </c>
      <c r="AZ146" s="142">
        <f t="shared" si="97"/>
        <v>0.5111</v>
      </c>
      <c r="BA146" s="142">
        <f t="shared" si="97"/>
        <v>0.5111</v>
      </c>
      <c r="BB146" s="142">
        <f t="shared" si="97"/>
        <v>0.5111</v>
      </c>
      <c r="BC146" s="142">
        <f t="shared" si="97"/>
        <v>0.5111</v>
      </c>
      <c r="BD146" s="142">
        <f t="shared" si="97"/>
        <v>0.5111</v>
      </c>
      <c r="BE146" s="142">
        <f t="shared" si="97"/>
        <v>0.5111</v>
      </c>
      <c r="BF146" s="142">
        <f t="shared" si="97"/>
        <v>0.5111</v>
      </c>
      <c r="BG146" s="142">
        <f t="shared" si="97"/>
        <v>0.5111</v>
      </c>
      <c r="BH146" s="142">
        <f t="shared" si="97"/>
        <v>0.5111</v>
      </c>
      <c r="BI146" s="142">
        <f t="shared" si="97"/>
        <v>0.55775300000000005</v>
      </c>
      <c r="BJ146" s="142">
        <f t="shared" si="97"/>
        <v>0.55775300000000005</v>
      </c>
      <c r="BK146" s="142">
        <f t="shared" si="97"/>
        <v>0.59311100000000005</v>
      </c>
      <c r="BL146" s="142">
        <f t="shared" si="97"/>
        <v>0.62326700000000002</v>
      </c>
      <c r="BM146" s="142">
        <f t="shared" si="97"/>
        <v>0.62326700000000002</v>
      </c>
      <c r="BN146" s="142">
        <f t="shared" ref="BN146:BP147" si="101">IFERROR(BN194/BN98,"-")</f>
        <v>0.62326700000000002</v>
      </c>
      <c r="BO146" s="142">
        <f t="shared" si="101"/>
        <v>0.66190000000000004</v>
      </c>
      <c r="BP146" s="142">
        <f t="shared" ref="BP146" si="102">IFERROR(BP194/BP98,"-")</f>
        <v>0.66181600000000007</v>
      </c>
      <c r="BT146" s="233"/>
      <c r="BU146" s="233"/>
      <c r="BV146" s="233"/>
      <c r="BW146" s="233"/>
      <c r="BX146" s="233"/>
      <c r="BY146" s="233"/>
      <c r="BZ146" s="233"/>
      <c r="CA146" s="233"/>
      <c r="CB146" s="233"/>
      <c r="CC146" s="233"/>
      <c r="CD146" s="233"/>
      <c r="CE146" s="233"/>
      <c r="CF146" s="233"/>
      <c r="CG146" s="233"/>
      <c r="CH146" s="233"/>
      <c r="CI146" s="233"/>
      <c r="CJ146" s="233"/>
      <c r="CK146" s="233"/>
      <c r="CL146" s="233"/>
      <c r="CM146" s="233"/>
      <c r="CN146" s="233"/>
      <c r="CO146" s="233"/>
      <c r="CP146" s="233"/>
      <c r="CQ146" s="233"/>
      <c r="CR146" s="233"/>
      <c r="CS146" s="233"/>
      <c r="CT146" s="233"/>
      <c r="CU146" s="233"/>
      <c r="CV146" s="233"/>
      <c r="CW146" s="233"/>
      <c r="CX146" s="233"/>
      <c r="CY146" s="233"/>
      <c r="CZ146" s="233"/>
      <c r="DA146" s="233"/>
      <c r="DB146" s="233"/>
      <c r="DC146" s="233"/>
    </row>
    <row r="147" spans="1:107" s="159" customFormat="1" ht="15" hidden="1" outlineLevel="1" thickBot="1">
      <c r="A147" t="s">
        <v>240</v>
      </c>
      <c r="B147" s="154" t="s">
        <v>25</v>
      </c>
      <c r="C147" s="143" t="str">
        <f t="shared" ref="C147:BN147" si="103">IFERROR(C195/C99,"-")</f>
        <v>-</v>
      </c>
      <c r="D147" s="143" t="str">
        <f t="shared" si="103"/>
        <v>-</v>
      </c>
      <c r="E147" s="143" t="str">
        <f t="shared" si="103"/>
        <v>-</v>
      </c>
      <c r="F147" s="143" t="str">
        <f t="shared" si="103"/>
        <v>-</v>
      </c>
      <c r="G147" s="143" t="str">
        <f t="shared" si="103"/>
        <v>-</v>
      </c>
      <c r="H147" s="143" t="str">
        <f t="shared" si="103"/>
        <v>-</v>
      </c>
      <c r="I147" s="143" t="str">
        <f t="shared" si="103"/>
        <v>-</v>
      </c>
      <c r="J147" s="143" t="str">
        <f t="shared" si="103"/>
        <v>-</v>
      </c>
      <c r="K147" s="143" t="str">
        <f t="shared" si="103"/>
        <v>-</v>
      </c>
      <c r="L147" s="143" t="str">
        <f t="shared" si="103"/>
        <v>-</v>
      </c>
      <c r="M147" s="143" t="str">
        <f t="shared" si="103"/>
        <v>-</v>
      </c>
      <c r="N147" s="143" t="str">
        <f t="shared" si="103"/>
        <v>-</v>
      </c>
      <c r="O147" s="143" t="str">
        <f t="shared" si="103"/>
        <v>-</v>
      </c>
      <c r="P147" s="143" t="str">
        <f t="shared" si="103"/>
        <v>-</v>
      </c>
      <c r="Q147" s="143" t="str">
        <f t="shared" si="103"/>
        <v>-</v>
      </c>
      <c r="R147" s="143" t="str">
        <f t="shared" si="103"/>
        <v>-</v>
      </c>
      <c r="S147" s="143" t="str">
        <f t="shared" si="103"/>
        <v>-</v>
      </c>
      <c r="T147" s="143" t="str">
        <f t="shared" si="103"/>
        <v>-</v>
      </c>
      <c r="U147" s="143" t="str">
        <f t="shared" si="103"/>
        <v>-</v>
      </c>
      <c r="V147" s="143" t="str">
        <f t="shared" si="103"/>
        <v>-</v>
      </c>
      <c r="W147" s="143">
        <f t="shared" si="103"/>
        <v>0.5111</v>
      </c>
      <c r="X147" s="143">
        <f t="shared" si="103"/>
        <v>0.5111</v>
      </c>
      <c r="Y147" s="143">
        <f t="shared" si="103"/>
        <v>0.5111</v>
      </c>
      <c r="Z147" s="143">
        <f t="shared" si="103"/>
        <v>0.5111</v>
      </c>
      <c r="AA147" s="143">
        <f t="shared" si="103"/>
        <v>0.5111</v>
      </c>
      <c r="AB147" s="143">
        <f t="shared" si="103"/>
        <v>0.5111</v>
      </c>
      <c r="AC147" s="143">
        <f t="shared" si="103"/>
        <v>0.5111</v>
      </c>
      <c r="AD147" s="143">
        <f t="shared" si="103"/>
        <v>0.5111</v>
      </c>
      <c r="AE147" s="143">
        <f t="shared" si="103"/>
        <v>0.5111</v>
      </c>
      <c r="AF147" s="143">
        <f t="shared" si="103"/>
        <v>0.5111</v>
      </c>
      <c r="AG147" s="143">
        <f t="shared" si="103"/>
        <v>0.5111</v>
      </c>
      <c r="AH147" s="143">
        <f t="shared" si="103"/>
        <v>0.5111</v>
      </c>
      <c r="AI147" s="143">
        <f t="shared" si="103"/>
        <v>0.5111</v>
      </c>
      <c r="AJ147" s="143">
        <f t="shared" si="103"/>
        <v>0.5111</v>
      </c>
      <c r="AK147" s="143">
        <f t="shared" si="103"/>
        <v>0.5111</v>
      </c>
      <c r="AL147" s="143">
        <f t="shared" si="103"/>
        <v>0.5111</v>
      </c>
      <c r="AM147" s="143">
        <f t="shared" si="103"/>
        <v>0.5111</v>
      </c>
      <c r="AN147" s="143">
        <f t="shared" si="103"/>
        <v>0.5111</v>
      </c>
      <c r="AO147" s="143">
        <f t="shared" si="103"/>
        <v>0.5111</v>
      </c>
      <c r="AP147" s="143">
        <f t="shared" si="103"/>
        <v>0.5111</v>
      </c>
      <c r="AQ147" s="143">
        <f t="shared" si="103"/>
        <v>0.5111</v>
      </c>
      <c r="AR147" s="143">
        <f t="shared" si="103"/>
        <v>0.5111</v>
      </c>
      <c r="AS147" s="143">
        <f t="shared" si="103"/>
        <v>0.5111</v>
      </c>
      <c r="AT147" s="143">
        <f t="shared" si="103"/>
        <v>0.5111</v>
      </c>
      <c r="AU147" s="143">
        <f t="shared" si="103"/>
        <v>0.5111</v>
      </c>
      <c r="AV147" s="143">
        <f t="shared" si="103"/>
        <v>0.5111</v>
      </c>
      <c r="AW147" s="143">
        <f t="shared" si="103"/>
        <v>0.5111</v>
      </c>
      <c r="AX147" s="143">
        <f t="shared" si="103"/>
        <v>0.5111</v>
      </c>
      <c r="AY147" s="143">
        <f t="shared" si="103"/>
        <v>0.5111</v>
      </c>
      <c r="AZ147" s="143">
        <f t="shared" si="103"/>
        <v>0.5111</v>
      </c>
      <c r="BA147" s="143">
        <f t="shared" si="103"/>
        <v>0.5111</v>
      </c>
      <c r="BB147" s="143">
        <f t="shared" si="103"/>
        <v>0.5111</v>
      </c>
      <c r="BC147" s="143">
        <f t="shared" si="103"/>
        <v>0.5111</v>
      </c>
      <c r="BD147" s="143">
        <f t="shared" si="103"/>
        <v>0.5111</v>
      </c>
      <c r="BE147" s="143">
        <f t="shared" si="103"/>
        <v>0.5111</v>
      </c>
      <c r="BF147" s="143">
        <f t="shared" si="103"/>
        <v>0.5111</v>
      </c>
      <c r="BG147" s="143">
        <f t="shared" si="103"/>
        <v>0.5111</v>
      </c>
      <c r="BH147" s="143">
        <f t="shared" si="103"/>
        <v>0.5111</v>
      </c>
      <c r="BI147" s="143">
        <f t="shared" si="103"/>
        <v>0.55775300000000005</v>
      </c>
      <c r="BJ147" s="143">
        <f t="shared" si="103"/>
        <v>0.55775300000000005</v>
      </c>
      <c r="BK147" s="143">
        <f t="shared" si="103"/>
        <v>0.59311100000000005</v>
      </c>
      <c r="BL147" s="143">
        <f t="shared" si="103"/>
        <v>0.62326700000000002</v>
      </c>
      <c r="BM147" s="143">
        <f t="shared" si="103"/>
        <v>0.62326700000000002</v>
      </c>
      <c r="BN147" s="143">
        <f t="shared" si="103"/>
        <v>0.62326700000000002</v>
      </c>
      <c r="BO147" s="143">
        <f t="shared" si="101"/>
        <v>0.66190000000000004</v>
      </c>
      <c r="BP147" s="143">
        <f t="shared" ref="BP147" si="104">IFERROR(BP195/BP99,"-")</f>
        <v>0.66181600000000007</v>
      </c>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row>
    <row r="148" spans="1:107" s="158" customFormat="1" ht="15" customHeight="1" collapsed="1" thickTop="1" thickBot="1">
      <c r="B148" s="157" t="s">
        <v>14</v>
      </c>
      <c r="C148" s="144">
        <f t="shared" ref="C148:BN148" si="105">C196/C100</f>
        <v>0.82897951387689262</v>
      </c>
      <c r="D148" s="144">
        <f t="shared" si="105"/>
        <v>0.84204569790402128</v>
      </c>
      <c r="E148" s="144">
        <f t="shared" si="105"/>
        <v>0.84204569790402128</v>
      </c>
      <c r="F148" s="144">
        <f t="shared" si="105"/>
        <v>0.84204569790402128</v>
      </c>
      <c r="G148" s="144">
        <f t="shared" si="105"/>
        <v>0.84770303258839796</v>
      </c>
      <c r="H148" s="144">
        <f t="shared" si="105"/>
        <v>0.84751240953243723</v>
      </c>
      <c r="I148" s="144">
        <f t="shared" si="105"/>
        <v>0.84393587569674444</v>
      </c>
      <c r="J148" s="144">
        <f t="shared" si="105"/>
        <v>0.84613494467184958</v>
      </c>
      <c r="K148" s="144">
        <f t="shared" si="105"/>
        <v>0.84478563595764311</v>
      </c>
      <c r="L148" s="144">
        <f t="shared" si="105"/>
        <v>0.84270388878141667</v>
      </c>
      <c r="M148" s="144">
        <f t="shared" si="105"/>
        <v>0.8433593005939497</v>
      </c>
      <c r="N148" s="144">
        <f t="shared" si="105"/>
        <v>0.8433593005939497</v>
      </c>
      <c r="O148" s="144">
        <f t="shared" si="105"/>
        <v>0.8433593005939497</v>
      </c>
      <c r="P148" s="144">
        <f t="shared" si="105"/>
        <v>0.84198653092385067</v>
      </c>
      <c r="Q148" s="144">
        <f t="shared" si="105"/>
        <v>0.72596530447111063</v>
      </c>
      <c r="R148" s="144">
        <f t="shared" si="105"/>
        <v>0.61341170614607576</v>
      </c>
      <c r="S148" s="144">
        <f t="shared" si="105"/>
        <v>0.5547740168094567</v>
      </c>
      <c r="T148" s="144">
        <f t="shared" si="105"/>
        <v>0.51426052421205493</v>
      </c>
      <c r="U148" s="144">
        <f t="shared" si="105"/>
        <v>0.51426052421205493</v>
      </c>
      <c r="V148" s="144">
        <f t="shared" si="105"/>
        <v>0.51730496784915747</v>
      </c>
      <c r="W148" s="144">
        <f t="shared" si="105"/>
        <v>0.44328009754536152</v>
      </c>
      <c r="X148" s="144">
        <f t="shared" si="105"/>
        <v>0.38526485989573117</v>
      </c>
      <c r="Y148" s="144">
        <f t="shared" si="105"/>
        <v>0.38288176663242118</v>
      </c>
      <c r="Z148" s="144">
        <f t="shared" si="105"/>
        <v>0.37273316473501689</v>
      </c>
      <c r="AA148" s="144">
        <f t="shared" si="105"/>
        <v>0.37273289032932239</v>
      </c>
      <c r="AB148" s="144">
        <f t="shared" si="105"/>
        <v>0.38003226291480507</v>
      </c>
      <c r="AC148" s="144">
        <f t="shared" si="105"/>
        <v>0.38392125941073185</v>
      </c>
      <c r="AD148" s="144">
        <f t="shared" si="105"/>
        <v>0.38392166972105074</v>
      </c>
      <c r="AE148" s="144">
        <f t="shared" si="105"/>
        <v>0.38392166972105074</v>
      </c>
      <c r="AF148" s="144">
        <f t="shared" si="105"/>
        <v>0.39293373080915089</v>
      </c>
      <c r="AG148" s="144">
        <f t="shared" si="105"/>
        <v>0.39293292643957412</v>
      </c>
      <c r="AH148" s="144">
        <f t="shared" si="105"/>
        <v>0.39233110272138</v>
      </c>
      <c r="AI148" s="144">
        <f t="shared" si="105"/>
        <v>0.36726287866164009</v>
      </c>
      <c r="AJ148" s="144">
        <f t="shared" si="105"/>
        <v>0.35939438410713015</v>
      </c>
      <c r="AK148" s="144">
        <f t="shared" si="105"/>
        <v>0.35295760195748116</v>
      </c>
      <c r="AL148" s="144">
        <f t="shared" si="105"/>
        <v>0.70968182210675657</v>
      </c>
      <c r="AM148" s="144">
        <f t="shared" si="105"/>
        <v>0.73175713145784482</v>
      </c>
      <c r="AN148" s="144">
        <f t="shared" si="105"/>
        <v>0.73598924965066015</v>
      </c>
      <c r="AO148" s="144">
        <f t="shared" si="105"/>
        <v>0.70822885159381677</v>
      </c>
      <c r="AP148" s="144">
        <f t="shared" si="105"/>
        <v>0.70745870087050355</v>
      </c>
      <c r="AQ148" s="144">
        <f t="shared" si="105"/>
        <v>0.68620354649978488</v>
      </c>
      <c r="AR148" s="144">
        <f t="shared" si="105"/>
        <v>0.67597956995111097</v>
      </c>
      <c r="AS148" s="144">
        <f t="shared" si="105"/>
        <v>0.67572302216121138</v>
      </c>
      <c r="AT148" s="144">
        <f t="shared" si="105"/>
        <v>0.67542234139225721</v>
      </c>
      <c r="AU148" s="144">
        <f t="shared" si="105"/>
        <v>0.56333283890976771</v>
      </c>
      <c r="AV148" s="144">
        <f t="shared" si="105"/>
        <v>0.68650957621642561</v>
      </c>
      <c r="AW148" s="144">
        <f t="shared" si="105"/>
        <v>0.60640559981870623</v>
      </c>
      <c r="AX148" s="144">
        <f t="shared" si="105"/>
        <v>0.58237872145717184</v>
      </c>
      <c r="AY148" s="144">
        <f t="shared" si="105"/>
        <v>0.58236246562113414</v>
      </c>
      <c r="AZ148" s="144">
        <f t="shared" si="105"/>
        <v>0.58216999445940509</v>
      </c>
      <c r="BA148" s="144">
        <f t="shared" si="105"/>
        <v>0.58184889429986697</v>
      </c>
      <c r="BB148" s="144">
        <f t="shared" si="105"/>
        <v>0.58120977420608144</v>
      </c>
      <c r="BC148" s="144">
        <f t="shared" si="105"/>
        <v>0.58127685509601312</v>
      </c>
      <c r="BD148" s="144">
        <f t="shared" si="105"/>
        <v>0.58307359898186351</v>
      </c>
      <c r="BE148" s="144">
        <f t="shared" si="105"/>
        <v>0.5834860240093388</v>
      </c>
      <c r="BF148" s="144">
        <f t="shared" si="105"/>
        <v>0.5833698748738162</v>
      </c>
      <c r="BG148" s="144">
        <f t="shared" si="105"/>
        <v>0.58204187963848408</v>
      </c>
      <c r="BH148" s="144">
        <f t="shared" si="105"/>
        <v>0.58209326554069174</v>
      </c>
      <c r="BI148" s="144">
        <f t="shared" si="105"/>
        <v>0.58696807693329478</v>
      </c>
      <c r="BJ148" s="144">
        <f t="shared" si="105"/>
        <v>0.63951375190039428</v>
      </c>
      <c r="BK148" s="144">
        <f t="shared" si="105"/>
        <v>0.64367371716572452</v>
      </c>
      <c r="BL148" s="144">
        <f t="shared" si="105"/>
        <v>0.64707458224025383</v>
      </c>
      <c r="BM148" s="144">
        <f t="shared" si="105"/>
        <v>0.64722074052936873</v>
      </c>
      <c r="BN148" s="144">
        <f t="shared" si="105"/>
        <v>0.59545284380519459</v>
      </c>
      <c r="BO148" s="144">
        <f t="shared" ref="BO148:BP148" si="106">BO196/BO100</f>
        <v>0.6155761015434128</v>
      </c>
      <c r="BP148" s="144">
        <f>BP196/BP100</f>
        <v>0.37140313345474052</v>
      </c>
      <c r="BT148" s="230"/>
      <c r="BU148" s="230"/>
      <c r="BV148" s="230"/>
      <c r="BW148" s="230"/>
      <c r="BX148" s="230"/>
      <c r="BY148" s="230"/>
      <c r="BZ148" s="230"/>
      <c r="CA148" s="230"/>
      <c r="CB148" s="230"/>
      <c r="CC148" s="230"/>
      <c r="CD148" s="230"/>
      <c r="CE148" s="230"/>
      <c r="CF148" s="230"/>
      <c r="CG148" s="230"/>
      <c r="CH148" s="230"/>
      <c r="CI148" s="230"/>
      <c r="CJ148" s="230"/>
      <c r="CK148" s="230"/>
      <c r="CL148" s="230"/>
      <c r="CM148" s="230"/>
      <c r="CN148" s="230"/>
      <c r="CO148" s="230"/>
      <c r="CP148" s="230"/>
      <c r="CQ148" s="230"/>
      <c r="CR148" s="230"/>
      <c r="CS148" s="230"/>
      <c r="CT148" s="230"/>
      <c r="CU148" s="230"/>
      <c r="CV148" s="230"/>
      <c r="CW148" s="230"/>
      <c r="CX148" s="230"/>
      <c r="CY148" s="230"/>
      <c r="CZ148" s="230"/>
      <c r="DA148" s="230"/>
      <c r="DB148" s="230"/>
      <c r="DC148" s="230"/>
    </row>
    <row r="149" spans="1:107">
      <c r="AC149" s="64"/>
    </row>
    <row r="150" spans="1:107" s="7" customFormat="1" ht="18.75" customHeight="1">
      <c r="B150" s="202" t="str">
        <f>IF('Sumário | Summary'!P1=1,"ABL Própria da SYN (m²)","SYN Total Area (sqm)")</f>
        <v>ABL Própria da SYN (m²)</v>
      </c>
      <c r="C150" s="203" t="str">
        <f t="shared" ref="C150:AY150" si="107">C6</f>
        <v>1T08</v>
      </c>
      <c r="D150" s="203" t="str">
        <f t="shared" si="107"/>
        <v>2T08</v>
      </c>
      <c r="E150" s="203" t="str">
        <f t="shared" si="107"/>
        <v>3T08</v>
      </c>
      <c r="F150" s="203" t="str">
        <f t="shared" si="107"/>
        <v>4T08</v>
      </c>
      <c r="G150" s="203" t="str">
        <f t="shared" si="107"/>
        <v>1T09</v>
      </c>
      <c r="H150" s="203" t="str">
        <f t="shared" si="107"/>
        <v>2T09</v>
      </c>
      <c r="I150" s="203" t="str">
        <f t="shared" si="107"/>
        <v>3T09</v>
      </c>
      <c r="J150" s="203" t="str">
        <f t="shared" si="107"/>
        <v>4T09</v>
      </c>
      <c r="K150" s="203" t="str">
        <f t="shared" si="107"/>
        <v>1T10</v>
      </c>
      <c r="L150" s="203" t="str">
        <f t="shared" si="107"/>
        <v>2T10</v>
      </c>
      <c r="M150" s="203" t="str">
        <f t="shared" si="107"/>
        <v>3T10</v>
      </c>
      <c r="N150" s="203" t="str">
        <f t="shared" si="107"/>
        <v>4T10</v>
      </c>
      <c r="O150" s="203" t="str">
        <f t="shared" si="107"/>
        <v>1T11</v>
      </c>
      <c r="P150" s="203" t="str">
        <f t="shared" si="107"/>
        <v>2T11</v>
      </c>
      <c r="Q150" s="203" t="str">
        <f t="shared" si="107"/>
        <v>3T11</v>
      </c>
      <c r="R150" s="203" t="str">
        <f t="shared" si="107"/>
        <v>4T11</v>
      </c>
      <c r="S150" s="203" t="str">
        <f t="shared" si="107"/>
        <v>1T12</v>
      </c>
      <c r="T150" s="203" t="str">
        <f t="shared" si="107"/>
        <v>2T12</v>
      </c>
      <c r="U150" s="203" t="str">
        <f t="shared" si="107"/>
        <v>3T12</v>
      </c>
      <c r="V150" s="203" t="str">
        <f t="shared" si="107"/>
        <v>4T12</v>
      </c>
      <c r="W150" s="203" t="str">
        <f t="shared" si="107"/>
        <v>1T13</v>
      </c>
      <c r="X150" s="203" t="str">
        <f t="shared" si="107"/>
        <v>2T13</v>
      </c>
      <c r="Y150" s="203" t="str">
        <f t="shared" si="107"/>
        <v>3T13</v>
      </c>
      <c r="Z150" s="203" t="str">
        <f t="shared" si="107"/>
        <v>4T13</v>
      </c>
      <c r="AA150" s="203" t="str">
        <f t="shared" si="107"/>
        <v>1T14</v>
      </c>
      <c r="AB150" s="203" t="str">
        <f t="shared" si="107"/>
        <v>2T14</v>
      </c>
      <c r="AC150" s="203" t="str">
        <f t="shared" si="107"/>
        <v>3T14</v>
      </c>
      <c r="AD150" s="203" t="str">
        <f t="shared" si="107"/>
        <v>4T14</v>
      </c>
      <c r="AE150" s="203" t="str">
        <f t="shared" si="107"/>
        <v>1T15</v>
      </c>
      <c r="AF150" s="203" t="str">
        <f t="shared" si="107"/>
        <v>2T15</v>
      </c>
      <c r="AG150" s="203" t="str">
        <f t="shared" si="107"/>
        <v>3T15</v>
      </c>
      <c r="AH150" s="203" t="str">
        <f t="shared" si="107"/>
        <v>4T15</v>
      </c>
      <c r="AI150" s="203" t="str">
        <f t="shared" si="107"/>
        <v>1T16</v>
      </c>
      <c r="AJ150" s="203" t="str">
        <f t="shared" si="107"/>
        <v>2T16</v>
      </c>
      <c r="AK150" s="203" t="str">
        <f t="shared" si="107"/>
        <v>3T16</v>
      </c>
      <c r="AL150" s="203" t="str">
        <f t="shared" si="107"/>
        <v>4T16</v>
      </c>
      <c r="AM150" s="203" t="str">
        <f t="shared" si="107"/>
        <v>1T17</v>
      </c>
      <c r="AN150" s="203" t="str">
        <f t="shared" si="107"/>
        <v>2T17</v>
      </c>
      <c r="AO150" s="203" t="str">
        <f t="shared" si="107"/>
        <v>3T17</v>
      </c>
      <c r="AP150" s="203" t="str">
        <f t="shared" si="107"/>
        <v>4T17</v>
      </c>
      <c r="AQ150" s="203" t="str">
        <f t="shared" si="107"/>
        <v>1T18</v>
      </c>
      <c r="AR150" s="203" t="str">
        <f t="shared" si="107"/>
        <v>2T18</v>
      </c>
      <c r="AS150" s="203" t="str">
        <f t="shared" si="107"/>
        <v>3T18</v>
      </c>
      <c r="AT150" s="203" t="str">
        <f t="shared" si="107"/>
        <v>4T18</v>
      </c>
      <c r="AU150" s="203" t="str">
        <f t="shared" si="107"/>
        <v>1T19</v>
      </c>
      <c r="AV150" s="203" t="str">
        <f t="shared" si="107"/>
        <v>2T19</v>
      </c>
      <c r="AW150" s="203" t="str">
        <f t="shared" si="107"/>
        <v>3T19</v>
      </c>
      <c r="AX150" s="203" t="str">
        <f t="shared" si="107"/>
        <v>4T19</v>
      </c>
      <c r="AY150" s="203" t="str">
        <f t="shared" si="107"/>
        <v>1T20</v>
      </c>
      <c r="AZ150" s="203" t="str">
        <f t="shared" ref="AZ150:BM150" si="108">AZ6</f>
        <v>2T20</v>
      </c>
      <c r="BA150" s="203" t="str">
        <f t="shared" si="108"/>
        <v>3T20</v>
      </c>
      <c r="BB150" s="203" t="str">
        <f t="shared" si="108"/>
        <v>4T20</v>
      </c>
      <c r="BC150" s="203" t="str">
        <f t="shared" si="108"/>
        <v>1T21</v>
      </c>
      <c r="BD150" s="203" t="str">
        <f t="shared" si="108"/>
        <v>2T21</v>
      </c>
      <c r="BE150" s="203" t="str">
        <f t="shared" si="108"/>
        <v>3T21</v>
      </c>
      <c r="BF150" s="203" t="str">
        <f t="shared" si="108"/>
        <v>4T21</v>
      </c>
      <c r="BG150" s="203" t="str">
        <f t="shared" si="108"/>
        <v>1T22</v>
      </c>
      <c r="BH150" s="203" t="str">
        <f t="shared" si="108"/>
        <v>2T22</v>
      </c>
      <c r="BI150" s="203" t="str">
        <f t="shared" si="108"/>
        <v>3T22</v>
      </c>
      <c r="BJ150" s="203" t="str">
        <f t="shared" si="108"/>
        <v>4T22</v>
      </c>
      <c r="BK150" s="203" t="str">
        <f t="shared" si="108"/>
        <v>1T23</v>
      </c>
      <c r="BL150" s="203" t="str">
        <f t="shared" si="108"/>
        <v>2T23</v>
      </c>
      <c r="BM150" s="203" t="str">
        <f t="shared" si="108"/>
        <v>3T23</v>
      </c>
      <c r="BN150" s="203" t="s">
        <v>315</v>
      </c>
      <c r="BO150" s="203" t="s">
        <v>321</v>
      </c>
      <c r="BP150" s="203" t="str">
        <f>BP6</f>
        <v>2T24</v>
      </c>
    </row>
    <row r="151" spans="1:107" s="15" customFormat="1" ht="15" customHeight="1">
      <c r="B151" s="148" t="str">
        <f>IF('Sumário | Summary'!P1=1,"Escritórios","Offices")</f>
        <v>Escritórios</v>
      </c>
      <c r="C151" s="140">
        <f t="shared" ref="C151:BN151" si="109">C152+C164</f>
        <v>71594.546000000002</v>
      </c>
      <c r="D151" s="140">
        <f t="shared" si="109"/>
        <v>86621.109999999986</v>
      </c>
      <c r="E151" s="140">
        <f t="shared" si="109"/>
        <v>86621.109999999986</v>
      </c>
      <c r="F151" s="140">
        <f t="shared" si="109"/>
        <v>86621.109999999986</v>
      </c>
      <c r="G151" s="140">
        <f t="shared" si="109"/>
        <v>93927.109999999986</v>
      </c>
      <c r="H151" s="140">
        <f t="shared" si="109"/>
        <v>93672.109999999986</v>
      </c>
      <c r="I151" s="140">
        <f t="shared" si="109"/>
        <v>93672.109999999986</v>
      </c>
      <c r="J151" s="140">
        <f t="shared" si="109"/>
        <v>92901.109999999986</v>
      </c>
      <c r="K151" s="140">
        <f t="shared" si="109"/>
        <v>91102.109999999986</v>
      </c>
      <c r="L151" s="140">
        <f t="shared" si="109"/>
        <v>88387.109999999986</v>
      </c>
      <c r="M151" s="140">
        <f t="shared" si="109"/>
        <v>88387.109999999986</v>
      </c>
      <c r="N151" s="140">
        <f t="shared" si="109"/>
        <v>88387.109999999986</v>
      </c>
      <c r="O151" s="140">
        <f t="shared" si="109"/>
        <v>88387.109999999986</v>
      </c>
      <c r="P151" s="140">
        <f t="shared" si="109"/>
        <v>86621.109999999986</v>
      </c>
      <c r="Q151" s="140">
        <f t="shared" si="109"/>
        <v>86621.109999999986</v>
      </c>
      <c r="R151" s="140">
        <f t="shared" si="109"/>
        <v>86621.109999999986</v>
      </c>
      <c r="S151" s="140">
        <f t="shared" si="109"/>
        <v>86621.109999999986</v>
      </c>
      <c r="T151" s="140">
        <f t="shared" si="109"/>
        <v>86621.109999999986</v>
      </c>
      <c r="U151" s="140">
        <f t="shared" si="109"/>
        <v>86621.109999999986</v>
      </c>
      <c r="V151" s="140">
        <f t="shared" si="109"/>
        <v>86621.109999999986</v>
      </c>
      <c r="W151" s="140">
        <f t="shared" si="109"/>
        <v>86621.109999999986</v>
      </c>
      <c r="X151" s="140">
        <f t="shared" si="109"/>
        <v>86621.16</v>
      </c>
      <c r="Y151" s="140">
        <f t="shared" si="109"/>
        <v>89342.56</v>
      </c>
      <c r="Z151" s="140">
        <f t="shared" si="109"/>
        <v>89342.56</v>
      </c>
      <c r="AA151" s="140">
        <f t="shared" si="109"/>
        <v>89342.56</v>
      </c>
      <c r="AB151" s="140">
        <f t="shared" si="109"/>
        <v>89342.56</v>
      </c>
      <c r="AC151" s="140">
        <f t="shared" si="109"/>
        <v>108344.82490869999</v>
      </c>
      <c r="AD151" s="140">
        <f t="shared" si="109"/>
        <v>108344.7749087</v>
      </c>
      <c r="AE151" s="140">
        <f t="shared" si="109"/>
        <v>108344.7749087</v>
      </c>
      <c r="AF151" s="140">
        <f t="shared" si="109"/>
        <v>105501.13490869998</v>
      </c>
      <c r="AG151" s="140">
        <f t="shared" si="109"/>
        <v>105500.04999999999</v>
      </c>
      <c r="AH151" s="140">
        <f t="shared" si="109"/>
        <v>105500.04999999999</v>
      </c>
      <c r="AI151" s="140">
        <f t="shared" si="109"/>
        <v>86498.87</v>
      </c>
      <c r="AJ151" s="140">
        <f t="shared" si="109"/>
        <v>86498.87</v>
      </c>
      <c r="AK151" s="140">
        <f t="shared" si="109"/>
        <v>86498.665999999997</v>
      </c>
      <c r="AL151" s="140">
        <f t="shared" si="109"/>
        <v>86498.665999999997</v>
      </c>
      <c r="AM151" s="140">
        <f t="shared" si="109"/>
        <v>86498.794999999984</v>
      </c>
      <c r="AN151" s="140">
        <f t="shared" si="109"/>
        <v>101203.39099999999</v>
      </c>
      <c r="AO151" s="140">
        <f t="shared" si="109"/>
        <v>72276.859721200002</v>
      </c>
      <c r="AP151" s="140">
        <f t="shared" si="109"/>
        <v>72277.53003319999</v>
      </c>
      <c r="AQ151" s="140">
        <f t="shared" si="109"/>
        <v>72277.53003319999</v>
      </c>
      <c r="AR151" s="140">
        <f t="shared" si="109"/>
        <v>72277.53003319999</v>
      </c>
      <c r="AS151" s="140">
        <f t="shared" si="109"/>
        <v>72277.53003319999</v>
      </c>
      <c r="AT151" s="140">
        <f t="shared" si="109"/>
        <v>72691.207722199993</v>
      </c>
      <c r="AU151" s="140">
        <f t="shared" si="109"/>
        <v>72691.207722199993</v>
      </c>
      <c r="AV151" s="140">
        <f t="shared" si="109"/>
        <v>84563.677722199995</v>
      </c>
      <c r="AW151" s="140">
        <f t="shared" si="109"/>
        <v>84563.677722199995</v>
      </c>
      <c r="AX151" s="140">
        <f t="shared" si="109"/>
        <v>92023.535302200005</v>
      </c>
      <c r="AY151" s="140">
        <f t="shared" si="109"/>
        <v>92023.535302200005</v>
      </c>
      <c r="AZ151" s="140">
        <f t="shared" si="109"/>
        <v>92884.241970200004</v>
      </c>
      <c r="BA151" s="140">
        <f t="shared" si="109"/>
        <v>91829.62005920001</v>
      </c>
      <c r="BB151" s="140">
        <f t="shared" si="109"/>
        <v>92728.083391199994</v>
      </c>
      <c r="BC151" s="140">
        <f t="shared" si="109"/>
        <v>92728.083391199994</v>
      </c>
      <c r="BD151" s="140">
        <f t="shared" si="109"/>
        <v>92728.083391199994</v>
      </c>
      <c r="BE151" s="140">
        <f t="shared" si="109"/>
        <v>92728.059391200004</v>
      </c>
      <c r="BF151" s="140">
        <f t="shared" si="109"/>
        <v>45542.377604712245</v>
      </c>
      <c r="BG151" s="140">
        <f t="shared" si="109"/>
        <v>46019.179604712248</v>
      </c>
      <c r="BH151" s="140">
        <f t="shared" si="109"/>
        <v>46019.129604712245</v>
      </c>
      <c r="BI151" s="140">
        <f t="shared" si="109"/>
        <v>46019.129604712245</v>
      </c>
      <c r="BJ151" s="140">
        <f t="shared" si="109"/>
        <v>46019.129604712245</v>
      </c>
      <c r="BK151" s="140">
        <f t="shared" si="109"/>
        <v>46019.129604712245</v>
      </c>
      <c r="BL151" s="140">
        <f t="shared" si="109"/>
        <v>46019.129604712245</v>
      </c>
      <c r="BM151" s="140">
        <f t="shared" si="109"/>
        <v>46019.204634712238</v>
      </c>
      <c r="BN151" s="140">
        <f t="shared" si="109"/>
        <v>43456.259634712245</v>
      </c>
      <c r="BO151" s="140">
        <f t="shared" ref="BO151" si="110">BO152+BO164</f>
        <v>43456.259634712245</v>
      </c>
      <c r="BP151" s="140">
        <f>BP152+BP164</f>
        <v>37159.839772237414</v>
      </c>
    </row>
    <row r="152" spans="1:107" s="15" customFormat="1" ht="15" customHeight="1">
      <c r="B152" s="85" t="str">
        <f>IF('Sumário | Summary'!P1=1,"Escritórios AAA","Triple A Offices")</f>
        <v>Escritórios AAA</v>
      </c>
      <c r="C152" s="140">
        <f t="shared" ref="C152:BN152" si="111">SUM(C153:C163)</f>
        <v>39315.885999999999</v>
      </c>
      <c r="D152" s="140">
        <f t="shared" si="111"/>
        <v>50492.45</v>
      </c>
      <c r="E152" s="140">
        <f t="shared" si="111"/>
        <v>50492.45</v>
      </c>
      <c r="F152" s="140">
        <f t="shared" si="111"/>
        <v>50492.45</v>
      </c>
      <c r="G152" s="140">
        <f t="shared" si="111"/>
        <v>57798.45</v>
      </c>
      <c r="H152" s="140">
        <f t="shared" si="111"/>
        <v>57543.45</v>
      </c>
      <c r="I152" s="140">
        <f t="shared" si="111"/>
        <v>57543.45</v>
      </c>
      <c r="J152" s="140">
        <f t="shared" si="111"/>
        <v>56772.45</v>
      </c>
      <c r="K152" s="140">
        <f t="shared" si="111"/>
        <v>54973.45</v>
      </c>
      <c r="L152" s="140">
        <f t="shared" si="111"/>
        <v>52258.45</v>
      </c>
      <c r="M152" s="140">
        <f t="shared" si="111"/>
        <v>52258.45</v>
      </c>
      <c r="N152" s="140">
        <f t="shared" si="111"/>
        <v>52258.45</v>
      </c>
      <c r="O152" s="140">
        <f t="shared" si="111"/>
        <v>52258.45</v>
      </c>
      <c r="P152" s="140">
        <f t="shared" si="111"/>
        <v>50492.45</v>
      </c>
      <c r="Q152" s="140">
        <f t="shared" si="111"/>
        <v>50492.45</v>
      </c>
      <c r="R152" s="140">
        <f t="shared" si="111"/>
        <v>50492.45</v>
      </c>
      <c r="S152" s="140">
        <f t="shared" si="111"/>
        <v>50492.45</v>
      </c>
      <c r="T152" s="140">
        <f t="shared" si="111"/>
        <v>50492.45</v>
      </c>
      <c r="U152" s="140">
        <f t="shared" si="111"/>
        <v>50492.45</v>
      </c>
      <c r="V152" s="140">
        <f t="shared" si="111"/>
        <v>50492.45</v>
      </c>
      <c r="W152" s="140">
        <f t="shared" si="111"/>
        <v>50492.45</v>
      </c>
      <c r="X152" s="140">
        <f t="shared" si="111"/>
        <v>50492.45</v>
      </c>
      <c r="Y152" s="140">
        <f t="shared" si="111"/>
        <v>53213.85</v>
      </c>
      <c r="Z152" s="140">
        <f t="shared" si="111"/>
        <v>53213.85</v>
      </c>
      <c r="AA152" s="140">
        <f t="shared" si="111"/>
        <v>53213.85</v>
      </c>
      <c r="AB152" s="140">
        <f t="shared" si="111"/>
        <v>53213.85</v>
      </c>
      <c r="AC152" s="140">
        <f t="shared" si="111"/>
        <v>72216.114908699994</v>
      </c>
      <c r="AD152" s="140">
        <f t="shared" si="111"/>
        <v>72216.114908699994</v>
      </c>
      <c r="AE152" s="140">
        <f t="shared" si="111"/>
        <v>72216.114908699994</v>
      </c>
      <c r="AF152" s="140">
        <f t="shared" si="111"/>
        <v>72216.114908699994</v>
      </c>
      <c r="AG152" s="140">
        <f t="shared" si="111"/>
        <v>72215.45</v>
      </c>
      <c r="AH152" s="140">
        <f t="shared" si="111"/>
        <v>72215.45</v>
      </c>
      <c r="AI152" s="140">
        <f t="shared" si="111"/>
        <v>53213.85</v>
      </c>
      <c r="AJ152" s="140">
        <f t="shared" si="111"/>
        <v>53213.85</v>
      </c>
      <c r="AK152" s="140">
        <f t="shared" si="111"/>
        <v>53213.885999999999</v>
      </c>
      <c r="AL152" s="140">
        <f t="shared" si="111"/>
        <v>53213.885999999999</v>
      </c>
      <c r="AM152" s="140">
        <f t="shared" si="111"/>
        <v>53213.774999999994</v>
      </c>
      <c r="AN152" s="140">
        <f t="shared" si="111"/>
        <v>67918.320999999996</v>
      </c>
      <c r="AO152" s="140">
        <f t="shared" si="111"/>
        <v>48349.859721200002</v>
      </c>
      <c r="AP152" s="140">
        <f t="shared" si="111"/>
        <v>48350.399440199995</v>
      </c>
      <c r="AQ152" s="140">
        <f t="shared" si="111"/>
        <v>48350.399440199995</v>
      </c>
      <c r="AR152" s="140">
        <f t="shared" si="111"/>
        <v>48350.399440199995</v>
      </c>
      <c r="AS152" s="140">
        <f t="shared" si="111"/>
        <v>48350.399440199995</v>
      </c>
      <c r="AT152" s="140">
        <f t="shared" si="111"/>
        <v>48764.077129199999</v>
      </c>
      <c r="AU152" s="140">
        <f t="shared" si="111"/>
        <v>48764.077129199999</v>
      </c>
      <c r="AV152" s="140">
        <f t="shared" si="111"/>
        <v>48764.077129199999</v>
      </c>
      <c r="AW152" s="140">
        <f t="shared" si="111"/>
        <v>48764.077129199999</v>
      </c>
      <c r="AX152" s="140">
        <f t="shared" si="111"/>
        <v>58170.485461199998</v>
      </c>
      <c r="AY152" s="140">
        <f t="shared" si="111"/>
        <v>58170.485461199998</v>
      </c>
      <c r="AZ152" s="140">
        <f t="shared" si="111"/>
        <v>59031.192129199997</v>
      </c>
      <c r="BA152" s="140">
        <f t="shared" si="111"/>
        <v>57976.570218200002</v>
      </c>
      <c r="BB152" s="140">
        <f t="shared" si="111"/>
        <v>58875.033550200002</v>
      </c>
      <c r="BC152" s="140">
        <f t="shared" si="111"/>
        <v>58875.033550200002</v>
      </c>
      <c r="BD152" s="140">
        <f t="shared" si="111"/>
        <v>58875.033550200002</v>
      </c>
      <c r="BE152" s="140">
        <f t="shared" si="111"/>
        <v>58875.009550200004</v>
      </c>
      <c r="BF152" s="140">
        <f t="shared" si="111"/>
        <v>11689.327763712245</v>
      </c>
      <c r="BG152" s="140">
        <f t="shared" si="111"/>
        <v>12166.129763712244</v>
      </c>
      <c r="BH152" s="140">
        <f t="shared" si="111"/>
        <v>12166.029763712246</v>
      </c>
      <c r="BI152" s="140">
        <f t="shared" si="111"/>
        <v>12166.029763712246</v>
      </c>
      <c r="BJ152" s="140">
        <f t="shared" si="111"/>
        <v>12166.029763712246</v>
      </c>
      <c r="BK152" s="140">
        <f t="shared" si="111"/>
        <v>12166.029763712246</v>
      </c>
      <c r="BL152" s="140">
        <f t="shared" si="111"/>
        <v>12166.029763712246</v>
      </c>
      <c r="BM152" s="140">
        <f t="shared" si="111"/>
        <v>12166.104793712246</v>
      </c>
      <c r="BN152" s="140">
        <f t="shared" si="111"/>
        <v>12166.104793712246</v>
      </c>
      <c r="BO152" s="140">
        <f t="shared" ref="BO152" si="112">SUM(BO153:BO163)</f>
        <v>12166.104793712246</v>
      </c>
      <c r="BP152" s="140">
        <f>SUM(BP153:BP163)</f>
        <v>5869.6849312374161</v>
      </c>
    </row>
    <row r="153" spans="1:107" ht="15" hidden="1" customHeight="1" outlineLevel="1">
      <c r="A153" t="s">
        <v>18</v>
      </c>
      <c r="B153" s="38" t="s">
        <v>2</v>
      </c>
      <c r="C153" s="63">
        <v>4466.7</v>
      </c>
      <c r="D153" s="63">
        <v>4466.7</v>
      </c>
      <c r="E153" s="63">
        <v>4466.7</v>
      </c>
      <c r="F153" s="63">
        <v>4466.7</v>
      </c>
      <c r="G153" s="63">
        <v>4466.7</v>
      </c>
      <c r="H153" s="63">
        <v>4466.7</v>
      </c>
      <c r="I153" s="63">
        <v>4466.7</v>
      </c>
      <c r="J153" s="63">
        <v>4466.7</v>
      </c>
      <c r="K153" s="63">
        <v>4466.7</v>
      </c>
      <c r="L153" s="63">
        <v>4466.7</v>
      </c>
      <c r="M153" s="63">
        <v>4466.7</v>
      </c>
      <c r="N153" s="63">
        <v>4466.7</v>
      </c>
      <c r="O153" s="63">
        <v>4466.7</v>
      </c>
      <c r="P153" s="63">
        <v>4466.7</v>
      </c>
      <c r="Q153" s="63">
        <v>4466.7</v>
      </c>
      <c r="R153" s="63">
        <v>4466.7</v>
      </c>
      <c r="S153" s="63">
        <v>4466.7</v>
      </c>
      <c r="T153" s="63">
        <v>4466.7</v>
      </c>
      <c r="U153" s="63">
        <v>4466.7</v>
      </c>
      <c r="V153" s="63">
        <v>4466.7</v>
      </c>
      <c r="W153" s="63">
        <v>4466.7</v>
      </c>
      <c r="X153" s="63">
        <v>4466.7</v>
      </c>
      <c r="Y153" s="63">
        <v>4466.7</v>
      </c>
      <c r="Z153" s="63">
        <v>4466.7</v>
      </c>
      <c r="AA153" s="63">
        <v>4466.7</v>
      </c>
      <c r="AB153" s="63">
        <v>4466.7</v>
      </c>
      <c r="AC153" s="63">
        <v>4466.7</v>
      </c>
      <c r="AD153" s="63">
        <v>4466.7</v>
      </c>
      <c r="AE153" s="63">
        <v>4466.7</v>
      </c>
      <c r="AF153" s="63">
        <v>4466.7</v>
      </c>
      <c r="AG153" s="63">
        <v>4466.7</v>
      </c>
      <c r="AH153" s="63">
        <v>4466.7</v>
      </c>
      <c r="AI153" s="63">
        <v>4466.7</v>
      </c>
      <c r="AJ153" s="63">
        <v>4466.7</v>
      </c>
      <c r="AK153" s="63">
        <v>4466.7</v>
      </c>
      <c r="AL153" s="63">
        <v>4466.7</v>
      </c>
      <c r="AM153" s="63">
        <v>4466.7</v>
      </c>
      <c r="AN153" s="63">
        <v>4466.7</v>
      </c>
      <c r="AO153" s="63">
        <v>2973</v>
      </c>
      <c r="AP153" s="63">
        <v>2973.4821899999997</v>
      </c>
      <c r="AQ153" s="63">
        <v>2973.4821899999997</v>
      </c>
      <c r="AR153" s="63">
        <v>2973.4821899999997</v>
      </c>
      <c r="AS153" s="63">
        <v>2973.4821899999997</v>
      </c>
      <c r="AT153" s="63">
        <v>2973.4821899999997</v>
      </c>
      <c r="AU153" s="63">
        <v>2973.4821899999997</v>
      </c>
      <c r="AV153" s="63">
        <v>2973.4821899999997</v>
      </c>
      <c r="AW153" s="63">
        <v>2973.4821899999997</v>
      </c>
      <c r="AX153" s="149">
        <v>2973.4821899999997</v>
      </c>
      <c r="AY153" s="63">
        <v>2973.4821899999997</v>
      </c>
      <c r="AZ153" s="63">
        <v>2973.4821899999997</v>
      </c>
      <c r="BA153" s="63">
        <v>2973.4821899999997</v>
      </c>
      <c r="BB153" s="63">
        <v>2973.4821899999997</v>
      </c>
      <c r="BC153" s="63">
        <v>2973.4821899999997</v>
      </c>
      <c r="BD153" s="63">
        <v>2973.4821899999997</v>
      </c>
      <c r="BE153" s="63">
        <v>2973.4821899999997</v>
      </c>
      <c r="BF153" s="63">
        <v>0</v>
      </c>
      <c r="BG153" s="149">
        <v>0</v>
      </c>
      <c r="BH153" s="149">
        <v>0</v>
      </c>
      <c r="BI153" s="149">
        <v>0</v>
      </c>
      <c r="BJ153" s="149">
        <v>0</v>
      </c>
      <c r="BK153" s="149">
        <v>0</v>
      </c>
      <c r="BL153" s="149">
        <v>0</v>
      </c>
      <c r="BM153" s="149">
        <v>0</v>
      </c>
      <c r="BN153" s="149">
        <v>0</v>
      </c>
      <c r="BO153" s="149">
        <v>0</v>
      </c>
      <c r="BP153" s="149">
        <v>0</v>
      </c>
    </row>
    <row r="154" spans="1:107" ht="15" hidden="1" customHeight="1" outlineLevel="1">
      <c r="A154" t="s">
        <v>18</v>
      </c>
      <c r="B154" s="38" t="s">
        <v>3</v>
      </c>
      <c r="C154" s="63">
        <v>3168.46</v>
      </c>
      <c r="D154" s="63">
        <v>3168.46</v>
      </c>
      <c r="E154" s="63">
        <v>3168.46</v>
      </c>
      <c r="F154" s="63">
        <v>3168.46</v>
      </c>
      <c r="G154" s="63">
        <v>3168.46</v>
      </c>
      <c r="H154" s="63">
        <v>3168.46</v>
      </c>
      <c r="I154" s="63">
        <v>3168.46</v>
      </c>
      <c r="J154" s="63">
        <v>3168.46</v>
      </c>
      <c r="K154" s="63">
        <v>3168.46</v>
      </c>
      <c r="L154" s="63">
        <v>3168.46</v>
      </c>
      <c r="M154" s="63">
        <v>3168.46</v>
      </c>
      <c r="N154" s="63">
        <v>3168.46</v>
      </c>
      <c r="O154" s="63">
        <v>3168.46</v>
      </c>
      <c r="P154" s="63">
        <v>3168.46</v>
      </c>
      <c r="Q154" s="63">
        <v>3168.46</v>
      </c>
      <c r="R154" s="63">
        <v>3168.46</v>
      </c>
      <c r="S154" s="63">
        <v>3168.46</v>
      </c>
      <c r="T154" s="63">
        <v>3168.46</v>
      </c>
      <c r="U154" s="63">
        <v>3168.46</v>
      </c>
      <c r="V154" s="63">
        <v>3168.46</v>
      </c>
      <c r="W154" s="63">
        <v>3168.46</v>
      </c>
      <c r="X154" s="63">
        <v>3168.46</v>
      </c>
      <c r="Y154" s="63">
        <v>3168.46</v>
      </c>
      <c r="Z154" s="63">
        <v>3168.46</v>
      </c>
      <c r="AA154" s="63">
        <v>3168.46</v>
      </c>
      <c r="AB154" s="63">
        <v>3168.46</v>
      </c>
      <c r="AC154" s="63">
        <v>3168.46</v>
      </c>
      <c r="AD154" s="63">
        <v>3168.46</v>
      </c>
      <c r="AE154" s="63">
        <v>3168.46</v>
      </c>
      <c r="AF154" s="63">
        <v>3168.46</v>
      </c>
      <c r="AG154" s="63">
        <v>3168.46</v>
      </c>
      <c r="AH154" s="63">
        <v>3168.46</v>
      </c>
      <c r="AI154" s="63">
        <v>3168.46</v>
      </c>
      <c r="AJ154" s="63">
        <v>3168.46</v>
      </c>
      <c r="AK154" s="63">
        <v>3168.46</v>
      </c>
      <c r="AL154" s="63">
        <v>3168.46</v>
      </c>
      <c r="AM154" s="63">
        <v>3168.46</v>
      </c>
      <c r="AN154" s="63">
        <v>1584</v>
      </c>
      <c r="AO154" s="63">
        <v>1055</v>
      </c>
      <c r="AP154" s="63">
        <v>1054.621911</v>
      </c>
      <c r="AQ154" s="63">
        <v>1054.621911</v>
      </c>
      <c r="AR154" s="63">
        <v>1054.621911</v>
      </c>
      <c r="AS154" s="63">
        <v>1054.621911</v>
      </c>
      <c r="AT154" s="63">
        <v>1054.621911</v>
      </c>
      <c r="AU154" s="63">
        <v>1054.621911</v>
      </c>
      <c r="AV154" s="63">
        <v>1054.621911</v>
      </c>
      <c r="AW154" s="63">
        <v>1054.621911</v>
      </c>
      <c r="AX154" s="149">
        <v>1054.621911</v>
      </c>
      <c r="AY154" s="63">
        <v>1054.621911</v>
      </c>
      <c r="AZ154" s="63">
        <v>1054.621911</v>
      </c>
      <c r="BA154" s="63">
        <v>0</v>
      </c>
      <c r="BB154" s="63">
        <v>0</v>
      </c>
      <c r="BC154" s="63">
        <v>0</v>
      </c>
      <c r="BD154" s="63">
        <v>0</v>
      </c>
      <c r="BE154" s="63">
        <v>0</v>
      </c>
      <c r="BF154" s="63">
        <v>0</v>
      </c>
      <c r="BG154" s="149">
        <v>0</v>
      </c>
      <c r="BH154" s="149">
        <v>0</v>
      </c>
      <c r="BI154" s="149">
        <v>0</v>
      </c>
      <c r="BJ154" s="149">
        <v>0</v>
      </c>
      <c r="BK154" s="149">
        <v>0</v>
      </c>
      <c r="BL154" s="149">
        <v>0</v>
      </c>
      <c r="BM154" s="149">
        <v>0</v>
      </c>
      <c r="BN154" s="149">
        <v>0</v>
      </c>
      <c r="BO154" s="149">
        <v>0</v>
      </c>
      <c r="BP154" s="149">
        <v>0</v>
      </c>
    </row>
    <row r="155" spans="1:107" ht="15" hidden="1" customHeight="1" outlineLevel="1">
      <c r="A155" t="s">
        <v>18</v>
      </c>
      <c r="B155" s="38" t="s">
        <v>0</v>
      </c>
      <c r="C155" s="63">
        <v>18705.61</v>
      </c>
      <c r="D155" s="63">
        <v>18705.61</v>
      </c>
      <c r="E155" s="63">
        <v>18705.61</v>
      </c>
      <c r="F155" s="63">
        <v>18705.61</v>
      </c>
      <c r="G155" s="63">
        <v>18705.61</v>
      </c>
      <c r="H155" s="63">
        <v>18705.61</v>
      </c>
      <c r="I155" s="63">
        <v>18705.61</v>
      </c>
      <c r="J155" s="63">
        <v>18705.61</v>
      </c>
      <c r="K155" s="63">
        <v>18705.61</v>
      </c>
      <c r="L155" s="63">
        <v>18705.61</v>
      </c>
      <c r="M155" s="63">
        <v>18705.61</v>
      </c>
      <c r="N155" s="63">
        <v>18705.61</v>
      </c>
      <c r="O155" s="63">
        <v>18705.61</v>
      </c>
      <c r="P155" s="63">
        <v>18705.61</v>
      </c>
      <c r="Q155" s="63">
        <v>18705.61</v>
      </c>
      <c r="R155" s="63">
        <v>18705.61</v>
      </c>
      <c r="S155" s="63">
        <v>18705.61</v>
      </c>
      <c r="T155" s="63">
        <v>18705.61</v>
      </c>
      <c r="U155" s="63">
        <v>18705.61</v>
      </c>
      <c r="V155" s="63">
        <v>18705.61</v>
      </c>
      <c r="W155" s="63">
        <v>18705.61</v>
      </c>
      <c r="X155" s="63">
        <v>18705.61</v>
      </c>
      <c r="Y155" s="63">
        <v>18705.61</v>
      </c>
      <c r="Z155" s="63">
        <v>18705.61</v>
      </c>
      <c r="AA155" s="63">
        <v>18705.61</v>
      </c>
      <c r="AB155" s="63">
        <v>18705.61</v>
      </c>
      <c r="AC155" s="63">
        <v>18705.61</v>
      </c>
      <c r="AD155" s="63">
        <v>18705.61</v>
      </c>
      <c r="AE155" s="63">
        <v>18705.61</v>
      </c>
      <c r="AF155" s="63">
        <v>18705.61</v>
      </c>
      <c r="AG155" s="63">
        <v>18705.61</v>
      </c>
      <c r="AH155" s="63">
        <v>18705.61</v>
      </c>
      <c r="AI155" s="63">
        <v>18705.61</v>
      </c>
      <c r="AJ155" s="63">
        <v>18705.61</v>
      </c>
      <c r="AK155" s="63">
        <v>18705.61</v>
      </c>
      <c r="AL155" s="63">
        <v>18705.61</v>
      </c>
      <c r="AM155" s="63">
        <v>18705.61</v>
      </c>
      <c r="AN155" s="63">
        <v>18705.61</v>
      </c>
      <c r="AO155" s="63">
        <v>12452</v>
      </c>
      <c r="AP155" s="63">
        <v>12452.324576999999</v>
      </c>
      <c r="AQ155" s="63">
        <v>12452.324576999999</v>
      </c>
      <c r="AR155" s="63">
        <v>12452.324576999999</v>
      </c>
      <c r="AS155" s="63">
        <v>12452.324576999999</v>
      </c>
      <c r="AT155" s="63">
        <v>12452.324576999999</v>
      </c>
      <c r="AU155" s="63">
        <v>12452.324576999999</v>
      </c>
      <c r="AV155" s="63">
        <v>12452.324576999999</v>
      </c>
      <c r="AW155" s="63">
        <v>12452.324576999999</v>
      </c>
      <c r="AX155" s="149">
        <v>12890.657909000001</v>
      </c>
      <c r="AY155" s="63">
        <v>12890.657909000001</v>
      </c>
      <c r="AZ155" s="63">
        <v>13751.364577</v>
      </c>
      <c r="BA155" s="63">
        <v>13751.364577</v>
      </c>
      <c r="BB155" s="63">
        <v>14649.827909000001</v>
      </c>
      <c r="BC155" s="63">
        <v>14649.827909000001</v>
      </c>
      <c r="BD155" s="63">
        <v>14649.827909</v>
      </c>
      <c r="BE155" s="63">
        <v>14649.827909</v>
      </c>
      <c r="BF155" s="63">
        <v>0</v>
      </c>
      <c r="BG155" s="149">
        <v>0</v>
      </c>
      <c r="BH155" s="149">
        <v>0</v>
      </c>
      <c r="BI155" s="149">
        <v>0</v>
      </c>
      <c r="BJ155" s="149">
        <v>0</v>
      </c>
      <c r="BK155" s="149">
        <v>0</v>
      </c>
      <c r="BL155" s="149">
        <v>0</v>
      </c>
      <c r="BM155" s="149">
        <v>0</v>
      </c>
      <c r="BN155" s="149">
        <v>0</v>
      </c>
      <c r="BO155" s="149">
        <v>0</v>
      </c>
      <c r="BP155" s="149">
        <v>0</v>
      </c>
    </row>
    <row r="156" spans="1:107" ht="15" hidden="1" customHeight="1" outlineLevel="1">
      <c r="A156" t="s">
        <v>18</v>
      </c>
      <c r="B156" s="38" t="s">
        <v>1</v>
      </c>
      <c r="C156" s="63">
        <v>12975.116000000002</v>
      </c>
      <c r="D156" s="63">
        <v>12975.116000000002</v>
      </c>
      <c r="E156" s="63">
        <v>12975.116000000002</v>
      </c>
      <c r="F156" s="63">
        <v>12975.116000000002</v>
      </c>
      <c r="G156" s="63">
        <v>12975.116000000002</v>
      </c>
      <c r="H156" s="63">
        <v>12975.116000000002</v>
      </c>
      <c r="I156" s="63">
        <v>12975.116000000002</v>
      </c>
      <c r="J156" s="63">
        <v>12975.116000000002</v>
      </c>
      <c r="K156" s="63">
        <v>12975.116000000002</v>
      </c>
      <c r="L156" s="63">
        <v>12975.116000000002</v>
      </c>
      <c r="M156" s="63">
        <v>12975.116000000002</v>
      </c>
      <c r="N156" s="63">
        <v>12975.116000000002</v>
      </c>
      <c r="O156" s="63">
        <v>12975.116000000002</v>
      </c>
      <c r="P156" s="63">
        <v>12975.116000000002</v>
      </c>
      <c r="Q156" s="63">
        <v>12975.116000000002</v>
      </c>
      <c r="R156" s="63">
        <v>12975.116000000002</v>
      </c>
      <c r="S156" s="63">
        <v>12975.116000000002</v>
      </c>
      <c r="T156" s="63">
        <v>12975.116000000002</v>
      </c>
      <c r="U156" s="63">
        <v>12975.116000000002</v>
      </c>
      <c r="V156" s="63">
        <v>12975.116000000002</v>
      </c>
      <c r="W156" s="63">
        <v>12975.116000000002</v>
      </c>
      <c r="X156" s="63">
        <v>12975.116000000002</v>
      </c>
      <c r="Y156" s="63">
        <v>12975.116000000002</v>
      </c>
      <c r="Z156" s="63">
        <v>12975.116000000002</v>
      </c>
      <c r="AA156" s="63">
        <v>12975.116000000002</v>
      </c>
      <c r="AB156" s="63">
        <v>12975.116000000002</v>
      </c>
      <c r="AC156" s="63">
        <v>12975.116000000002</v>
      </c>
      <c r="AD156" s="63">
        <v>12975.116000000002</v>
      </c>
      <c r="AE156" s="63">
        <v>12975.116000000002</v>
      </c>
      <c r="AF156" s="63">
        <v>12975.116000000002</v>
      </c>
      <c r="AG156" s="63">
        <v>12975.116000000002</v>
      </c>
      <c r="AH156" s="63">
        <v>12975.116000000002</v>
      </c>
      <c r="AI156" s="63">
        <v>12975.116000000002</v>
      </c>
      <c r="AJ156" s="63">
        <v>12975.116000000002</v>
      </c>
      <c r="AK156" s="63">
        <v>12975.116000000002</v>
      </c>
      <c r="AL156" s="63">
        <v>12975.116000000002</v>
      </c>
      <c r="AM156" s="63">
        <v>12975.116000000002</v>
      </c>
      <c r="AN156" s="63">
        <v>12975.116000000002</v>
      </c>
      <c r="AO156" s="63">
        <v>8637.5347212000015</v>
      </c>
      <c r="AP156" s="63">
        <v>8637.5347212000015</v>
      </c>
      <c r="AQ156" s="63">
        <v>8637.5347212000015</v>
      </c>
      <c r="AR156" s="63">
        <v>8637.5347212000015</v>
      </c>
      <c r="AS156" s="63">
        <v>8637.5347212000015</v>
      </c>
      <c r="AT156" s="63">
        <v>8637.5347212000015</v>
      </c>
      <c r="AU156" s="63">
        <v>8637.5347212000015</v>
      </c>
      <c r="AV156" s="63">
        <v>8637.5347212000015</v>
      </c>
      <c r="AW156" s="63">
        <v>8637.5347212000015</v>
      </c>
      <c r="AX156" s="149">
        <v>8637.5347212000015</v>
      </c>
      <c r="AY156" s="63">
        <v>8637.5347212000015</v>
      </c>
      <c r="AZ156" s="63">
        <v>8637.5347212000015</v>
      </c>
      <c r="BA156" s="63">
        <v>8637.5347212000015</v>
      </c>
      <c r="BB156" s="63">
        <v>8637.5347212000015</v>
      </c>
      <c r="BC156" s="63">
        <v>8637.5347212000015</v>
      </c>
      <c r="BD156" s="63">
        <v>8637.5347212000015</v>
      </c>
      <c r="BE156" s="63">
        <v>8637.5347212000015</v>
      </c>
      <c r="BF156" s="63">
        <v>0</v>
      </c>
      <c r="BG156" s="149">
        <v>0</v>
      </c>
      <c r="BH156" s="149">
        <v>0</v>
      </c>
      <c r="BI156" s="149">
        <v>0</v>
      </c>
      <c r="BJ156" s="149">
        <v>0</v>
      </c>
      <c r="BK156" s="149">
        <v>0</v>
      </c>
      <c r="BL156" s="149">
        <v>0</v>
      </c>
      <c r="BM156" s="149">
        <v>0</v>
      </c>
      <c r="BN156" s="149">
        <v>0</v>
      </c>
      <c r="BO156" s="149">
        <v>0</v>
      </c>
      <c r="BP156" s="149">
        <v>0</v>
      </c>
    </row>
    <row r="157" spans="1:107" ht="15" hidden="1" customHeight="1" outlineLevel="1">
      <c r="A157" t="s">
        <v>18</v>
      </c>
      <c r="B157" s="38" t="s">
        <v>33</v>
      </c>
      <c r="C157" s="63">
        <v>0</v>
      </c>
      <c r="D157" s="63">
        <v>11176.564</v>
      </c>
      <c r="E157" s="63">
        <v>11176.564</v>
      </c>
      <c r="F157" s="63">
        <v>11176.564</v>
      </c>
      <c r="G157" s="63">
        <v>11176.564</v>
      </c>
      <c r="H157" s="63">
        <v>11176.564</v>
      </c>
      <c r="I157" s="63">
        <v>11176.564</v>
      </c>
      <c r="J157" s="63">
        <v>11176.564</v>
      </c>
      <c r="K157" s="63">
        <v>11176.564</v>
      </c>
      <c r="L157" s="63">
        <v>11176.564</v>
      </c>
      <c r="M157" s="63">
        <v>11176.564</v>
      </c>
      <c r="N157" s="63">
        <v>11176.564</v>
      </c>
      <c r="O157" s="63">
        <v>11176.564</v>
      </c>
      <c r="P157" s="63">
        <v>11176.564</v>
      </c>
      <c r="Q157" s="63">
        <v>11176.564</v>
      </c>
      <c r="R157" s="63">
        <v>11176.564</v>
      </c>
      <c r="S157" s="63">
        <v>11176.564</v>
      </c>
      <c r="T157" s="63">
        <v>11176.564</v>
      </c>
      <c r="U157" s="63">
        <v>11176.564</v>
      </c>
      <c r="V157" s="63">
        <v>11176.564</v>
      </c>
      <c r="W157" s="63">
        <v>11176.564</v>
      </c>
      <c r="X157" s="63">
        <v>11176.564</v>
      </c>
      <c r="Y157" s="63">
        <v>11176.564</v>
      </c>
      <c r="Z157" s="63">
        <v>11176.564</v>
      </c>
      <c r="AA157" s="63">
        <v>11176.564</v>
      </c>
      <c r="AB157" s="63">
        <v>11176.564</v>
      </c>
      <c r="AC157" s="63">
        <v>11176.564</v>
      </c>
      <c r="AD157" s="63">
        <v>11176.564</v>
      </c>
      <c r="AE157" s="63">
        <v>11176.564</v>
      </c>
      <c r="AF157" s="63">
        <v>11176.564</v>
      </c>
      <c r="AG157" s="63">
        <v>11176.564</v>
      </c>
      <c r="AH157" s="63">
        <v>11176.564</v>
      </c>
      <c r="AI157" s="63">
        <v>11176.564</v>
      </c>
      <c r="AJ157" s="63">
        <v>11176.564</v>
      </c>
      <c r="AK157" s="63">
        <v>11177</v>
      </c>
      <c r="AL157" s="63">
        <v>11177</v>
      </c>
      <c r="AM157" s="63">
        <v>11176.564</v>
      </c>
      <c r="AN157" s="63">
        <v>11176.57</v>
      </c>
      <c r="AO157" s="63">
        <v>6944</v>
      </c>
      <c r="AP157" s="63">
        <v>6944.0029409999997</v>
      </c>
      <c r="AQ157" s="63">
        <v>6944.0029409999997</v>
      </c>
      <c r="AR157" s="63">
        <v>6944.0029409999997</v>
      </c>
      <c r="AS157" s="63">
        <v>6944.0029409999997</v>
      </c>
      <c r="AT157" s="63">
        <v>7357.6806299999989</v>
      </c>
      <c r="AU157" s="63">
        <v>7357.6806299999989</v>
      </c>
      <c r="AV157" s="63">
        <v>7357.6806299999989</v>
      </c>
      <c r="AW157" s="63">
        <v>7357.6806299999989</v>
      </c>
      <c r="AX157" s="149">
        <v>7357.6806299999989</v>
      </c>
      <c r="AY157" s="63">
        <v>7357.6806299999989</v>
      </c>
      <c r="AZ157" s="63">
        <v>7357.6806299999989</v>
      </c>
      <c r="BA157" s="63">
        <v>7357.6806299999989</v>
      </c>
      <c r="BB157" s="63">
        <v>7357.6806299999989</v>
      </c>
      <c r="BC157" s="63">
        <v>7357.6806299999989</v>
      </c>
      <c r="BD157" s="63">
        <v>7357.6806299999989</v>
      </c>
      <c r="BE157" s="63">
        <v>7357.6806299999989</v>
      </c>
      <c r="BF157" s="63">
        <v>0</v>
      </c>
      <c r="BG157" s="149">
        <v>0</v>
      </c>
      <c r="BH157" s="149">
        <v>0</v>
      </c>
      <c r="BI157" s="149">
        <v>0</v>
      </c>
      <c r="BJ157" s="149">
        <v>0</v>
      </c>
      <c r="BK157" s="149">
        <v>0</v>
      </c>
      <c r="BL157" s="149">
        <v>0</v>
      </c>
      <c r="BM157" s="149">
        <v>0</v>
      </c>
      <c r="BN157" s="149">
        <v>0</v>
      </c>
      <c r="BO157" s="149">
        <v>0</v>
      </c>
      <c r="BP157" s="149">
        <v>0</v>
      </c>
    </row>
    <row r="158" spans="1:107" ht="15" hidden="1" customHeight="1" outlineLevel="1">
      <c r="A158" t="s">
        <v>251</v>
      </c>
      <c r="B158" s="38" t="s">
        <v>28</v>
      </c>
      <c r="C158" s="63">
        <v>0</v>
      </c>
      <c r="D158" s="63">
        <v>0</v>
      </c>
      <c r="E158" s="63">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3">
        <v>0</v>
      </c>
      <c r="V158" s="63">
        <v>0</v>
      </c>
      <c r="W158" s="63">
        <v>0</v>
      </c>
      <c r="X158" s="63">
        <v>0</v>
      </c>
      <c r="Y158" s="63">
        <v>2721.4</v>
      </c>
      <c r="Z158" s="63">
        <v>2721.4</v>
      </c>
      <c r="AA158" s="63">
        <v>2721.4</v>
      </c>
      <c r="AB158" s="63">
        <v>2721.4</v>
      </c>
      <c r="AC158" s="63">
        <v>2721.4</v>
      </c>
      <c r="AD158" s="63">
        <v>2721.4</v>
      </c>
      <c r="AE158" s="63">
        <v>2721.4</v>
      </c>
      <c r="AF158" s="63">
        <v>2721.4</v>
      </c>
      <c r="AG158" s="63">
        <v>2721</v>
      </c>
      <c r="AH158" s="63">
        <v>2721</v>
      </c>
      <c r="AI158" s="63">
        <v>2721.4</v>
      </c>
      <c r="AJ158" s="63">
        <v>2721.4</v>
      </c>
      <c r="AK158" s="63">
        <v>2721</v>
      </c>
      <c r="AL158" s="63">
        <v>2721</v>
      </c>
      <c r="AM158" s="63">
        <v>2721.3249999999998</v>
      </c>
      <c r="AN158" s="63">
        <v>2721.3249999999998</v>
      </c>
      <c r="AO158" s="63">
        <v>2721.3249999999998</v>
      </c>
      <c r="AP158" s="63">
        <v>2721.3249999999998</v>
      </c>
      <c r="AQ158" s="63">
        <v>2721.3249999999998</v>
      </c>
      <c r="AR158" s="63">
        <v>2721.3249999999998</v>
      </c>
      <c r="AS158" s="63">
        <v>2721.3249999999998</v>
      </c>
      <c r="AT158" s="63">
        <v>2721.3249999999998</v>
      </c>
      <c r="AU158" s="63">
        <v>2721.3249999999998</v>
      </c>
      <c r="AV158" s="63">
        <v>2721.3249999999998</v>
      </c>
      <c r="AW158" s="63">
        <v>2721.3249999999998</v>
      </c>
      <c r="AX158" s="149">
        <v>2721.5</v>
      </c>
      <c r="AY158" s="63">
        <v>2721.5</v>
      </c>
      <c r="AZ158" s="63">
        <v>2721.5</v>
      </c>
      <c r="BA158" s="63">
        <v>2721.5</v>
      </c>
      <c r="BB158" s="63">
        <v>2721.5</v>
      </c>
      <c r="BC158" s="63">
        <v>2721.5</v>
      </c>
      <c r="BD158" s="63">
        <v>2721.5</v>
      </c>
      <c r="BE158" s="63">
        <v>2721.5</v>
      </c>
      <c r="BF158" s="63">
        <v>2721.5</v>
      </c>
      <c r="BG158" s="149">
        <v>2721.5</v>
      </c>
      <c r="BH158" s="149">
        <v>2721.4000000000005</v>
      </c>
      <c r="BI158" s="149">
        <v>2721.4000000000005</v>
      </c>
      <c r="BJ158" s="149">
        <v>2721.4000000000005</v>
      </c>
      <c r="BK158" s="149">
        <v>2721.4000000000005</v>
      </c>
      <c r="BL158" s="149">
        <v>2721.4000000000005</v>
      </c>
      <c r="BM158" s="149">
        <v>2721.4750000000004</v>
      </c>
      <c r="BN158" s="149">
        <v>2721.4750000000004</v>
      </c>
      <c r="BO158" s="149">
        <v>2721.4750000000004</v>
      </c>
      <c r="BP158" s="149">
        <v>2721.4750000000004</v>
      </c>
    </row>
    <row r="159" spans="1:107" ht="15" hidden="1" customHeight="1" outlineLevel="1">
      <c r="A159" t="s">
        <v>18</v>
      </c>
      <c r="B159" s="38" t="s">
        <v>27</v>
      </c>
      <c r="C159" s="62">
        <v>0</v>
      </c>
      <c r="D159" s="62">
        <v>0</v>
      </c>
      <c r="E159" s="62">
        <v>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2">
        <v>0</v>
      </c>
      <c r="AK159" s="62">
        <v>0</v>
      </c>
      <c r="AL159" s="62">
        <v>0</v>
      </c>
      <c r="AM159" s="62">
        <v>0</v>
      </c>
      <c r="AN159" s="63">
        <v>16289</v>
      </c>
      <c r="AO159" s="63">
        <v>13567</v>
      </c>
      <c r="AP159" s="63">
        <v>13567.108099999999</v>
      </c>
      <c r="AQ159" s="63">
        <v>13567.108099999999</v>
      </c>
      <c r="AR159" s="63">
        <v>13567.108099999999</v>
      </c>
      <c r="AS159" s="63">
        <v>13567.108099999999</v>
      </c>
      <c r="AT159" s="63">
        <v>13567.108099999999</v>
      </c>
      <c r="AU159" s="63">
        <v>13567.108099999999</v>
      </c>
      <c r="AV159" s="63">
        <v>13567.108099999999</v>
      </c>
      <c r="AW159" s="63">
        <v>13567.108099999999</v>
      </c>
      <c r="AX159" s="149">
        <v>13567.108099999999</v>
      </c>
      <c r="AY159" s="63">
        <v>13567.108099999999</v>
      </c>
      <c r="AZ159" s="63">
        <v>13567.108099999999</v>
      </c>
      <c r="BA159" s="63">
        <v>13567.108099999999</v>
      </c>
      <c r="BB159" s="63">
        <v>13567.108099999999</v>
      </c>
      <c r="BC159" s="63">
        <v>13567.108099999999</v>
      </c>
      <c r="BD159" s="63">
        <v>13567.108099999999</v>
      </c>
      <c r="BE159" s="63">
        <v>13567.108099999999</v>
      </c>
      <c r="BF159" s="63">
        <v>0</v>
      </c>
      <c r="BG159" s="149">
        <v>0</v>
      </c>
      <c r="BH159" s="149">
        <v>0</v>
      </c>
      <c r="BI159" s="149">
        <v>0</v>
      </c>
      <c r="BJ159" s="149">
        <v>0</v>
      </c>
      <c r="BK159" s="149">
        <v>0</v>
      </c>
      <c r="BL159" s="149">
        <v>0</v>
      </c>
      <c r="BM159" s="149">
        <v>0</v>
      </c>
      <c r="BN159" s="149">
        <v>0</v>
      </c>
      <c r="BO159" s="149">
        <v>0</v>
      </c>
      <c r="BP159" s="149">
        <v>0</v>
      </c>
    </row>
    <row r="160" spans="1:107" ht="15" hidden="1" customHeight="1" outlineLevel="1">
      <c r="A160" t="s">
        <v>18</v>
      </c>
      <c r="B160" s="38" t="s">
        <v>19</v>
      </c>
      <c r="C160" s="62">
        <v>0</v>
      </c>
      <c r="D160" s="62">
        <v>0</v>
      </c>
      <c r="E160" s="62">
        <v>0</v>
      </c>
      <c r="F160" s="62">
        <v>0</v>
      </c>
      <c r="G160" s="62">
        <v>0</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19002.264908700003</v>
      </c>
      <c r="AD160" s="62">
        <v>19002.264908700003</v>
      </c>
      <c r="AE160" s="62">
        <v>19002.264908700003</v>
      </c>
      <c r="AF160" s="62">
        <v>19002.264908700003</v>
      </c>
      <c r="AG160" s="62">
        <v>19002</v>
      </c>
      <c r="AH160" s="62">
        <v>19002</v>
      </c>
      <c r="AI160" s="62">
        <v>0</v>
      </c>
      <c r="AJ160" s="62">
        <v>0</v>
      </c>
      <c r="AK160" s="62">
        <v>0</v>
      </c>
      <c r="AL160" s="62">
        <v>0</v>
      </c>
      <c r="AM160" s="62">
        <v>0</v>
      </c>
      <c r="AN160" s="63">
        <v>0</v>
      </c>
      <c r="AO160" s="63">
        <v>0</v>
      </c>
      <c r="AP160" s="63">
        <v>0</v>
      </c>
      <c r="AQ160" s="63">
        <v>0</v>
      </c>
      <c r="AR160" s="63">
        <v>0</v>
      </c>
      <c r="AS160" s="63">
        <v>0</v>
      </c>
      <c r="AT160" s="63">
        <v>0</v>
      </c>
      <c r="AU160" s="63">
        <v>0</v>
      </c>
      <c r="AV160" s="63">
        <v>0</v>
      </c>
      <c r="AW160" s="63">
        <v>0</v>
      </c>
      <c r="AX160" s="149">
        <v>0</v>
      </c>
      <c r="AY160" s="63">
        <v>0</v>
      </c>
      <c r="AZ160" s="63">
        <v>0</v>
      </c>
      <c r="BA160" s="63">
        <v>0</v>
      </c>
      <c r="BB160" s="63">
        <v>0</v>
      </c>
      <c r="BC160" s="63">
        <v>0</v>
      </c>
      <c r="BD160" s="63">
        <v>0</v>
      </c>
      <c r="BE160" s="63">
        <v>0</v>
      </c>
      <c r="BF160" s="63">
        <v>0</v>
      </c>
      <c r="BG160" s="149">
        <v>0</v>
      </c>
      <c r="BH160" s="149">
        <v>0</v>
      </c>
      <c r="BI160" s="149">
        <v>0</v>
      </c>
      <c r="BJ160" s="149">
        <v>0</v>
      </c>
      <c r="BK160" s="149">
        <v>0</v>
      </c>
      <c r="BL160" s="149">
        <v>0</v>
      </c>
      <c r="BM160" s="149">
        <v>0</v>
      </c>
      <c r="BN160" s="149">
        <v>0</v>
      </c>
      <c r="BO160" s="149">
        <v>0</v>
      </c>
      <c r="BP160" s="149">
        <v>0</v>
      </c>
    </row>
    <row r="161" spans="1:68 16122:16122" ht="15" hidden="1" customHeight="1" outlineLevel="1">
      <c r="A161" t="s">
        <v>18</v>
      </c>
      <c r="B161" s="38" t="s">
        <v>5</v>
      </c>
      <c r="C161" s="63">
        <v>0</v>
      </c>
      <c r="D161" s="63">
        <v>0</v>
      </c>
      <c r="E161" s="63">
        <v>0</v>
      </c>
      <c r="F161" s="63">
        <v>0</v>
      </c>
      <c r="G161" s="63">
        <v>7306</v>
      </c>
      <c r="H161" s="63">
        <v>7051</v>
      </c>
      <c r="I161" s="63">
        <v>7051</v>
      </c>
      <c r="J161" s="63">
        <v>6280</v>
      </c>
      <c r="K161" s="63">
        <v>4481</v>
      </c>
      <c r="L161" s="63">
        <v>1766</v>
      </c>
      <c r="M161" s="63">
        <v>1766</v>
      </c>
      <c r="N161" s="63">
        <v>1766</v>
      </c>
      <c r="O161" s="63">
        <v>1766</v>
      </c>
      <c r="P161" s="63">
        <v>0</v>
      </c>
      <c r="Q161" s="63">
        <v>0</v>
      </c>
      <c r="R161" s="63">
        <v>0</v>
      </c>
      <c r="S161" s="63">
        <v>0</v>
      </c>
      <c r="T161" s="63">
        <v>0</v>
      </c>
      <c r="U161" s="63">
        <v>0</v>
      </c>
      <c r="V161" s="63">
        <v>0</v>
      </c>
      <c r="W161" s="63">
        <v>0</v>
      </c>
      <c r="X161" s="63">
        <v>0</v>
      </c>
      <c r="Y161" s="63">
        <v>0</v>
      </c>
      <c r="Z161" s="63">
        <v>0</v>
      </c>
      <c r="AA161" s="63">
        <v>0</v>
      </c>
      <c r="AB161" s="63">
        <v>0</v>
      </c>
      <c r="AC161" s="63">
        <v>0</v>
      </c>
      <c r="AD161" s="63">
        <v>0</v>
      </c>
      <c r="AE161" s="63">
        <v>0</v>
      </c>
      <c r="AF161" s="63">
        <v>0</v>
      </c>
      <c r="AG161" s="63">
        <v>0</v>
      </c>
      <c r="AH161" s="63">
        <v>0</v>
      </c>
      <c r="AI161" s="63">
        <v>0</v>
      </c>
      <c r="AJ161" s="63">
        <v>0</v>
      </c>
      <c r="AK161" s="63">
        <v>0</v>
      </c>
      <c r="AL161" s="63">
        <v>0</v>
      </c>
      <c r="AM161" s="63">
        <v>0</v>
      </c>
      <c r="AN161" s="63">
        <v>0</v>
      </c>
      <c r="AO161" s="63">
        <v>0</v>
      </c>
      <c r="AP161" s="63">
        <v>0</v>
      </c>
      <c r="AQ161" s="63">
        <v>0</v>
      </c>
      <c r="AR161" s="63">
        <v>0</v>
      </c>
      <c r="AS161" s="63">
        <v>0</v>
      </c>
      <c r="AT161" s="63">
        <v>0</v>
      </c>
      <c r="AU161" s="63">
        <v>0</v>
      </c>
      <c r="AV161" s="63">
        <v>0</v>
      </c>
      <c r="AW161" s="63">
        <v>0</v>
      </c>
      <c r="AX161" s="149">
        <v>0</v>
      </c>
      <c r="AY161" s="63">
        <v>0</v>
      </c>
      <c r="AZ161" s="63">
        <v>0</v>
      </c>
      <c r="BA161" s="63">
        <v>0</v>
      </c>
      <c r="BB161" s="63">
        <v>0</v>
      </c>
      <c r="BC161" s="63">
        <v>0</v>
      </c>
      <c r="BD161" s="63">
        <v>0</v>
      </c>
      <c r="BE161" s="63">
        <v>0</v>
      </c>
      <c r="BF161" s="63">
        <v>0</v>
      </c>
      <c r="BG161" s="149">
        <v>0</v>
      </c>
      <c r="BH161" s="149">
        <v>0</v>
      </c>
      <c r="BI161" s="149">
        <v>0</v>
      </c>
      <c r="BJ161" s="149">
        <v>0</v>
      </c>
      <c r="BK161" s="149">
        <v>0</v>
      </c>
      <c r="BL161" s="149">
        <v>0</v>
      </c>
      <c r="BM161" s="149">
        <v>0</v>
      </c>
      <c r="BN161" s="149">
        <v>0</v>
      </c>
      <c r="BO161" s="149">
        <v>0</v>
      </c>
      <c r="BP161" s="149">
        <v>0</v>
      </c>
    </row>
    <row r="162" spans="1:68 16122:16122" ht="15" hidden="1" customHeight="1" outlineLevel="1">
      <c r="A162" t="s">
        <v>252</v>
      </c>
      <c r="B162" s="38" t="s">
        <v>48</v>
      </c>
      <c r="C162" s="63">
        <v>0</v>
      </c>
      <c r="D162" s="63">
        <v>0</v>
      </c>
      <c r="E162" s="63">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3">
        <v>0</v>
      </c>
      <c r="V162" s="63">
        <v>0</v>
      </c>
      <c r="W162" s="63">
        <v>0</v>
      </c>
      <c r="X162" s="63">
        <v>0</v>
      </c>
      <c r="Y162" s="63">
        <v>0</v>
      </c>
      <c r="Z162" s="63">
        <v>0</v>
      </c>
      <c r="AA162" s="63">
        <v>0</v>
      </c>
      <c r="AB162" s="63">
        <v>0</v>
      </c>
      <c r="AC162" s="63">
        <v>0</v>
      </c>
      <c r="AD162" s="63">
        <v>0</v>
      </c>
      <c r="AE162" s="63">
        <v>0</v>
      </c>
      <c r="AF162" s="63">
        <v>0</v>
      </c>
      <c r="AG162" s="63">
        <v>0</v>
      </c>
      <c r="AH162" s="63">
        <v>0</v>
      </c>
      <c r="AI162" s="63">
        <v>0</v>
      </c>
      <c r="AJ162" s="63">
        <v>0</v>
      </c>
      <c r="AK162" s="63">
        <v>0</v>
      </c>
      <c r="AL162" s="63">
        <v>0</v>
      </c>
      <c r="AM162" s="63">
        <v>0</v>
      </c>
      <c r="AN162" s="63">
        <v>0</v>
      </c>
      <c r="AO162" s="63">
        <v>0</v>
      </c>
      <c r="AP162" s="63">
        <v>0</v>
      </c>
      <c r="AQ162" s="63">
        <v>0</v>
      </c>
      <c r="AR162" s="63">
        <v>0</v>
      </c>
      <c r="AS162" s="63">
        <v>0</v>
      </c>
      <c r="AT162" s="63">
        <v>0</v>
      </c>
      <c r="AU162" s="63">
        <v>0</v>
      </c>
      <c r="AV162" s="63">
        <v>0</v>
      </c>
      <c r="AW162" s="63">
        <v>0</v>
      </c>
      <c r="AX162" s="149">
        <v>3142.5</v>
      </c>
      <c r="AY162" s="63">
        <v>3142.5</v>
      </c>
      <c r="AZ162" s="63">
        <v>3142.5</v>
      </c>
      <c r="BA162" s="63">
        <v>3142.5</v>
      </c>
      <c r="BB162" s="63">
        <v>3142.5</v>
      </c>
      <c r="BC162" s="63">
        <v>3142.5</v>
      </c>
      <c r="BD162" s="63">
        <v>3142.5</v>
      </c>
      <c r="BE162" s="63">
        <v>3142.4760000000015</v>
      </c>
      <c r="BF162" s="63">
        <v>3142.4760000000015</v>
      </c>
      <c r="BG162" s="149">
        <v>3619.2780000000021</v>
      </c>
      <c r="BH162" s="149">
        <v>3619.2780000000021</v>
      </c>
      <c r="BI162" s="149">
        <v>3619.2780000000021</v>
      </c>
      <c r="BJ162" s="149">
        <v>3619.2780000000021</v>
      </c>
      <c r="BK162" s="149">
        <v>3619.2780000000021</v>
      </c>
      <c r="BL162" s="149">
        <v>3619.2780000000021</v>
      </c>
      <c r="BM162" s="149">
        <v>3619.2780300000018</v>
      </c>
      <c r="BN162" s="149">
        <v>3619.2780300000018</v>
      </c>
      <c r="BO162" s="149">
        <v>3619.2780300000018</v>
      </c>
      <c r="BP162" s="149">
        <v>1206.4260100000008</v>
      </c>
    </row>
    <row r="163" spans="1:68 16122:16122" ht="15" hidden="1" customHeight="1" outlineLevel="1">
      <c r="A163" t="s">
        <v>253</v>
      </c>
      <c r="B163" s="38" t="s">
        <v>49</v>
      </c>
      <c r="C163" s="63">
        <v>0</v>
      </c>
      <c r="D163" s="63">
        <v>0</v>
      </c>
      <c r="E163" s="63">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3">
        <v>0</v>
      </c>
      <c r="V163" s="63">
        <v>0</v>
      </c>
      <c r="W163" s="63">
        <v>0</v>
      </c>
      <c r="X163" s="63">
        <v>0</v>
      </c>
      <c r="Y163" s="63">
        <v>0</v>
      </c>
      <c r="Z163" s="63">
        <v>0</v>
      </c>
      <c r="AA163" s="63">
        <v>0</v>
      </c>
      <c r="AB163" s="63">
        <v>0</v>
      </c>
      <c r="AC163" s="63">
        <v>0</v>
      </c>
      <c r="AD163" s="63">
        <v>0</v>
      </c>
      <c r="AE163" s="63">
        <v>0</v>
      </c>
      <c r="AF163" s="63">
        <v>0</v>
      </c>
      <c r="AG163" s="63">
        <v>0</v>
      </c>
      <c r="AH163" s="63">
        <v>0</v>
      </c>
      <c r="AI163" s="63">
        <v>0</v>
      </c>
      <c r="AJ163" s="63">
        <v>0</v>
      </c>
      <c r="AK163" s="63">
        <v>0</v>
      </c>
      <c r="AL163" s="63">
        <v>0</v>
      </c>
      <c r="AM163" s="63">
        <v>0</v>
      </c>
      <c r="AN163" s="63">
        <v>0</v>
      </c>
      <c r="AO163" s="63">
        <v>0</v>
      </c>
      <c r="AP163" s="63">
        <v>0</v>
      </c>
      <c r="AQ163" s="63">
        <v>0</v>
      </c>
      <c r="AR163" s="63">
        <v>0</v>
      </c>
      <c r="AS163" s="63">
        <v>0</v>
      </c>
      <c r="AT163" s="63">
        <v>0</v>
      </c>
      <c r="AU163" s="63">
        <v>0</v>
      </c>
      <c r="AV163" s="63">
        <v>0</v>
      </c>
      <c r="AW163" s="63">
        <v>0</v>
      </c>
      <c r="AX163" s="149">
        <v>5825.4</v>
      </c>
      <c r="AY163" s="63">
        <v>5825.4</v>
      </c>
      <c r="AZ163" s="63">
        <v>5825.4</v>
      </c>
      <c r="BA163" s="63">
        <v>5825.4</v>
      </c>
      <c r="BB163" s="63">
        <v>5825.4</v>
      </c>
      <c r="BC163" s="63">
        <v>5825.4</v>
      </c>
      <c r="BD163" s="63">
        <v>5825.4</v>
      </c>
      <c r="BE163" s="63">
        <v>5825.4</v>
      </c>
      <c r="BF163" s="63">
        <v>5825.3517637122432</v>
      </c>
      <c r="BG163" s="149">
        <v>5825.3517637122432</v>
      </c>
      <c r="BH163" s="149">
        <v>5825.3517637122432</v>
      </c>
      <c r="BI163" s="149">
        <v>5825.3517637122432</v>
      </c>
      <c r="BJ163" s="149">
        <v>5825.3517637122432</v>
      </c>
      <c r="BK163" s="149">
        <v>5825.3517637122432</v>
      </c>
      <c r="BL163" s="149">
        <v>5825.3517637122432</v>
      </c>
      <c r="BM163" s="149">
        <v>5825.3517637122432</v>
      </c>
      <c r="BN163" s="149">
        <v>5825.3517637122432</v>
      </c>
      <c r="BO163" s="149">
        <v>5825.3517637122432</v>
      </c>
      <c r="BP163" s="149">
        <v>1941.7839212374145</v>
      </c>
    </row>
    <row r="164" spans="1:68 16122:16122" ht="15" customHeight="1" collapsed="1">
      <c r="A164" s="30"/>
      <c r="B164" s="85" t="str">
        <f>IF('Sumário | Summary'!P1=1,"Escritórios Classe A","Class A Offices")</f>
        <v>Escritórios Classe A</v>
      </c>
      <c r="C164" s="108">
        <f t="shared" ref="C164:BN164" si="113">SUM(C165:C172)</f>
        <v>32278.659999999996</v>
      </c>
      <c r="D164" s="108">
        <f t="shared" si="113"/>
        <v>36128.659999999996</v>
      </c>
      <c r="E164" s="108">
        <f t="shared" si="113"/>
        <v>36128.659999999996</v>
      </c>
      <c r="F164" s="108">
        <f t="shared" si="113"/>
        <v>36128.659999999996</v>
      </c>
      <c r="G164" s="108">
        <f t="shared" si="113"/>
        <v>36128.659999999996</v>
      </c>
      <c r="H164" s="108">
        <f t="shared" si="113"/>
        <v>36128.659999999996</v>
      </c>
      <c r="I164" s="108">
        <f t="shared" si="113"/>
        <v>36128.659999999996</v>
      </c>
      <c r="J164" s="108">
        <f t="shared" si="113"/>
        <v>36128.659999999996</v>
      </c>
      <c r="K164" s="108">
        <f t="shared" si="113"/>
        <v>36128.659999999996</v>
      </c>
      <c r="L164" s="108">
        <f t="shared" si="113"/>
        <v>36128.659999999996</v>
      </c>
      <c r="M164" s="108">
        <f t="shared" si="113"/>
        <v>36128.659999999996</v>
      </c>
      <c r="N164" s="108">
        <f t="shared" si="113"/>
        <v>36128.659999999996</v>
      </c>
      <c r="O164" s="108">
        <f t="shared" si="113"/>
        <v>36128.659999999996</v>
      </c>
      <c r="P164" s="108">
        <f t="shared" si="113"/>
        <v>36128.659999999996</v>
      </c>
      <c r="Q164" s="108">
        <f t="shared" si="113"/>
        <v>36128.659999999996</v>
      </c>
      <c r="R164" s="108">
        <f t="shared" si="113"/>
        <v>36128.659999999996</v>
      </c>
      <c r="S164" s="108">
        <f t="shared" si="113"/>
        <v>36128.659999999996</v>
      </c>
      <c r="T164" s="108">
        <f t="shared" si="113"/>
        <v>36128.659999999996</v>
      </c>
      <c r="U164" s="108">
        <f t="shared" si="113"/>
        <v>36128.659999999996</v>
      </c>
      <c r="V164" s="108">
        <f t="shared" si="113"/>
        <v>36128.659999999996</v>
      </c>
      <c r="W164" s="108">
        <f t="shared" si="113"/>
        <v>36128.659999999996</v>
      </c>
      <c r="X164" s="108">
        <f t="shared" si="113"/>
        <v>36128.71</v>
      </c>
      <c r="Y164" s="108">
        <f t="shared" si="113"/>
        <v>36128.71</v>
      </c>
      <c r="Z164" s="108">
        <f t="shared" si="113"/>
        <v>36128.71</v>
      </c>
      <c r="AA164" s="108">
        <f t="shared" si="113"/>
        <v>36128.71</v>
      </c>
      <c r="AB164" s="108">
        <f t="shared" si="113"/>
        <v>36128.71</v>
      </c>
      <c r="AC164" s="108">
        <f t="shared" si="113"/>
        <v>36128.71</v>
      </c>
      <c r="AD164" s="108">
        <f t="shared" si="113"/>
        <v>36128.659999999996</v>
      </c>
      <c r="AE164" s="108">
        <f t="shared" si="113"/>
        <v>36128.659999999996</v>
      </c>
      <c r="AF164" s="108">
        <f t="shared" si="113"/>
        <v>33285.019999999997</v>
      </c>
      <c r="AG164" s="108">
        <f t="shared" si="113"/>
        <v>33284.599999999991</v>
      </c>
      <c r="AH164" s="108">
        <f t="shared" si="113"/>
        <v>33284.599999999991</v>
      </c>
      <c r="AI164" s="108">
        <f t="shared" si="113"/>
        <v>33285.019999999997</v>
      </c>
      <c r="AJ164" s="108">
        <f t="shared" si="113"/>
        <v>33285.019999999997</v>
      </c>
      <c r="AK164" s="108">
        <f t="shared" si="113"/>
        <v>33284.78</v>
      </c>
      <c r="AL164" s="108">
        <f t="shared" si="113"/>
        <v>33284.78</v>
      </c>
      <c r="AM164" s="108">
        <f t="shared" si="113"/>
        <v>33285.019999999997</v>
      </c>
      <c r="AN164" s="108">
        <f t="shared" si="113"/>
        <v>33285.069999999992</v>
      </c>
      <c r="AO164" s="108">
        <f t="shared" si="113"/>
        <v>23927</v>
      </c>
      <c r="AP164" s="108">
        <f t="shared" si="113"/>
        <v>23927.130592999994</v>
      </c>
      <c r="AQ164" s="108">
        <f t="shared" si="113"/>
        <v>23927.130592999994</v>
      </c>
      <c r="AR164" s="108">
        <f t="shared" si="113"/>
        <v>23927.130592999994</v>
      </c>
      <c r="AS164" s="108">
        <f t="shared" si="113"/>
        <v>23927.130592999994</v>
      </c>
      <c r="AT164" s="108">
        <f t="shared" si="113"/>
        <v>23927.130592999994</v>
      </c>
      <c r="AU164" s="108">
        <f t="shared" si="113"/>
        <v>23927.130592999994</v>
      </c>
      <c r="AV164" s="108">
        <f t="shared" si="113"/>
        <v>35799.600592999996</v>
      </c>
      <c r="AW164" s="108">
        <f t="shared" si="113"/>
        <v>35799.600592999996</v>
      </c>
      <c r="AX164" s="108">
        <f t="shared" si="113"/>
        <v>33853.049841</v>
      </c>
      <c r="AY164" s="108">
        <f t="shared" si="113"/>
        <v>33853.049841</v>
      </c>
      <c r="AZ164" s="108">
        <f t="shared" si="113"/>
        <v>33853.049841</v>
      </c>
      <c r="BA164" s="108">
        <f t="shared" si="113"/>
        <v>33853.049841</v>
      </c>
      <c r="BB164" s="108">
        <f t="shared" si="113"/>
        <v>33853.049841</v>
      </c>
      <c r="BC164" s="108">
        <f t="shared" si="113"/>
        <v>33853.049841</v>
      </c>
      <c r="BD164" s="108">
        <f t="shared" si="113"/>
        <v>33853.049841</v>
      </c>
      <c r="BE164" s="108">
        <f t="shared" si="113"/>
        <v>33853.049841</v>
      </c>
      <c r="BF164" s="108">
        <f t="shared" si="113"/>
        <v>33853.049841</v>
      </c>
      <c r="BG164" s="108">
        <f t="shared" si="113"/>
        <v>33853.049841</v>
      </c>
      <c r="BH164" s="108">
        <f t="shared" si="113"/>
        <v>33853.099840999996</v>
      </c>
      <c r="BI164" s="108">
        <f t="shared" si="113"/>
        <v>33853.099840999996</v>
      </c>
      <c r="BJ164" s="108">
        <f t="shared" si="113"/>
        <v>33853.099840999996</v>
      </c>
      <c r="BK164" s="108">
        <f t="shared" si="113"/>
        <v>33853.099840999996</v>
      </c>
      <c r="BL164" s="108">
        <f t="shared" si="113"/>
        <v>33853.099840999996</v>
      </c>
      <c r="BM164" s="108">
        <f t="shared" si="113"/>
        <v>33853.099840999996</v>
      </c>
      <c r="BN164" s="108">
        <f t="shared" si="113"/>
        <v>31290.154840999996</v>
      </c>
      <c r="BO164" s="108">
        <f t="shared" ref="BO164" si="114">SUM(BO165:BO172)</f>
        <v>31290.154840999996</v>
      </c>
      <c r="BP164" s="108">
        <f>SUM(BP165:BP172)</f>
        <v>31290.154840999996</v>
      </c>
      <c r="WVB164" s="140"/>
    </row>
    <row r="165" spans="1:68 16122:16122" ht="15" hidden="1" customHeight="1" outlineLevel="1">
      <c r="A165" t="s">
        <v>254</v>
      </c>
      <c r="B165" s="38" t="s">
        <v>6</v>
      </c>
      <c r="C165" s="63">
        <v>11987.249999999996</v>
      </c>
      <c r="D165" s="63">
        <v>11987.249999999996</v>
      </c>
      <c r="E165" s="63">
        <v>11987.249999999996</v>
      </c>
      <c r="F165" s="63">
        <v>11987.249999999996</v>
      </c>
      <c r="G165" s="63">
        <v>11987.249999999996</v>
      </c>
      <c r="H165" s="63">
        <v>11987.249999999996</v>
      </c>
      <c r="I165" s="63">
        <v>11987.249999999996</v>
      </c>
      <c r="J165" s="63">
        <v>11987.249999999996</v>
      </c>
      <c r="K165" s="63">
        <v>11987.249999999996</v>
      </c>
      <c r="L165" s="63">
        <v>11987.249999999996</v>
      </c>
      <c r="M165" s="63">
        <v>11987.249999999996</v>
      </c>
      <c r="N165" s="63">
        <v>11987.249999999996</v>
      </c>
      <c r="O165" s="63">
        <v>11987.249999999996</v>
      </c>
      <c r="P165" s="63">
        <v>11987.249999999996</v>
      </c>
      <c r="Q165" s="63">
        <v>11987.249999999996</v>
      </c>
      <c r="R165" s="63">
        <v>11987.249999999996</v>
      </c>
      <c r="S165" s="63">
        <v>11987.249999999996</v>
      </c>
      <c r="T165" s="63">
        <v>11987.249999999996</v>
      </c>
      <c r="U165" s="63">
        <v>11987.249999999996</v>
      </c>
      <c r="V165" s="63">
        <v>11987.249999999996</v>
      </c>
      <c r="W165" s="63">
        <v>11987.249999999996</v>
      </c>
      <c r="X165" s="63">
        <v>11987.249999999996</v>
      </c>
      <c r="Y165" s="63">
        <v>11987.249999999996</v>
      </c>
      <c r="Z165" s="63">
        <v>11987.249999999996</v>
      </c>
      <c r="AA165" s="63">
        <v>11987.249999999996</v>
      </c>
      <c r="AB165" s="63">
        <v>11987.249999999996</v>
      </c>
      <c r="AC165" s="63">
        <v>11987.249999999996</v>
      </c>
      <c r="AD165" s="63">
        <v>11987.249999999996</v>
      </c>
      <c r="AE165" s="63">
        <v>11987.249999999996</v>
      </c>
      <c r="AF165" s="63">
        <v>11987.249999999996</v>
      </c>
      <c r="AG165" s="63">
        <v>11987.249999999996</v>
      </c>
      <c r="AH165" s="63">
        <v>11987.249999999996</v>
      </c>
      <c r="AI165" s="63">
        <v>11987.249999999996</v>
      </c>
      <c r="AJ165" s="63">
        <v>11987.249999999996</v>
      </c>
      <c r="AK165" s="63">
        <v>11987.249999999996</v>
      </c>
      <c r="AL165" s="63">
        <v>11987.249999999996</v>
      </c>
      <c r="AM165" s="63">
        <v>11987.249999999996</v>
      </c>
      <c r="AN165" s="63">
        <v>11987.249999999996</v>
      </c>
      <c r="AO165" s="63">
        <v>7980</v>
      </c>
      <c r="AP165" s="63">
        <v>7979.9123249999975</v>
      </c>
      <c r="AQ165" s="63">
        <v>7979.9123249999975</v>
      </c>
      <c r="AR165" s="63">
        <v>7979.9123249999975</v>
      </c>
      <c r="AS165" s="63">
        <v>7979.9123249999975</v>
      </c>
      <c r="AT165" s="63">
        <v>7979.9123249999975</v>
      </c>
      <c r="AU165" s="63">
        <v>7979.9123249999975</v>
      </c>
      <c r="AV165" s="63">
        <v>7979.9123249999975</v>
      </c>
      <c r="AW165" s="63">
        <v>7979.9123249999975</v>
      </c>
      <c r="AX165" s="149">
        <v>7979.9123249999975</v>
      </c>
      <c r="AY165" s="63">
        <v>7979.9123249999975</v>
      </c>
      <c r="AZ165" s="63">
        <v>7979.9123249999975</v>
      </c>
      <c r="BA165" s="63">
        <v>7979.9123249999975</v>
      </c>
      <c r="BB165" s="63">
        <v>7979.9123249999975</v>
      </c>
      <c r="BC165" s="63">
        <v>7979.9123249999975</v>
      </c>
      <c r="BD165" s="63">
        <v>7979.9123249999975</v>
      </c>
      <c r="BE165" s="63">
        <v>7979.9123249999975</v>
      </c>
      <c r="BF165" s="63">
        <v>7979.9123249999975</v>
      </c>
      <c r="BG165" s="149">
        <v>7979.9123249999975</v>
      </c>
      <c r="BH165" s="149">
        <v>7979.9123249999975</v>
      </c>
      <c r="BI165" s="149">
        <v>7979.9123249999975</v>
      </c>
      <c r="BJ165" s="149">
        <v>7979.9123249999975</v>
      </c>
      <c r="BK165" s="149">
        <v>7979.9123249999975</v>
      </c>
      <c r="BL165" s="149">
        <v>7979.9123249999975</v>
      </c>
      <c r="BM165" s="149">
        <v>7979.9123249999975</v>
      </c>
      <c r="BN165" s="149">
        <v>7979.9123249999975</v>
      </c>
      <c r="BO165" s="149">
        <v>7979.9123249999975</v>
      </c>
      <c r="BP165" s="149">
        <v>7979.9123249999975</v>
      </c>
    </row>
    <row r="166" spans="1:68 16122:16122" ht="15" hidden="1" customHeight="1" outlineLevel="1">
      <c r="A166" t="s">
        <v>255</v>
      </c>
      <c r="B166" s="38" t="s">
        <v>7</v>
      </c>
      <c r="C166" s="63">
        <v>8385.82</v>
      </c>
      <c r="D166" s="63">
        <v>8385.82</v>
      </c>
      <c r="E166" s="63">
        <v>8385.82</v>
      </c>
      <c r="F166" s="63">
        <v>8385.82</v>
      </c>
      <c r="G166" s="63">
        <v>8385.82</v>
      </c>
      <c r="H166" s="63">
        <v>8385.82</v>
      </c>
      <c r="I166" s="63">
        <v>8385.82</v>
      </c>
      <c r="J166" s="63">
        <v>8385.82</v>
      </c>
      <c r="K166" s="63">
        <v>8385.82</v>
      </c>
      <c r="L166" s="63">
        <v>8385.82</v>
      </c>
      <c r="M166" s="63">
        <v>8385.82</v>
      </c>
      <c r="N166" s="63">
        <v>8385.82</v>
      </c>
      <c r="O166" s="63">
        <v>8385.82</v>
      </c>
      <c r="P166" s="63">
        <v>8385.82</v>
      </c>
      <c r="Q166" s="63">
        <v>8385.82</v>
      </c>
      <c r="R166" s="63">
        <v>8385.82</v>
      </c>
      <c r="S166" s="63">
        <v>8385.82</v>
      </c>
      <c r="T166" s="63">
        <v>8385.82</v>
      </c>
      <c r="U166" s="63">
        <v>8385.82</v>
      </c>
      <c r="V166" s="63">
        <v>8385.82</v>
      </c>
      <c r="W166" s="63">
        <v>8385.82</v>
      </c>
      <c r="X166" s="63">
        <v>8385.82</v>
      </c>
      <c r="Y166" s="63">
        <v>8385.82</v>
      </c>
      <c r="Z166" s="63">
        <v>8385.82</v>
      </c>
      <c r="AA166" s="63">
        <v>8385.82</v>
      </c>
      <c r="AB166" s="63">
        <v>8385.82</v>
      </c>
      <c r="AC166" s="63">
        <v>8385.82</v>
      </c>
      <c r="AD166" s="63">
        <v>8385.82</v>
      </c>
      <c r="AE166" s="63">
        <v>8385.82</v>
      </c>
      <c r="AF166" s="63">
        <v>8385.82</v>
      </c>
      <c r="AG166" s="63">
        <v>8385.82</v>
      </c>
      <c r="AH166" s="63">
        <v>8385.82</v>
      </c>
      <c r="AI166" s="63">
        <v>8385.82</v>
      </c>
      <c r="AJ166" s="63">
        <v>8385.82</v>
      </c>
      <c r="AK166" s="63">
        <v>8386</v>
      </c>
      <c r="AL166" s="63">
        <v>8386</v>
      </c>
      <c r="AM166" s="63">
        <v>8385.82</v>
      </c>
      <c r="AN166" s="63">
        <v>8385.82</v>
      </c>
      <c r="AO166" s="63">
        <v>5582</v>
      </c>
      <c r="AP166" s="63">
        <v>5582.4403739999998</v>
      </c>
      <c r="AQ166" s="63">
        <v>5582.4403739999998</v>
      </c>
      <c r="AR166" s="63">
        <v>5582.4403739999998</v>
      </c>
      <c r="AS166" s="63">
        <v>5582.4403739999998</v>
      </c>
      <c r="AT166" s="63">
        <v>5582.4403739999998</v>
      </c>
      <c r="AU166" s="63">
        <v>5582.4403739999998</v>
      </c>
      <c r="AV166" s="63">
        <v>5582.4403739999998</v>
      </c>
      <c r="AW166" s="63">
        <v>5582.4403739999998</v>
      </c>
      <c r="AX166" s="149">
        <v>5582.4403739999998</v>
      </c>
      <c r="AY166" s="63">
        <v>5582.4403739999998</v>
      </c>
      <c r="AZ166" s="63">
        <v>5582.4403739999998</v>
      </c>
      <c r="BA166" s="63">
        <v>5582.4403739999998</v>
      </c>
      <c r="BB166" s="63">
        <v>5582.4403739999998</v>
      </c>
      <c r="BC166" s="63">
        <v>5582.4403739999998</v>
      </c>
      <c r="BD166" s="63">
        <v>5582.4403739999998</v>
      </c>
      <c r="BE166" s="63">
        <v>5582.4403739999998</v>
      </c>
      <c r="BF166" s="63">
        <v>5582.4403739999998</v>
      </c>
      <c r="BG166" s="149">
        <v>5582.4403739999998</v>
      </c>
      <c r="BH166" s="149">
        <v>5582.4403739999998</v>
      </c>
      <c r="BI166" s="149">
        <v>5582.4403739999998</v>
      </c>
      <c r="BJ166" s="149">
        <v>5582.4403739999998</v>
      </c>
      <c r="BK166" s="149">
        <v>5582.4403739999998</v>
      </c>
      <c r="BL166" s="149">
        <v>5582.4403739999998</v>
      </c>
      <c r="BM166" s="149">
        <v>5582.4403739999998</v>
      </c>
      <c r="BN166" s="149">
        <v>5582.4403739999998</v>
      </c>
      <c r="BO166" s="149">
        <v>5582.4403739999998</v>
      </c>
      <c r="BP166" s="149">
        <v>5582.4403739999998</v>
      </c>
    </row>
    <row r="167" spans="1:68 16122:16122" ht="15" hidden="1" customHeight="1" outlineLevel="1">
      <c r="A167" t="s">
        <v>18</v>
      </c>
      <c r="B167" s="38" t="s">
        <v>29</v>
      </c>
      <c r="C167" s="62">
        <v>2923</v>
      </c>
      <c r="D167" s="62">
        <v>2923</v>
      </c>
      <c r="E167" s="62">
        <v>2923</v>
      </c>
      <c r="F167" s="62">
        <v>2923</v>
      </c>
      <c r="G167" s="62">
        <v>2923</v>
      </c>
      <c r="H167" s="62">
        <v>2923</v>
      </c>
      <c r="I167" s="62">
        <v>2923</v>
      </c>
      <c r="J167" s="62">
        <v>2923</v>
      </c>
      <c r="K167" s="62">
        <v>2923</v>
      </c>
      <c r="L167" s="62">
        <v>2923</v>
      </c>
      <c r="M167" s="62">
        <v>2923</v>
      </c>
      <c r="N167" s="62">
        <v>2923</v>
      </c>
      <c r="O167" s="62">
        <v>2923</v>
      </c>
      <c r="P167" s="62">
        <v>2923</v>
      </c>
      <c r="Q167" s="62">
        <v>2923</v>
      </c>
      <c r="R167" s="62">
        <v>2923</v>
      </c>
      <c r="S167" s="62">
        <v>2923</v>
      </c>
      <c r="T167" s="62">
        <v>2923</v>
      </c>
      <c r="U167" s="62">
        <v>2923</v>
      </c>
      <c r="V167" s="62">
        <v>2923</v>
      </c>
      <c r="W167" s="62">
        <v>2923</v>
      </c>
      <c r="X167" s="62">
        <v>2923</v>
      </c>
      <c r="Y167" s="62">
        <v>2923</v>
      </c>
      <c r="Z167" s="62">
        <v>2923</v>
      </c>
      <c r="AA167" s="62">
        <v>2923</v>
      </c>
      <c r="AB167" s="62">
        <v>2923</v>
      </c>
      <c r="AC167" s="62">
        <v>2923</v>
      </c>
      <c r="AD167" s="62">
        <v>2923</v>
      </c>
      <c r="AE167" s="62">
        <v>2923</v>
      </c>
      <c r="AF167" s="62">
        <v>2923.36</v>
      </c>
      <c r="AG167" s="62">
        <v>2923</v>
      </c>
      <c r="AH167" s="62">
        <v>2923</v>
      </c>
      <c r="AI167" s="62">
        <v>2923.36</v>
      </c>
      <c r="AJ167" s="63">
        <v>2923.36</v>
      </c>
      <c r="AK167" s="63">
        <v>2923</v>
      </c>
      <c r="AL167" s="63">
        <v>2923</v>
      </c>
      <c r="AM167" s="63">
        <v>2923.36</v>
      </c>
      <c r="AN167" s="63">
        <v>2923</v>
      </c>
      <c r="AO167" s="63">
        <v>1946</v>
      </c>
      <c r="AP167" s="63">
        <v>1946.0807520000001</v>
      </c>
      <c r="AQ167" s="63">
        <v>1946.0807520000001</v>
      </c>
      <c r="AR167" s="63">
        <v>1946.0807520000001</v>
      </c>
      <c r="AS167" s="63">
        <v>1946.0807520000001</v>
      </c>
      <c r="AT167" s="63">
        <v>1946.0807520000001</v>
      </c>
      <c r="AU167" s="63">
        <v>1946.0807520000001</v>
      </c>
      <c r="AV167" s="63">
        <v>1946.0807520000001</v>
      </c>
      <c r="AW167" s="63">
        <v>1946.0807520000001</v>
      </c>
      <c r="AX167" s="149">
        <v>0</v>
      </c>
      <c r="AY167" s="63">
        <v>0</v>
      </c>
      <c r="AZ167" s="63">
        <v>0</v>
      </c>
      <c r="BA167" s="63">
        <v>0</v>
      </c>
      <c r="BB167" s="63">
        <v>0</v>
      </c>
      <c r="BC167" s="63">
        <v>0</v>
      </c>
      <c r="BD167" s="63">
        <v>0</v>
      </c>
      <c r="BE167" s="63">
        <v>0</v>
      </c>
      <c r="BF167" s="63">
        <v>0</v>
      </c>
      <c r="BG167" s="149">
        <v>0</v>
      </c>
      <c r="BH167" s="149">
        <v>0</v>
      </c>
      <c r="BI167" s="149">
        <v>0</v>
      </c>
      <c r="BJ167" s="149">
        <v>0</v>
      </c>
      <c r="BK167" s="149">
        <v>0</v>
      </c>
      <c r="BL167" s="149">
        <v>0</v>
      </c>
      <c r="BM167" s="149">
        <v>0</v>
      </c>
      <c r="BN167" s="149">
        <v>0</v>
      </c>
      <c r="BO167" s="149">
        <v>0</v>
      </c>
      <c r="BP167" s="149">
        <v>0</v>
      </c>
    </row>
    <row r="168" spans="1:68 16122:16122" ht="15" hidden="1" customHeight="1" outlineLevel="1">
      <c r="A168" t="s">
        <v>257</v>
      </c>
      <c r="B168" s="38" t="s">
        <v>9</v>
      </c>
      <c r="C168" s="63">
        <v>5292.53</v>
      </c>
      <c r="D168" s="63">
        <v>5292.53</v>
      </c>
      <c r="E168" s="63">
        <v>5292.53</v>
      </c>
      <c r="F168" s="63">
        <v>5292.53</v>
      </c>
      <c r="G168" s="63">
        <v>5292.53</v>
      </c>
      <c r="H168" s="63">
        <v>5292.53</v>
      </c>
      <c r="I168" s="63">
        <v>5292.53</v>
      </c>
      <c r="J168" s="63">
        <v>5292.53</v>
      </c>
      <c r="K168" s="63">
        <v>5292.53</v>
      </c>
      <c r="L168" s="63">
        <v>5292.53</v>
      </c>
      <c r="M168" s="63">
        <v>5292.53</v>
      </c>
      <c r="N168" s="63">
        <v>5292.53</v>
      </c>
      <c r="O168" s="63">
        <v>5292.53</v>
      </c>
      <c r="P168" s="63">
        <v>5292.53</v>
      </c>
      <c r="Q168" s="63">
        <v>5292.53</v>
      </c>
      <c r="R168" s="63">
        <v>5292.53</v>
      </c>
      <c r="S168" s="63">
        <v>5292.53</v>
      </c>
      <c r="T168" s="63">
        <v>5292.53</v>
      </c>
      <c r="U168" s="63">
        <v>5292.53</v>
      </c>
      <c r="V168" s="63">
        <v>5292.53</v>
      </c>
      <c r="W168" s="63">
        <v>5292.53</v>
      </c>
      <c r="X168" s="63">
        <v>5292.53</v>
      </c>
      <c r="Y168" s="63">
        <v>5292.53</v>
      </c>
      <c r="Z168" s="63">
        <v>5292.53</v>
      </c>
      <c r="AA168" s="63">
        <v>5292.53</v>
      </c>
      <c r="AB168" s="63">
        <v>5292.53</v>
      </c>
      <c r="AC168" s="63">
        <v>5292.53</v>
      </c>
      <c r="AD168" s="63">
        <v>5292.53</v>
      </c>
      <c r="AE168" s="63">
        <v>5292.53</v>
      </c>
      <c r="AF168" s="63">
        <v>5292.53</v>
      </c>
      <c r="AG168" s="63">
        <v>5292.53</v>
      </c>
      <c r="AH168" s="63">
        <v>5292.53</v>
      </c>
      <c r="AI168" s="63">
        <v>5292.53</v>
      </c>
      <c r="AJ168" s="63">
        <v>5292.53</v>
      </c>
      <c r="AK168" s="63">
        <v>5292.53</v>
      </c>
      <c r="AL168" s="63">
        <v>5292.53</v>
      </c>
      <c r="AM168" s="63">
        <v>5292.53</v>
      </c>
      <c r="AN168" s="63">
        <v>5293</v>
      </c>
      <c r="AO168" s="63">
        <v>5293</v>
      </c>
      <c r="AP168" s="63">
        <v>5292.5300000000007</v>
      </c>
      <c r="AQ168" s="63">
        <v>5292.5300000000007</v>
      </c>
      <c r="AR168" s="63">
        <v>5292.5300000000007</v>
      </c>
      <c r="AS168" s="63">
        <v>5292.5300000000007</v>
      </c>
      <c r="AT168" s="63">
        <v>5292.5300000000007</v>
      </c>
      <c r="AU168" s="63">
        <v>5292.5300000000007</v>
      </c>
      <c r="AV168" s="63">
        <v>5003</v>
      </c>
      <c r="AW168" s="63">
        <v>5003</v>
      </c>
      <c r="AX168" s="149">
        <v>5002.53</v>
      </c>
      <c r="AY168" s="63">
        <v>5002.53</v>
      </c>
      <c r="AZ168" s="63">
        <v>5002.53</v>
      </c>
      <c r="BA168" s="63">
        <v>5002.53</v>
      </c>
      <c r="BB168" s="63">
        <v>5002.53</v>
      </c>
      <c r="BC168" s="63">
        <v>5002.53</v>
      </c>
      <c r="BD168" s="63">
        <v>5002.53</v>
      </c>
      <c r="BE168" s="63">
        <v>5002.53</v>
      </c>
      <c r="BF168" s="63">
        <v>5002.53</v>
      </c>
      <c r="BG168" s="149">
        <v>5002.53</v>
      </c>
      <c r="BH168" s="149">
        <v>5002.53</v>
      </c>
      <c r="BI168" s="149">
        <v>5002.53</v>
      </c>
      <c r="BJ168" s="149">
        <v>5002.53</v>
      </c>
      <c r="BK168" s="149">
        <v>5002.53</v>
      </c>
      <c r="BL168" s="149">
        <v>5002.53</v>
      </c>
      <c r="BM168" s="149">
        <v>5002.53</v>
      </c>
      <c r="BN168" s="149">
        <v>5002.53</v>
      </c>
      <c r="BO168" s="149">
        <v>5002.53</v>
      </c>
      <c r="BP168" s="149">
        <v>5002.53</v>
      </c>
    </row>
    <row r="169" spans="1:68 16122:16122" ht="15" hidden="1" customHeight="1" outlineLevel="1">
      <c r="A169" t="s">
        <v>258</v>
      </c>
      <c r="B169" s="38" t="s">
        <v>10</v>
      </c>
      <c r="C169" s="62">
        <v>846.06</v>
      </c>
      <c r="D169" s="62">
        <v>846.06</v>
      </c>
      <c r="E169" s="62">
        <v>846.06</v>
      </c>
      <c r="F169" s="62">
        <v>846.06</v>
      </c>
      <c r="G169" s="62">
        <v>846.06</v>
      </c>
      <c r="H169" s="62">
        <v>846.06</v>
      </c>
      <c r="I169" s="62">
        <v>846.06</v>
      </c>
      <c r="J169" s="62">
        <v>846.06</v>
      </c>
      <c r="K169" s="62">
        <v>846.06</v>
      </c>
      <c r="L169" s="62">
        <v>846.06</v>
      </c>
      <c r="M169" s="62">
        <v>846.06</v>
      </c>
      <c r="N169" s="62">
        <v>846.06</v>
      </c>
      <c r="O169" s="62">
        <v>846.06</v>
      </c>
      <c r="P169" s="62">
        <v>846.06</v>
      </c>
      <c r="Q169" s="62">
        <v>846.06</v>
      </c>
      <c r="R169" s="62">
        <v>846.06</v>
      </c>
      <c r="S169" s="62">
        <v>846.06</v>
      </c>
      <c r="T169" s="62">
        <v>846.06</v>
      </c>
      <c r="U169" s="62">
        <v>846.06</v>
      </c>
      <c r="V169" s="62">
        <v>846.06</v>
      </c>
      <c r="W169" s="62">
        <v>846.06</v>
      </c>
      <c r="X169" s="62">
        <v>846.06</v>
      </c>
      <c r="Y169" s="62">
        <v>846.06</v>
      </c>
      <c r="Z169" s="62">
        <v>846.06</v>
      </c>
      <c r="AA169" s="62">
        <v>846.06</v>
      </c>
      <c r="AB169" s="62">
        <v>846.06</v>
      </c>
      <c r="AC169" s="62">
        <v>846.06</v>
      </c>
      <c r="AD169" s="62">
        <v>846.06</v>
      </c>
      <c r="AE169" s="62">
        <v>846.06</v>
      </c>
      <c r="AF169" s="62">
        <v>846.06</v>
      </c>
      <c r="AG169" s="62">
        <v>846</v>
      </c>
      <c r="AH169" s="62">
        <v>846</v>
      </c>
      <c r="AI169" s="62">
        <v>846.06</v>
      </c>
      <c r="AJ169" s="63">
        <v>846.06</v>
      </c>
      <c r="AK169" s="63">
        <v>846</v>
      </c>
      <c r="AL169" s="63">
        <v>846</v>
      </c>
      <c r="AM169" s="63">
        <v>846.06</v>
      </c>
      <c r="AN169" s="63">
        <v>846</v>
      </c>
      <c r="AO169" s="63">
        <v>563</v>
      </c>
      <c r="AP169" s="63">
        <v>563.22214199999996</v>
      </c>
      <c r="AQ169" s="63">
        <v>563.22214199999996</v>
      </c>
      <c r="AR169" s="63">
        <v>563.22214199999996</v>
      </c>
      <c r="AS169" s="63">
        <v>563.22214199999996</v>
      </c>
      <c r="AT169" s="63">
        <v>563.22214199999996</v>
      </c>
      <c r="AU169" s="63">
        <v>563.22214199999996</v>
      </c>
      <c r="AV169" s="63">
        <v>563.22214199999996</v>
      </c>
      <c r="AW169" s="63">
        <v>563.22214199999996</v>
      </c>
      <c r="AX169" s="149">
        <v>563.22214199999996</v>
      </c>
      <c r="AY169" s="63">
        <v>563.22214199999996</v>
      </c>
      <c r="AZ169" s="63">
        <v>563.22214199999996</v>
      </c>
      <c r="BA169" s="63">
        <v>563.22214199999996</v>
      </c>
      <c r="BB169" s="63">
        <v>563.22214199999996</v>
      </c>
      <c r="BC169" s="63">
        <v>563.22214199999996</v>
      </c>
      <c r="BD169" s="63">
        <v>563.22214199999996</v>
      </c>
      <c r="BE169" s="63">
        <v>563.22214199999996</v>
      </c>
      <c r="BF169" s="63">
        <v>563.22214199999996</v>
      </c>
      <c r="BG169" s="149">
        <v>563.22214199999996</v>
      </c>
      <c r="BH169" s="149">
        <v>563.22214199999996</v>
      </c>
      <c r="BI169" s="149">
        <v>563.22214199999996</v>
      </c>
      <c r="BJ169" s="149">
        <v>563.22214199999996</v>
      </c>
      <c r="BK169" s="149">
        <v>563.22214199999996</v>
      </c>
      <c r="BL169" s="149">
        <v>563.22214199999996</v>
      </c>
      <c r="BM169" s="149">
        <v>563.22214199999996</v>
      </c>
      <c r="BN169" s="149">
        <v>563.22214199999996</v>
      </c>
      <c r="BO169" s="149">
        <v>563.22214199999996</v>
      </c>
      <c r="BP169" s="149">
        <v>563.22214199999996</v>
      </c>
    </row>
    <row r="170" spans="1:68 16122:16122" ht="15" hidden="1" customHeight="1" outlineLevel="1">
      <c r="A170" t="s">
        <v>259</v>
      </c>
      <c r="B170" s="38" t="s">
        <v>11</v>
      </c>
      <c r="C170" s="62">
        <v>0</v>
      </c>
      <c r="D170" s="62">
        <v>3850</v>
      </c>
      <c r="E170" s="62">
        <v>3850</v>
      </c>
      <c r="F170" s="62">
        <v>3850</v>
      </c>
      <c r="G170" s="62">
        <v>3850</v>
      </c>
      <c r="H170" s="62">
        <v>3850</v>
      </c>
      <c r="I170" s="62">
        <v>3850</v>
      </c>
      <c r="J170" s="62">
        <v>3850</v>
      </c>
      <c r="K170" s="62">
        <v>3850</v>
      </c>
      <c r="L170" s="62">
        <v>3850</v>
      </c>
      <c r="M170" s="62">
        <v>3850</v>
      </c>
      <c r="N170" s="62">
        <v>3850</v>
      </c>
      <c r="O170" s="62">
        <v>3850</v>
      </c>
      <c r="P170" s="62">
        <v>3850</v>
      </c>
      <c r="Q170" s="62">
        <v>3850</v>
      </c>
      <c r="R170" s="62">
        <v>3850</v>
      </c>
      <c r="S170" s="62">
        <v>3850</v>
      </c>
      <c r="T170" s="62">
        <v>3850</v>
      </c>
      <c r="U170" s="62">
        <v>3850</v>
      </c>
      <c r="V170" s="62">
        <v>3850</v>
      </c>
      <c r="W170" s="62">
        <v>3850</v>
      </c>
      <c r="X170" s="62">
        <v>3850</v>
      </c>
      <c r="Y170" s="62">
        <v>3850</v>
      </c>
      <c r="Z170" s="62">
        <v>3850</v>
      </c>
      <c r="AA170" s="62">
        <v>3850</v>
      </c>
      <c r="AB170" s="62">
        <v>3850</v>
      </c>
      <c r="AC170" s="62">
        <v>3850</v>
      </c>
      <c r="AD170" s="62">
        <v>3850</v>
      </c>
      <c r="AE170" s="62">
        <v>3850</v>
      </c>
      <c r="AF170" s="62">
        <v>3850</v>
      </c>
      <c r="AG170" s="62">
        <v>3850</v>
      </c>
      <c r="AH170" s="62">
        <v>3850</v>
      </c>
      <c r="AI170" s="62">
        <v>3850</v>
      </c>
      <c r="AJ170" s="63">
        <v>3850</v>
      </c>
      <c r="AK170" s="63">
        <v>3850</v>
      </c>
      <c r="AL170" s="63">
        <v>3850</v>
      </c>
      <c r="AM170" s="63">
        <v>3850</v>
      </c>
      <c r="AN170" s="63">
        <v>3850</v>
      </c>
      <c r="AO170" s="63">
        <v>2563</v>
      </c>
      <c r="AP170" s="63">
        <v>2562.9449999999997</v>
      </c>
      <c r="AQ170" s="63">
        <v>2562.9449999999997</v>
      </c>
      <c r="AR170" s="63">
        <v>2562.9449999999997</v>
      </c>
      <c r="AS170" s="63">
        <v>2562.9449999999997</v>
      </c>
      <c r="AT170" s="63">
        <v>2562.9449999999997</v>
      </c>
      <c r="AU170" s="63">
        <v>2562.9449999999997</v>
      </c>
      <c r="AV170" s="63">
        <v>2562.9449999999997</v>
      </c>
      <c r="AW170" s="63">
        <v>2562.9449999999997</v>
      </c>
      <c r="AX170" s="149">
        <v>2562.9449999999997</v>
      </c>
      <c r="AY170" s="63">
        <v>2562.9449999999997</v>
      </c>
      <c r="AZ170" s="63">
        <v>2562.9449999999997</v>
      </c>
      <c r="BA170" s="63">
        <v>2562.9449999999997</v>
      </c>
      <c r="BB170" s="63">
        <v>2562.9449999999997</v>
      </c>
      <c r="BC170" s="63">
        <v>2562.9449999999997</v>
      </c>
      <c r="BD170" s="63">
        <v>2562.9449999999997</v>
      </c>
      <c r="BE170" s="63">
        <v>2562.9449999999997</v>
      </c>
      <c r="BF170" s="63">
        <v>2562.9449999999997</v>
      </c>
      <c r="BG170" s="149">
        <v>2562.9449999999997</v>
      </c>
      <c r="BH170" s="149">
        <v>2562.9449999999997</v>
      </c>
      <c r="BI170" s="149">
        <v>2562.9449999999997</v>
      </c>
      <c r="BJ170" s="149">
        <v>2562.9449999999997</v>
      </c>
      <c r="BK170" s="149">
        <v>2562.9449999999997</v>
      </c>
      <c r="BL170" s="149">
        <v>2562.9449999999997</v>
      </c>
      <c r="BM170" s="149">
        <v>2562.9449999999997</v>
      </c>
      <c r="BN170" s="149">
        <v>0</v>
      </c>
      <c r="BO170" s="149">
        <v>0</v>
      </c>
      <c r="BP170" s="149">
        <v>0</v>
      </c>
    </row>
    <row r="171" spans="1:68 16122:16122" ht="15" hidden="1" customHeight="1" outlineLevel="1">
      <c r="A171" t="s">
        <v>18</v>
      </c>
      <c r="B171" s="38" t="s">
        <v>8</v>
      </c>
      <c r="C171" s="62">
        <v>2844</v>
      </c>
      <c r="D171" s="62">
        <v>2844</v>
      </c>
      <c r="E171" s="62">
        <v>2844</v>
      </c>
      <c r="F171" s="62">
        <v>2844</v>
      </c>
      <c r="G171" s="62">
        <v>2844</v>
      </c>
      <c r="H171" s="62">
        <v>2844</v>
      </c>
      <c r="I171" s="62">
        <v>2844</v>
      </c>
      <c r="J171" s="62">
        <v>2844</v>
      </c>
      <c r="K171" s="62">
        <v>2844</v>
      </c>
      <c r="L171" s="62">
        <v>2844</v>
      </c>
      <c r="M171" s="62">
        <v>2844</v>
      </c>
      <c r="N171" s="62">
        <v>2844</v>
      </c>
      <c r="O171" s="62">
        <v>2844</v>
      </c>
      <c r="P171" s="62">
        <v>2844</v>
      </c>
      <c r="Q171" s="62">
        <v>2844</v>
      </c>
      <c r="R171" s="62">
        <v>2844</v>
      </c>
      <c r="S171" s="62">
        <v>2844</v>
      </c>
      <c r="T171" s="62">
        <v>2844</v>
      </c>
      <c r="U171" s="62">
        <v>2844</v>
      </c>
      <c r="V171" s="62">
        <v>2844</v>
      </c>
      <c r="W171" s="62">
        <v>2844</v>
      </c>
      <c r="X171" s="62">
        <v>2844.05</v>
      </c>
      <c r="Y171" s="62">
        <v>2844.05</v>
      </c>
      <c r="Z171" s="62">
        <v>2844.05</v>
      </c>
      <c r="AA171" s="62">
        <v>2844.05</v>
      </c>
      <c r="AB171" s="62">
        <v>2844.05</v>
      </c>
      <c r="AC171" s="62">
        <v>2844.05</v>
      </c>
      <c r="AD171" s="62">
        <v>2844</v>
      </c>
      <c r="AE171" s="62">
        <v>2844</v>
      </c>
      <c r="AF171" s="62">
        <v>0</v>
      </c>
      <c r="AG171" s="62">
        <v>0</v>
      </c>
      <c r="AH171" s="62">
        <v>0</v>
      </c>
      <c r="AI171" s="62">
        <v>0</v>
      </c>
      <c r="AJ171" s="62">
        <v>0</v>
      </c>
      <c r="AK171" s="62">
        <v>0</v>
      </c>
      <c r="AL171" s="62">
        <v>0</v>
      </c>
      <c r="AM171" s="62">
        <v>0</v>
      </c>
      <c r="AN171" s="63">
        <v>0</v>
      </c>
      <c r="AO171" s="63">
        <v>0</v>
      </c>
      <c r="AP171" s="63">
        <v>0</v>
      </c>
      <c r="AQ171" s="63">
        <v>0</v>
      </c>
      <c r="AR171" s="63">
        <v>0</v>
      </c>
      <c r="AS171" s="63">
        <v>0</v>
      </c>
      <c r="AT171" s="63">
        <v>0</v>
      </c>
      <c r="AU171" s="63">
        <v>0</v>
      </c>
      <c r="AV171" s="63">
        <v>0</v>
      </c>
      <c r="AW171" s="63">
        <v>0</v>
      </c>
      <c r="AX171" s="149">
        <v>0</v>
      </c>
      <c r="AY171" s="63">
        <v>0</v>
      </c>
      <c r="AZ171" s="63">
        <v>0</v>
      </c>
      <c r="BA171" s="63">
        <v>0</v>
      </c>
      <c r="BB171" s="63">
        <v>0</v>
      </c>
      <c r="BC171" s="63">
        <v>0</v>
      </c>
      <c r="BD171" s="63">
        <v>0</v>
      </c>
      <c r="BE171" s="63">
        <v>0</v>
      </c>
      <c r="BF171" s="63">
        <v>0</v>
      </c>
      <c r="BG171" s="149">
        <v>0</v>
      </c>
      <c r="BH171" s="149">
        <v>0</v>
      </c>
      <c r="BI171" s="149">
        <v>0</v>
      </c>
      <c r="BJ171" s="149">
        <v>0</v>
      </c>
      <c r="BK171" s="149">
        <v>0</v>
      </c>
      <c r="BL171" s="149">
        <v>0</v>
      </c>
      <c r="BM171" s="149">
        <v>0</v>
      </c>
      <c r="BN171" s="149">
        <v>0</v>
      </c>
      <c r="BO171" s="149">
        <v>0</v>
      </c>
      <c r="BP171" s="149">
        <v>0</v>
      </c>
    </row>
    <row r="172" spans="1:68 16122:16122" ht="15" hidden="1" customHeight="1" outlineLevel="1">
      <c r="A172" t="s">
        <v>260</v>
      </c>
      <c r="B172" s="38" t="s">
        <v>45</v>
      </c>
      <c r="C172" s="62">
        <v>0</v>
      </c>
      <c r="D172" s="62">
        <v>0</v>
      </c>
      <c r="E172" s="62">
        <v>0</v>
      </c>
      <c r="F172" s="62">
        <v>0</v>
      </c>
      <c r="G172" s="62">
        <v>0</v>
      </c>
      <c r="H172" s="62">
        <v>0</v>
      </c>
      <c r="I172" s="62">
        <v>0</v>
      </c>
      <c r="J172" s="62">
        <v>0</v>
      </c>
      <c r="K172" s="62">
        <v>0</v>
      </c>
      <c r="L172" s="62">
        <v>0</v>
      </c>
      <c r="M172" s="62">
        <v>0</v>
      </c>
      <c r="N172" s="62">
        <v>0</v>
      </c>
      <c r="O172" s="62">
        <v>0</v>
      </c>
      <c r="P172" s="62">
        <v>0</v>
      </c>
      <c r="Q172" s="62">
        <v>0</v>
      </c>
      <c r="R172" s="62">
        <v>0</v>
      </c>
      <c r="S172" s="62">
        <v>0</v>
      </c>
      <c r="T172" s="62">
        <v>0</v>
      </c>
      <c r="U172" s="62">
        <v>0</v>
      </c>
      <c r="V172" s="62">
        <v>0</v>
      </c>
      <c r="W172" s="62">
        <v>0</v>
      </c>
      <c r="X172" s="62">
        <v>0</v>
      </c>
      <c r="Y172" s="62">
        <v>0</v>
      </c>
      <c r="Z172" s="62">
        <v>0</v>
      </c>
      <c r="AA172" s="62">
        <v>0</v>
      </c>
      <c r="AB172" s="62">
        <v>0</v>
      </c>
      <c r="AC172" s="62">
        <v>0</v>
      </c>
      <c r="AD172" s="62">
        <v>0</v>
      </c>
      <c r="AE172" s="62">
        <v>0</v>
      </c>
      <c r="AF172" s="62">
        <v>0</v>
      </c>
      <c r="AG172" s="62">
        <v>0</v>
      </c>
      <c r="AH172" s="62">
        <v>0</v>
      </c>
      <c r="AI172" s="62">
        <v>0</v>
      </c>
      <c r="AJ172" s="62">
        <v>0</v>
      </c>
      <c r="AK172" s="62">
        <v>0</v>
      </c>
      <c r="AL172" s="62">
        <v>0</v>
      </c>
      <c r="AM172" s="62">
        <v>0</v>
      </c>
      <c r="AN172" s="62">
        <v>0</v>
      </c>
      <c r="AO172" s="62">
        <v>0</v>
      </c>
      <c r="AP172" s="62">
        <v>0</v>
      </c>
      <c r="AQ172" s="62">
        <v>0</v>
      </c>
      <c r="AR172" s="62">
        <v>0</v>
      </c>
      <c r="AS172" s="62">
        <v>0</v>
      </c>
      <c r="AT172" s="62">
        <v>0</v>
      </c>
      <c r="AU172" s="62">
        <v>0</v>
      </c>
      <c r="AV172" s="63">
        <v>12162</v>
      </c>
      <c r="AW172" s="63">
        <v>12162</v>
      </c>
      <c r="AX172" s="149">
        <v>12162</v>
      </c>
      <c r="AY172" s="63">
        <v>12162</v>
      </c>
      <c r="AZ172" s="63">
        <v>12162</v>
      </c>
      <c r="BA172" s="63">
        <v>12162</v>
      </c>
      <c r="BB172" s="63">
        <v>12162</v>
      </c>
      <c r="BC172" s="63">
        <v>12162</v>
      </c>
      <c r="BD172" s="63">
        <v>12162</v>
      </c>
      <c r="BE172" s="63">
        <v>12162</v>
      </c>
      <c r="BF172" s="63">
        <v>12162</v>
      </c>
      <c r="BG172" s="149">
        <v>12162</v>
      </c>
      <c r="BH172" s="149">
        <v>12162.05</v>
      </c>
      <c r="BI172" s="149">
        <v>12162.05</v>
      </c>
      <c r="BJ172" s="149">
        <v>12162.05</v>
      </c>
      <c r="BK172" s="149">
        <v>12162.05</v>
      </c>
      <c r="BL172" s="149">
        <v>12162.05</v>
      </c>
      <c r="BM172" s="149">
        <v>12162.05</v>
      </c>
      <c r="BN172" s="149">
        <v>12162.05</v>
      </c>
      <c r="BO172" s="149">
        <v>12162.05</v>
      </c>
      <c r="BP172" s="149">
        <v>12162.05</v>
      </c>
    </row>
    <row r="173" spans="1:68 16122:16122" s="15" customFormat="1" ht="15" customHeight="1" collapsed="1">
      <c r="B173" s="82" t="s">
        <v>15</v>
      </c>
      <c r="C173" s="140">
        <f t="shared" ref="C173:BN173" si="115">SUM(C174:C181)</f>
        <v>38642</v>
      </c>
      <c r="D173" s="140">
        <f t="shared" si="115"/>
        <v>38642</v>
      </c>
      <c r="E173" s="140">
        <f t="shared" si="115"/>
        <v>38642</v>
      </c>
      <c r="F173" s="140">
        <f t="shared" si="115"/>
        <v>38642</v>
      </c>
      <c r="G173" s="140">
        <f t="shared" si="115"/>
        <v>38642</v>
      </c>
      <c r="H173" s="140">
        <f t="shared" si="115"/>
        <v>38642</v>
      </c>
      <c r="I173" s="140">
        <f t="shared" si="115"/>
        <v>38164</v>
      </c>
      <c r="J173" s="140">
        <f t="shared" si="115"/>
        <v>41851</v>
      </c>
      <c r="K173" s="140">
        <f t="shared" si="115"/>
        <v>41851</v>
      </c>
      <c r="L173" s="140">
        <f t="shared" si="115"/>
        <v>41851</v>
      </c>
      <c r="M173" s="140">
        <f t="shared" si="115"/>
        <v>42698</v>
      </c>
      <c r="N173" s="140">
        <f t="shared" si="115"/>
        <v>42698</v>
      </c>
      <c r="O173" s="140">
        <f t="shared" si="115"/>
        <v>42698</v>
      </c>
      <c r="P173" s="140">
        <f t="shared" si="115"/>
        <v>42698</v>
      </c>
      <c r="Q173" s="140">
        <f t="shared" si="115"/>
        <v>45781</v>
      </c>
      <c r="R173" s="140">
        <f t="shared" si="115"/>
        <v>45781</v>
      </c>
      <c r="S173" s="140">
        <f t="shared" si="115"/>
        <v>45781</v>
      </c>
      <c r="T173" s="140">
        <f t="shared" si="115"/>
        <v>66517</v>
      </c>
      <c r="U173" s="140">
        <f t="shared" si="115"/>
        <v>66517</v>
      </c>
      <c r="V173" s="140">
        <f t="shared" si="115"/>
        <v>75198</v>
      </c>
      <c r="W173" s="140">
        <f t="shared" si="115"/>
        <v>75198</v>
      </c>
      <c r="X173" s="140">
        <f t="shared" si="115"/>
        <v>73680</v>
      </c>
      <c r="Y173" s="140">
        <f t="shared" si="115"/>
        <v>73680.061155999996</v>
      </c>
      <c r="Z173" s="140">
        <f t="shared" si="115"/>
        <v>117315.061156</v>
      </c>
      <c r="AA173" s="140">
        <f t="shared" si="115"/>
        <v>117315.061156</v>
      </c>
      <c r="AB173" s="140">
        <f t="shared" si="115"/>
        <v>117315.061156</v>
      </c>
      <c r="AC173" s="140">
        <f t="shared" si="115"/>
        <v>118006.34216500001</v>
      </c>
      <c r="AD173" s="140">
        <f t="shared" si="115"/>
        <v>118006</v>
      </c>
      <c r="AE173" s="140">
        <f t="shared" si="115"/>
        <v>118006</v>
      </c>
      <c r="AF173" s="140">
        <f t="shared" si="115"/>
        <v>135839.62227015995</v>
      </c>
      <c r="AG173" s="140">
        <f t="shared" si="115"/>
        <v>135839.62227015995</v>
      </c>
      <c r="AH173" s="140">
        <f t="shared" si="115"/>
        <v>134884.80077015999</v>
      </c>
      <c r="AI173" s="140">
        <f t="shared" si="115"/>
        <v>134857.59803200001</v>
      </c>
      <c r="AJ173" s="140">
        <f t="shared" si="115"/>
        <v>149128.715861</v>
      </c>
      <c r="AK173" s="140">
        <f t="shared" si="115"/>
        <v>149073</v>
      </c>
      <c r="AL173" s="140">
        <f t="shared" si="115"/>
        <v>149070</v>
      </c>
      <c r="AM173" s="140">
        <f t="shared" si="115"/>
        <v>148603.1259675</v>
      </c>
      <c r="AN173" s="140">
        <f t="shared" si="115"/>
        <v>148643</v>
      </c>
      <c r="AO173" s="140">
        <f t="shared" si="115"/>
        <v>148505</v>
      </c>
      <c r="AP173" s="140">
        <f t="shared" si="115"/>
        <v>149328.54668699999</v>
      </c>
      <c r="AQ173" s="140">
        <f t="shared" si="115"/>
        <v>140821.66738699996</v>
      </c>
      <c r="AR173" s="140">
        <f t="shared" si="115"/>
        <v>141533.10520799999</v>
      </c>
      <c r="AS173" s="140">
        <f t="shared" si="115"/>
        <v>141464.08938549997</v>
      </c>
      <c r="AT173" s="140">
        <f t="shared" si="115"/>
        <v>141515.80938549998</v>
      </c>
      <c r="AU173" s="140">
        <f t="shared" si="115"/>
        <v>141165.607304</v>
      </c>
      <c r="AV173" s="140">
        <f t="shared" si="115"/>
        <v>141292.51684733335</v>
      </c>
      <c r="AW173" s="140">
        <f t="shared" si="115"/>
        <v>141564</v>
      </c>
      <c r="AX173" s="140">
        <f t="shared" si="115"/>
        <v>141557</v>
      </c>
      <c r="AY173" s="140">
        <f t="shared" si="115"/>
        <v>141574.514024</v>
      </c>
      <c r="AZ173" s="140">
        <f t="shared" si="115"/>
        <v>141580.88878466666</v>
      </c>
      <c r="BA173" s="140">
        <f t="shared" si="115"/>
        <v>141592.60481633333</v>
      </c>
      <c r="BB173" s="140">
        <f t="shared" si="115"/>
        <v>141667</v>
      </c>
      <c r="BC173" s="140">
        <f t="shared" si="115"/>
        <v>141586.607613</v>
      </c>
      <c r="BD173" s="140">
        <f t="shared" si="115"/>
        <v>141586.607613</v>
      </c>
      <c r="BE173" s="140">
        <f t="shared" si="115"/>
        <v>141453.137613</v>
      </c>
      <c r="BF173" s="140">
        <f t="shared" si="115"/>
        <v>126767.26058133334</v>
      </c>
      <c r="BG173" s="140">
        <f t="shared" si="115"/>
        <v>126805.71719433332</v>
      </c>
      <c r="BH173" s="140">
        <f t="shared" si="115"/>
        <v>126825.55571099999</v>
      </c>
      <c r="BI173" s="140">
        <f t="shared" si="115"/>
        <v>126835.752788</v>
      </c>
      <c r="BJ173" s="140">
        <f t="shared" si="115"/>
        <v>126858.04119166666</v>
      </c>
      <c r="BK173" s="140">
        <f t="shared" si="115"/>
        <v>126954.64776600001</v>
      </c>
      <c r="BL173" s="140">
        <f t="shared" si="115"/>
        <v>127038.572241</v>
      </c>
      <c r="BM173" s="140">
        <f t="shared" si="115"/>
        <v>127163.324609</v>
      </c>
      <c r="BN173" s="140">
        <f t="shared" si="115"/>
        <v>127166.87001300001</v>
      </c>
      <c r="BO173" s="140">
        <f t="shared" ref="BO173" si="116">SUM(BO174:BO181)</f>
        <v>127173.64967700001</v>
      </c>
      <c r="BP173" s="140">
        <f>SUM(BP174:BP181)</f>
        <v>29270.962478000001</v>
      </c>
    </row>
    <row r="174" spans="1:68 16122:16122" ht="15" hidden="1" customHeight="1" outlineLevel="1">
      <c r="A174" t="s">
        <v>261</v>
      </c>
      <c r="B174" s="38" t="s">
        <v>12</v>
      </c>
      <c r="C174" s="62">
        <v>4443</v>
      </c>
      <c r="D174" s="62">
        <v>4443</v>
      </c>
      <c r="E174" s="62">
        <v>4443</v>
      </c>
      <c r="F174" s="62">
        <v>4443</v>
      </c>
      <c r="G174" s="62">
        <v>4443</v>
      </c>
      <c r="H174" s="62">
        <v>4443</v>
      </c>
      <c r="I174" s="62">
        <v>4759</v>
      </c>
      <c r="J174" s="62">
        <v>8446</v>
      </c>
      <c r="K174" s="62">
        <v>8446</v>
      </c>
      <c r="L174" s="62">
        <v>8446</v>
      </c>
      <c r="M174" s="62">
        <v>9293</v>
      </c>
      <c r="N174" s="62">
        <v>9293</v>
      </c>
      <c r="O174" s="62">
        <v>9293</v>
      </c>
      <c r="P174" s="62">
        <v>9293</v>
      </c>
      <c r="Q174" s="62">
        <v>9293</v>
      </c>
      <c r="R174" s="62">
        <v>9293</v>
      </c>
      <c r="S174" s="62">
        <v>9293</v>
      </c>
      <c r="T174" s="62">
        <v>9293</v>
      </c>
      <c r="U174" s="62">
        <v>9293</v>
      </c>
      <c r="V174" s="62">
        <v>9293</v>
      </c>
      <c r="W174" s="62">
        <v>9293</v>
      </c>
      <c r="X174" s="62">
        <v>9293</v>
      </c>
      <c r="Y174" s="62">
        <v>9292.8302999999996</v>
      </c>
      <c r="Z174" s="62">
        <v>9292.8302999999996</v>
      </c>
      <c r="AA174" s="62">
        <v>9292.8302999999996</v>
      </c>
      <c r="AB174" s="62">
        <v>9292.8302999999996</v>
      </c>
      <c r="AC174" s="62">
        <v>9294.7257000000009</v>
      </c>
      <c r="AD174" s="62">
        <v>9295</v>
      </c>
      <c r="AE174" s="62">
        <v>9295</v>
      </c>
      <c r="AF174" s="62">
        <v>9294.7699260000009</v>
      </c>
      <c r="AG174" s="62">
        <v>9294.7699260000009</v>
      </c>
      <c r="AH174" s="62">
        <v>9294.7699260000009</v>
      </c>
      <c r="AI174" s="62">
        <v>9294.7193820000011</v>
      </c>
      <c r="AJ174" s="62">
        <v>9383.1777000000002</v>
      </c>
      <c r="AK174" s="62">
        <v>9383</v>
      </c>
      <c r="AL174" s="62">
        <v>9383</v>
      </c>
      <c r="AM174" s="62">
        <v>8915.2318709999981</v>
      </c>
      <c r="AN174" s="63">
        <v>8915</v>
      </c>
      <c r="AO174" s="63">
        <v>8915</v>
      </c>
      <c r="AP174" s="63">
        <v>8915.2318709999981</v>
      </c>
      <c r="AQ174" s="63">
        <v>8915.231871</v>
      </c>
      <c r="AR174" s="63">
        <v>9174.9616919999989</v>
      </c>
      <c r="AS174" s="63">
        <v>9086.4623069999998</v>
      </c>
      <c r="AT174" s="63">
        <v>9086.4623069999998</v>
      </c>
      <c r="AU174" s="63">
        <v>9086.4623069999998</v>
      </c>
      <c r="AV174" s="63">
        <v>9150</v>
      </c>
      <c r="AW174" s="149">
        <v>9413</v>
      </c>
      <c r="AX174" s="149">
        <v>9413</v>
      </c>
      <c r="AY174" s="63">
        <v>9414.4486410000009</v>
      </c>
      <c r="AZ174" s="63">
        <v>9414.4486410000009</v>
      </c>
      <c r="BA174" s="63">
        <v>9414.1380060000029</v>
      </c>
      <c r="BB174" s="149">
        <v>9414</v>
      </c>
      <c r="BC174" s="63">
        <v>9413.5167360000014</v>
      </c>
      <c r="BD174" s="63">
        <v>9413.5167360000014</v>
      </c>
      <c r="BE174" s="63">
        <v>9413.5167360000014</v>
      </c>
      <c r="BF174" s="63">
        <v>9371.3988420000005</v>
      </c>
      <c r="BG174" s="149">
        <v>9409.8554550000008</v>
      </c>
      <c r="BH174" s="149">
        <v>9409.8554550000008</v>
      </c>
      <c r="BI174" s="149">
        <v>9412.8133320000015</v>
      </c>
      <c r="BJ174" s="149">
        <v>9418.7290859999994</v>
      </c>
      <c r="BK174" s="149">
        <v>9481.9059269999998</v>
      </c>
      <c r="BL174" s="149">
        <v>9481.9059269999998</v>
      </c>
      <c r="BM174" s="149">
        <v>9481.9059269999998</v>
      </c>
      <c r="BN174" s="149">
        <v>9481.9059270000016</v>
      </c>
      <c r="BO174" s="149">
        <v>9481.9059270000016</v>
      </c>
      <c r="BP174" s="149">
        <v>3862.9987110000002</v>
      </c>
    </row>
    <row r="175" spans="1:68 16122:16122" ht="15" hidden="1" customHeight="1" outlineLevel="1">
      <c r="A175" t="s">
        <v>262</v>
      </c>
      <c r="B175" s="38" t="s">
        <v>30</v>
      </c>
      <c r="C175" s="62">
        <v>34199</v>
      </c>
      <c r="D175" s="62">
        <v>34199</v>
      </c>
      <c r="E175" s="62">
        <v>34199</v>
      </c>
      <c r="F175" s="62">
        <v>34199</v>
      </c>
      <c r="G175" s="62">
        <v>34199</v>
      </c>
      <c r="H175" s="62">
        <v>34199</v>
      </c>
      <c r="I175" s="62">
        <v>33405</v>
      </c>
      <c r="J175" s="62">
        <v>33405</v>
      </c>
      <c r="K175" s="62">
        <v>33405</v>
      </c>
      <c r="L175" s="62">
        <v>33405</v>
      </c>
      <c r="M175" s="62">
        <v>33405</v>
      </c>
      <c r="N175" s="62">
        <v>33405</v>
      </c>
      <c r="O175" s="62">
        <v>33405</v>
      </c>
      <c r="P175" s="62">
        <v>33405</v>
      </c>
      <c r="Q175" s="62">
        <v>36488</v>
      </c>
      <c r="R175" s="62">
        <v>36488</v>
      </c>
      <c r="S175" s="62">
        <v>36488</v>
      </c>
      <c r="T175" s="62">
        <v>35811</v>
      </c>
      <c r="U175" s="62">
        <v>35811</v>
      </c>
      <c r="V175" s="62">
        <v>44492</v>
      </c>
      <c r="W175" s="62">
        <v>44492</v>
      </c>
      <c r="X175" s="62">
        <v>42974</v>
      </c>
      <c r="Y175" s="62">
        <v>42974.430855999999</v>
      </c>
      <c r="Z175" s="62">
        <v>42974.430855999999</v>
      </c>
      <c r="AA175" s="62">
        <v>42974.430855999999</v>
      </c>
      <c r="AB175" s="62">
        <v>42974.430855999999</v>
      </c>
      <c r="AC175" s="62">
        <v>42691.316464999996</v>
      </c>
      <c r="AD175" s="62">
        <v>42691</v>
      </c>
      <c r="AE175" s="62">
        <v>42691</v>
      </c>
      <c r="AF175" s="62">
        <v>42772.602844159992</v>
      </c>
      <c r="AG175" s="62">
        <v>42772.602844159992</v>
      </c>
      <c r="AH175" s="62">
        <v>42772.602844159999</v>
      </c>
      <c r="AI175" s="62">
        <v>42774.224150000002</v>
      </c>
      <c r="AJ175" s="62">
        <v>42762.555660999999</v>
      </c>
      <c r="AK175" s="62">
        <v>42753</v>
      </c>
      <c r="AL175" s="62">
        <v>42750</v>
      </c>
      <c r="AM175" s="62">
        <v>42750.104784000003</v>
      </c>
      <c r="AN175" s="63">
        <v>42686</v>
      </c>
      <c r="AO175" s="63">
        <v>42686</v>
      </c>
      <c r="AP175" s="63">
        <v>42681.798440999992</v>
      </c>
      <c r="AQ175" s="63">
        <v>42681.798440999992</v>
      </c>
      <c r="AR175" s="63">
        <v>42681.798440999992</v>
      </c>
      <c r="AS175" s="63">
        <v>42681.798440999992</v>
      </c>
      <c r="AT175" s="63">
        <v>42681.798440999992</v>
      </c>
      <c r="AU175" s="63">
        <v>42701.445547000003</v>
      </c>
      <c r="AV175" s="63">
        <v>42710.679563999998</v>
      </c>
      <c r="AW175" s="149">
        <v>42700</v>
      </c>
      <c r="AX175" s="149">
        <v>42533</v>
      </c>
      <c r="AY175" s="63">
        <v>42533.157583</v>
      </c>
      <c r="AZ175" s="63">
        <v>42533.161676999996</v>
      </c>
      <c r="BA175" s="63">
        <v>42533.161676999996</v>
      </c>
      <c r="BB175" s="149">
        <v>42533</v>
      </c>
      <c r="BC175" s="63">
        <v>42533.161676999989</v>
      </c>
      <c r="BD175" s="63">
        <v>42533.161676999989</v>
      </c>
      <c r="BE175" s="63">
        <v>42533.161676999989</v>
      </c>
      <c r="BF175" s="63">
        <v>42753.433206000002</v>
      </c>
      <c r="BG175" s="149">
        <v>42753.433205999994</v>
      </c>
      <c r="BH175" s="149">
        <v>42753.535555999995</v>
      </c>
      <c r="BI175" s="149">
        <v>42753.74025599999</v>
      </c>
      <c r="BJ175" s="149">
        <v>42753.513038999998</v>
      </c>
      <c r="BK175" s="149">
        <v>42753.513038999998</v>
      </c>
      <c r="BL175" s="149">
        <v>42760.268138999993</v>
      </c>
      <c r="BM175" s="149">
        <v>42885.020506999994</v>
      </c>
      <c r="BN175" s="149">
        <v>42888.565911000005</v>
      </c>
      <c r="BO175" s="149">
        <v>42895.345574999999</v>
      </c>
      <c r="BP175" s="149">
        <v>7169.6657670000004</v>
      </c>
    </row>
    <row r="176" spans="1:68 16122:16122" ht="15" hidden="1" customHeight="1" outlineLevel="1">
      <c r="A176" t="s">
        <v>18</v>
      </c>
      <c r="B176" s="38" t="s">
        <v>31</v>
      </c>
      <c r="C176" s="62">
        <v>0</v>
      </c>
      <c r="D176" s="62">
        <v>0</v>
      </c>
      <c r="E176" s="62">
        <v>0</v>
      </c>
      <c r="F176" s="62">
        <v>0</v>
      </c>
      <c r="G176" s="62">
        <v>0</v>
      </c>
      <c r="H176" s="62">
        <v>0</v>
      </c>
      <c r="I176" s="62">
        <v>0</v>
      </c>
      <c r="J176" s="62">
        <v>0</v>
      </c>
      <c r="K176" s="62">
        <v>0</v>
      </c>
      <c r="L176" s="62">
        <v>0</v>
      </c>
      <c r="M176" s="62">
        <v>0</v>
      </c>
      <c r="N176" s="62">
        <v>0</v>
      </c>
      <c r="O176" s="62">
        <v>0</v>
      </c>
      <c r="P176" s="62">
        <v>0</v>
      </c>
      <c r="Q176" s="62">
        <v>0</v>
      </c>
      <c r="R176" s="62">
        <v>0</v>
      </c>
      <c r="S176" s="62">
        <v>0</v>
      </c>
      <c r="T176" s="62">
        <v>13593</v>
      </c>
      <c r="U176" s="62">
        <v>13593</v>
      </c>
      <c r="V176" s="62">
        <v>13593</v>
      </c>
      <c r="W176" s="62">
        <v>13593</v>
      </c>
      <c r="X176" s="62">
        <v>13593</v>
      </c>
      <c r="Y176" s="62">
        <v>13592.800000000001</v>
      </c>
      <c r="Z176" s="62">
        <v>13592.800000000001</v>
      </c>
      <c r="AA176" s="62">
        <v>13592.800000000001</v>
      </c>
      <c r="AB176" s="62">
        <v>13592.800000000001</v>
      </c>
      <c r="AC176" s="62">
        <v>14119</v>
      </c>
      <c r="AD176" s="62">
        <v>14119</v>
      </c>
      <c r="AE176" s="62">
        <v>14119</v>
      </c>
      <c r="AF176" s="62">
        <v>14118.084000000001</v>
      </c>
      <c r="AG176" s="62">
        <v>14118.084000000001</v>
      </c>
      <c r="AH176" s="62">
        <v>14214.560000000001</v>
      </c>
      <c r="AI176" s="62">
        <v>14214.560000000001</v>
      </c>
      <c r="AJ176" s="62">
        <v>14214.560000000001</v>
      </c>
      <c r="AK176" s="62">
        <v>14215</v>
      </c>
      <c r="AL176" s="62">
        <v>14215</v>
      </c>
      <c r="AM176" s="62">
        <v>14214.560000000001</v>
      </c>
      <c r="AN176" s="63">
        <v>14215</v>
      </c>
      <c r="AO176" s="63">
        <v>14215</v>
      </c>
      <c r="AP176" s="63">
        <v>14214.560000000001</v>
      </c>
      <c r="AQ176" s="63">
        <v>14209.124</v>
      </c>
      <c r="AR176" s="63">
        <v>14660.832000000002</v>
      </c>
      <c r="AS176" s="63">
        <v>14618.664000000002</v>
      </c>
      <c r="AT176" s="63">
        <v>14659.736000000003</v>
      </c>
      <c r="AU176" s="63">
        <v>14778.889333333334</v>
      </c>
      <c r="AV176" s="63">
        <v>14804.504000000004</v>
      </c>
      <c r="AW176" s="149">
        <v>14805</v>
      </c>
      <c r="AX176" s="149">
        <v>14940</v>
      </c>
      <c r="AY176" s="63">
        <v>14956.292000000005</v>
      </c>
      <c r="AZ176" s="63">
        <v>14962.662666666671</v>
      </c>
      <c r="BA176" s="63">
        <v>14974.689333333336</v>
      </c>
      <c r="BB176" s="149">
        <v>14982</v>
      </c>
      <c r="BC176" s="63">
        <v>14985.004000000001</v>
      </c>
      <c r="BD176" s="63">
        <v>14985.004000000001</v>
      </c>
      <c r="BE176" s="63">
        <v>14985.004000000001</v>
      </c>
      <c r="BF176" s="63">
        <v>0</v>
      </c>
      <c r="BG176" s="149">
        <v>0</v>
      </c>
      <c r="BH176" s="149">
        <v>0</v>
      </c>
      <c r="BI176" s="149">
        <v>0</v>
      </c>
      <c r="BJ176" s="149">
        <v>0</v>
      </c>
      <c r="BK176" s="149">
        <v>0</v>
      </c>
      <c r="BL176" s="149">
        <v>0</v>
      </c>
      <c r="BM176" s="149">
        <v>0</v>
      </c>
      <c r="BN176" s="149">
        <v>0</v>
      </c>
      <c r="BO176" s="149">
        <v>0</v>
      </c>
      <c r="BP176" s="149">
        <v>0</v>
      </c>
    </row>
    <row r="177" spans="1:68" ht="15" hidden="1" customHeight="1" outlineLevel="1">
      <c r="A177" t="s">
        <v>263</v>
      </c>
      <c r="B177" s="38" t="s">
        <v>16</v>
      </c>
      <c r="C177" s="62">
        <v>0</v>
      </c>
      <c r="D177" s="62">
        <v>0</v>
      </c>
      <c r="E177" s="62">
        <v>0</v>
      </c>
      <c r="F177" s="62">
        <v>0</v>
      </c>
      <c r="G177" s="62">
        <v>0</v>
      </c>
      <c r="H177" s="62">
        <v>0</v>
      </c>
      <c r="I177" s="62">
        <v>0</v>
      </c>
      <c r="J177" s="62">
        <v>0</v>
      </c>
      <c r="K177" s="62">
        <v>0</v>
      </c>
      <c r="L177" s="62">
        <v>0</v>
      </c>
      <c r="M177" s="62">
        <v>0</v>
      </c>
      <c r="N177" s="62">
        <v>0</v>
      </c>
      <c r="O177" s="62">
        <v>0</v>
      </c>
      <c r="P177" s="62">
        <v>0</v>
      </c>
      <c r="Q177" s="62">
        <v>0</v>
      </c>
      <c r="R177" s="62">
        <v>0</v>
      </c>
      <c r="S177" s="62">
        <v>0</v>
      </c>
      <c r="T177" s="62">
        <v>0</v>
      </c>
      <c r="U177" s="62">
        <v>0</v>
      </c>
      <c r="V177" s="62">
        <v>0</v>
      </c>
      <c r="W177" s="62">
        <v>0</v>
      </c>
      <c r="X177" s="62">
        <v>0</v>
      </c>
      <c r="Y177" s="62">
        <v>0</v>
      </c>
      <c r="Z177" s="62">
        <v>34620</v>
      </c>
      <c r="AA177" s="62">
        <v>34620</v>
      </c>
      <c r="AB177" s="62">
        <v>34620</v>
      </c>
      <c r="AC177" s="62">
        <v>35291.200000000004</v>
      </c>
      <c r="AD177" s="62">
        <v>35291</v>
      </c>
      <c r="AE177" s="62">
        <v>35291</v>
      </c>
      <c r="AF177" s="62">
        <v>35291.567999999992</v>
      </c>
      <c r="AG177" s="62">
        <v>35291.567999999992</v>
      </c>
      <c r="AH177" s="62">
        <v>35291.567999999992</v>
      </c>
      <c r="AI177" s="62">
        <v>35290.912000000004</v>
      </c>
      <c r="AJ177" s="62">
        <v>35324.800000000003</v>
      </c>
      <c r="AK177" s="62">
        <v>35291</v>
      </c>
      <c r="AL177" s="62">
        <v>35291</v>
      </c>
      <c r="AM177" s="62">
        <v>35291.384000000005</v>
      </c>
      <c r="AN177" s="63">
        <v>35308</v>
      </c>
      <c r="AO177" s="63">
        <v>35308</v>
      </c>
      <c r="AP177" s="63">
        <v>35308.352000000006</v>
      </c>
      <c r="AQ177" s="63">
        <v>35297.703999999998</v>
      </c>
      <c r="AR177" s="63">
        <v>35297.703999999998</v>
      </c>
      <c r="AS177" s="63">
        <v>35297.704000000005</v>
      </c>
      <c r="AT177" s="63">
        <v>35308.352000000006</v>
      </c>
      <c r="AU177" s="63">
        <v>35295.386666666673</v>
      </c>
      <c r="AV177" s="63">
        <v>35288.904000000002</v>
      </c>
      <c r="AW177" s="149">
        <v>35290</v>
      </c>
      <c r="AX177" s="149">
        <v>35293</v>
      </c>
      <c r="AY177" s="63">
        <v>35292.944000000003</v>
      </c>
      <c r="AZ177" s="63">
        <v>35292.944000000003</v>
      </c>
      <c r="BA177" s="63">
        <v>35292.944000000003</v>
      </c>
      <c r="BB177" s="149">
        <v>35287</v>
      </c>
      <c r="BC177" s="63">
        <v>35228.008000000002</v>
      </c>
      <c r="BD177" s="63">
        <v>35228.008000000002</v>
      </c>
      <c r="BE177" s="63">
        <v>35228.008000000002</v>
      </c>
      <c r="BF177" s="63">
        <v>35201.229333333329</v>
      </c>
      <c r="BG177" s="149">
        <v>35201.229333333329</v>
      </c>
      <c r="BH177" s="149">
        <v>35228.008000000009</v>
      </c>
      <c r="BI177" s="149">
        <v>35228</v>
      </c>
      <c r="BJ177" s="149">
        <v>35228</v>
      </c>
      <c r="BK177" s="149">
        <v>35228</v>
      </c>
      <c r="BL177" s="149">
        <v>35228</v>
      </c>
      <c r="BM177" s="149">
        <v>35228</v>
      </c>
      <c r="BN177" s="149">
        <v>35228</v>
      </c>
      <c r="BO177" s="149">
        <v>35228</v>
      </c>
      <c r="BP177" s="149">
        <v>4403.5</v>
      </c>
    </row>
    <row r="178" spans="1:68" ht="15" hidden="1" customHeight="1" outlineLevel="1">
      <c r="A178" t="s">
        <v>264</v>
      </c>
      <c r="B178" s="38" t="s">
        <v>17</v>
      </c>
      <c r="C178" s="62">
        <v>0</v>
      </c>
      <c r="D178" s="62">
        <v>0</v>
      </c>
      <c r="E178" s="62">
        <v>0</v>
      </c>
      <c r="F178" s="62">
        <v>0</v>
      </c>
      <c r="G178" s="62">
        <v>0</v>
      </c>
      <c r="H178" s="62">
        <v>0</v>
      </c>
      <c r="I178" s="62">
        <v>0</v>
      </c>
      <c r="J178" s="62">
        <v>0</v>
      </c>
      <c r="K178" s="62">
        <v>0</v>
      </c>
      <c r="L178" s="62">
        <v>0</v>
      </c>
      <c r="M178" s="62">
        <v>0</v>
      </c>
      <c r="N178" s="62">
        <v>0</v>
      </c>
      <c r="O178" s="62">
        <v>0</v>
      </c>
      <c r="P178" s="62">
        <v>0</v>
      </c>
      <c r="Q178" s="62">
        <v>0</v>
      </c>
      <c r="R178" s="62">
        <v>0</v>
      </c>
      <c r="S178" s="62">
        <v>0</v>
      </c>
      <c r="T178" s="62">
        <v>0</v>
      </c>
      <c r="U178" s="62">
        <v>0</v>
      </c>
      <c r="V178" s="62">
        <v>0</v>
      </c>
      <c r="W178" s="62">
        <v>0</v>
      </c>
      <c r="X178" s="62">
        <v>0</v>
      </c>
      <c r="Y178" s="62">
        <v>0</v>
      </c>
      <c r="Z178" s="62">
        <v>9015</v>
      </c>
      <c r="AA178" s="62">
        <v>9015</v>
      </c>
      <c r="AB178" s="62">
        <v>9015</v>
      </c>
      <c r="AC178" s="62">
        <v>9165.25</v>
      </c>
      <c r="AD178" s="62">
        <v>9165</v>
      </c>
      <c r="AE178" s="62">
        <v>9165</v>
      </c>
      <c r="AF178" s="62">
        <v>9178.5474999999988</v>
      </c>
      <c r="AG178" s="62">
        <v>9178.5474999999988</v>
      </c>
      <c r="AH178" s="62">
        <v>9164.25</v>
      </c>
      <c r="AI178" s="62">
        <v>9164.75</v>
      </c>
      <c r="AJ178" s="62">
        <v>9164.25</v>
      </c>
      <c r="AK178" s="62">
        <v>9164</v>
      </c>
      <c r="AL178" s="62">
        <v>9164</v>
      </c>
      <c r="AM178" s="62">
        <v>9164.0949999999957</v>
      </c>
      <c r="AN178" s="63">
        <v>9164</v>
      </c>
      <c r="AO178" s="63">
        <v>9349</v>
      </c>
      <c r="AP178" s="63">
        <v>9348.75</v>
      </c>
      <c r="AQ178" s="63">
        <v>9340.0099999999984</v>
      </c>
      <c r="AR178" s="63">
        <v>9340.0099999999984</v>
      </c>
      <c r="AS178" s="63">
        <v>9340.0099999999966</v>
      </c>
      <c r="AT178" s="63">
        <v>9340.0099999999984</v>
      </c>
      <c r="AU178" s="63">
        <v>9340.0099999999984</v>
      </c>
      <c r="AV178" s="63">
        <v>9340.0099999999984</v>
      </c>
      <c r="AW178" s="149">
        <v>9340</v>
      </c>
      <c r="AX178" s="149">
        <v>9340</v>
      </c>
      <c r="AY178" s="63">
        <v>9340.0099999999966</v>
      </c>
      <c r="AZ178" s="63">
        <v>9340.0099999999984</v>
      </c>
      <c r="BA178" s="63">
        <v>9340.0099999999984</v>
      </c>
      <c r="BB178" s="149">
        <v>9395</v>
      </c>
      <c r="BC178" s="63">
        <v>9362.0049999999992</v>
      </c>
      <c r="BD178" s="63">
        <v>9362.0049999999992</v>
      </c>
      <c r="BE178" s="63">
        <v>9228.5349999999999</v>
      </c>
      <c r="BF178" s="63">
        <v>9228.5349999999999</v>
      </c>
      <c r="BG178" s="149">
        <v>9228.5349999999999</v>
      </c>
      <c r="BH178" s="149">
        <v>9221.4925000000003</v>
      </c>
      <c r="BI178" s="149">
        <v>9228.5349999999999</v>
      </c>
      <c r="BJ178" s="149">
        <v>9228.5349999999999</v>
      </c>
      <c r="BK178" s="149">
        <v>9228.5349999999999</v>
      </c>
      <c r="BL178" s="149">
        <v>9228.5349999999999</v>
      </c>
      <c r="BM178" s="149">
        <v>9228.5349999999999</v>
      </c>
      <c r="BN178" s="149">
        <v>9228.534999999998</v>
      </c>
      <c r="BO178" s="149">
        <v>9228.534999999998</v>
      </c>
      <c r="BP178" s="149">
        <v>3691.4140000000002</v>
      </c>
    </row>
    <row r="179" spans="1:68" ht="15" hidden="1" customHeight="1" outlineLevel="1">
      <c r="A179" t="s">
        <v>265</v>
      </c>
      <c r="B179" s="38" t="s">
        <v>20</v>
      </c>
      <c r="C179" s="63">
        <v>0</v>
      </c>
      <c r="D179" s="63">
        <v>0</v>
      </c>
      <c r="E179" s="63">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3">
        <v>0</v>
      </c>
      <c r="V179" s="63">
        <v>0</v>
      </c>
      <c r="W179" s="63">
        <v>0</v>
      </c>
      <c r="X179" s="63">
        <v>0</v>
      </c>
      <c r="Y179" s="63">
        <v>0</v>
      </c>
      <c r="Z179" s="63">
        <v>0</v>
      </c>
      <c r="AA179" s="63">
        <v>0</v>
      </c>
      <c r="AB179" s="63">
        <v>0</v>
      </c>
      <c r="AC179" s="63">
        <v>0</v>
      </c>
      <c r="AD179" s="63">
        <v>0</v>
      </c>
      <c r="AE179" s="63">
        <v>0</v>
      </c>
      <c r="AF179" s="63">
        <v>17680.659999999993</v>
      </c>
      <c r="AG179" s="63">
        <v>17680.659999999993</v>
      </c>
      <c r="AH179" s="63">
        <v>16643.66</v>
      </c>
      <c r="AI179" s="63">
        <v>16626.469999999998</v>
      </c>
      <c r="AJ179" s="63">
        <v>16626</v>
      </c>
      <c r="AK179" s="63">
        <v>16626</v>
      </c>
      <c r="AL179" s="63">
        <v>16626</v>
      </c>
      <c r="AM179" s="63">
        <v>16626.469999999998</v>
      </c>
      <c r="AN179" s="63">
        <v>16619</v>
      </c>
      <c r="AO179" s="63">
        <v>16619</v>
      </c>
      <c r="AP179" s="63">
        <v>16619.41</v>
      </c>
      <c r="AQ179" s="63">
        <v>15306.4172</v>
      </c>
      <c r="AR179" s="63">
        <v>15306.4172</v>
      </c>
      <c r="AS179" s="63">
        <v>15306.417199999998</v>
      </c>
      <c r="AT179" s="63">
        <v>15306.4172</v>
      </c>
      <c r="AU179" s="63">
        <v>15306.4172</v>
      </c>
      <c r="AV179" s="63">
        <v>15306.4172</v>
      </c>
      <c r="AW179" s="149">
        <v>15306</v>
      </c>
      <c r="AX179" s="149">
        <v>15328</v>
      </c>
      <c r="AY179" s="63">
        <v>15328.156800000001</v>
      </c>
      <c r="AZ179" s="63">
        <v>15328.156800000001</v>
      </c>
      <c r="BA179" s="63">
        <v>15328.156800000001</v>
      </c>
      <c r="BB179" s="149">
        <v>15346</v>
      </c>
      <c r="BC179" s="63">
        <v>15355.4072</v>
      </c>
      <c r="BD179" s="63">
        <v>15355.4072</v>
      </c>
      <c r="BE179" s="63">
        <v>15355.4072</v>
      </c>
      <c r="BF179" s="63">
        <v>15503.1592</v>
      </c>
      <c r="BG179" s="149">
        <v>15503.1592</v>
      </c>
      <c r="BH179" s="149">
        <v>15503.1592</v>
      </c>
      <c r="BI179" s="149">
        <v>15503.1592</v>
      </c>
      <c r="BJ179" s="149">
        <v>15519.759066666667</v>
      </c>
      <c r="BK179" s="149">
        <v>15553.1888</v>
      </c>
      <c r="BL179" s="149">
        <v>15553.1888</v>
      </c>
      <c r="BM179" s="149">
        <v>15553.1888</v>
      </c>
      <c r="BN179" s="149">
        <v>15553.1888</v>
      </c>
      <c r="BO179" s="149">
        <v>15553.1888</v>
      </c>
      <c r="BP179" s="149">
        <v>10143.384000000002</v>
      </c>
    </row>
    <row r="180" spans="1:68" ht="15" hidden="1" customHeight="1" outlineLevel="1">
      <c r="A180" t="s">
        <v>266</v>
      </c>
      <c r="B180" s="38" t="s">
        <v>23</v>
      </c>
      <c r="C180" s="62">
        <v>0</v>
      </c>
      <c r="D180" s="62">
        <v>0</v>
      </c>
      <c r="E180" s="62">
        <v>0</v>
      </c>
      <c r="F180" s="62">
        <v>0</v>
      </c>
      <c r="G180" s="62">
        <v>0</v>
      </c>
      <c r="H180" s="62">
        <v>0</v>
      </c>
      <c r="I180" s="62">
        <v>0</v>
      </c>
      <c r="J180" s="62">
        <v>0</v>
      </c>
      <c r="K180" s="62">
        <v>0</v>
      </c>
      <c r="L180" s="62">
        <v>0</v>
      </c>
      <c r="M180" s="62">
        <v>0</v>
      </c>
      <c r="N180" s="62">
        <v>0</v>
      </c>
      <c r="O180" s="62">
        <v>0</v>
      </c>
      <c r="P180" s="62">
        <v>0</v>
      </c>
      <c r="Q180" s="62">
        <v>0</v>
      </c>
      <c r="R180" s="62">
        <v>0</v>
      </c>
      <c r="S180" s="62">
        <v>0</v>
      </c>
      <c r="T180" s="62">
        <v>0</v>
      </c>
      <c r="U180" s="62">
        <v>0</v>
      </c>
      <c r="V180" s="62">
        <v>0</v>
      </c>
      <c r="W180" s="62">
        <v>0</v>
      </c>
      <c r="X180" s="62">
        <v>0</v>
      </c>
      <c r="Y180" s="62">
        <v>0</v>
      </c>
      <c r="Z180" s="62">
        <v>0</v>
      </c>
      <c r="AA180" s="62">
        <v>0</v>
      </c>
      <c r="AB180" s="62">
        <v>0</v>
      </c>
      <c r="AC180" s="62">
        <v>0</v>
      </c>
      <c r="AD180" s="62">
        <v>0</v>
      </c>
      <c r="AE180" s="62">
        <v>0</v>
      </c>
      <c r="AF180" s="62">
        <v>0</v>
      </c>
      <c r="AG180" s="62">
        <v>0</v>
      </c>
      <c r="AH180" s="62">
        <v>0</v>
      </c>
      <c r="AI180" s="62">
        <v>0</v>
      </c>
      <c r="AJ180" s="149">
        <v>14149.3125</v>
      </c>
      <c r="AK180" s="62">
        <v>14149</v>
      </c>
      <c r="AL180" s="62">
        <v>14149</v>
      </c>
      <c r="AM180" s="62">
        <v>14149.317812500003</v>
      </c>
      <c r="AN180" s="63">
        <v>14244</v>
      </c>
      <c r="AO180" s="63">
        <v>14244</v>
      </c>
      <c r="AP180" s="63">
        <v>15071.381874999999</v>
      </c>
      <c r="AQ180" s="63">
        <v>15071.381874999999</v>
      </c>
      <c r="AR180" s="63">
        <v>15071.381874999999</v>
      </c>
      <c r="AS180" s="63">
        <v>15133.033437500004</v>
      </c>
      <c r="AT180" s="63">
        <v>15133.0334375</v>
      </c>
      <c r="AU180" s="63">
        <v>14656.996250000002</v>
      </c>
      <c r="AV180" s="63">
        <v>14692.002083333335</v>
      </c>
      <c r="AW180" s="149">
        <v>14710</v>
      </c>
      <c r="AX180" s="149">
        <v>14710</v>
      </c>
      <c r="AY180" s="63">
        <v>14709.504999999999</v>
      </c>
      <c r="AZ180" s="63">
        <v>14709.504999999999</v>
      </c>
      <c r="BA180" s="63">
        <v>14709.504999999999</v>
      </c>
      <c r="BB180" s="149">
        <v>14710</v>
      </c>
      <c r="BC180" s="63">
        <v>14709.505000000001</v>
      </c>
      <c r="BD180" s="63">
        <v>14709.504999999999</v>
      </c>
      <c r="BE180" s="63">
        <v>14709.504999999999</v>
      </c>
      <c r="BF180" s="63">
        <v>14709.504999999999</v>
      </c>
      <c r="BG180" s="149">
        <v>14709.504999999999</v>
      </c>
      <c r="BH180" s="149">
        <v>14709.504999999999</v>
      </c>
      <c r="BI180" s="149">
        <v>14709.504999999999</v>
      </c>
      <c r="BJ180" s="149">
        <v>14709.504999999999</v>
      </c>
      <c r="BK180" s="149">
        <v>14709.504999999999</v>
      </c>
      <c r="BL180" s="149">
        <v>14786.674375000001</v>
      </c>
      <c r="BM180" s="149">
        <v>14786.674375000001</v>
      </c>
      <c r="BN180" s="149">
        <v>14786.674375000001</v>
      </c>
      <c r="BO180" s="149">
        <v>14786.674375000001</v>
      </c>
      <c r="BP180" s="149">
        <v>0</v>
      </c>
    </row>
    <row r="181" spans="1:68" ht="15" hidden="1" customHeight="1" outlineLevel="1">
      <c r="A181" t="s">
        <v>18</v>
      </c>
      <c r="B181" s="38" t="s">
        <v>13</v>
      </c>
      <c r="C181" s="62">
        <v>0</v>
      </c>
      <c r="D181" s="62">
        <v>0</v>
      </c>
      <c r="E181" s="62">
        <v>0</v>
      </c>
      <c r="F181" s="62">
        <v>0</v>
      </c>
      <c r="G181" s="62">
        <v>0</v>
      </c>
      <c r="H181" s="62">
        <v>0</v>
      </c>
      <c r="I181" s="62">
        <v>0</v>
      </c>
      <c r="J181" s="62">
        <v>0</v>
      </c>
      <c r="K181" s="62">
        <v>0</v>
      </c>
      <c r="L181" s="62">
        <v>0</v>
      </c>
      <c r="M181" s="62">
        <v>0</v>
      </c>
      <c r="N181" s="62">
        <v>0</v>
      </c>
      <c r="O181" s="62">
        <v>0</v>
      </c>
      <c r="P181" s="62">
        <v>0</v>
      </c>
      <c r="Q181" s="62">
        <v>0</v>
      </c>
      <c r="R181" s="62">
        <v>0</v>
      </c>
      <c r="S181" s="62">
        <v>0</v>
      </c>
      <c r="T181" s="62">
        <v>7820</v>
      </c>
      <c r="U181" s="62">
        <v>7820</v>
      </c>
      <c r="V181" s="62">
        <v>7820</v>
      </c>
      <c r="W181" s="62">
        <v>7820</v>
      </c>
      <c r="X181" s="62">
        <v>7820</v>
      </c>
      <c r="Y181" s="62">
        <v>7820</v>
      </c>
      <c r="Z181" s="62">
        <v>7820</v>
      </c>
      <c r="AA181" s="62">
        <v>7820</v>
      </c>
      <c r="AB181" s="62">
        <v>7820</v>
      </c>
      <c r="AC181" s="62">
        <v>7444.85</v>
      </c>
      <c r="AD181" s="62">
        <v>7445</v>
      </c>
      <c r="AE181" s="62">
        <v>7445</v>
      </c>
      <c r="AF181" s="62">
        <v>7503.3899999999994</v>
      </c>
      <c r="AG181" s="62">
        <v>7503.3899999999994</v>
      </c>
      <c r="AH181" s="62">
        <v>7503.3899999999994</v>
      </c>
      <c r="AI181" s="62">
        <v>7491.9624999999996</v>
      </c>
      <c r="AJ181" s="62">
        <v>7504.0599999999995</v>
      </c>
      <c r="AK181" s="62">
        <v>7492</v>
      </c>
      <c r="AL181" s="62">
        <v>7492</v>
      </c>
      <c r="AM181" s="62">
        <v>7491.9624999999996</v>
      </c>
      <c r="AN181" s="63">
        <v>7492</v>
      </c>
      <c r="AO181" s="63">
        <v>7169</v>
      </c>
      <c r="AP181" s="63">
        <v>7169.0625</v>
      </c>
      <c r="AQ181" s="63">
        <v>0</v>
      </c>
      <c r="AR181" s="63">
        <v>0</v>
      </c>
      <c r="AS181" s="63">
        <v>0</v>
      </c>
      <c r="AT181" s="63">
        <v>0</v>
      </c>
      <c r="AU181" s="63">
        <v>0</v>
      </c>
      <c r="AV181" s="63">
        <v>0</v>
      </c>
      <c r="AW181" s="63">
        <v>0</v>
      </c>
      <c r="AX181" s="63">
        <v>0</v>
      </c>
      <c r="AY181" s="113">
        <v>0</v>
      </c>
      <c r="AZ181" s="113">
        <v>0</v>
      </c>
      <c r="BA181" s="113">
        <v>0</v>
      </c>
      <c r="BB181" s="113">
        <v>0</v>
      </c>
      <c r="BC181" s="113">
        <v>0</v>
      </c>
      <c r="BD181" s="113">
        <v>0</v>
      </c>
      <c r="BE181" s="113">
        <v>0</v>
      </c>
      <c r="BF181" s="113">
        <v>0</v>
      </c>
      <c r="BG181" s="149">
        <v>0</v>
      </c>
      <c r="BH181" s="149">
        <v>0</v>
      </c>
      <c r="BI181" s="149">
        <v>0</v>
      </c>
      <c r="BJ181" s="149">
        <v>0</v>
      </c>
      <c r="BK181" s="149">
        <v>0</v>
      </c>
      <c r="BL181" s="149">
        <v>0</v>
      </c>
      <c r="BM181" s="149">
        <v>0</v>
      </c>
      <c r="BN181" s="149">
        <v>0</v>
      </c>
      <c r="BO181" s="149">
        <v>0</v>
      </c>
      <c r="BP181" s="149">
        <v>0</v>
      </c>
    </row>
    <row r="182" spans="1:68" s="15" customFormat="1" ht="15" customHeight="1" collapsed="1">
      <c r="B182" s="82" t="str">
        <f>IF('Sumário | Summary'!P1=1,"Galpões Logísticos","Distribution Centers")</f>
        <v>Galpões Logísticos</v>
      </c>
      <c r="C182" s="140">
        <f t="shared" ref="C182:BN182" si="117">SUM(C183:C193)</f>
        <v>40350</v>
      </c>
      <c r="D182" s="140">
        <f t="shared" si="117"/>
        <v>40350</v>
      </c>
      <c r="E182" s="140">
        <f t="shared" si="117"/>
        <v>40350</v>
      </c>
      <c r="F182" s="140">
        <f t="shared" si="117"/>
        <v>40350</v>
      </c>
      <c r="G182" s="140">
        <f t="shared" si="117"/>
        <v>40350</v>
      </c>
      <c r="H182" s="140">
        <f t="shared" si="117"/>
        <v>40350</v>
      </c>
      <c r="I182" s="140">
        <f t="shared" si="117"/>
        <v>40350</v>
      </c>
      <c r="J182" s="140">
        <f t="shared" si="117"/>
        <v>40350</v>
      </c>
      <c r="K182" s="140">
        <f t="shared" si="117"/>
        <v>40350</v>
      </c>
      <c r="L182" s="140">
        <f t="shared" si="117"/>
        <v>40350</v>
      </c>
      <c r="M182" s="140">
        <f t="shared" si="117"/>
        <v>40350</v>
      </c>
      <c r="N182" s="140">
        <f t="shared" si="117"/>
        <v>40350</v>
      </c>
      <c r="O182" s="140">
        <f t="shared" si="117"/>
        <v>40350</v>
      </c>
      <c r="P182" s="140">
        <f t="shared" si="117"/>
        <v>40350</v>
      </c>
      <c r="Q182" s="140">
        <f t="shared" si="117"/>
        <v>54249</v>
      </c>
      <c r="R182" s="140">
        <f t="shared" si="117"/>
        <v>44711</v>
      </c>
      <c r="S182" s="140">
        <f t="shared" si="117"/>
        <v>43227</v>
      </c>
      <c r="T182" s="140">
        <f t="shared" si="117"/>
        <v>43227</v>
      </c>
      <c r="U182" s="140">
        <f t="shared" si="117"/>
        <v>43227</v>
      </c>
      <c r="V182" s="140">
        <f t="shared" si="117"/>
        <v>43227</v>
      </c>
      <c r="W182" s="140">
        <f t="shared" si="117"/>
        <v>45126</v>
      </c>
      <c r="X182" s="140">
        <f t="shared" si="117"/>
        <v>55136.439242970155</v>
      </c>
      <c r="Y182" s="140">
        <f t="shared" si="117"/>
        <v>55136.439242970155</v>
      </c>
      <c r="Z182" s="140">
        <f t="shared" si="117"/>
        <v>96553.960992970155</v>
      </c>
      <c r="AA182" s="140">
        <f t="shared" si="117"/>
        <v>96553.724242970158</v>
      </c>
      <c r="AB182" s="140">
        <f t="shared" si="117"/>
        <v>123780.39924297016</v>
      </c>
      <c r="AC182" s="140">
        <f t="shared" si="117"/>
        <v>139705.55924297016</v>
      </c>
      <c r="AD182" s="140">
        <f t="shared" si="117"/>
        <v>139706</v>
      </c>
      <c r="AE182" s="140">
        <f t="shared" si="117"/>
        <v>139706</v>
      </c>
      <c r="AF182" s="140">
        <f t="shared" si="117"/>
        <v>139713.03</v>
      </c>
      <c r="AG182" s="140">
        <f t="shared" si="117"/>
        <v>139713.03</v>
      </c>
      <c r="AH182" s="140">
        <f t="shared" si="117"/>
        <v>139713.03</v>
      </c>
      <c r="AI182" s="140">
        <f t="shared" si="117"/>
        <v>168232.03</v>
      </c>
      <c r="AJ182" s="140">
        <f t="shared" si="117"/>
        <v>212543.07</v>
      </c>
      <c r="AK182" s="140">
        <f t="shared" si="117"/>
        <v>199681</v>
      </c>
      <c r="AL182" s="140">
        <f t="shared" si="117"/>
        <v>199681</v>
      </c>
      <c r="AM182" s="140">
        <f t="shared" si="117"/>
        <v>212758</v>
      </c>
      <c r="AN182" s="140">
        <f t="shared" si="117"/>
        <v>212758</v>
      </c>
      <c r="AO182" s="140">
        <f t="shared" si="117"/>
        <v>12863</v>
      </c>
      <c r="AP182" s="140">
        <f t="shared" si="117"/>
        <v>12863</v>
      </c>
      <c r="AQ182" s="140">
        <f t="shared" si="117"/>
        <v>12863</v>
      </c>
      <c r="AR182" s="140">
        <f t="shared" si="117"/>
        <v>0</v>
      </c>
      <c r="AS182" s="140">
        <f t="shared" si="117"/>
        <v>0</v>
      </c>
      <c r="AT182" s="140">
        <f t="shared" si="117"/>
        <v>0</v>
      </c>
      <c r="AU182" s="140">
        <f t="shared" si="117"/>
        <v>0</v>
      </c>
      <c r="AV182" s="140">
        <f t="shared" si="117"/>
        <v>0</v>
      </c>
      <c r="AW182" s="140">
        <f t="shared" si="117"/>
        <v>0</v>
      </c>
      <c r="AX182" s="140">
        <f t="shared" si="117"/>
        <v>0</v>
      </c>
      <c r="AY182" s="140">
        <f t="shared" si="117"/>
        <v>0</v>
      </c>
      <c r="AZ182" s="140">
        <f t="shared" si="117"/>
        <v>0</v>
      </c>
      <c r="BA182" s="140">
        <f t="shared" si="117"/>
        <v>0</v>
      </c>
      <c r="BB182" s="140">
        <f t="shared" si="117"/>
        <v>0</v>
      </c>
      <c r="BC182" s="140">
        <f t="shared" si="117"/>
        <v>0</v>
      </c>
      <c r="BD182" s="140">
        <f t="shared" si="117"/>
        <v>0</v>
      </c>
      <c r="BE182" s="140">
        <f t="shared" si="117"/>
        <v>0</v>
      </c>
      <c r="BF182" s="140">
        <f t="shared" si="117"/>
        <v>0</v>
      </c>
      <c r="BG182" s="140">
        <f t="shared" si="117"/>
        <v>0</v>
      </c>
      <c r="BH182" s="140">
        <f t="shared" si="117"/>
        <v>0</v>
      </c>
      <c r="BI182" s="140">
        <f t="shared" si="117"/>
        <v>0</v>
      </c>
      <c r="BJ182" s="140">
        <f t="shared" si="117"/>
        <v>0</v>
      </c>
      <c r="BK182" s="140">
        <f t="shared" si="117"/>
        <v>0</v>
      </c>
      <c r="BL182" s="140">
        <f t="shared" si="117"/>
        <v>0</v>
      </c>
      <c r="BM182" s="140">
        <f t="shared" si="117"/>
        <v>0</v>
      </c>
      <c r="BN182" s="140">
        <f t="shared" si="117"/>
        <v>7735.7923500000006</v>
      </c>
      <c r="BO182" s="140">
        <f t="shared" ref="BO182:BP182" si="118">SUM(BO183:BO193)</f>
        <v>7735.7923500000006</v>
      </c>
      <c r="BP182" s="140">
        <f t="shared" ref="BP182" si="119">SUM(BP183:BP193)</f>
        <v>7735.7923500000006</v>
      </c>
    </row>
    <row r="183" spans="1:68" ht="15" hidden="1" customHeight="1" outlineLevel="1">
      <c r="A183" t="s">
        <v>320</v>
      </c>
      <c r="B183" s="38" t="s">
        <v>317</v>
      </c>
      <c r="C183" s="149">
        <v>0</v>
      </c>
      <c r="D183" s="149">
        <v>0</v>
      </c>
      <c r="E183" s="149">
        <v>0</v>
      </c>
      <c r="F183" s="149">
        <v>0</v>
      </c>
      <c r="G183" s="149">
        <v>0</v>
      </c>
      <c r="H183" s="149">
        <v>0</v>
      </c>
      <c r="I183" s="149">
        <v>0</v>
      </c>
      <c r="J183" s="149">
        <v>0</v>
      </c>
      <c r="K183" s="149">
        <v>0</v>
      </c>
      <c r="L183" s="149">
        <v>0</v>
      </c>
      <c r="M183" s="149">
        <v>0</v>
      </c>
      <c r="N183" s="149">
        <v>0</v>
      </c>
      <c r="O183" s="149">
        <v>0</v>
      </c>
      <c r="P183" s="149">
        <v>0</v>
      </c>
      <c r="Q183" s="149">
        <v>0</v>
      </c>
      <c r="R183" s="149">
        <v>0</v>
      </c>
      <c r="S183" s="149">
        <v>0</v>
      </c>
      <c r="T183" s="149">
        <v>0</v>
      </c>
      <c r="U183" s="149">
        <v>0</v>
      </c>
      <c r="V183" s="149">
        <v>0</v>
      </c>
      <c r="W183" s="149">
        <v>0</v>
      </c>
      <c r="X183" s="149">
        <v>0</v>
      </c>
      <c r="Y183" s="149">
        <v>0</v>
      </c>
      <c r="Z183" s="149">
        <v>0</v>
      </c>
      <c r="AA183" s="149">
        <v>0</v>
      </c>
      <c r="AB183" s="149">
        <v>0</v>
      </c>
      <c r="AC183" s="149">
        <v>0</v>
      </c>
      <c r="AD183" s="149">
        <v>0</v>
      </c>
      <c r="AE183" s="149">
        <v>0</v>
      </c>
      <c r="AF183" s="149">
        <v>0</v>
      </c>
      <c r="AG183" s="149">
        <v>0</v>
      </c>
      <c r="AH183" s="149">
        <v>0</v>
      </c>
      <c r="AI183" s="149">
        <v>0</v>
      </c>
      <c r="AJ183" s="149">
        <v>0</v>
      </c>
      <c r="AK183" s="149">
        <v>0</v>
      </c>
      <c r="AL183" s="149">
        <v>0</v>
      </c>
      <c r="AM183" s="149">
        <v>0</v>
      </c>
      <c r="AN183" s="149">
        <v>0</v>
      </c>
      <c r="AO183" s="149">
        <v>0</v>
      </c>
      <c r="AP183" s="149">
        <v>0</v>
      </c>
      <c r="AQ183" s="149">
        <v>0</v>
      </c>
      <c r="AR183" s="149">
        <v>0</v>
      </c>
      <c r="AS183" s="149">
        <v>0</v>
      </c>
      <c r="AT183" s="149">
        <v>0</v>
      </c>
      <c r="AU183" s="149">
        <v>0</v>
      </c>
      <c r="AV183" s="149">
        <v>0</v>
      </c>
      <c r="AW183" s="149">
        <v>0</v>
      </c>
      <c r="AX183" s="149">
        <v>0</v>
      </c>
      <c r="AY183" s="149">
        <v>0</v>
      </c>
      <c r="AZ183" s="149">
        <v>0</v>
      </c>
      <c r="BA183" s="149">
        <v>0</v>
      </c>
      <c r="BB183" s="149">
        <v>0</v>
      </c>
      <c r="BC183" s="149">
        <v>0</v>
      </c>
      <c r="BD183" s="149">
        <v>0</v>
      </c>
      <c r="BE183" s="149">
        <v>0</v>
      </c>
      <c r="BF183" s="149">
        <v>0</v>
      </c>
      <c r="BG183" s="149">
        <v>0</v>
      </c>
      <c r="BH183" s="149">
        <v>0</v>
      </c>
      <c r="BI183" s="149">
        <v>0</v>
      </c>
      <c r="BJ183" s="149">
        <v>0</v>
      </c>
      <c r="BK183" s="149">
        <v>0</v>
      </c>
      <c r="BL183" s="149">
        <v>0</v>
      </c>
      <c r="BM183" s="149">
        <v>0</v>
      </c>
      <c r="BN183" s="149">
        <v>7735.7923500000006</v>
      </c>
      <c r="BO183" s="149">
        <v>7735.7923500000006</v>
      </c>
      <c r="BP183" s="149">
        <v>7735.7923500000006</v>
      </c>
    </row>
    <row r="184" spans="1:68" ht="15" hidden="1" customHeight="1" outlineLevel="1">
      <c r="A184" t="s">
        <v>18</v>
      </c>
      <c r="B184" s="38" t="s">
        <v>32</v>
      </c>
      <c r="C184" s="62">
        <v>40350</v>
      </c>
      <c r="D184" s="62">
        <v>40350</v>
      </c>
      <c r="E184" s="62">
        <v>40350</v>
      </c>
      <c r="F184" s="62">
        <v>40350</v>
      </c>
      <c r="G184" s="62">
        <v>40350</v>
      </c>
      <c r="H184" s="62">
        <v>40350</v>
      </c>
      <c r="I184" s="62">
        <v>40350</v>
      </c>
      <c r="J184" s="62">
        <v>40350</v>
      </c>
      <c r="K184" s="62">
        <v>40350</v>
      </c>
      <c r="L184" s="62">
        <v>40350</v>
      </c>
      <c r="M184" s="62">
        <v>40350</v>
      </c>
      <c r="N184" s="62">
        <v>40350</v>
      </c>
      <c r="O184" s="62">
        <v>40350</v>
      </c>
      <c r="P184" s="62">
        <v>40350</v>
      </c>
      <c r="Q184" s="62">
        <v>40350</v>
      </c>
      <c r="R184" s="62">
        <v>40350</v>
      </c>
      <c r="S184" s="62">
        <v>40350</v>
      </c>
      <c r="T184" s="62">
        <v>40350</v>
      </c>
      <c r="U184" s="62">
        <v>40350</v>
      </c>
      <c r="V184" s="62">
        <v>40350</v>
      </c>
      <c r="W184" s="62">
        <v>40350</v>
      </c>
      <c r="X184" s="62">
        <v>40349.839999999997</v>
      </c>
      <c r="Y184" s="62">
        <v>40349.839999999997</v>
      </c>
      <c r="Z184" s="62">
        <v>40349.839999999997</v>
      </c>
      <c r="AA184" s="62">
        <v>40349.839999999997</v>
      </c>
      <c r="AB184" s="62">
        <v>40349.839999999997</v>
      </c>
      <c r="AC184" s="62">
        <v>40349.839999999997</v>
      </c>
      <c r="AD184" s="62">
        <v>40350</v>
      </c>
      <c r="AE184" s="62">
        <v>40350</v>
      </c>
      <c r="AF184" s="62">
        <v>40349.839999999997</v>
      </c>
      <c r="AG184" s="62">
        <v>40349.839999999997</v>
      </c>
      <c r="AH184" s="62">
        <v>40349.839999999997</v>
      </c>
      <c r="AI184" s="62">
        <v>40349.839999999997</v>
      </c>
      <c r="AJ184" s="62">
        <v>40349.839999999997</v>
      </c>
      <c r="AK184" s="62">
        <v>27487</v>
      </c>
      <c r="AL184" s="62">
        <v>27487</v>
      </c>
      <c r="AM184" s="62">
        <v>27487</v>
      </c>
      <c r="AN184" s="63">
        <v>27487</v>
      </c>
      <c r="AO184" s="63">
        <v>12863</v>
      </c>
      <c r="AP184" s="63">
        <v>12863</v>
      </c>
      <c r="AQ184" s="63">
        <v>12863</v>
      </c>
      <c r="AR184" s="63">
        <v>0</v>
      </c>
      <c r="AS184" s="63">
        <v>0</v>
      </c>
      <c r="AT184" s="63">
        <v>0</v>
      </c>
      <c r="AU184" s="63">
        <v>0</v>
      </c>
      <c r="AV184" s="63">
        <v>0</v>
      </c>
      <c r="AW184" s="63">
        <v>0</v>
      </c>
      <c r="AX184" s="63">
        <v>0</v>
      </c>
      <c r="AY184" s="113">
        <v>0</v>
      </c>
      <c r="AZ184" s="113">
        <v>0</v>
      </c>
      <c r="BA184" s="113">
        <v>0</v>
      </c>
      <c r="BB184" s="113">
        <v>0</v>
      </c>
      <c r="BC184" s="113">
        <v>0</v>
      </c>
      <c r="BD184" s="113">
        <v>0</v>
      </c>
      <c r="BE184" s="113">
        <v>0</v>
      </c>
      <c r="BF184" s="113">
        <v>0</v>
      </c>
      <c r="BG184" s="149">
        <v>0</v>
      </c>
      <c r="BH184" s="149">
        <v>0</v>
      </c>
      <c r="BI184" s="149">
        <v>0</v>
      </c>
      <c r="BJ184" s="149">
        <v>0</v>
      </c>
      <c r="BK184" s="149">
        <v>0</v>
      </c>
      <c r="BL184" s="149">
        <v>0</v>
      </c>
      <c r="BM184" s="149">
        <v>0</v>
      </c>
      <c r="BN184" s="149">
        <v>0</v>
      </c>
      <c r="BO184" s="149">
        <v>0</v>
      </c>
      <c r="BP184" s="149">
        <v>0</v>
      </c>
    </row>
    <row r="185" spans="1:68" ht="15" hidden="1" customHeight="1" outlineLevel="1">
      <c r="A185" t="s">
        <v>18</v>
      </c>
      <c r="B185" s="38" t="s">
        <v>34</v>
      </c>
      <c r="C185" s="62">
        <v>0</v>
      </c>
      <c r="D185" s="62">
        <v>0</v>
      </c>
      <c r="E185" s="62">
        <v>0</v>
      </c>
      <c r="F185" s="62">
        <v>0</v>
      </c>
      <c r="G185" s="62">
        <v>0</v>
      </c>
      <c r="H185" s="62">
        <v>0</v>
      </c>
      <c r="I185" s="62">
        <v>0</v>
      </c>
      <c r="J185" s="62">
        <v>0</v>
      </c>
      <c r="K185" s="62">
        <v>0</v>
      </c>
      <c r="L185" s="62">
        <v>0</v>
      </c>
      <c r="M185" s="62">
        <v>0</v>
      </c>
      <c r="N185" s="62">
        <v>0</v>
      </c>
      <c r="O185" s="62">
        <v>0</v>
      </c>
      <c r="P185" s="62">
        <v>0</v>
      </c>
      <c r="Q185" s="63">
        <v>13899</v>
      </c>
      <c r="R185" s="63">
        <v>4361</v>
      </c>
      <c r="S185" s="62">
        <v>2877</v>
      </c>
      <c r="T185" s="62">
        <v>2877</v>
      </c>
      <c r="U185" s="62">
        <v>2877</v>
      </c>
      <c r="V185" s="62">
        <v>2877</v>
      </c>
      <c r="W185" s="62">
        <v>2877</v>
      </c>
      <c r="X185" s="62">
        <v>2877</v>
      </c>
      <c r="Y185" s="62">
        <v>2877</v>
      </c>
      <c r="Z185" s="62">
        <v>2876.6817499999997</v>
      </c>
      <c r="AA185" s="62">
        <v>2876.6817499999997</v>
      </c>
      <c r="AB185" s="62">
        <v>2876.6817499999997</v>
      </c>
      <c r="AC185" s="62">
        <v>2876.6817499999997</v>
      </c>
      <c r="AD185" s="62">
        <v>2877</v>
      </c>
      <c r="AE185" s="62">
        <v>2877</v>
      </c>
      <c r="AF185" s="62">
        <v>2876.6817499999997</v>
      </c>
      <c r="AG185" s="62">
        <v>2876.6817499999997</v>
      </c>
      <c r="AH185" s="62">
        <v>2876.6817499999997</v>
      </c>
      <c r="AI185" s="62">
        <v>2876.6817499999997</v>
      </c>
      <c r="AJ185" s="62">
        <v>2876.6817499999997</v>
      </c>
      <c r="AK185" s="62">
        <v>2877</v>
      </c>
      <c r="AL185" s="62">
        <v>2877</v>
      </c>
      <c r="AM185" s="62">
        <v>2877</v>
      </c>
      <c r="AN185" s="63">
        <v>2877</v>
      </c>
      <c r="AO185" s="63">
        <v>0</v>
      </c>
      <c r="AP185" s="63">
        <v>0</v>
      </c>
      <c r="AQ185" s="63">
        <v>0</v>
      </c>
      <c r="AR185" s="63">
        <v>0</v>
      </c>
      <c r="AS185" s="63">
        <v>0</v>
      </c>
      <c r="AT185" s="63">
        <v>0</v>
      </c>
      <c r="AU185" s="63">
        <v>0</v>
      </c>
      <c r="AV185" s="63">
        <v>0</v>
      </c>
      <c r="AW185" s="63">
        <v>0</v>
      </c>
      <c r="AX185" s="63">
        <v>0</v>
      </c>
      <c r="AY185" s="113">
        <v>0</v>
      </c>
      <c r="AZ185" s="113">
        <v>0</v>
      </c>
      <c r="BA185" s="113">
        <v>0</v>
      </c>
      <c r="BB185" s="113">
        <v>0</v>
      </c>
      <c r="BC185" s="113">
        <v>0</v>
      </c>
      <c r="BD185" s="113">
        <v>0</v>
      </c>
      <c r="BE185" s="113">
        <v>0</v>
      </c>
      <c r="BF185" s="113">
        <v>0</v>
      </c>
      <c r="BG185" s="149">
        <v>0</v>
      </c>
      <c r="BH185" s="149">
        <v>0</v>
      </c>
      <c r="BI185" s="149">
        <v>0</v>
      </c>
      <c r="BJ185" s="149">
        <v>0</v>
      </c>
      <c r="BK185" s="149">
        <v>0</v>
      </c>
      <c r="BL185" s="149">
        <v>0</v>
      </c>
      <c r="BM185" s="149">
        <v>0</v>
      </c>
      <c r="BN185" s="149">
        <v>0</v>
      </c>
      <c r="BO185" s="149">
        <v>0</v>
      </c>
      <c r="BP185" s="149">
        <v>0</v>
      </c>
    </row>
    <row r="186" spans="1:68" ht="15" hidden="1" customHeight="1" outlineLevel="1">
      <c r="A186" t="s">
        <v>18</v>
      </c>
      <c r="B186" s="38" t="s">
        <v>36</v>
      </c>
      <c r="C186" s="62">
        <v>0</v>
      </c>
      <c r="D186" s="62">
        <v>0</v>
      </c>
      <c r="E186" s="62">
        <v>0</v>
      </c>
      <c r="F186" s="62">
        <v>0</v>
      </c>
      <c r="G186" s="62">
        <v>0</v>
      </c>
      <c r="H186" s="62">
        <v>0</v>
      </c>
      <c r="I186" s="62">
        <v>0</v>
      </c>
      <c r="J186" s="62">
        <v>0</v>
      </c>
      <c r="K186" s="62">
        <v>0</v>
      </c>
      <c r="L186" s="62">
        <v>0</v>
      </c>
      <c r="M186" s="62">
        <v>0</v>
      </c>
      <c r="N186" s="62">
        <v>0</v>
      </c>
      <c r="O186" s="62">
        <v>0</v>
      </c>
      <c r="P186" s="62">
        <v>0</v>
      </c>
      <c r="Q186" s="62">
        <v>0</v>
      </c>
      <c r="R186" s="62">
        <v>0</v>
      </c>
      <c r="S186" s="62">
        <v>0</v>
      </c>
      <c r="T186" s="62">
        <v>0</v>
      </c>
      <c r="U186" s="62">
        <v>0</v>
      </c>
      <c r="V186" s="62">
        <v>0</v>
      </c>
      <c r="W186" s="62">
        <v>1899</v>
      </c>
      <c r="X186" s="62">
        <v>1899.3900000000003</v>
      </c>
      <c r="Y186" s="62">
        <v>1899.3900000000003</v>
      </c>
      <c r="Z186" s="62">
        <v>1899.3900000000003</v>
      </c>
      <c r="AA186" s="62">
        <v>1899.3900000000003</v>
      </c>
      <c r="AB186" s="62">
        <v>1899.3900000000003</v>
      </c>
      <c r="AC186" s="62">
        <v>1899.3900000000003</v>
      </c>
      <c r="AD186" s="62">
        <v>1899</v>
      </c>
      <c r="AE186" s="62">
        <v>1899</v>
      </c>
      <c r="AF186" s="62">
        <v>1899.3900000000003</v>
      </c>
      <c r="AG186" s="62">
        <v>1899.3900000000003</v>
      </c>
      <c r="AH186" s="62">
        <v>1899.3900000000003</v>
      </c>
      <c r="AI186" s="62">
        <v>1899.3900000000003</v>
      </c>
      <c r="AJ186" s="62">
        <v>1899.3900000000003</v>
      </c>
      <c r="AK186" s="62">
        <v>1899</v>
      </c>
      <c r="AL186" s="62">
        <v>1899</v>
      </c>
      <c r="AM186" s="62">
        <v>1899</v>
      </c>
      <c r="AN186" s="63">
        <v>1899</v>
      </c>
      <c r="AO186" s="63">
        <v>0</v>
      </c>
      <c r="AP186" s="63">
        <v>0</v>
      </c>
      <c r="AQ186" s="63">
        <v>0</v>
      </c>
      <c r="AR186" s="63">
        <v>0</v>
      </c>
      <c r="AS186" s="63">
        <v>0</v>
      </c>
      <c r="AT186" s="63">
        <v>0</v>
      </c>
      <c r="AU186" s="63">
        <v>0</v>
      </c>
      <c r="AV186" s="63">
        <v>0</v>
      </c>
      <c r="AW186" s="63">
        <v>0</v>
      </c>
      <c r="AX186" s="63">
        <v>0</v>
      </c>
      <c r="AY186" s="113">
        <v>0</v>
      </c>
      <c r="AZ186" s="113">
        <v>0</v>
      </c>
      <c r="BA186" s="113">
        <v>0</v>
      </c>
      <c r="BB186" s="113">
        <v>0</v>
      </c>
      <c r="BC186" s="113">
        <v>0</v>
      </c>
      <c r="BD186" s="113">
        <v>0</v>
      </c>
      <c r="BE186" s="113">
        <v>0</v>
      </c>
      <c r="BF186" s="113">
        <v>0</v>
      </c>
      <c r="BG186" s="149">
        <v>0</v>
      </c>
      <c r="BH186" s="149">
        <v>0</v>
      </c>
      <c r="BI186" s="149">
        <v>0</v>
      </c>
      <c r="BJ186" s="149">
        <v>0</v>
      </c>
      <c r="BK186" s="149">
        <v>0</v>
      </c>
      <c r="BL186" s="149">
        <v>0</v>
      </c>
      <c r="BM186" s="149">
        <v>0</v>
      </c>
      <c r="BN186" s="149">
        <v>0</v>
      </c>
      <c r="BO186" s="149">
        <v>0</v>
      </c>
      <c r="BP186" s="149">
        <v>0</v>
      </c>
    </row>
    <row r="187" spans="1:68" ht="15" hidden="1" customHeight="1" outlineLevel="1">
      <c r="A187" t="s">
        <v>18</v>
      </c>
      <c r="B187" s="38" t="s">
        <v>37</v>
      </c>
      <c r="C187" s="62">
        <v>0</v>
      </c>
      <c r="D187" s="62">
        <v>0</v>
      </c>
      <c r="E187" s="62">
        <v>0</v>
      </c>
      <c r="F187" s="62">
        <v>0</v>
      </c>
      <c r="G187" s="62">
        <v>0</v>
      </c>
      <c r="H187" s="62">
        <v>0</v>
      </c>
      <c r="I187" s="62">
        <v>0</v>
      </c>
      <c r="J187" s="62">
        <v>0</v>
      </c>
      <c r="K187" s="62">
        <v>0</v>
      </c>
      <c r="L187" s="62">
        <v>0</v>
      </c>
      <c r="M187" s="62">
        <v>0</v>
      </c>
      <c r="N187" s="62">
        <v>0</v>
      </c>
      <c r="O187" s="62">
        <v>0</v>
      </c>
      <c r="P187" s="62">
        <v>0</v>
      </c>
      <c r="Q187" s="62">
        <v>0</v>
      </c>
      <c r="R187" s="62">
        <v>0</v>
      </c>
      <c r="S187" s="62">
        <v>0</v>
      </c>
      <c r="T187" s="62">
        <v>0</v>
      </c>
      <c r="U187" s="62">
        <v>0</v>
      </c>
      <c r="V187" s="62">
        <v>0</v>
      </c>
      <c r="W187" s="62">
        <v>0</v>
      </c>
      <c r="X187" s="62">
        <v>8259.2092429701552</v>
      </c>
      <c r="Y187" s="62">
        <v>8259.2092429701552</v>
      </c>
      <c r="Z187" s="62">
        <v>8259.2092429701552</v>
      </c>
      <c r="AA187" s="62">
        <v>8259.2092429701552</v>
      </c>
      <c r="AB187" s="62">
        <v>8259.2092429701552</v>
      </c>
      <c r="AC187" s="62">
        <v>8259.2092429701552</v>
      </c>
      <c r="AD187" s="62">
        <v>8259</v>
      </c>
      <c r="AE187" s="62">
        <v>8259</v>
      </c>
      <c r="AF187" s="62">
        <v>8266.68</v>
      </c>
      <c r="AG187" s="62">
        <v>8266.68</v>
      </c>
      <c r="AH187" s="62">
        <v>8266.68</v>
      </c>
      <c r="AI187" s="62">
        <v>8266.68</v>
      </c>
      <c r="AJ187" s="62">
        <v>8266.68</v>
      </c>
      <c r="AK187" s="62">
        <v>8267</v>
      </c>
      <c r="AL187" s="62">
        <v>8267</v>
      </c>
      <c r="AM187" s="62">
        <v>8267</v>
      </c>
      <c r="AN187" s="63">
        <v>8267</v>
      </c>
      <c r="AO187" s="63">
        <v>0</v>
      </c>
      <c r="AP187" s="63">
        <v>0</v>
      </c>
      <c r="AQ187" s="63">
        <v>0</v>
      </c>
      <c r="AR187" s="63">
        <v>0</v>
      </c>
      <c r="AS187" s="63">
        <v>0</v>
      </c>
      <c r="AT187" s="63">
        <v>0</v>
      </c>
      <c r="AU187" s="63">
        <v>0</v>
      </c>
      <c r="AV187" s="63">
        <v>0</v>
      </c>
      <c r="AW187" s="63">
        <v>0</v>
      </c>
      <c r="AX187" s="63">
        <v>0</v>
      </c>
      <c r="AY187" s="113">
        <v>0</v>
      </c>
      <c r="AZ187" s="113">
        <v>0</v>
      </c>
      <c r="BA187" s="113">
        <v>0</v>
      </c>
      <c r="BB187" s="113">
        <v>0</v>
      </c>
      <c r="BC187" s="113">
        <v>0</v>
      </c>
      <c r="BD187" s="113">
        <v>0</v>
      </c>
      <c r="BE187" s="113">
        <v>0</v>
      </c>
      <c r="BF187" s="113">
        <v>0</v>
      </c>
      <c r="BG187" s="149">
        <v>0</v>
      </c>
      <c r="BH187" s="149">
        <v>0</v>
      </c>
      <c r="BI187" s="149">
        <v>0</v>
      </c>
      <c r="BJ187" s="149">
        <v>0</v>
      </c>
      <c r="BK187" s="149">
        <v>0</v>
      </c>
      <c r="BL187" s="149">
        <v>0</v>
      </c>
      <c r="BM187" s="149">
        <v>0</v>
      </c>
      <c r="BN187" s="149">
        <v>0</v>
      </c>
      <c r="BO187" s="149">
        <v>0</v>
      </c>
      <c r="BP187" s="149">
        <v>0</v>
      </c>
    </row>
    <row r="188" spans="1:68" ht="15" hidden="1" customHeight="1" outlineLevel="1">
      <c r="A188" t="s">
        <v>18</v>
      </c>
      <c r="B188" s="38" t="s">
        <v>38</v>
      </c>
      <c r="C188" s="62">
        <v>0</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0</v>
      </c>
      <c r="U188" s="62">
        <v>0</v>
      </c>
      <c r="V188" s="62">
        <v>0</v>
      </c>
      <c r="W188" s="62">
        <v>0</v>
      </c>
      <c r="X188" s="62">
        <v>0</v>
      </c>
      <c r="Y188" s="62">
        <v>0</v>
      </c>
      <c r="Z188" s="63">
        <v>41417.840000000004</v>
      </c>
      <c r="AA188" s="63">
        <v>41417.840000000004</v>
      </c>
      <c r="AB188" s="63">
        <v>41417.840000000004</v>
      </c>
      <c r="AC188" s="62">
        <v>57343</v>
      </c>
      <c r="AD188" s="62">
        <v>57343</v>
      </c>
      <c r="AE188" s="62">
        <v>57343</v>
      </c>
      <c r="AF188" s="62">
        <v>57343</v>
      </c>
      <c r="AG188" s="62">
        <v>57343</v>
      </c>
      <c r="AH188" s="62">
        <v>57343</v>
      </c>
      <c r="AI188" s="62">
        <v>57343</v>
      </c>
      <c r="AJ188" s="62">
        <v>57343</v>
      </c>
      <c r="AK188" s="62">
        <v>57343</v>
      </c>
      <c r="AL188" s="62">
        <v>57343</v>
      </c>
      <c r="AM188" s="62">
        <v>57343</v>
      </c>
      <c r="AN188" s="63">
        <v>57343</v>
      </c>
      <c r="AO188" s="63">
        <v>0</v>
      </c>
      <c r="AP188" s="63">
        <v>0</v>
      </c>
      <c r="AQ188" s="63">
        <v>0</v>
      </c>
      <c r="AR188" s="63">
        <v>0</v>
      </c>
      <c r="AS188" s="63">
        <v>0</v>
      </c>
      <c r="AT188" s="63">
        <v>0</v>
      </c>
      <c r="AU188" s="63">
        <v>0</v>
      </c>
      <c r="AV188" s="63">
        <v>0</v>
      </c>
      <c r="AW188" s="63">
        <v>0</v>
      </c>
      <c r="AX188" s="63">
        <v>0</v>
      </c>
      <c r="AY188" s="113">
        <v>0</v>
      </c>
      <c r="AZ188" s="113">
        <v>0</v>
      </c>
      <c r="BA188" s="113">
        <v>0</v>
      </c>
      <c r="BB188" s="113">
        <v>0</v>
      </c>
      <c r="BC188" s="113">
        <v>0</v>
      </c>
      <c r="BD188" s="113">
        <v>0</v>
      </c>
      <c r="BE188" s="113">
        <v>0</v>
      </c>
      <c r="BF188" s="113">
        <v>0</v>
      </c>
      <c r="BG188" s="149">
        <v>0</v>
      </c>
      <c r="BH188" s="149">
        <v>0</v>
      </c>
      <c r="BI188" s="149">
        <v>0</v>
      </c>
      <c r="BJ188" s="149">
        <v>0</v>
      </c>
      <c r="BK188" s="149">
        <v>0</v>
      </c>
      <c r="BL188" s="149">
        <v>0</v>
      </c>
      <c r="BM188" s="149">
        <v>0</v>
      </c>
      <c r="BN188" s="149">
        <v>0</v>
      </c>
      <c r="BO188" s="149">
        <v>0</v>
      </c>
      <c r="BP188" s="149">
        <v>0</v>
      </c>
    </row>
    <row r="189" spans="1:68" ht="15" hidden="1" customHeight="1" outlineLevel="1">
      <c r="A189" t="s">
        <v>18</v>
      </c>
      <c r="B189" s="38" t="s">
        <v>35</v>
      </c>
      <c r="C189" s="62">
        <v>0</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1751</v>
      </c>
      <c r="Y189" s="62">
        <v>1751</v>
      </c>
      <c r="Z189" s="62">
        <v>1751</v>
      </c>
      <c r="AA189" s="62">
        <v>1750.76325</v>
      </c>
      <c r="AB189" s="62">
        <v>1750.76325</v>
      </c>
      <c r="AC189" s="62">
        <v>1750.76325</v>
      </c>
      <c r="AD189" s="62">
        <v>1751</v>
      </c>
      <c r="AE189" s="62">
        <v>1751</v>
      </c>
      <c r="AF189" s="62">
        <v>1750.76325</v>
      </c>
      <c r="AG189" s="62">
        <v>1750.76325</v>
      </c>
      <c r="AH189" s="62">
        <v>1750.76325</v>
      </c>
      <c r="AI189" s="62">
        <v>1750.76325</v>
      </c>
      <c r="AJ189" s="62">
        <v>1750.76325</v>
      </c>
      <c r="AK189" s="62">
        <v>1751</v>
      </c>
      <c r="AL189" s="62">
        <v>1751</v>
      </c>
      <c r="AM189" s="62">
        <v>1751</v>
      </c>
      <c r="AN189" s="63">
        <v>1751</v>
      </c>
      <c r="AO189" s="63">
        <v>0</v>
      </c>
      <c r="AP189" s="63">
        <v>0</v>
      </c>
      <c r="AQ189" s="63">
        <v>0</v>
      </c>
      <c r="AR189" s="63">
        <v>0</v>
      </c>
      <c r="AS189" s="63">
        <v>0</v>
      </c>
      <c r="AT189" s="63">
        <v>0</v>
      </c>
      <c r="AU189" s="63">
        <v>0</v>
      </c>
      <c r="AV189" s="63">
        <v>0</v>
      </c>
      <c r="AW189" s="63">
        <v>0</v>
      </c>
      <c r="AX189" s="63">
        <v>0</v>
      </c>
      <c r="AY189" s="113">
        <v>0</v>
      </c>
      <c r="AZ189" s="113">
        <v>0</v>
      </c>
      <c r="BA189" s="113">
        <v>0</v>
      </c>
      <c r="BB189" s="113">
        <v>0</v>
      </c>
      <c r="BC189" s="113">
        <v>0</v>
      </c>
      <c r="BD189" s="113">
        <v>0</v>
      </c>
      <c r="BE189" s="113">
        <v>0</v>
      </c>
      <c r="BF189" s="113">
        <v>0</v>
      </c>
      <c r="BG189" s="149">
        <v>0</v>
      </c>
      <c r="BH189" s="149">
        <v>0</v>
      </c>
      <c r="BI189" s="149">
        <v>0</v>
      </c>
      <c r="BJ189" s="149">
        <v>0</v>
      </c>
      <c r="BK189" s="149">
        <v>0</v>
      </c>
      <c r="BL189" s="149">
        <v>0</v>
      </c>
      <c r="BM189" s="149">
        <v>0</v>
      </c>
      <c r="BN189" s="149">
        <v>0</v>
      </c>
      <c r="BO189" s="149">
        <v>0</v>
      </c>
      <c r="BP189" s="149">
        <v>0</v>
      </c>
    </row>
    <row r="190" spans="1:68" ht="15" hidden="1" customHeight="1" outlineLevel="1">
      <c r="A190" t="s">
        <v>18</v>
      </c>
      <c r="B190" s="38" t="s">
        <v>39</v>
      </c>
      <c r="C190" s="62">
        <v>0</v>
      </c>
      <c r="D190" s="62">
        <v>0</v>
      </c>
      <c r="E190" s="62">
        <v>0</v>
      </c>
      <c r="F190" s="62">
        <v>0</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27226.675000000003</v>
      </c>
      <c r="AC190" s="62">
        <v>27226.675000000003</v>
      </c>
      <c r="AD190" s="62">
        <v>27227</v>
      </c>
      <c r="AE190" s="62">
        <v>27227</v>
      </c>
      <c r="AF190" s="62">
        <v>27226.675000000003</v>
      </c>
      <c r="AG190" s="62">
        <v>27226.675000000003</v>
      </c>
      <c r="AH190" s="62">
        <v>27226.675000000003</v>
      </c>
      <c r="AI190" s="62">
        <v>27226.675000000003</v>
      </c>
      <c r="AJ190" s="62">
        <v>27226.675000000003</v>
      </c>
      <c r="AK190" s="62">
        <v>27227</v>
      </c>
      <c r="AL190" s="62">
        <v>27227</v>
      </c>
      <c r="AM190" s="62">
        <v>27227</v>
      </c>
      <c r="AN190" s="63">
        <v>27227</v>
      </c>
      <c r="AO190" s="63">
        <v>0</v>
      </c>
      <c r="AP190" s="63">
        <v>0</v>
      </c>
      <c r="AQ190" s="63">
        <v>0</v>
      </c>
      <c r="AR190" s="63">
        <v>0</v>
      </c>
      <c r="AS190" s="63">
        <v>0</v>
      </c>
      <c r="AT190" s="63">
        <v>0</v>
      </c>
      <c r="AU190" s="63">
        <v>0</v>
      </c>
      <c r="AV190" s="63">
        <v>0</v>
      </c>
      <c r="AW190" s="63">
        <v>0</v>
      </c>
      <c r="AX190" s="63">
        <v>0</v>
      </c>
      <c r="AY190" s="113">
        <v>0</v>
      </c>
      <c r="AZ190" s="113">
        <v>0</v>
      </c>
      <c r="BA190" s="113">
        <v>0</v>
      </c>
      <c r="BB190" s="113">
        <v>0</v>
      </c>
      <c r="BC190" s="113">
        <v>0</v>
      </c>
      <c r="BD190" s="113">
        <v>0</v>
      </c>
      <c r="BE190" s="113">
        <v>0</v>
      </c>
      <c r="BF190" s="113">
        <v>0</v>
      </c>
      <c r="BG190" s="149">
        <v>0</v>
      </c>
      <c r="BH190" s="149">
        <v>0</v>
      </c>
      <c r="BI190" s="149">
        <v>0</v>
      </c>
      <c r="BJ190" s="149">
        <v>0</v>
      </c>
      <c r="BK190" s="149">
        <v>0</v>
      </c>
      <c r="BL190" s="149">
        <v>0</v>
      </c>
      <c r="BM190" s="149">
        <v>0</v>
      </c>
      <c r="BN190" s="149">
        <v>0</v>
      </c>
      <c r="BO190" s="149">
        <v>0</v>
      </c>
      <c r="BP190" s="149">
        <v>0</v>
      </c>
    </row>
    <row r="191" spans="1:68" ht="15" hidden="1" customHeight="1" outlineLevel="1">
      <c r="A191" t="s">
        <v>18</v>
      </c>
      <c r="B191" s="38" t="s">
        <v>21</v>
      </c>
      <c r="C191" s="62">
        <v>0</v>
      </c>
      <c r="D191" s="62">
        <v>0</v>
      </c>
      <c r="E191" s="62">
        <v>0</v>
      </c>
      <c r="F191" s="62">
        <v>0</v>
      </c>
      <c r="G191" s="62">
        <v>0</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3">
        <v>28519</v>
      </c>
      <c r="AJ191" s="63">
        <v>28519</v>
      </c>
      <c r="AK191" s="63">
        <v>28519</v>
      </c>
      <c r="AL191" s="63">
        <v>28519</v>
      </c>
      <c r="AM191" s="63">
        <v>28519</v>
      </c>
      <c r="AN191" s="63">
        <v>28519</v>
      </c>
      <c r="AO191" s="63">
        <v>0</v>
      </c>
      <c r="AP191" s="63">
        <v>0</v>
      </c>
      <c r="AQ191" s="63">
        <v>0</v>
      </c>
      <c r="AR191" s="63">
        <v>0</v>
      </c>
      <c r="AS191" s="63">
        <v>0</v>
      </c>
      <c r="AT191" s="63">
        <v>0</v>
      </c>
      <c r="AU191" s="63">
        <v>0</v>
      </c>
      <c r="AV191" s="63">
        <v>0</v>
      </c>
      <c r="AW191" s="63">
        <v>0</v>
      </c>
      <c r="AX191" s="63">
        <v>0</v>
      </c>
      <c r="AY191" s="113">
        <v>0</v>
      </c>
      <c r="AZ191" s="113">
        <v>0</v>
      </c>
      <c r="BA191" s="113">
        <v>0</v>
      </c>
      <c r="BB191" s="113">
        <v>0</v>
      </c>
      <c r="BC191" s="113">
        <v>0</v>
      </c>
      <c r="BD191" s="113">
        <v>0</v>
      </c>
      <c r="BE191" s="113">
        <v>0</v>
      </c>
      <c r="BF191" s="113">
        <v>0</v>
      </c>
      <c r="BG191" s="149">
        <v>0</v>
      </c>
      <c r="BH191" s="149">
        <v>0</v>
      </c>
      <c r="BI191" s="149">
        <v>0</v>
      </c>
      <c r="BJ191" s="149">
        <v>0</v>
      </c>
      <c r="BK191" s="149">
        <v>0</v>
      </c>
      <c r="BL191" s="149">
        <v>0</v>
      </c>
      <c r="BM191" s="149">
        <v>0</v>
      </c>
      <c r="BN191" s="149">
        <v>0</v>
      </c>
      <c r="BO191" s="149">
        <v>0</v>
      </c>
      <c r="BP191" s="149">
        <v>0</v>
      </c>
    </row>
    <row r="192" spans="1:68" ht="15" hidden="1" customHeight="1" outlineLevel="1">
      <c r="A192" t="s">
        <v>18</v>
      </c>
      <c r="B192" s="38" t="s">
        <v>22</v>
      </c>
      <c r="C192" s="62">
        <v>0</v>
      </c>
      <c r="D192" s="62">
        <v>0</v>
      </c>
      <c r="E192" s="62">
        <v>0</v>
      </c>
      <c r="F192" s="62">
        <v>0</v>
      </c>
      <c r="G192" s="62">
        <v>0</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v>20438</v>
      </c>
      <c r="AK192" s="63">
        <v>20438</v>
      </c>
      <c r="AL192" s="63">
        <v>20438</v>
      </c>
      <c r="AM192" s="63">
        <v>20438</v>
      </c>
      <c r="AN192" s="63">
        <v>20438</v>
      </c>
      <c r="AO192" s="63">
        <v>0</v>
      </c>
      <c r="AP192" s="63">
        <v>0</v>
      </c>
      <c r="AQ192" s="63">
        <v>0</v>
      </c>
      <c r="AR192" s="63">
        <v>0</v>
      </c>
      <c r="AS192" s="63">
        <v>0</v>
      </c>
      <c r="AT192" s="63">
        <v>0</v>
      </c>
      <c r="AU192" s="63">
        <v>0</v>
      </c>
      <c r="AV192" s="63">
        <v>0</v>
      </c>
      <c r="AW192" s="63">
        <v>0</v>
      </c>
      <c r="AX192" s="63">
        <v>0</v>
      </c>
      <c r="AY192" s="113">
        <v>0</v>
      </c>
      <c r="AZ192" s="113">
        <v>0</v>
      </c>
      <c r="BA192" s="113">
        <v>0</v>
      </c>
      <c r="BB192" s="113">
        <v>0</v>
      </c>
      <c r="BC192" s="113">
        <v>0</v>
      </c>
      <c r="BD192" s="113">
        <v>0</v>
      </c>
      <c r="BE192" s="113">
        <v>0</v>
      </c>
      <c r="BF192" s="113">
        <v>0</v>
      </c>
      <c r="BG192" s="149">
        <v>0</v>
      </c>
      <c r="BH192" s="149">
        <v>0</v>
      </c>
      <c r="BI192" s="149">
        <v>0</v>
      </c>
      <c r="BJ192" s="149">
        <v>0</v>
      </c>
      <c r="BK192" s="149">
        <v>0</v>
      </c>
      <c r="BL192" s="149">
        <v>0</v>
      </c>
      <c r="BM192" s="149">
        <v>0</v>
      </c>
      <c r="BN192" s="149">
        <v>0</v>
      </c>
      <c r="BO192" s="149">
        <v>0</v>
      </c>
      <c r="BP192" s="149">
        <v>0</v>
      </c>
    </row>
    <row r="193" spans="1:68" ht="15" hidden="1" customHeight="1" outlineLevel="1">
      <c r="A193" t="s">
        <v>18</v>
      </c>
      <c r="B193" s="38" t="s">
        <v>24</v>
      </c>
      <c r="C193" s="62">
        <v>0</v>
      </c>
      <c r="D193" s="62">
        <v>0</v>
      </c>
      <c r="E193" s="62">
        <v>0</v>
      </c>
      <c r="F193" s="62">
        <v>0</v>
      </c>
      <c r="G193" s="62">
        <v>0</v>
      </c>
      <c r="H193" s="62">
        <v>0</v>
      </c>
      <c r="I193" s="62">
        <v>0</v>
      </c>
      <c r="J193" s="62">
        <v>0</v>
      </c>
      <c r="K193" s="62">
        <v>0</v>
      </c>
      <c r="L193" s="62">
        <v>0</v>
      </c>
      <c r="M193" s="62">
        <v>0</v>
      </c>
      <c r="N193" s="62">
        <v>0</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v>23873.040000000001</v>
      </c>
      <c r="AK193" s="63">
        <v>23873</v>
      </c>
      <c r="AL193" s="63">
        <v>23873</v>
      </c>
      <c r="AM193" s="63">
        <v>36950</v>
      </c>
      <c r="AN193" s="63">
        <v>36950</v>
      </c>
      <c r="AO193" s="63">
        <v>0</v>
      </c>
      <c r="AP193" s="63">
        <v>0</v>
      </c>
      <c r="AQ193" s="63">
        <v>0</v>
      </c>
      <c r="AR193" s="63">
        <v>0</v>
      </c>
      <c r="AS193" s="63">
        <v>0</v>
      </c>
      <c r="AT193" s="63">
        <v>0</v>
      </c>
      <c r="AU193" s="63">
        <v>0</v>
      </c>
      <c r="AV193" s="63">
        <v>0</v>
      </c>
      <c r="AW193" s="63">
        <v>0</v>
      </c>
      <c r="AX193" s="63">
        <v>0</v>
      </c>
      <c r="AY193" s="113">
        <v>0</v>
      </c>
      <c r="AZ193" s="113">
        <v>0</v>
      </c>
      <c r="BA193" s="113">
        <v>0</v>
      </c>
      <c r="BB193" s="113">
        <v>0</v>
      </c>
      <c r="BC193" s="113">
        <v>0</v>
      </c>
      <c r="BD193" s="113">
        <v>0</v>
      </c>
      <c r="BE193" s="113">
        <v>0</v>
      </c>
      <c r="BF193" s="113">
        <v>0</v>
      </c>
      <c r="BG193" s="149">
        <v>0</v>
      </c>
      <c r="BH193" s="149">
        <v>0</v>
      </c>
      <c r="BI193" s="149">
        <v>0</v>
      </c>
      <c r="BJ193" s="149">
        <v>0</v>
      </c>
      <c r="BK193" s="149">
        <v>0</v>
      </c>
      <c r="BL193" s="149">
        <v>0</v>
      </c>
      <c r="BM193" s="149">
        <v>0</v>
      </c>
      <c r="BN193" s="149">
        <v>0</v>
      </c>
      <c r="BO193" s="149">
        <v>0</v>
      </c>
      <c r="BP193" s="149">
        <v>0</v>
      </c>
    </row>
    <row r="194" spans="1:68" ht="15" customHeight="1" collapsed="1" thickBot="1">
      <c r="A194" t="s">
        <v>18</v>
      </c>
      <c r="B194" s="150" t="str">
        <f>IF('Sumário | Summary'!P1=1,"Outros","Others")</f>
        <v>Outros</v>
      </c>
      <c r="C194" s="140">
        <f t="shared" ref="C194:BN194" si="120">SUM(C195:C195)</f>
        <v>0</v>
      </c>
      <c r="D194" s="140">
        <f t="shared" si="120"/>
        <v>0</v>
      </c>
      <c r="E194" s="140">
        <f t="shared" si="120"/>
        <v>0</v>
      </c>
      <c r="F194" s="140">
        <f t="shared" si="120"/>
        <v>0</v>
      </c>
      <c r="G194" s="140">
        <f t="shared" si="120"/>
        <v>0</v>
      </c>
      <c r="H194" s="140">
        <f t="shared" si="120"/>
        <v>0</v>
      </c>
      <c r="I194" s="140">
        <f t="shared" si="120"/>
        <v>0</v>
      </c>
      <c r="J194" s="140">
        <f t="shared" si="120"/>
        <v>0</v>
      </c>
      <c r="K194" s="140">
        <f t="shared" si="120"/>
        <v>0</v>
      </c>
      <c r="L194" s="140">
        <f t="shared" si="120"/>
        <v>0</v>
      </c>
      <c r="M194" s="140">
        <f t="shared" si="120"/>
        <v>0</v>
      </c>
      <c r="N194" s="140">
        <f t="shared" si="120"/>
        <v>0</v>
      </c>
      <c r="O194" s="140">
        <f t="shared" si="120"/>
        <v>0</v>
      </c>
      <c r="P194" s="140">
        <f t="shared" si="120"/>
        <v>0</v>
      </c>
      <c r="Q194" s="140">
        <f t="shared" si="120"/>
        <v>0</v>
      </c>
      <c r="R194" s="140">
        <f t="shared" si="120"/>
        <v>0</v>
      </c>
      <c r="S194" s="140">
        <f t="shared" si="120"/>
        <v>0</v>
      </c>
      <c r="T194" s="140">
        <f t="shared" si="120"/>
        <v>0</v>
      </c>
      <c r="U194" s="140">
        <f t="shared" si="120"/>
        <v>0</v>
      </c>
      <c r="V194" s="140">
        <f t="shared" si="120"/>
        <v>0</v>
      </c>
      <c r="W194" s="140">
        <f t="shared" si="120"/>
        <v>18372.767250000001</v>
      </c>
      <c r="X194" s="140">
        <f t="shared" si="120"/>
        <v>18372.767250000001</v>
      </c>
      <c r="Y194" s="140">
        <f t="shared" si="120"/>
        <v>18372.767250000001</v>
      </c>
      <c r="Z194" s="140">
        <f t="shared" si="120"/>
        <v>18372.767250000001</v>
      </c>
      <c r="AA194" s="140">
        <f t="shared" si="120"/>
        <v>18372.767250000001</v>
      </c>
      <c r="AB194" s="140">
        <f t="shared" si="120"/>
        <v>17456.620500000001</v>
      </c>
      <c r="AC194" s="140">
        <f t="shared" si="120"/>
        <v>17456.620500000001</v>
      </c>
      <c r="AD194" s="140">
        <f t="shared" si="120"/>
        <v>17456.620500000001</v>
      </c>
      <c r="AE194" s="140">
        <f t="shared" si="120"/>
        <v>17456.620500000001</v>
      </c>
      <c r="AF194" s="140">
        <f t="shared" si="120"/>
        <v>17456.620500000001</v>
      </c>
      <c r="AG194" s="140">
        <f t="shared" si="120"/>
        <v>17456.620500000001</v>
      </c>
      <c r="AH194" s="140">
        <f t="shared" si="120"/>
        <v>17498.786250000001</v>
      </c>
      <c r="AI194" s="140">
        <f t="shared" si="120"/>
        <v>17498.786250000001</v>
      </c>
      <c r="AJ194" s="140">
        <f t="shared" si="120"/>
        <v>17498.786250000001</v>
      </c>
      <c r="AK194" s="140">
        <f t="shared" si="120"/>
        <v>17498.786250000001</v>
      </c>
      <c r="AL194" s="140">
        <f t="shared" si="120"/>
        <v>17523.319049999998</v>
      </c>
      <c r="AM194" s="140">
        <f t="shared" si="120"/>
        <v>17583.961064999996</v>
      </c>
      <c r="AN194" s="140">
        <f t="shared" si="120"/>
        <v>17583.961064999996</v>
      </c>
      <c r="AO194" s="140">
        <f t="shared" si="120"/>
        <v>17583.961064999996</v>
      </c>
      <c r="AP194" s="140">
        <f t="shared" si="120"/>
        <v>17583.961064999996</v>
      </c>
      <c r="AQ194" s="140">
        <f t="shared" si="120"/>
        <v>17583.961064999996</v>
      </c>
      <c r="AR194" s="140">
        <f t="shared" si="120"/>
        <v>17573.335296000001</v>
      </c>
      <c r="AS194" s="140">
        <f t="shared" si="120"/>
        <v>17573.335296000001</v>
      </c>
      <c r="AT194" s="140">
        <f t="shared" si="120"/>
        <v>17573.335296000001</v>
      </c>
      <c r="AU194" s="140">
        <f t="shared" si="120"/>
        <v>17573.151300000001</v>
      </c>
      <c r="AV194" s="140">
        <f t="shared" si="120"/>
        <v>17573.151300000001</v>
      </c>
      <c r="AW194" s="140">
        <f t="shared" si="120"/>
        <v>17573.151300000001</v>
      </c>
      <c r="AX194" s="140">
        <f t="shared" si="120"/>
        <v>17573.151300000001</v>
      </c>
      <c r="AY194" s="140">
        <f t="shared" si="120"/>
        <v>17573.151300000001</v>
      </c>
      <c r="AZ194" s="140">
        <f t="shared" si="120"/>
        <v>17573.151300000001</v>
      </c>
      <c r="BA194" s="140">
        <f t="shared" si="120"/>
        <v>17573.335296000001</v>
      </c>
      <c r="BB194" s="140">
        <f t="shared" si="120"/>
        <v>17573.151300000001</v>
      </c>
      <c r="BC194" s="140">
        <f t="shared" si="120"/>
        <v>17559.535596000002</v>
      </c>
      <c r="BD194" s="140">
        <f t="shared" si="120"/>
        <v>17559.535596000002</v>
      </c>
      <c r="BE194" s="140">
        <f t="shared" si="120"/>
        <v>17559.535596000002</v>
      </c>
      <c r="BF194" s="140">
        <f t="shared" si="120"/>
        <v>17559.535596000002</v>
      </c>
      <c r="BG194" s="140">
        <f t="shared" si="120"/>
        <v>17559.535596000002</v>
      </c>
      <c r="BH194" s="140">
        <f t="shared" si="120"/>
        <v>17559.535596000002</v>
      </c>
      <c r="BI194" s="140">
        <f t="shared" si="120"/>
        <v>19162.362859080004</v>
      </c>
      <c r="BJ194" s="140">
        <f t="shared" si="120"/>
        <v>19162.362859080004</v>
      </c>
      <c r="BK194" s="140">
        <f t="shared" si="120"/>
        <v>20377.135035960004</v>
      </c>
      <c r="BL194" s="140">
        <f t="shared" si="120"/>
        <v>21414.12032862</v>
      </c>
      <c r="BM194" s="140">
        <f t="shared" si="120"/>
        <v>21413.194777125002</v>
      </c>
      <c r="BN194" s="140">
        <f t="shared" si="120"/>
        <v>21413.194777125002</v>
      </c>
      <c r="BO194" s="140">
        <f t="shared" ref="BO194" si="121">SUM(BO195:BO195)</f>
        <v>22740.4846125</v>
      </c>
      <c r="BP194" s="140">
        <f>SUM(BP195:BP195)</f>
        <v>22737.598677000002</v>
      </c>
    </row>
    <row r="195" spans="1:68" ht="15" hidden="1" outlineLevel="1" thickBot="1">
      <c r="A195" t="s">
        <v>256</v>
      </c>
      <c r="B195" s="38" t="s">
        <v>25</v>
      </c>
      <c r="C195" s="62">
        <v>0</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18372.767250000001</v>
      </c>
      <c r="X195" s="62">
        <v>18372.767250000001</v>
      </c>
      <c r="Y195" s="62">
        <v>18372.767250000001</v>
      </c>
      <c r="Z195" s="62">
        <v>18372.767250000001</v>
      </c>
      <c r="AA195" s="62">
        <v>18372.767250000001</v>
      </c>
      <c r="AB195" s="62">
        <v>17456.620500000001</v>
      </c>
      <c r="AC195" s="62">
        <v>17456.620500000001</v>
      </c>
      <c r="AD195" s="62">
        <v>17456.620500000001</v>
      </c>
      <c r="AE195" s="62">
        <v>17456.620500000001</v>
      </c>
      <c r="AF195" s="62">
        <v>17456.620500000001</v>
      </c>
      <c r="AG195" s="62">
        <v>17456.620500000001</v>
      </c>
      <c r="AH195" s="62">
        <v>17498.786250000001</v>
      </c>
      <c r="AI195" s="62">
        <v>17498.786250000001</v>
      </c>
      <c r="AJ195" s="62">
        <v>17498.786250000001</v>
      </c>
      <c r="AK195" s="62">
        <v>17498.786250000001</v>
      </c>
      <c r="AL195" s="62">
        <v>17523.319049999998</v>
      </c>
      <c r="AM195" s="63">
        <v>17583.961064999996</v>
      </c>
      <c r="AN195" s="63">
        <v>17583.961064999996</v>
      </c>
      <c r="AO195" s="63">
        <v>17583.961064999996</v>
      </c>
      <c r="AP195" s="63">
        <v>17583.961064999996</v>
      </c>
      <c r="AQ195" s="63">
        <v>17583.961064999996</v>
      </c>
      <c r="AR195" s="63">
        <v>17573.335296000001</v>
      </c>
      <c r="AS195" s="63">
        <v>17573.335296000001</v>
      </c>
      <c r="AT195" s="63">
        <v>17573.335296000001</v>
      </c>
      <c r="AU195" s="63">
        <v>17573.151300000001</v>
      </c>
      <c r="AV195" s="63">
        <v>17573.151300000001</v>
      </c>
      <c r="AW195" s="149">
        <v>17573.151300000001</v>
      </c>
      <c r="AX195" s="149">
        <v>17573.151300000001</v>
      </c>
      <c r="AY195" s="149">
        <v>17573.151300000001</v>
      </c>
      <c r="AZ195" s="149">
        <v>17573.151300000001</v>
      </c>
      <c r="BA195" s="149">
        <v>17573.335296000001</v>
      </c>
      <c r="BB195" s="63">
        <v>17573.151300000001</v>
      </c>
      <c r="BC195" s="63">
        <v>17559.535596000002</v>
      </c>
      <c r="BD195" s="63">
        <v>17559.535596000002</v>
      </c>
      <c r="BE195" s="63">
        <v>17559.535596000002</v>
      </c>
      <c r="BF195" s="63">
        <v>17559.535596000002</v>
      </c>
      <c r="BG195" s="149">
        <v>17559.535596000002</v>
      </c>
      <c r="BH195" s="149">
        <v>17559.535596000002</v>
      </c>
      <c r="BI195" s="149">
        <v>19162.362859080004</v>
      </c>
      <c r="BJ195" s="149">
        <v>19162.362859080004</v>
      </c>
      <c r="BK195" s="149">
        <v>20377.135035960004</v>
      </c>
      <c r="BL195" s="149">
        <v>21414.12032862</v>
      </c>
      <c r="BM195" s="149">
        <v>21413.194777125002</v>
      </c>
      <c r="BN195" s="149">
        <v>21413.194777125002</v>
      </c>
      <c r="BO195" s="149">
        <v>22740.4846125</v>
      </c>
      <c r="BP195" s="149">
        <v>22737.598677000002</v>
      </c>
    </row>
    <row r="196" spans="1:68" s="15" customFormat="1" ht="15" customHeight="1" collapsed="1" thickTop="1" thickBot="1">
      <c r="B196" s="151" t="s">
        <v>14</v>
      </c>
      <c r="C196" s="141">
        <f t="shared" ref="C196:BN196" si="122">C151+C173+C182+C194</f>
        <v>150586.546</v>
      </c>
      <c r="D196" s="141">
        <f t="shared" si="122"/>
        <v>165613.10999999999</v>
      </c>
      <c r="E196" s="141">
        <f t="shared" si="122"/>
        <v>165613.10999999999</v>
      </c>
      <c r="F196" s="141">
        <f t="shared" si="122"/>
        <v>165613.10999999999</v>
      </c>
      <c r="G196" s="141">
        <f t="shared" si="122"/>
        <v>172919.11</v>
      </c>
      <c r="H196" s="141">
        <f t="shared" si="122"/>
        <v>172664.11</v>
      </c>
      <c r="I196" s="141">
        <f t="shared" si="122"/>
        <v>172186.11</v>
      </c>
      <c r="J196" s="141">
        <f t="shared" si="122"/>
        <v>175102.11</v>
      </c>
      <c r="K196" s="141">
        <f t="shared" si="122"/>
        <v>173303.11</v>
      </c>
      <c r="L196" s="141">
        <f t="shared" si="122"/>
        <v>170588.11</v>
      </c>
      <c r="M196" s="141">
        <f t="shared" si="122"/>
        <v>171435.11</v>
      </c>
      <c r="N196" s="141">
        <f t="shared" si="122"/>
        <v>171435.11</v>
      </c>
      <c r="O196" s="141">
        <f t="shared" si="122"/>
        <v>171435.11</v>
      </c>
      <c r="P196" s="141">
        <f t="shared" si="122"/>
        <v>169669.11</v>
      </c>
      <c r="Q196" s="141">
        <f t="shared" si="122"/>
        <v>186651.11</v>
      </c>
      <c r="R196" s="141">
        <f t="shared" si="122"/>
        <v>177113.11</v>
      </c>
      <c r="S196" s="141">
        <f t="shared" si="122"/>
        <v>175629.11</v>
      </c>
      <c r="T196" s="141">
        <f t="shared" si="122"/>
        <v>196365.11</v>
      </c>
      <c r="U196" s="141">
        <f t="shared" si="122"/>
        <v>196365.11</v>
      </c>
      <c r="V196" s="141">
        <f t="shared" si="122"/>
        <v>205046.11</v>
      </c>
      <c r="W196" s="141">
        <f t="shared" si="122"/>
        <v>225317.87724999999</v>
      </c>
      <c r="X196" s="141">
        <f t="shared" si="122"/>
        <v>233810.36649297018</v>
      </c>
      <c r="Y196" s="141">
        <f t="shared" si="122"/>
        <v>236531.82764897015</v>
      </c>
      <c r="Z196" s="141">
        <f t="shared" si="122"/>
        <v>321584.34939897014</v>
      </c>
      <c r="AA196" s="141">
        <f t="shared" si="122"/>
        <v>321584.11264897016</v>
      </c>
      <c r="AB196" s="141">
        <f t="shared" si="122"/>
        <v>347894.64089897019</v>
      </c>
      <c r="AC196" s="141">
        <f t="shared" si="122"/>
        <v>383513.34681667021</v>
      </c>
      <c r="AD196" s="141">
        <f t="shared" si="122"/>
        <v>383513.39540870005</v>
      </c>
      <c r="AE196" s="141">
        <f t="shared" si="122"/>
        <v>383513.39540870005</v>
      </c>
      <c r="AF196" s="141">
        <f t="shared" si="122"/>
        <v>398510.40767885995</v>
      </c>
      <c r="AG196" s="141">
        <f t="shared" si="122"/>
        <v>398509.32277015998</v>
      </c>
      <c r="AH196" s="141">
        <f t="shared" si="122"/>
        <v>397596.66702016001</v>
      </c>
      <c r="AI196" s="141">
        <f t="shared" si="122"/>
        <v>407087.28428200004</v>
      </c>
      <c r="AJ196" s="141">
        <f t="shared" si="122"/>
        <v>465669.44211100001</v>
      </c>
      <c r="AK196" s="141">
        <f t="shared" si="122"/>
        <v>452751.45224999997</v>
      </c>
      <c r="AL196" s="141">
        <f t="shared" si="122"/>
        <v>452772.98504999996</v>
      </c>
      <c r="AM196" s="141">
        <f t="shared" si="122"/>
        <v>465443.88203249994</v>
      </c>
      <c r="AN196" s="141">
        <f t="shared" si="122"/>
        <v>480188.35206499998</v>
      </c>
      <c r="AO196" s="141">
        <f t="shared" si="122"/>
        <v>251228.8207862</v>
      </c>
      <c r="AP196" s="141">
        <f t="shared" si="122"/>
        <v>252053.03778519999</v>
      </c>
      <c r="AQ196" s="141">
        <f t="shared" si="122"/>
        <v>243546.15848519997</v>
      </c>
      <c r="AR196" s="141">
        <f t="shared" si="122"/>
        <v>231383.97053719999</v>
      </c>
      <c r="AS196" s="141">
        <f t="shared" si="122"/>
        <v>231314.95471469997</v>
      </c>
      <c r="AT196" s="141">
        <f t="shared" si="122"/>
        <v>231780.35240369997</v>
      </c>
      <c r="AU196" s="141">
        <f t="shared" si="122"/>
        <v>231429.9663262</v>
      </c>
      <c r="AV196" s="141">
        <f t="shared" si="122"/>
        <v>243429.34586953334</v>
      </c>
      <c r="AW196" s="141">
        <f t="shared" si="122"/>
        <v>243700.82902219999</v>
      </c>
      <c r="AX196" s="141">
        <f t="shared" si="122"/>
        <v>251153.6866022</v>
      </c>
      <c r="AY196" s="141">
        <f t="shared" si="122"/>
        <v>251171.20062620001</v>
      </c>
      <c r="AZ196" s="141">
        <f t="shared" si="122"/>
        <v>252038.28205486666</v>
      </c>
      <c r="BA196" s="141">
        <f t="shared" si="122"/>
        <v>250995.56017153335</v>
      </c>
      <c r="BB196" s="141">
        <f t="shared" si="122"/>
        <v>251968.23469119999</v>
      </c>
      <c r="BC196" s="141">
        <f t="shared" si="122"/>
        <v>251874.2266002</v>
      </c>
      <c r="BD196" s="141">
        <f t="shared" si="122"/>
        <v>251874.2266002</v>
      </c>
      <c r="BE196" s="141">
        <f t="shared" si="122"/>
        <v>251740.73260020002</v>
      </c>
      <c r="BF196" s="141">
        <f t="shared" si="122"/>
        <v>189869.17378204557</v>
      </c>
      <c r="BG196" s="141">
        <f t="shared" si="122"/>
        <v>190384.43239504556</v>
      </c>
      <c r="BH196" s="141">
        <f t="shared" si="122"/>
        <v>190404.22091171224</v>
      </c>
      <c r="BI196" s="141">
        <f t="shared" si="122"/>
        <v>192017.24525179222</v>
      </c>
      <c r="BJ196" s="141">
        <f t="shared" si="122"/>
        <v>192039.53365545892</v>
      </c>
      <c r="BK196" s="141">
        <f t="shared" si="122"/>
        <v>193350.91240667226</v>
      </c>
      <c r="BL196" s="141">
        <f t="shared" si="122"/>
        <v>194471.82217433225</v>
      </c>
      <c r="BM196" s="141">
        <f t="shared" si="122"/>
        <v>194595.72402083725</v>
      </c>
      <c r="BN196" s="141">
        <f t="shared" si="122"/>
        <v>199772.11677483725</v>
      </c>
      <c r="BO196" s="141">
        <f t="shared" ref="BO196:BP196" si="123">BO151+BO173+BO182+BO194</f>
        <v>201106.18627421226</v>
      </c>
      <c r="BP196" s="141">
        <f>BP151+BP173+BP182+BP194</f>
        <v>96904.193277237413</v>
      </c>
    </row>
    <row r="197" spans="1:68">
      <c r="BJ197" s="222"/>
    </row>
  </sheetData>
  <conditionalFormatting sqref="C52:AK52">
    <cfRule type="cellIs" dxfId="1" priority="1491" operator="equal">
      <formula>""</formula>
    </cfRule>
  </conditionalFormatting>
  <conditionalFormatting sqref="AL100:BH100">
    <cfRule type="cellIs" dxfId="0" priority="1489" operator="equal">
      <formula>""</formula>
    </cfRule>
  </conditionalFormatting>
  <pageMargins left="0.25" right="0.25" top="0.75" bottom="0.75" header="0.3" footer="0.3"/>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BP64"/>
  <sheetViews>
    <sheetView showGridLines="0" showRowColHeaders="0" zoomScaleNormal="100" workbookViewId="0">
      <pane xSplit="2" ySplit="5" topLeftCell="BG6" activePane="bottomRight" state="frozen"/>
      <selection activeCell="P1" sqref="P1"/>
      <selection pane="topRight" activeCell="P1" sqref="P1"/>
      <selection pane="bottomLeft" activeCell="P1" sqref="P1"/>
      <selection pane="bottomRight" activeCell="BP5" sqref="BP5"/>
    </sheetView>
  </sheetViews>
  <sheetFormatPr defaultRowHeight="14.4" outlineLevelRow="1" outlineLevelCol="1"/>
  <cols>
    <col min="1" max="1" width="8.33203125" hidden="1" customWidth="1"/>
    <col min="2" max="2" width="48.6640625" customWidth="1"/>
    <col min="3" max="37" width="14.33203125" hidden="1" customWidth="1" outlineLevel="1"/>
    <col min="38" max="38" width="14.33203125" customWidth="1" collapsed="1"/>
    <col min="39" max="68" width="14.33203125" customWidth="1"/>
  </cols>
  <sheetData>
    <row r="1" spans="1:68">
      <c r="B1" s="115" t="s">
        <v>42</v>
      </c>
      <c r="AY1" s="237"/>
      <c r="AZ1" s="237"/>
      <c r="BA1" s="237"/>
      <c r="BB1" s="237"/>
      <c r="BC1" s="237"/>
      <c r="BD1" s="237"/>
      <c r="BE1" s="237"/>
      <c r="BF1" s="237"/>
      <c r="BG1" s="237"/>
      <c r="BH1" s="237"/>
      <c r="BI1" s="237"/>
      <c r="BJ1" s="237"/>
      <c r="BK1" s="237"/>
      <c r="BL1" s="237"/>
      <c r="BM1" s="237"/>
      <c r="BN1" s="237"/>
      <c r="BO1" s="237"/>
      <c r="BP1" s="237"/>
    </row>
    <row r="2" spans="1:68">
      <c r="B2" s="115" t="s">
        <v>41</v>
      </c>
      <c r="AY2" s="237"/>
      <c r="AZ2" s="237"/>
      <c r="BA2" s="237"/>
      <c r="BB2" s="237"/>
      <c r="BC2" s="237"/>
      <c r="BD2" s="237"/>
      <c r="BE2" s="237"/>
      <c r="BF2" s="237"/>
      <c r="BG2" s="237"/>
      <c r="BH2" s="237"/>
      <c r="BI2" s="237"/>
      <c r="BJ2" s="237"/>
      <c r="BK2" s="237"/>
      <c r="BL2" s="237"/>
      <c r="BM2" s="237"/>
      <c r="BN2" s="237"/>
      <c r="BO2" s="237"/>
      <c r="BP2" s="237"/>
    </row>
    <row r="3" spans="1:68" s="239" customFormat="1">
      <c r="B3" s="240">
        <v>1</v>
      </c>
      <c r="AY3" s="238"/>
      <c r="AZ3" s="238"/>
      <c r="BA3" s="238"/>
      <c r="BB3" s="238"/>
      <c r="BC3" s="238"/>
      <c r="BD3" s="238"/>
      <c r="BE3" s="238"/>
      <c r="BF3" s="238"/>
      <c r="BG3" s="238"/>
      <c r="BH3" s="238"/>
      <c r="BI3" s="238"/>
      <c r="BJ3" s="238"/>
      <c r="BK3" s="238"/>
      <c r="BL3" s="238"/>
      <c r="BM3" s="238"/>
      <c r="BN3" s="238"/>
      <c r="BO3" s="238"/>
      <c r="BP3" s="238"/>
    </row>
    <row r="4" spans="1:68" ht="6.75" customHeight="1">
      <c r="B4" s="12"/>
    </row>
    <row r="5" spans="1:68" s="7" customFormat="1" ht="18.75" customHeight="1">
      <c r="B5" s="195" t="str">
        <f>IF('Sumário | Summary'!P1=1,"Vacância Física","Physical Vacancy")</f>
        <v>Vacância Física</v>
      </c>
      <c r="C5" s="204" t="s">
        <v>82</v>
      </c>
      <c r="D5" s="204" t="s">
        <v>83</v>
      </c>
      <c r="E5" s="204" t="s">
        <v>84</v>
      </c>
      <c r="F5" s="204" t="s">
        <v>85</v>
      </c>
      <c r="G5" s="204" t="s">
        <v>86</v>
      </c>
      <c r="H5" s="204" t="s">
        <v>87</v>
      </c>
      <c r="I5" s="204" t="s">
        <v>88</v>
      </c>
      <c r="J5" s="204" t="s">
        <v>89</v>
      </c>
      <c r="K5" s="204" t="s">
        <v>90</v>
      </c>
      <c r="L5" s="204" t="s">
        <v>91</v>
      </c>
      <c r="M5" s="204" t="s">
        <v>92</v>
      </c>
      <c r="N5" s="204" t="s">
        <v>93</v>
      </c>
      <c r="O5" s="204" t="s">
        <v>94</v>
      </c>
      <c r="P5" s="204" t="s">
        <v>95</v>
      </c>
      <c r="Q5" s="204" t="s">
        <v>96</v>
      </c>
      <c r="R5" s="204" t="s">
        <v>97</v>
      </c>
      <c r="S5" s="204" t="s">
        <v>78</v>
      </c>
      <c r="T5" s="204" t="s">
        <v>79</v>
      </c>
      <c r="U5" s="204" t="s">
        <v>80</v>
      </c>
      <c r="V5" s="204" t="s">
        <v>81</v>
      </c>
      <c r="W5" s="201" t="s">
        <v>77</v>
      </c>
      <c r="X5" s="201" t="s">
        <v>76</v>
      </c>
      <c r="Y5" s="201" t="s">
        <v>75</v>
      </c>
      <c r="Z5" s="204" t="s">
        <v>74</v>
      </c>
      <c r="AA5" s="204" t="s">
        <v>73</v>
      </c>
      <c r="AB5" s="204" t="s">
        <v>72</v>
      </c>
      <c r="AC5" s="204" t="s">
        <v>71</v>
      </c>
      <c r="AD5" s="204" t="s">
        <v>70</v>
      </c>
      <c r="AE5" s="204" t="s">
        <v>69</v>
      </c>
      <c r="AF5" s="204" t="s">
        <v>68</v>
      </c>
      <c r="AG5" s="204" t="s">
        <v>67</v>
      </c>
      <c r="AH5" s="204" t="s">
        <v>66</v>
      </c>
      <c r="AI5" s="204" t="s">
        <v>59</v>
      </c>
      <c r="AJ5" s="204" t="s">
        <v>60</v>
      </c>
      <c r="AK5" s="204" t="s">
        <v>61</v>
      </c>
      <c r="AL5" s="204" t="s">
        <v>62</v>
      </c>
      <c r="AM5" s="204" t="s">
        <v>55</v>
      </c>
      <c r="AN5" s="204" t="s">
        <v>56</v>
      </c>
      <c r="AO5" s="204" t="s">
        <v>57</v>
      </c>
      <c r="AP5" s="204" t="s">
        <v>58</v>
      </c>
      <c r="AQ5" s="204" t="s">
        <v>54</v>
      </c>
      <c r="AR5" s="204" t="s">
        <v>53</v>
      </c>
      <c r="AS5" s="204" t="s">
        <v>52</v>
      </c>
      <c r="AT5" s="204" t="s">
        <v>51</v>
      </c>
      <c r="AU5" s="204" t="s">
        <v>43</v>
      </c>
      <c r="AV5" s="204" t="s">
        <v>44</v>
      </c>
      <c r="AW5" s="204" t="s">
        <v>46</v>
      </c>
      <c r="AX5" s="204" t="s">
        <v>47</v>
      </c>
      <c r="AY5" s="201" t="s">
        <v>50</v>
      </c>
      <c r="AZ5" s="204" t="s">
        <v>63</v>
      </c>
      <c r="BA5" s="204" t="s">
        <v>64</v>
      </c>
      <c r="BB5" s="204" t="s">
        <v>65</v>
      </c>
      <c r="BC5" s="204" t="s">
        <v>98</v>
      </c>
      <c r="BD5" s="204" t="s">
        <v>99</v>
      </c>
      <c r="BE5" s="204" t="s">
        <v>114</v>
      </c>
      <c r="BF5" s="204" t="s">
        <v>115</v>
      </c>
      <c r="BG5" s="204" t="s">
        <v>126</v>
      </c>
      <c r="BH5" s="201" t="s">
        <v>267</v>
      </c>
      <c r="BI5" s="204" t="s">
        <v>268</v>
      </c>
      <c r="BJ5" s="204" t="s">
        <v>274</v>
      </c>
      <c r="BK5" s="204" t="s">
        <v>286</v>
      </c>
      <c r="BL5" s="201" t="s">
        <v>289</v>
      </c>
      <c r="BM5" s="201" t="s">
        <v>291</v>
      </c>
      <c r="BN5" s="201" t="s">
        <v>315</v>
      </c>
      <c r="BO5" s="201" t="s">
        <v>321</v>
      </c>
      <c r="BP5" s="201" t="s">
        <v>323</v>
      </c>
    </row>
    <row r="6" spans="1:68" s="30" customFormat="1">
      <c r="B6" s="11" t="str">
        <f>IF('Sumário | Summary'!P1=1,"Escritórios","Offices")</f>
        <v>Escritórios</v>
      </c>
      <c r="C6" s="83">
        <v>4.4999999999999998E-2</v>
      </c>
      <c r="D6" s="83">
        <v>4.1000000000000003E-3</v>
      </c>
      <c r="E6" s="83">
        <v>0</v>
      </c>
      <c r="F6" s="83">
        <v>0</v>
      </c>
      <c r="G6" s="83">
        <v>7.7799999999999994E-2</v>
      </c>
      <c r="H6" s="83">
        <v>6.5000000000000002E-2</v>
      </c>
      <c r="I6" s="83">
        <v>0.04</v>
      </c>
      <c r="J6" s="83">
        <v>0</v>
      </c>
      <c r="K6" s="83">
        <v>0</v>
      </c>
      <c r="L6" s="83">
        <v>4.8000000000000001E-2</v>
      </c>
      <c r="M6" s="83">
        <v>7.0000000000000001E-3</v>
      </c>
      <c r="N6" s="83">
        <v>1.2E-2</v>
      </c>
      <c r="O6" s="83">
        <v>2E-3</v>
      </c>
      <c r="P6" s="83">
        <v>0</v>
      </c>
      <c r="Q6" s="83">
        <v>0</v>
      </c>
      <c r="R6" s="83">
        <v>1.6E-2</v>
      </c>
      <c r="S6" s="83">
        <v>1.6E-2</v>
      </c>
      <c r="T6" s="83">
        <v>0</v>
      </c>
      <c r="U6" s="83">
        <v>0</v>
      </c>
      <c r="V6" s="83">
        <v>0</v>
      </c>
      <c r="W6" s="83">
        <v>1.0999999999999999E-2</v>
      </c>
      <c r="X6" s="83">
        <v>2.4E-2</v>
      </c>
      <c r="Y6" s="83">
        <v>5.8999999999999997E-2</v>
      </c>
      <c r="Z6" s="84">
        <v>7.9000000000000001E-2</v>
      </c>
      <c r="AA6" s="84">
        <v>8.3000000000000004E-2</v>
      </c>
      <c r="AB6" s="84">
        <v>0.08</v>
      </c>
      <c r="AC6" s="83">
        <v>0.185</v>
      </c>
      <c r="AD6" s="83">
        <v>0.20399999999999999</v>
      </c>
      <c r="AE6" s="83">
        <v>0.19900000000000001</v>
      </c>
      <c r="AF6" s="83">
        <v>0.17799999999999999</v>
      </c>
      <c r="AG6" s="83">
        <v>0.13400000000000001</v>
      </c>
      <c r="AH6" s="83">
        <v>0.115</v>
      </c>
      <c r="AI6" s="83">
        <v>0.10199999999999999</v>
      </c>
      <c r="AJ6" s="83">
        <v>8.5999999999999993E-2</v>
      </c>
      <c r="AK6" s="41">
        <v>8.8999999999999996E-2</v>
      </c>
      <c r="AL6" s="215">
        <v>0.1007</v>
      </c>
      <c r="AM6" s="84">
        <v>9.1230918260006733E-2</v>
      </c>
      <c r="AN6" s="84">
        <v>0.17223139197032356</v>
      </c>
      <c r="AO6" s="84">
        <v>0.19966708633867614</v>
      </c>
      <c r="AP6" s="84">
        <v>0.16094874397933712</v>
      </c>
      <c r="AQ6" s="84">
        <v>0.16060272607004533</v>
      </c>
      <c r="AR6" s="84">
        <v>0.17251744328727725</v>
      </c>
      <c r="AS6" s="84">
        <v>0.16262563293931653</v>
      </c>
      <c r="AT6" s="84">
        <v>0.11820349855207668</v>
      </c>
      <c r="AU6" s="84">
        <v>0.11749629231145083</v>
      </c>
      <c r="AV6" s="84">
        <v>0.22397610198539963</v>
      </c>
      <c r="AW6" s="84">
        <v>0.15562486324114605</v>
      </c>
      <c r="AX6" s="84">
        <v>0.13595823716088959</v>
      </c>
      <c r="AY6" s="84">
        <v>0.12939667870679603</v>
      </c>
      <c r="AZ6" s="84">
        <v>0.14404117670514541</v>
      </c>
      <c r="BA6" s="84">
        <v>0.14569542487628601</v>
      </c>
      <c r="BB6" s="84">
        <v>0.17740351717777644</v>
      </c>
      <c r="BC6" s="84">
        <v>0.18441616803404273</v>
      </c>
      <c r="BD6" s="84">
        <v>0.1621432980251056</v>
      </c>
      <c r="BE6" s="84">
        <v>0.13727839083249715</v>
      </c>
      <c r="BF6" s="84">
        <v>0.14564275210694966</v>
      </c>
      <c r="BG6" s="84">
        <v>0.15070101795413282</v>
      </c>
      <c r="BH6" s="84">
        <v>0.14943885426842751</v>
      </c>
      <c r="BI6" s="84">
        <v>0.14525787558298317</v>
      </c>
      <c r="BJ6" s="84">
        <v>0.14154804873434615</v>
      </c>
      <c r="BK6" s="84">
        <v>0.14893845361425886</v>
      </c>
      <c r="BL6" s="84">
        <v>0.14524325117430262</v>
      </c>
      <c r="BM6" s="84">
        <v>0.15190702548507287</v>
      </c>
      <c r="BN6" s="84">
        <v>0.15055776880580435</v>
      </c>
      <c r="BO6" s="84">
        <v>0.14350245700894865</v>
      </c>
      <c r="BP6" s="84">
        <v>0.16396179443572328</v>
      </c>
    </row>
    <row r="7" spans="1:68" s="30" customFormat="1">
      <c r="B7" s="85" t="str">
        <f>IF('Sumário | Summary'!P1=1,"Escritórios AAA","Triple A Offices")</f>
        <v>Escritórios AAA</v>
      </c>
      <c r="C7" s="83">
        <v>0</v>
      </c>
      <c r="D7" s="83">
        <v>0</v>
      </c>
      <c r="E7" s="83">
        <v>0</v>
      </c>
      <c r="F7" s="83">
        <v>0</v>
      </c>
      <c r="G7" s="83">
        <v>0.12609999999999999</v>
      </c>
      <c r="H7" s="83">
        <v>0.105</v>
      </c>
      <c r="I7" s="83">
        <v>5.0999999999999997E-2</v>
      </c>
      <c r="J7" s="83">
        <v>0</v>
      </c>
      <c r="K7" s="83">
        <v>0</v>
      </c>
      <c r="L7" s="83">
        <v>0</v>
      </c>
      <c r="M7" s="83">
        <v>0</v>
      </c>
      <c r="N7" s="83">
        <v>0</v>
      </c>
      <c r="O7" s="83">
        <v>0</v>
      </c>
      <c r="P7" s="83">
        <v>0</v>
      </c>
      <c r="Q7" s="83">
        <v>0</v>
      </c>
      <c r="R7" s="83">
        <v>0</v>
      </c>
      <c r="S7" s="83">
        <v>0</v>
      </c>
      <c r="T7" s="83">
        <v>0</v>
      </c>
      <c r="U7" s="83">
        <v>0</v>
      </c>
      <c r="V7" s="83">
        <v>0</v>
      </c>
      <c r="W7" s="83">
        <v>1.9E-2</v>
      </c>
      <c r="X7" s="83">
        <v>4.2000000000000003E-2</v>
      </c>
      <c r="Y7" s="83">
        <v>9.8000000000000004E-2</v>
      </c>
      <c r="Z7" s="84">
        <v>0.124</v>
      </c>
      <c r="AA7" s="84">
        <v>0.124</v>
      </c>
      <c r="AB7" s="84">
        <v>0.11899999999999999</v>
      </c>
      <c r="AC7" s="83">
        <v>0.26600000000000001</v>
      </c>
      <c r="AD7" s="83">
        <v>0.27700000000000002</v>
      </c>
      <c r="AE7" s="83">
        <v>0.27700000000000002</v>
      </c>
      <c r="AF7" s="83">
        <v>0.22900000000000001</v>
      </c>
      <c r="AG7" s="83">
        <v>0.16900000000000001</v>
      </c>
      <c r="AH7" s="83">
        <v>0.13800000000000001</v>
      </c>
      <c r="AI7" s="83">
        <v>0.125</v>
      </c>
      <c r="AJ7" s="83">
        <v>8.6999999999999994E-2</v>
      </c>
      <c r="AK7" s="41">
        <v>9.0999999999999998E-2</v>
      </c>
      <c r="AL7" s="215">
        <v>0.1071</v>
      </c>
      <c r="AM7" s="84">
        <v>0.1014095849159557</v>
      </c>
      <c r="AN7" s="84">
        <v>0.15674192133010253</v>
      </c>
      <c r="AO7" s="84">
        <v>0.17333231859546974</v>
      </c>
      <c r="AP7" s="84">
        <v>0.13930191323762386</v>
      </c>
      <c r="AQ7" s="84">
        <v>0.12143752404637799</v>
      </c>
      <c r="AR7" s="84">
        <v>0.13370590590457507</v>
      </c>
      <c r="AS7" s="84">
        <v>0.13370590590457507</v>
      </c>
      <c r="AT7" s="84">
        <v>8.3668699321223783E-2</v>
      </c>
      <c r="AU7" s="84">
        <v>9.688493393369195E-2</v>
      </c>
      <c r="AV7" s="84">
        <v>5.7480737912326087E-2</v>
      </c>
      <c r="AW7" s="84">
        <v>5.7480737912326087E-2</v>
      </c>
      <c r="AX7" s="84">
        <v>4.0340391151887624E-2</v>
      </c>
      <c r="AY7" s="84">
        <v>2.9960250755079763E-2</v>
      </c>
      <c r="AZ7" s="84">
        <v>4.1415358941120382E-2</v>
      </c>
      <c r="BA7" s="84">
        <v>4.2168724392488942E-2</v>
      </c>
      <c r="BB7" s="84">
        <v>9.0420766048717599E-2</v>
      </c>
      <c r="BC7" s="84">
        <v>0.10143765443554427</v>
      </c>
      <c r="BD7" s="84">
        <v>6.3089896287346847E-2</v>
      </c>
      <c r="BE7" s="84">
        <v>3.2633968898934718E-2</v>
      </c>
      <c r="BF7" s="84">
        <v>0.16699371010059486</v>
      </c>
      <c r="BG7" s="84">
        <v>0.18529016668620135</v>
      </c>
      <c r="BH7" s="84">
        <v>0.16470188232936347</v>
      </c>
      <c r="BI7" s="84">
        <v>0.16470188232936347</v>
      </c>
      <c r="BJ7" s="84">
        <v>0.15066912013214401</v>
      </c>
      <c r="BK7" s="84">
        <v>0.17862400817741414</v>
      </c>
      <c r="BL7" s="84">
        <v>0.16464656415477907</v>
      </c>
      <c r="BM7" s="84">
        <v>0.18985267104075573</v>
      </c>
      <c r="BN7" s="84">
        <v>0.18985267104075573</v>
      </c>
      <c r="BO7" s="84">
        <v>0.16465171589145686</v>
      </c>
      <c r="BP7" s="84">
        <v>0.31686266499621285</v>
      </c>
    </row>
    <row r="8" spans="1:68" hidden="1" outlineLevel="1">
      <c r="A8" s="15"/>
      <c r="B8" s="86" t="s">
        <v>2</v>
      </c>
      <c r="C8" s="87">
        <v>0</v>
      </c>
      <c r="D8" s="87">
        <v>0</v>
      </c>
      <c r="E8" s="87">
        <v>0</v>
      </c>
      <c r="F8" s="87">
        <v>0</v>
      </c>
      <c r="G8" s="87">
        <v>0</v>
      </c>
      <c r="H8" s="87">
        <v>0</v>
      </c>
      <c r="I8" s="87">
        <v>0</v>
      </c>
      <c r="J8" s="87">
        <v>0</v>
      </c>
      <c r="K8" s="87">
        <v>0</v>
      </c>
      <c r="L8" s="87">
        <v>0</v>
      </c>
      <c r="M8" s="87">
        <v>0</v>
      </c>
      <c r="N8" s="87">
        <v>0</v>
      </c>
      <c r="O8" s="87">
        <v>0</v>
      </c>
      <c r="P8" s="87">
        <v>0</v>
      </c>
      <c r="Q8" s="87">
        <v>0</v>
      </c>
      <c r="R8" s="87">
        <v>0</v>
      </c>
      <c r="S8" s="87">
        <v>0</v>
      </c>
      <c r="T8" s="87">
        <v>0</v>
      </c>
      <c r="U8" s="87">
        <v>0</v>
      </c>
      <c r="V8" s="87">
        <v>0</v>
      </c>
      <c r="W8" s="87">
        <v>0</v>
      </c>
      <c r="X8" s="87">
        <v>0</v>
      </c>
      <c r="Y8" s="87">
        <v>0</v>
      </c>
      <c r="Z8" s="88">
        <v>0</v>
      </c>
      <c r="AA8" s="88">
        <v>0</v>
      </c>
      <c r="AB8" s="88">
        <v>0</v>
      </c>
      <c r="AC8" s="87">
        <v>0</v>
      </c>
      <c r="AD8" s="87">
        <v>0</v>
      </c>
      <c r="AE8" s="87">
        <v>0</v>
      </c>
      <c r="AF8" s="87">
        <v>0</v>
      </c>
      <c r="AG8" s="87">
        <v>0</v>
      </c>
      <c r="AH8" s="87">
        <v>0</v>
      </c>
      <c r="AI8" s="87">
        <v>0</v>
      </c>
      <c r="AJ8" s="87">
        <v>0</v>
      </c>
      <c r="AK8" s="51">
        <v>0</v>
      </c>
      <c r="AL8" s="216">
        <v>0</v>
      </c>
      <c r="AM8" s="88">
        <v>0</v>
      </c>
      <c r="AN8" s="88">
        <v>0</v>
      </c>
      <c r="AO8" s="88">
        <v>0</v>
      </c>
      <c r="AP8" s="88">
        <v>0</v>
      </c>
      <c r="AQ8" s="88">
        <v>0</v>
      </c>
      <c r="AR8" s="88">
        <v>0</v>
      </c>
      <c r="AS8" s="88">
        <v>0</v>
      </c>
      <c r="AT8" s="88">
        <v>0.2</v>
      </c>
      <c r="AU8" s="88">
        <v>0.22482369534555713</v>
      </c>
      <c r="AV8" s="88">
        <v>0</v>
      </c>
      <c r="AW8" s="88">
        <v>0</v>
      </c>
      <c r="AX8" s="88">
        <v>0</v>
      </c>
      <c r="AY8" s="88">
        <v>0</v>
      </c>
      <c r="AZ8" s="88">
        <v>0</v>
      </c>
      <c r="BA8" s="88">
        <v>0</v>
      </c>
      <c r="BB8" s="88">
        <v>0</v>
      </c>
      <c r="BC8" s="88">
        <v>0</v>
      </c>
      <c r="BD8" s="88">
        <v>0</v>
      </c>
      <c r="BE8" s="88">
        <v>0</v>
      </c>
      <c r="BF8" s="88" t="s">
        <v>18</v>
      </c>
      <c r="BG8" s="88" t="s">
        <v>18</v>
      </c>
      <c r="BH8" s="88" t="s">
        <v>18</v>
      </c>
      <c r="BI8" s="88" t="s">
        <v>18</v>
      </c>
      <c r="BJ8" s="88" t="s">
        <v>18</v>
      </c>
      <c r="BK8" s="88" t="s">
        <v>18</v>
      </c>
      <c r="BL8" s="88" t="s">
        <v>18</v>
      </c>
      <c r="BM8" s="88" t="s">
        <v>18</v>
      </c>
      <c r="BN8" s="88" t="s">
        <v>18</v>
      </c>
      <c r="BO8" s="88" t="s">
        <v>18</v>
      </c>
      <c r="BP8" s="88" t="s">
        <v>18</v>
      </c>
    </row>
    <row r="9" spans="1:68" hidden="1" outlineLevel="1">
      <c r="A9" s="15"/>
      <c r="B9" s="86" t="s">
        <v>3</v>
      </c>
      <c r="C9" s="87">
        <v>0</v>
      </c>
      <c r="D9" s="87">
        <v>0</v>
      </c>
      <c r="E9" s="87">
        <v>0</v>
      </c>
      <c r="F9" s="87">
        <v>0</v>
      </c>
      <c r="G9" s="87">
        <v>0</v>
      </c>
      <c r="H9" s="87">
        <v>0</v>
      </c>
      <c r="I9" s="87">
        <v>0</v>
      </c>
      <c r="J9" s="87">
        <v>0</v>
      </c>
      <c r="K9" s="87">
        <v>0</v>
      </c>
      <c r="L9" s="87">
        <v>0</v>
      </c>
      <c r="M9" s="87">
        <v>0</v>
      </c>
      <c r="N9" s="87">
        <v>0</v>
      </c>
      <c r="O9" s="87">
        <v>0</v>
      </c>
      <c r="P9" s="87">
        <v>0</v>
      </c>
      <c r="Q9" s="87">
        <v>0</v>
      </c>
      <c r="R9" s="87">
        <v>0</v>
      </c>
      <c r="S9" s="87">
        <v>0</v>
      </c>
      <c r="T9" s="87">
        <v>0</v>
      </c>
      <c r="U9" s="87">
        <v>0</v>
      </c>
      <c r="V9" s="87">
        <v>0</v>
      </c>
      <c r="W9" s="87">
        <v>0</v>
      </c>
      <c r="X9" s="87">
        <v>0</v>
      </c>
      <c r="Y9" s="87">
        <v>0</v>
      </c>
      <c r="Z9" s="88">
        <v>0</v>
      </c>
      <c r="AA9" s="88">
        <v>0</v>
      </c>
      <c r="AB9" s="88">
        <v>0</v>
      </c>
      <c r="AC9" s="87">
        <v>0</v>
      </c>
      <c r="AD9" s="87">
        <v>0.52781100179576279</v>
      </c>
      <c r="AE9" s="87">
        <v>0.52781100179576279</v>
      </c>
      <c r="AF9" s="87">
        <v>0.5</v>
      </c>
      <c r="AG9" s="87">
        <v>0</v>
      </c>
      <c r="AH9" s="87">
        <v>0</v>
      </c>
      <c r="AI9" s="87">
        <v>0</v>
      </c>
      <c r="AJ9" s="87">
        <v>0</v>
      </c>
      <c r="AK9" s="51">
        <v>0</v>
      </c>
      <c r="AL9" s="216">
        <v>0</v>
      </c>
      <c r="AM9" s="88">
        <v>0</v>
      </c>
      <c r="AN9" s="88">
        <v>0</v>
      </c>
      <c r="AO9" s="88">
        <v>0</v>
      </c>
      <c r="AP9" s="88">
        <v>0</v>
      </c>
      <c r="AQ9" s="88">
        <v>0</v>
      </c>
      <c r="AR9" s="88">
        <v>0</v>
      </c>
      <c r="AS9" s="88">
        <v>0</v>
      </c>
      <c r="AT9" s="88">
        <v>0</v>
      </c>
      <c r="AU9" s="88">
        <v>0</v>
      </c>
      <c r="AV9" s="88">
        <v>0</v>
      </c>
      <c r="AW9" s="88">
        <v>0</v>
      </c>
      <c r="AX9" s="88">
        <v>0</v>
      </c>
      <c r="AY9" s="88">
        <v>0</v>
      </c>
      <c r="AZ9" s="88">
        <v>0</v>
      </c>
      <c r="BA9" s="88" t="s">
        <v>18</v>
      </c>
      <c r="BB9" s="88" t="s">
        <v>18</v>
      </c>
      <c r="BC9" s="88" t="s">
        <v>18</v>
      </c>
      <c r="BD9" s="88" t="s">
        <v>18</v>
      </c>
      <c r="BE9" s="88" t="s">
        <v>18</v>
      </c>
      <c r="BF9" s="88" t="s">
        <v>18</v>
      </c>
      <c r="BG9" s="88" t="s">
        <v>18</v>
      </c>
      <c r="BH9" s="88" t="s">
        <v>18</v>
      </c>
      <c r="BI9" s="88" t="s">
        <v>18</v>
      </c>
      <c r="BJ9" s="88" t="s">
        <v>18</v>
      </c>
      <c r="BK9" s="88" t="s">
        <v>18</v>
      </c>
      <c r="BL9" s="88" t="s">
        <v>18</v>
      </c>
      <c r="BM9" s="88" t="s">
        <v>18</v>
      </c>
      <c r="BN9" s="88" t="s">
        <v>18</v>
      </c>
      <c r="BO9" s="88" t="s">
        <v>18</v>
      </c>
      <c r="BP9" s="88" t="s">
        <v>18</v>
      </c>
    </row>
    <row r="10" spans="1:68" hidden="1" outlineLevel="1">
      <c r="B10" s="86" t="s">
        <v>0</v>
      </c>
      <c r="C10" s="87">
        <v>0</v>
      </c>
      <c r="D10" s="87">
        <v>0</v>
      </c>
      <c r="E10" s="87">
        <v>0</v>
      </c>
      <c r="F10" s="87">
        <v>0</v>
      </c>
      <c r="G10" s="87">
        <v>0</v>
      </c>
      <c r="H10" s="87">
        <v>0</v>
      </c>
      <c r="I10" s="87">
        <v>0</v>
      </c>
      <c r="J10" s="87">
        <v>0</v>
      </c>
      <c r="K10" s="87">
        <v>0</v>
      </c>
      <c r="L10" s="87">
        <v>0</v>
      </c>
      <c r="M10" s="87">
        <v>0</v>
      </c>
      <c r="N10" s="87">
        <v>0</v>
      </c>
      <c r="O10" s="87">
        <v>0</v>
      </c>
      <c r="P10" s="87">
        <v>0</v>
      </c>
      <c r="Q10" s="87">
        <v>0</v>
      </c>
      <c r="R10" s="87">
        <v>0</v>
      </c>
      <c r="S10" s="87">
        <v>0</v>
      </c>
      <c r="T10" s="87">
        <v>0</v>
      </c>
      <c r="U10" s="87">
        <v>0</v>
      </c>
      <c r="V10" s="87">
        <v>0</v>
      </c>
      <c r="W10" s="87">
        <v>0</v>
      </c>
      <c r="X10" s="87">
        <v>0</v>
      </c>
      <c r="Y10" s="87">
        <v>0</v>
      </c>
      <c r="Z10" s="88">
        <v>0</v>
      </c>
      <c r="AA10" s="88">
        <v>0</v>
      </c>
      <c r="AB10" s="88">
        <v>0</v>
      </c>
      <c r="AC10" s="87">
        <v>0</v>
      </c>
      <c r="AD10" s="87">
        <v>0</v>
      </c>
      <c r="AE10" s="87">
        <v>0</v>
      </c>
      <c r="AF10" s="87">
        <v>0</v>
      </c>
      <c r="AG10" s="87">
        <v>0</v>
      </c>
      <c r="AH10" s="87">
        <v>0</v>
      </c>
      <c r="AI10" s="87">
        <v>0</v>
      </c>
      <c r="AJ10" s="87">
        <v>0</v>
      </c>
      <c r="AK10" s="51">
        <v>0</v>
      </c>
      <c r="AL10" s="216">
        <v>0</v>
      </c>
      <c r="AM10" s="88">
        <v>9.0284960995689972E-2</v>
      </c>
      <c r="AN10" s="88">
        <v>0</v>
      </c>
      <c r="AO10" s="88">
        <v>0</v>
      </c>
      <c r="AP10" s="88">
        <v>0</v>
      </c>
      <c r="AQ10" s="88">
        <v>0</v>
      </c>
      <c r="AR10" s="88">
        <v>0</v>
      </c>
      <c r="AS10" s="88">
        <v>0</v>
      </c>
      <c r="AT10" s="88">
        <v>0</v>
      </c>
      <c r="AU10" s="88">
        <v>0</v>
      </c>
      <c r="AV10" s="88">
        <v>0</v>
      </c>
      <c r="AW10" s="88">
        <v>0</v>
      </c>
      <c r="AX10" s="88">
        <v>0</v>
      </c>
      <c r="AY10" s="88">
        <v>4.2816071519276674E-2</v>
      </c>
      <c r="AZ10" s="88">
        <v>3.9566854380626078E-2</v>
      </c>
      <c r="BA10" s="88">
        <v>3.9566854380626078E-2</v>
      </c>
      <c r="BB10" s="88">
        <v>0.1319595358908891</v>
      </c>
      <c r="BC10" s="88">
        <v>0.11404788195317769</v>
      </c>
      <c r="BD10" s="88">
        <v>0.12961572120812823</v>
      </c>
      <c r="BE10" s="88">
        <v>0</v>
      </c>
      <c r="BF10" s="88" t="s">
        <v>18</v>
      </c>
      <c r="BG10" s="88" t="s">
        <v>18</v>
      </c>
      <c r="BH10" s="88" t="s">
        <v>18</v>
      </c>
      <c r="BI10" s="88" t="s">
        <v>18</v>
      </c>
      <c r="BJ10" s="88" t="s">
        <v>18</v>
      </c>
      <c r="BK10" s="88" t="s">
        <v>18</v>
      </c>
      <c r="BL10" s="88" t="s">
        <v>18</v>
      </c>
      <c r="BM10" s="88" t="s">
        <v>18</v>
      </c>
      <c r="BN10" s="88" t="s">
        <v>18</v>
      </c>
      <c r="BO10" s="88" t="s">
        <v>18</v>
      </c>
      <c r="BP10" s="88" t="s">
        <v>18</v>
      </c>
    </row>
    <row r="11" spans="1:68" hidden="1" outlineLevel="1">
      <c r="B11" s="86" t="s">
        <v>1</v>
      </c>
      <c r="C11" s="87">
        <v>0</v>
      </c>
      <c r="D11" s="87">
        <v>0</v>
      </c>
      <c r="E11" s="87">
        <v>0</v>
      </c>
      <c r="F11" s="87">
        <v>0</v>
      </c>
      <c r="G11" s="87">
        <v>0</v>
      </c>
      <c r="H11" s="87">
        <v>0</v>
      </c>
      <c r="I11" s="87">
        <v>0</v>
      </c>
      <c r="J11" s="87">
        <v>0</v>
      </c>
      <c r="K11" s="87">
        <v>0</v>
      </c>
      <c r="L11" s="87">
        <v>0</v>
      </c>
      <c r="M11" s="87">
        <v>0</v>
      </c>
      <c r="N11" s="87">
        <v>0</v>
      </c>
      <c r="O11" s="87">
        <v>0</v>
      </c>
      <c r="P11" s="87">
        <v>0</v>
      </c>
      <c r="Q11" s="87">
        <v>0</v>
      </c>
      <c r="R11" s="87">
        <v>0</v>
      </c>
      <c r="S11" s="87">
        <v>0</v>
      </c>
      <c r="T11" s="87">
        <v>0</v>
      </c>
      <c r="U11" s="87">
        <v>0</v>
      </c>
      <c r="V11" s="87">
        <v>0</v>
      </c>
      <c r="W11" s="87">
        <v>0</v>
      </c>
      <c r="X11" s="87">
        <v>0</v>
      </c>
      <c r="Y11" s="87">
        <v>0</v>
      </c>
      <c r="Z11" s="88">
        <v>0.13791348483665714</v>
      </c>
      <c r="AA11" s="88">
        <v>0.13791348483665714</v>
      </c>
      <c r="AB11" s="88">
        <v>0.13791348483665714</v>
      </c>
      <c r="AC11" s="87">
        <v>0.1263295572300821</v>
      </c>
      <c r="AD11" s="87">
        <v>6.1128637005811864E-2</v>
      </c>
      <c r="AE11" s="87">
        <v>6.1128637005811864E-2</v>
      </c>
      <c r="AF11" s="87">
        <v>0.06</v>
      </c>
      <c r="AG11" s="87">
        <v>0.30889146542509821</v>
      </c>
      <c r="AH11" s="87">
        <v>0.30889146542509821</v>
      </c>
      <c r="AI11" s="87">
        <v>0.24859976328073571</v>
      </c>
      <c r="AJ11" s="87">
        <v>0.22574636007756246</v>
      </c>
      <c r="AK11" s="51">
        <v>0</v>
      </c>
      <c r="AL11" s="216">
        <v>7.0000000000000007E-2</v>
      </c>
      <c r="AM11" s="88">
        <v>0</v>
      </c>
      <c r="AN11" s="88">
        <v>0</v>
      </c>
      <c r="AO11" s="88">
        <v>0</v>
      </c>
      <c r="AP11" s="88">
        <v>0</v>
      </c>
      <c r="AQ11" s="88">
        <v>0</v>
      </c>
      <c r="AR11" s="88">
        <v>0</v>
      </c>
      <c r="AS11" s="88">
        <v>0</v>
      </c>
      <c r="AT11" s="88">
        <v>0</v>
      </c>
      <c r="AU11" s="88">
        <v>6.6068002783173568E-2</v>
      </c>
      <c r="AV11" s="88">
        <v>6.6068002783173568E-2</v>
      </c>
      <c r="AW11" s="88">
        <v>6.6068002783173568E-2</v>
      </c>
      <c r="AX11" s="88">
        <v>6.6068002783173568E-2</v>
      </c>
      <c r="AY11" s="88">
        <v>0</v>
      </c>
      <c r="AZ11" s="88">
        <v>6.1967076055427929E-2</v>
      </c>
      <c r="BA11" s="88">
        <v>6.1967076055427929E-2</v>
      </c>
      <c r="BB11" s="88">
        <v>0.25464049801173255</v>
      </c>
      <c r="BC11" s="88">
        <v>0.25464049801173255</v>
      </c>
      <c r="BD11" s="88">
        <v>0</v>
      </c>
      <c r="BE11" s="88">
        <v>0</v>
      </c>
      <c r="BF11" s="88" t="s">
        <v>18</v>
      </c>
      <c r="BG11" s="88" t="s">
        <v>18</v>
      </c>
      <c r="BH11" s="88" t="s">
        <v>18</v>
      </c>
      <c r="BI11" s="88" t="s">
        <v>18</v>
      </c>
      <c r="BJ11" s="88" t="s">
        <v>18</v>
      </c>
      <c r="BK11" s="88" t="s">
        <v>18</v>
      </c>
      <c r="BL11" s="88" t="s">
        <v>18</v>
      </c>
      <c r="BM11" s="88" t="s">
        <v>18</v>
      </c>
      <c r="BN11" s="88" t="s">
        <v>18</v>
      </c>
      <c r="BO11" s="88" t="s">
        <v>18</v>
      </c>
      <c r="BP11" s="88" t="s">
        <v>18</v>
      </c>
    </row>
    <row r="12" spans="1:68" hidden="1" outlineLevel="1">
      <c r="B12" s="86" t="s">
        <v>33</v>
      </c>
      <c r="C12" s="87" t="s">
        <v>18</v>
      </c>
      <c r="D12" s="87">
        <v>0</v>
      </c>
      <c r="E12" s="87">
        <v>0</v>
      </c>
      <c r="F12" s="87">
        <v>0</v>
      </c>
      <c r="G12" s="87">
        <v>0</v>
      </c>
      <c r="H12" s="87">
        <v>0</v>
      </c>
      <c r="I12" s="87">
        <v>0</v>
      </c>
      <c r="J12" s="87">
        <v>0</v>
      </c>
      <c r="K12" s="87">
        <v>0</v>
      </c>
      <c r="L12" s="87">
        <v>0</v>
      </c>
      <c r="M12" s="87">
        <v>0</v>
      </c>
      <c r="N12" s="87">
        <v>0</v>
      </c>
      <c r="O12" s="87">
        <v>0</v>
      </c>
      <c r="P12" s="87">
        <v>0</v>
      </c>
      <c r="Q12" s="87">
        <v>0</v>
      </c>
      <c r="R12" s="87">
        <v>0</v>
      </c>
      <c r="S12" s="87">
        <v>0</v>
      </c>
      <c r="T12" s="87">
        <v>0</v>
      </c>
      <c r="U12" s="87">
        <v>0</v>
      </c>
      <c r="V12" s="87">
        <v>0</v>
      </c>
      <c r="W12" s="87">
        <v>8.5999999999999993E-2</v>
      </c>
      <c r="X12" s="87">
        <v>0.19</v>
      </c>
      <c r="Y12" s="87">
        <v>0.19</v>
      </c>
      <c r="Z12" s="88">
        <v>0.18966297197440751</v>
      </c>
      <c r="AA12" s="88">
        <v>0.18966297197440751</v>
      </c>
      <c r="AB12" s="88">
        <v>0.16639999999999999</v>
      </c>
      <c r="AC12" s="87">
        <v>0.17204830134270524</v>
      </c>
      <c r="AD12" s="87">
        <v>0.17204830134270524</v>
      </c>
      <c r="AE12" s="87">
        <v>0.17204830134270524</v>
      </c>
      <c r="AF12" s="87">
        <v>0.17799999999999999</v>
      </c>
      <c r="AG12" s="87">
        <v>8.9168636806477297E-2</v>
      </c>
      <c r="AH12" s="87">
        <v>8.9168636806477297E-2</v>
      </c>
      <c r="AI12" s="87">
        <v>8.9168636806477297E-2</v>
      </c>
      <c r="AJ12" s="87">
        <v>0</v>
      </c>
      <c r="AK12" s="51">
        <v>0.30499999999999999</v>
      </c>
      <c r="AL12" s="216">
        <v>0.30499999999999999</v>
      </c>
      <c r="AM12" s="88">
        <v>0.23784322265769695</v>
      </c>
      <c r="AN12" s="88">
        <v>0.23366222624609395</v>
      </c>
      <c r="AO12" s="88">
        <v>0.23784309497457626</v>
      </c>
      <c r="AP12" s="88">
        <v>0</v>
      </c>
      <c r="AQ12" s="88">
        <v>6.70196670355932E-2</v>
      </c>
      <c r="AR12" s="88">
        <v>0.15243138100508472</v>
      </c>
      <c r="AS12" s="88">
        <v>0.15243138100508472</v>
      </c>
      <c r="AT12" s="88">
        <v>7.9519688122152168E-2</v>
      </c>
      <c r="AU12" s="88">
        <v>7.9519688122152168E-2</v>
      </c>
      <c r="AV12" s="88">
        <v>7.9519688122152168E-2</v>
      </c>
      <c r="AW12" s="88">
        <v>7.9519688122152168E-2</v>
      </c>
      <c r="AX12" s="88">
        <v>7.9519688122152168E-2</v>
      </c>
      <c r="AY12" s="88">
        <v>0</v>
      </c>
      <c r="AZ12" s="88">
        <v>0</v>
      </c>
      <c r="BA12" s="88">
        <v>0</v>
      </c>
      <c r="BB12" s="88">
        <v>0</v>
      </c>
      <c r="BC12" s="88">
        <v>7.9519688122152168E-2</v>
      </c>
      <c r="BD12" s="88">
        <v>0</v>
      </c>
      <c r="BE12" s="88">
        <v>4.2664456421235022E-2</v>
      </c>
      <c r="BF12" s="88" t="s">
        <v>18</v>
      </c>
      <c r="BG12" s="88" t="s">
        <v>18</v>
      </c>
      <c r="BH12" s="88" t="s">
        <v>18</v>
      </c>
      <c r="BI12" s="88" t="s">
        <v>18</v>
      </c>
      <c r="BJ12" s="88" t="s">
        <v>18</v>
      </c>
      <c r="BK12" s="88" t="s">
        <v>18</v>
      </c>
      <c r="BL12" s="88" t="s">
        <v>18</v>
      </c>
      <c r="BM12" s="88" t="s">
        <v>18</v>
      </c>
      <c r="BN12" s="88" t="s">
        <v>18</v>
      </c>
      <c r="BO12" s="88" t="s">
        <v>18</v>
      </c>
      <c r="BP12" s="88" t="s">
        <v>18</v>
      </c>
    </row>
    <row r="13" spans="1:68" hidden="1" outlineLevel="1">
      <c r="A13" t="s">
        <v>28</v>
      </c>
      <c r="B13" s="23" t="s">
        <v>28</v>
      </c>
      <c r="C13" s="87" t="s">
        <v>18</v>
      </c>
      <c r="D13" s="87" t="s">
        <v>18</v>
      </c>
      <c r="E13" s="87" t="s">
        <v>18</v>
      </c>
      <c r="F13" s="87" t="s">
        <v>18</v>
      </c>
      <c r="G13" s="87" t="s">
        <v>18</v>
      </c>
      <c r="H13" s="87" t="s">
        <v>18</v>
      </c>
      <c r="I13" s="87" t="s">
        <v>18</v>
      </c>
      <c r="J13" s="87" t="s">
        <v>18</v>
      </c>
      <c r="K13" s="87" t="s">
        <v>18</v>
      </c>
      <c r="L13" s="87" t="s">
        <v>18</v>
      </c>
      <c r="M13" s="87" t="s">
        <v>18</v>
      </c>
      <c r="N13" s="87" t="s">
        <v>18</v>
      </c>
      <c r="O13" s="87" t="s">
        <v>18</v>
      </c>
      <c r="P13" s="87" t="s">
        <v>18</v>
      </c>
      <c r="Q13" s="87" t="s">
        <v>18</v>
      </c>
      <c r="R13" s="87" t="s">
        <v>18</v>
      </c>
      <c r="S13" s="87" t="s">
        <v>18</v>
      </c>
      <c r="T13" s="87" t="s">
        <v>18</v>
      </c>
      <c r="U13" s="87" t="s">
        <v>18</v>
      </c>
      <c r="V13" s="87" t="s">
        <v>18</v>
      </c>
      <c r="W13" s="87" t="s">
        <v>18</v>
      </c>
      <c r="X13" s="87" t="s">
        <v>18</v>
      </c>
      <c r="Y13" s="87">
        <v>1</v>
      </c>
      <c r="Z13" s="88">
        <v>1</v>
      </c>
      <c r="AA13" s="88">
        <v>1</v>
      </c>
      <c r="AB13" s="88">
        <v>1</v>
      </c>
      <c r="AC13" s="87">
        <v>1</v>
      </c>
      <c r="AD13" s="87">
        <v>1</v>
      </c>
      <c r="AE13" s="87">
        <v>1</v>
      </c>
      <c r="AF13" s="87">
        <v>1</v>
      </c>
      <c r="AG13" s="87">
        <v>0.87500918644815162</v>
      </c>
      <c r="AH13" s="87">
        <v>0.87500918644815162</v>
      </c>
      <c r="AI13" s="87">
        <v>0.87500918644815195</v>
      </c>
      <c r="AJ13" s="87">
        <v>0.62513779672227532</v>
      </c>
      <c r="AK13" s="51">
        <v>0.5</v>
      </c>
      <c r="AL13" s="216">
        <v>0.49199999999999999</v>
      </c>
      <c r="AM13" s="88">
        <v>0.35925146757553761</v>
      </c>
      <c r="AN13" s="88">
        <v>0.375</v>
      </c>
      <c r="AO13" s="88">
        <v>0.375</v>
      </c>
      <c r="AP13" s="88">
        <v>0.375</v>
      </c>
      <c r="AQ13" s="88">
        <v>0.375</v>
      </c>
      <c r="AR13" s="88">
        <v>0.37509301535097794</v>
      </c>
      <c r="AS13" s="88">
        <v>0.37509301535097794</v>
      </c>
      <c r="AT13" s="88">
        <v>0.37509301535097794</v>
      </c>
      <c r="AU13" s="88">
        <v>0.37509301535097794</v>
      </c>
      <c r="AV13" s="88">
        <v>0.37509301535097794</v>
      </c>
      <c r="AW13" s="88">
        <v>0.37509301535097794</v>
      </c>
      <c r="AX13" s="88">
        <v>0.43758037846775677</v>
      </c>
      <c r="AY13" s="88">
        <v>0.43758037846775677</v>
      </c>
      <c r="AZ13" s="88">
        <v>0.43758037846775677</v>
      </c>
      <c r="BA13" s="88">
        <v>0.43758037846775677</v>
      </c>
      <c r="BB13" s="88">
        <v>0.43758037846775677</v>
      </c>
      <c r="BC13" s="88">
        <v>0.50000918611060086</v>
      </c>
      <c r="BD13" s="88">
        <v>0.50000918611060086</v>
      </c>
      <c r="BE13" s="88">
        <v>0.37501377916590117</v>
      </c>
      <c r="BF13" s="88">
        <v>0.43749770347234984</v>
      </c>
      <c r="BG13" s="88">
        <v>0.43749770347234984</v>
      </c>
      <c r="BH13" s="88">
        <v>0.56249986221336046</v>
      </c>
      <c r="BI13" s="88">
        <v>0.56249986221336046</v>
      </c>
      <c r="BJ13" s="88">
        <v>0.56251377967222749</v>
      </c>
      <c r="BK13" s="88">
        <v>0.68748622032777229</v>
      </c>
      <c r="BL13" s="88">
        <v>0.62499999999999989</v>
      </c>
      <c r="BM13" s="88">
        <v>0.62501033446935939</v>
      </c>
      <c r="BN13" s="88">
        <v>0.62501033446935939</v>
      </c>
      <c r="BO13" s="88">
        <v>0.62501033446935939</v>
      </c>
      <c r="BP13" s="88">
        <v>0.62501033446935939</v>
      </c>
    </row>
    <row r="14" spans="1:68" hidden="1" outlineLevel="1">
      <c r="B14" s="86" t="s">
        <v>27</v>
      </c>
      <c r="C14" s="87" t="s">
        <v>18</v>
      </c>
      <c r="D14" s="87" t="s">
        <v>18</v>
      </c>
      <c r="E14" s="87" t="s">
        <v>18</v>
      </c>
      <c r="F14" s="87" t="s">
        <v>18</v>
      </c>
      <c r="G14" s="87" t="s">
        <v>18</v>
      </c>
      <c r="H14" s="87" t="s">
        <v>18</v>
      </c>
      <c r="I14" s="87" t="s">
        <v>18</v>
      </c>
      <c r="J14" s="87" t="s">
        <v>18</v>
      </c>
      <c r="K14" s="87" t="s">
        <v>18</v>
      </c>
      <c r="L14" s="87" t="s">
        <v>18</v>
      </c>
      <c r="M14" s="87" t="s">
        <v>18</v>
      </c>
      <c r="N14" s="87" t="s">
        <v>18</v>
      </c>
      <c r="O14" s="87" t="s">
        <v>18</v>
      </c>
      <c r="P14" s="87" t="s">
        <v>18</v>
      </c>
      <c r="Q14" s="87" t="s">
        <v>18</v>
      </c>
      <c r="R14" s="87" t="s">
        <v>18</v>
      </c>
      <c r="S14" s="87" t="s">
        <v>18</v>
      </c>
      <c r="T14" s="87" t="s">
        <v>18</v>
      </c>
      <c r="U14" s="87" t="s">
        <v>18</v>
      </c>
      <c r="V14" s="87" t="s">
        <v>18</v>
      </c>
      <c r="W14" s="87" t="s">
        <v>18</v>
      </c>
      <c r="X14" s="87" t="s">
        <v>18</v>
      </c>
      <c r="Y14" s="87" t="s">
        <v>18</v>
      </c>
      <c r="Z14" s="88" t="s">
        <v>18</v>
      </c>
      <c r="AA14" s="88" t="s">
        <v>18</v>
      </c>
      <c r="AB14" s="88" t="s">
        <v>18</v>
      </c>
      <c r="AC14" s="87" t="s">
        <v>18</v>
      </c>
      <c r="AD14" s="87" t="s">
        <v>18</v>
      </c>
      <c r="AE14" s="87" t="s">
        <v>18</v>
      </c>
      <c r="AF14" s="87" t="s">
        <v>18</v>
      </c>
      <c r="AG14" s="87" t="s">
        <v>18</v>
      </c>
      <c r="AH14" s="87" t="s">
        <v>18</v>
      </c>
      <c r="AI14" s="87" t="s">
        <v>18</v>
      </c>
      <c r="AJ14" s="87" t="s">
        <v>18</v>
      </c>
      <c r="AK14" s="51" t="s">
        <v>18</v>
      </c>
      <c r="AL14" s="216" t="s">
        <v>18</v>
      </c>
      <c r="AM14" s="88" t="s">
        <v>18</v>
      </c>
      <c r="AN14" s="88">
        <v>0.42307692307692307</v>
      </c>
      <c r="AO14" s="88">
        <v>0.42307692307692307</v>
      </c>
      <c r="AP14" s="88">
        <v>0.42307692307692307</v>
      </c>
      <c r="AQ14" s="88">
        <v>0.32324501048237392</v>
      </c>
      <c r="AR14" s="88">
        <v>0.32324501048237392</v>
      </c>
      <c r="AS14" s="88">
        <v>0.32324501048237392</v>
      </c>
      <c r="AT14" s="88">
        <v>0.13853357592101739</v>
      </c>
      <c r="AU14" s="88">
        <v>0.13853357592101739</v>
      </c>
      <c r="AV14" s="88">
        <v>4.6177858640339131E-2</v>
      </c>
      <c r="AW14" s="88">
        <v>4.6177858640339131E-2</v>
      </c>
      <c r="AX14" s="88">
        <v>0</v>
      </c>
      <c r="AY14" s="88">
        <v>0</v>
      </c>
      <c r="AZ14" s="88">
        <v>0</v>
      </c>
      <c r="BA14" s="88">
        <v>0</v>
      </c>
      <c r="BB14" s="88">
        <v>0</v>
      </c>
      <c r="BC14" s="88">
        <v>0</v>
      </c>
      <c r="BD14" s="88">
        <v>0</v>
      </c>
      <c r="BE14" s="88">
        <v>0</v>
      </c>
      <c r="BF14" s="88" t="s">
        <v>18</v>
      </c>
      <c r="BG14" s="88" t="s">
        <v>18</v>
      </c>
      <c r="BH14" s="88" t="s">
        <v>18</v>
      </c>
      <c r="BI14" s="88" t="s">
        <v>18</v>
      </c>
      <c r="BJ14" s="88" t="s">
        <v>18</v>
      </c>
      <c r="BK14" s="88" t="s">
        <v>18</v>
      </c>
      <c r="BL14" s="88" t="s">
        <v>18</v>
      </c>
      <c r="BM14" s="88" t="s">
        <v>18</v>
      </c>
      <c r="BN14" s="88" t="s">
        <v>18</v>
      </c>
      <c r="BO14" s="88" t="s">
        <v>18</v>
      </c>
      <c r="BP14" s="88" t="s">
        <v>18</v>
      </c>
    </row>
    <row r="15" spans="1:68" hidden="1" outlineLevel="1">
      <c r="B15" s="86" t="s">
        <v>19</v>
      </c>
      <c r="C15" s="87" t="s">
        <v>18</v>
      </c>
      <c r="D15" s="87" t="s">
        <v>18</v>
      </c>
      <c r="E15" s="87" t="s">
        <v>18</v>
      </c>
      <c r="F15" s="87" t="s">
        <v>18</v>
      </c>
      <c r="G15" s="87" t="s">
        <v>18</v>
      </c>
      <c r="H15" s="87" t="s">
        <v>18</v>
      </c>
      <c r="I15" s="87" t="s">
        <v>18</v>
      </c>
      <c r="J15" s="87" t="s">
        <v>18</v>
      </c>
      <c r="K15" s="87" t="s">
        <v>18</v>
      </c>
      <c r="L15" s="87" t="s">
        <v>18</v>
      </c>
      <c r="M15" s="87" t="s">
        <v>18</v>
      </c>
      <c r="N15" s="87" t="s">
        <v>18</v>
      </c>
      <c r="O15" s="87" t="s">
        <v>18</v>
      </c>
      <c r="P15" s="87" t="s">
        <v>18</v>
      </c>
      <c r="Q15" s="87" t="s">
        <v>18</v>
      </c>
      <c r="R15" s="87" t="s">
        <v>18</v>
      </c>
      <c r="S15" s="87" t="s">
        <v>18</v>
      </c>
      <c r="T15" s="87" t="s">
        <v>18</v>
      </c>
      <c r="U15" s="87" t="s">
        <v>18</v>
      </c>
      <c r="V15" s="87" t="s">
        <v>18</v>
      </c>
      <c r="W15" s="87" t="s">
        <v>18</v>
      </c>
      <c r="X15" s="87" t="s">
        <v>18</v>
      </c>
      <c r="Y15" s="87" t="s">
        <v>18</v>
      </c>
      <c r="Z15" s="88" t="s">
        <v>18</v>
      </c>
      <c r="AA15" s="88" t="s">
        <v>18</v>
      </c>
      <c r="AB15" s="88" t="s">
        <v>18</v>
      </c>
      <c r="AC15" s="87">
        <v>0.70052428109940157</v>
      </c>
      <c r="AD15" s="87">
        <v>0.70052428109940157</v>
      </c>
      <c r="AE15" s="87">
        <v>0.70052428109940157</v>
      </c>
      <c r="AF15" s="87">
        <v>0.497</v>
      </c>
      <c r="AG15" s="87">
        <v>0.24749681275345115</v>
      </c>
      <c r="AH15" s="87">
        <v>0.1323142739090841</v>
      </c>
      <c r="AI15" s="87" t="s">
        <v>18</v>
      </c>
      <c r="AJ15" s="87" t="s">
        <v>18</v>
      </c>
      <c r="AK15" s="51" t="s">
        <v>18</v>
      </c>
      <c r="AL15" s="216" t="s">
        <v>18</v>
      </c>
      <c r="AM15" s="216" t="s">
        <v>18</v>
      </c>
      <c r="AN15" s="216" t="s">
        <v>18</v>
      </c>
      <c r="AO15" s="216" t="s">
        <v>18</v>
      </c>
      <c r="AP15" s="216" t="s">
        <v>18</v>
      </c>
      <c r="AQ15" s="216" t="s">
        <v>18</v>
      </c>
      <c r="AR15" s="216" t="s">
        <v>18</v>
      </c>
      <c r="AS15" s="216" t="s">
        <v>18</v>
      </c>
      <c r="AT15" s="216" t="s">
        <v>18</v>
      </c>
      <c r="AU15" s="216" t="s">
        <v>18</v>
      </c>
      <c r="AV15" s="216" t="s">
        <v>18</v>
      </c>
      <c r="AW15" s="216" t="s">
        <v>18</v>
      </c>
      <c r="AX15" s="216" t="s">
        <v>18</v>
      </c>
      <c r="AY15" s="88" t="s">
        <v>18</v>
      </c>
      <c r="AZ15" s="88" t="s">
        <v>18</v>
      </c>
      <c r="BA15" s="88" t="s">
        <v>18</v>
      </c>
      <c r="BB15" s="88" t="s">
        <v>18</v>
      </c>
      <c r="BC15" s="88" t="s">
        <v>18</v>
      </c>
      <c r="BD15" s="88" t="s">
        <v>18</v>
      </c>
      <c r="BE15" s="88" t="s">
        <v>18</v>
      </c>
      <c r="BF15" s="88" t="s">
        <v>18</v>
      </c>
      <c r="BG15" s="88" t="s">
        <v>18</v>
      </c>
      <c r="BH15" s="88" t="s">
        <v>18</v>
      </c>
      <c r="BI15" s="88" t="s">
        <v>18</v>
      </c>
      <c r="BJ15" s="88" t="s">
        <v>18</v>
      </c>
      <c r="BK15" s="88" t="s">
        <v>18</v>
      </c>
      <c r="BL15" s="88" t="s">
        <v>18</v>
      </c>
      <c r="BM15" s="88" t="s">
        <v>18</v>
      </c>
      <c r="BN15" s="88" t="s">
        <v>18</v>
      </c>
      <c r="BO15" s="88" t="s">
        <v>18</v>
      </c>
      <c r="BP15" s="88" t="s">
        <v>18</v>
      </c>
    </row>
    <row r="16" spans="1:68" hidden="1" outlineLevel="1">
      <c r="B16" s="86" t="s">
        <v>5</v>
      </c>
      <c r="C16" s="87" t="s">
        <v>18</v>
      </c>
      <c r="D16" s="87" t="s">
        <v>18</v>
      </c>
      <c r="E16" s="87" t="s">
        <v>18</v>
      </c>
      <c r="F16" s="87" t="s">
        <v>18</v>
      </c>
      <c r="G16" s="87">
        <v>1</v>
      </c>
      <c r="H16" s="87">
        <v>0.86</v>
      </c>
      <c r="I16" s="87">
        <v>0.42</v>
      </c>
      <c r="J16" s="87">
        <v>0</v>
      </c>
      <c r="K16" s="87">
        <v>0</v>
      </c>
      <c r="L16" s="87">
        <v>0</v>
      </c>
      <c r="M16" s="87">
        <v>0</v>
      </c>
      <c r="N16" s="87">
        <v>0</v>
      </c>
      <c r="O16" s="87">
        <v>0</v>
      </c>
      <c r="P16" s="87" t="s">
        <v>18</v>
      </c>
      <c r="Q16" s="87" t="s">
        <v>18</v>
      </c>
      <c r="R16" s="87" t="s">
        <v>18</v>
      </c>
      <c r="S16" s="87" t="s">
        <v>18</v>
      </c>
      <c r="T16" s="87" t="s">
        <v>18</v>
      </c>
      <c r="U16" s="87" t="s">
        <v>18</v>
      </c>
      <c r="V16" s="87" t="s">
        <v>18</v>
      </c>
      <c r="W16" s="87" t="s">
        <v>18</v>
      </c>
      <c r="X16" s="87" t="s">
        <v>18</v>
      </c>
      <c r="Y16" s="87" t="s">
        <v>18</v>
      </c>
      <c r="Z16" s="88" t="s">
        <v>18</v>
      </c>
      <c r="AA16" s="88" t="s">
        <v>18</v>
      </c>
      <c r="AB16" s="88" t="s">
        <v>18</v>
      </c>
      <c r="AC16" s="87" t="s">
        <v>18</v>
      </c>
      <c r="AD16" s="87" t="s">
        <v>18</v>
      </c>
      <c r="AE16" s="87" t="s">
        <v>18</v>
      </c>
      <c r="AF16" s="87" t="s">
        <v>18</v>
      </c>
      <c r="AG16" s="87" t="s">
        <v>18</v>
      </c>
      <c r="AH16" s="87" t="s">
        <v>18</v>
      </c>
      <c r="AI16" s="87" t="s">
        <v>18</v>
      </c>
      <c r="AJ16" s="87" t="s">
        <v>18</v>
      </c>
      <c r="AK16" s="51" t="s">
        <v>18</v>
      </c>
      <c r="AL16" s="216" t="s">
        <v>18</v>
      </c>
      <c r="AM16" s="216" t="s">
        <v>18</v>
      </c>
      <c r="AN16" s="216" t="s">
        <v>18</v>
      </c>
      <c r="AO16" s="216" t="s">
        <v>18</v>
      </c>
      <c r="AP16" s="216" t="s">
        <v>18</v>
      </c>
      <c r="AQ16" s="216" t="s">
        <v>18</v>
      </c>
      <c r="AR16" s="216" t="s">
        <v>18</v>
      </c>
      <c r="AS16" s="216" t="s">
        <v>18</v>
      </c>
      <c r="AT16" s="216" t="s">
        <v>18</v>
      </c>
      <c r="AU16" s="216" t="s">
        <v>18</v>
      </c>
      <c r="AV16" s="216" t="s">
        <v>18</v>
      </c>
      <c r="AW16" s="216" t="s">
        <v>18</v>
      </c>
      <c r="AX16" s="216" t="s">
        <v>18</v>
      </c>
      <c r="AY16" s="88" t="s">
        <v>18</v>
      </c>
      <c r="AZ16" s="88" t="s">
        <v>18</v>
      </c>
      <c r="BA16" s="88" t="s">
        <v>18</v>
      </c>
      <c r="BB16" s="88" t="s">
        <v>18</v>
      </c>
      <c r="BC16" s="88" t="s">
        <v>18</v>
      </c>
      <c r="BD16" s="88" t="s">
        <v>18</v>
      </c>
      <c r="BE16" s="88" t="s">
        <v>18</v>
      </c>
      <c r="BF16" s="88" t="s">
        <v>18</v>
      </c>
      <c r="BG16" s="88" t="s">
        <v>18</v>
      </c>
      <c r="BH16" s="88" t="s">
        <v>18</v>
      </c>
      <c r="BI16" s="88" t="s">
        <v>18</v>
      </c>
      <c r="BJ16" s="88" t="s">
        <v>18</v>
      </c>
      <c r="BK16" s="88" t="s">
        <v>18</v>
      </c>
      <c r="BL16" s="88" t="s">
        <v>18</v>
      </c>
      <c r="BM16" s="88" t="s">
        <v>18</v>
      </c>
      <c r="BN16" s="88" t="s">
        <v>18</v>
      </c>
      <c r="BO16" s="88" t="s">
        <v>18</v>
      </c>
      <c r="BP16" s="88" t="s">
        <v>18</v>
      </c>
    </row>
    <row r="17" spans="1:68" hidden="1" outlineLevel="1">
      <c r="A17" t="s">
        <v>48</v>
      </c>
      <c r="B17" s="86" t="s">
        <v>48</v>
      </c>
      <c r="C17" s="87" t="s">
        <v>18</v>
      </c>
      <c r="D17" s="87" t="s">
        <v>18</v>
      </c>
      <c r="E17" s="87" t="s">
        <v>18</v>
      </c>
      <c r="F17" s="87" t="s">
        <v>18</v>
      </c>
      <c r="G17" s="87" t="s">
        <v>18</v>
      </c>
      <c r="H17" s="87" t="s">
        <v>18</v>
      </c>
      <c r="I17" s="87" t="s">
        <v>18</v>
      </c>
      <c r="J17" s="87" t="s">
        <v>18</v>
      </c>
      <c r="K17" s="87" t="s">
        <v>18</v>
      </c>
      <c r="L17" s="87" t="s">
        <v>18</v>
      </c>
      <c r="M17" s="87" t="s">
        <v>18</v>
      </c>
      <c r="N17" s="87" t="s">
        <v>18</v>
      </c>
      <c r="O17" s="87" t="s">
        <v>18</v>
      </c>
      <c r="P17" s="87" t="s">
        <v>18</v>
      </c>
      <c r="Q17" s="87" t="s">
        <v>18</v>
      </c>
      <c r="R17" s="87" t="s">
        <v>18</v>
      </c>
      <c r="S17" s="87" t="s">
        <v>18</v>
      </c>
      <c r="T17" s="87" t="s">
        <v>18</v>
      </c>
      <c r="U17" s="87" t="s">
        <v>18</v>
      </c>
      <c r="V17" s="87" t="s">
        <v>18</v>
      </c>
      <c r="W17" s="87" t="s">
        <v>18</v>
      </c>
      <c r="X17" s="87" t="s">
        <v>18</v>
      </c>
      <c r="Y17" s="87" t="s">
        <v>18</v>
      </c>
      <c r="Z17" s="87" t="s">
        <v>18</v>
      </c>
      <c r="AA17" s="87" t="s">
        <v>18</v>
      </c>
      <c r="AB17" s="87" t="s">
        <v>18</v>
      </c>
      <c r="AC17" s="87" t="s">
        <v>18</v>
      </c>
      <c r="AD17" s="87" t="s">
        <v>18</v>
      </c>
      <c r="AE17" s="87" t="s">
        <v>18</v>
      </c>
      <c r="AF17" s="87" t="s">
        <v>18</v>
      </c>
      <c r="AG17" s="87" t="s">
        <v>18</v>
      </c>
      <c r="AH17" s="87" t="s">
        <v>18</v>
      </c>
      <c r="AI17" s="87" t="s">
        <v>18</v>
      </c>
      <c r="AJ17" s="87" t="s">
        <v>18</v>
      </c>
      <c r="AK17" s="87" t="s">
        <v>18</v>
      </c>
      <c r="AL17" s="88" t="s">
        <v>18</v>
      </c>
      <c r="AM17" s="88" t="s">
        <v>18</v>
      </c>
      <c r="AN17" s="88" t="s">
        <v>18</v>
      </c>
      <c r="AO17" s="88" t="s">
        <v>18</v>
      </c>
      <c r="AP17" s="88" t="s">
        <v>18</v>
      </c>
      <c r="AQ17" s="88" t="s">
        <v>18</v>
      </c>
      <c r="AR17" s="88" t="s">
        <v>18</v>
      </c>
      <c r="AS17" s="88" t="s">
        <v>18</v>
      </c>
      <c r="AT17" s="88" t="s">
        <v>18</v>
      </c>
      <c r="AU17" s="88" t="s">
        <v>18</v>
      </c>
      <c r="AV17" s="88" t="s">
        <v>18</v>
      </c>
      <c r="AW17" s="88" t="s">
        <v>18</v>
      </c>
      <c r="AX17" s="216">
        <v>0</v>
      </c>
      <c r="AY17" s="216">
        <v>0</v>
      </c>
      <c r="AZ17" s="216">
        <v>5.5555131264916471E-2</v>
      </c>
      <c r="BA17" s="216">
        <v>5.5555131264916471E-2</v>
      </c>
      <c r="BB17" s="216">
        <v>0</v>
      </c>
      <c r="BC17" s="216">
        <v>0</v>
      </c>
      <c r="BD17" s="216">
        <v>5.5555131264916471E-2</v>
      </c>
      <c r="BE17" s="216">
        <v>0</v>
      </c>
      <c r="BF17" s="88">
        <v>5.5555555555555539E-2</v>
      </c>
      <c r="BG17" s="88">
        <v>0.1317395347911931</v>
      </c>
      <c r="BH17" s="88">
        <v>0.13068376552755223</v>
      </c>
      <c r="BI17" s="88">
        <v>0.13068376552755223</v>
      </c>
      <c r="BJ17" s="88">
        <v>8.3502842279592746E-2</v>
      </c>
      <c r="BK17" s="88">
        <v>8.3502842279592746E-2</v>
      </c>
      <c r="BL17" s="88">
        <v>8.3502842279592746E-2</v>
      </c>
      <c r="BM17" s="88">
        <v>8.350284987638816E-2</v>
      </c>
      <c r="BN17" s="88">
        <v>8.350284987638816E-2</v>
      </c>
      <c r="BO17" s="88">
        <v>8.350284987638816E-2</v>
      </c>
      <c r="BP17" s="88">
        <v>0.13173954198815718</v>
      </c>
    </row>
    <row r="18" spans="1:68" hidden="1" outlineLevel="1">
      <c r="A18" t="s">
        <v>49</v>
      </c>
      <c r="B18" s="86" t="s">
        <v>49</v>
      </c>
      <c r="C18" s="87" t="s">
        <v>18</v>
      </c>
      <c r="D18" s="87" t="s">
        <v>18</v>
      </c>
      <c r="E18" s="87" t="s">
        <v>18</v>
      </c>
      <c r="F18" s="87" t="s">
        <v>18</v>
      </c>
      <c r="G18" s="87" t="s">
        <v>18</v>
      </c>
      <c r="H18" s="87" t="s">
        <v>18</v>
      </c>
      <c r="I18" s="87" t="s">
        <v>18</v>
      </c>
      <c r="J18" s="87" t="s">
        <v>18</v>
      </c>
      <c r="K18" s="87" t="s">
        <v>18</v>
      </c>
      <c r="L18" s="87" t="s">
        <v>18</v>
      </c>
      <c r="M18" s="87" t="s">
        <v>18</v>
      </c>
      <c r="N18" s="87" t="s">
        <v>18</v>
      </c>
      <c r="O18" s="87" t="s">
        <v>18</v>
      </c>
      <c r="P18" s="87" t="s">
        <v>18</v>
      </c>
      <c r="Q18" s="87" t="s">
        <v>18</v>
      </c>
      <c r="R18" s="87" t="s">
        <v>18</v>
      </c>
      <c r="S18" s="87" t="s">
        <v>18</v>
      </c>
      <c r="T18" s="87" t="s">
        <v>18</v>
      </c>
      <c r="U18" s="87" t="s">
        <v>18</v>
      </c>
      <c r="V18" s="87" t="s">
        <v>18</v>
      </c>
      <c r="W18" s="87" t="s">
        <v>18</v>
      </c>
      <c r="X18" s="87" t="s">
        <v>18</v>
      </c>
      <c r="Y18" s="87" t="s">
        <v>18</v>
      </c>
      <c r="Z18" s="87" t="s">
        <v>18</v>
      </c>
      <c r="AA18" s="87" t="s">
        <v>18</v>
      </c>
      <c r="AB18" s="87" t="s">
        <v>18</v>
      </c>
      <c r="AC18" s="87" t="s">
        <v>18</v>
      </c>
      <c r="AD18" s="87" t="s">
        <v>18</v>
      </c>
      <c r="AE18" s="87" t="s">
        <v>18</v>
      </c>
      <c r="AF18" s="87" t="s">
        <v>18</v>
      </c>
      <c r="AG18" s="87" t="s">
        <v>18</v>
      </c>
      <c r="AH18" s="87" t="s">
        <v>18</v>
      </c>
      <c r="AI18" s="87" t="s">
        <v>18</v>
      </c>
      <c r="AJ18" s="87" t="s">
        <v>18</v>
      </c>
      <c r="AK18" s="87" t="s">
        <v>18</v>
      </c>
      <c r="AL18" s="88" t="s">
        <v>18</v>
      </c>
      <c r="AM18" s="88" t="s">
        <v>18</v>
      </c>
      <c r="AN18" s="88" t="s">
        <v>18</v>
      </c>
      <c r="AO18" s="88" t="s">
        <v>18</v>
      </c>
      <c r="AP18" s="88" t="s">
        <v>18</v>
      </c>
      <c r="AQ18" s="88" t="s">
        <v>18</v>
      </c>
      <c r="AR18" s="88" t="s">
        <v>18</v>
      </c>
      <c r="AS18" s="88" t="s">
        <v>18</v>
      </c>
      <c r="AT18" s="88" t="s">
        <v>18</v>
      </c>
      <c r="AU18" s="88" t="s">
        <v>18</v>
      </c>
      <c r="AV18" s="88" t="s">
        <v>18</v>
      </c>
      <c r="AW18" s="88" t="s">
        <v>18</v>
      </c>
      <c r="AX18" s="216">
        <v>0</v>
      </c>
      <c r="AY18" s="216">
        <v>0</v>
      </c>
      <c r="AZ18" s="216">
        <v>0</v>
      </c>
      <c r="BA18" s="216">
        <v>0</v>
      </c>
      <c r="BB18" s="216">
        <v>0</v>
      </c>
      <c r="BC18" s="216">
        <v>2.6786461383984602E-2</v>
      </c>
      <c r="BD18" s="216">
        <v>4.810223342537584E-2</v>
      </c>
      <c r="BE18" s="216">
        <v>0.10073421067884956</v>
      </c>
      <c r="BF18" s="88">
        <v>0.10073421067884956</v>
      </c>
      <c r="BG18" s="88">
        <v>0.10073421067884959</v>
      </c>
      <c r="BH18" s="88">
        <v>0</v>
      </c>
      <c r="BI18" s="88">
        <v>0</v>
      </c>
      <c r="BJ18" s="88">
        <v>0</v>
      </c>
      <c r="BK18" s="88">
        <v>0</v>
      </c>
      <c r="BL18" s="88">
        <v>0</v>
      </c>
      <c r="BM18" s="88">
        <v>5.2631578947368397E-2</v>
      </c>
      <c r="BN18" s="88">
        <v>5.2631578947368397E-2</v>
      </c>
      <c r="BO18" s="88">
        <v>0</v>
      </c>
      <c r="BP18" s="88">
        <v>0</v>
      </c>
    </row>
    <row r="19" spans="1:68" collapsed="1">
      <c r="B19" s="85" t="str">
        <f>IF('Sumário | Summary'!P1=1,"Escritórios Classe A","Class A Offices")</f>
        <v>Escritórios Classe A</v>
      </c>
      <c r="C19" s="83">
        <v>9.9000000000000005E-2</v>
      </c>
      <c r="D19" s="83">
        <v>1.89E-2</v>
      </c>
      <c r="E19" s="83">
        <v>0</v>
      </c>
      <c r="F19" s="83">
        <v>0</v>
      </c>
      <c r="G19" s="83">
        <v>0</v>
      </c>
      <c r="H19" s="83">
        <v>0</v>
      </c>
      <c r="I19" s="83">
        <v>2.1000000000000001E-2</v>
      </c>
      <c r="J19" s="83">
        <v>0</v>
      </c>
      <c r="K19" s="83">
        <v>0</v>
      </c>
      <c r="L19" s="83">
        <v>0.121</v>
      </c>
      <c r="M19" s="83">
        <v>1.9E-2</v>
      </c>
      <c r="N19" s="83">
        <v>2.9000000000000001E-2</v>
      </c>
      <c r="O19" s="83">
        <v>5.0000000000000001E-3</v>
      </c>
      <c r="P19" s="83">
        <v>0</v>
      </c>
      <c r="Q19" s="83">
        <v>0</v>
      </c>
      <c r="R19" s="83">
        <v>3.7999999999999999E-2</v>
      </c>
      <c r="S19" s="83">
        <v>3.7999999999999999E-2</v>
      </c>
      <c r="T19" s="83">
        <v>0</v>
      </c>
      <c r="U19" s="83">
        <v>0</v>
      </c>
      <c r="V19" s="83">
        <v>0</v>
      </c>
      <c r="W19" s="83">
        <v>0</v>
      </c>
      <c r="X19" s="83">
        <v>0</v>
      </c>
      <c r="Y19" s="83">
        <v>0</v>
      </c>
      <c r="Z19" s="84">
        <v>1.0999999999999999E-2</v>
      </c>
      <c r="AA19" s="84">
        <v>2.1000000000000001E-2</v>
      </c>
      <c r="AB19" s="84">
        <v>2.1000000000000001E-2</v>
      </c>
      <c r="AC19" s="83">
        <v>2.1000000000000001E-2</v>
      </c>
      <c r="AD19" s="83">
        <v>5.8000000000000003E-2</v>
      </c>
      <c r="AE19" s="83">
        <v>4.2999999999999997E-2</v>
      </c>
      <c r="AF19" s="83">
        <v>7.0000000000000007E-2</v>
      </c>
      <c r="AG19" s="83">
        <v>5.8000000000000003E-2</v>
      </c>
      <c r="AH19" s="83">
        <v>6.4000000000000001E-2</v>
      </c>
      <c r="AI19" s="83">
        <v>6.4000000000000001E-2</v>
      </c>
      <c r="AJ19" s="83">
        <v>8.5000000000000006E-2</v>
      </c>
      <c r="AK19" s="41">
        <v>8.5000000000000006E-2</v>
      </c>
      <c r="AL19" s="215">
        <v>9.06E-2</v>
      </c>
      <c r="AM19" s="84">
        <v>4.9220845161454418E-2</v>
      </c>
      <c r="AN19" s="84">
        <v>0.11507961471808781</v>
      </c>
      <c r="AO19" s="84">
        <v>0.13028865884485796</v>
      </c>
      <c r="AP19" s="84">
        <v>0.11095624418262873</v>
      </c>
      <c r="AQ19" s="84">
        <v>0.17640808014854104</v>
      </c>
      <c r="AR19" s="84">
        <v>0.17646941225230761</v>
      </c>
      <c r="AS19" s="84">
        <v>0.15155086879345137</v>
      </c>
      <c r="AT19" s="84">
        <v>0.15172750525229795</v>
      </c>
      <c r="AU19" s="84">
        <v>0.15950274460057989</v>
      </c>
      <c r="AV19" s="84">
        <v>0.45076911736944214</v>
      </c>
      <c r="AW19" s="84">
        <v>0.28931268241539887</v>
      </c>
      <c r="AX19" s="84">
        <v>0.30026061308335411</v>
      </c>
      <c r="AY19" s="84">
        <v>0.30026061308335411</v>
      </c>
      <c r="AZ19" s="84">
        <v>0.32299475383624726</v>
      </c>
      <c r="BA19" s="84">
        <v>0.32299475383624715</v>
      </c>
      <c r="BB19" s="84">
        <v>0.32867828902447044</v>
      </c>
      <c r="BC19" s="84">
        <v>0.32872702909391038</v>
      </c>
      <c r="BD19" s="84">
        <v>0.33441056428213362</v>
      </c>
      <c r="BE19" s="84">
        <v>0.31926897430995937</v>
      </c>
      <c r="BF19" s="84">
        <v>0.13827034852059089</v>
      </c>
      <c r="BG19" s="84">
        <v>0.13827034852059089</v>
      </c>
      <c r="BH19" s="84">
        <v>0.14395367109330129</v>
      </c>
      <c r="BI19" s="84">
        <v>0.13827014429948672</v>
      </c>
      <c r="BJ19" s="84">
        <v>0.13827014429948672</v>
      </c>
      <c r="BK19" s="84">
        <v>0.13827014429948672</v>
      </c>
      <c r="BL19" s="84">
        <v>0.13827014429948684</v>
      </c>
      <c r="BM19" s="84">
        <v>0.13827014429948678</v>
      </c>
      <c r="BN19" s="84">
        <v>0.13527929220898421</v>
      </c>
      <c r="BO19" s="84">
        <v>0.1352792922089843</v>
      </c>
      <c r="BP19" s="84">
        <v>0.13527929220898433</v>
      </c>
    </row>
    <row r="20" spans="1:68" hidden="1" outlineLevel="1">
      <c r="A20" t="s">
        <v>6</v>
      </c>
      <c r="B20" s="86" t="s">
        <v>6</v>
      </c>
      <c r="C20" s="87">
        <v>0.22600000000000001</v>
      </c>
      <c r="D20" s="87">
        <v>0</v>
      </c>
      <c r="E20" s="87">
        <v>0</v>
      </c>
      <c r="F20" s="87">
        <v>0</v>
      </c>
      <c r="G20" s="87">
        <v>0</v>
      </c>
      <c r="H20" s="87">
        <v>0</v>
      </c>
      <c r="I20" s="87">
        <v>0</v>
      </c>
      <c r="J20" s="87">
        <v>0</v>
      </c>
      <c r="K20" s="87">
        <v>0</v>
      </c>
      <c r="L20" s="87">
        <v>0</v>
      </c>
      <c r="M20" s="87">
        <v>0</v>
      </c>
      <c r="N20" s="87">
        <v>0</v>
      </c>
      <c r="O20" s="87">
        <v>0</v>
      </c>
      <c r="P20" s="87">
        <v>0</v>
      </c>
      <c r="Q20" s="87">
        <v>0</v>
      </c>
      <c r="R20" s="87">
        <v>0</v>
      </c>
      <c r="S20" s="87">
        <v>0.114</v>
      </c>
      <c r="T20" s="87">
        <v>0</v>
      </c>
      <c r="U20" s="87">
        <v>0</v>
      </c>
      <c r="V20" s="87">
        <v>0</v>
      </c>
      <c r="W20" s="87">
        <v>0</v>
      </c>
      <c r="X20" s="87">
        <v>0</v>
      </c>
      <c r="Y20" s="87">
        <v>0</v>
      </c>
      <c r="Z20" s="88">
        <v>0</v>
      </c>
      <c r="AA20" s="88">
        <v>0</v>
      </c>
      <c r="AB20" s="88">
        <v>0</v>
      </c>
      <c r="AC20" s="87">
        <v>0</v>
      </c>
      <c r="AD20" s="87">
        <v>0</v>
      </c>
      <c r="AE20" s="87">
        <v>0</v>
      </c>
      <c r="AF20" s="87">
        <v>0</v>
      </c>
      <c r="AG20" s="87">
        <v>0</v>
      </c>
      <c r="AH20" s="87">
        <v>0</v>
      </c>
      <c r="AI20" s="87">
        <v>0</v>
      </c>
      <c r="AJ20" s="87">
        <v>0.1392921645915452</v>
      </c>
      <c r="AK20" s="51">
        <v>0.13900000000000001</v>
      </c>
      <c r="AL20" s="216">
        <v>0.13900000000000001</v>
      </c>
      <c r="AM20" s="88">
        <v>0</v>
      </c>
      <c r="AN20" s="88">
        <v>0</v>
      </c>
      <c r="AO20" s="88">
        <v>0</v>
      </c>
      <c r="AP20" s="88">
        <v>0</v>
      </c>
      <c r="AQ20" s="88">
        <v>0</v>
      </c>
      <c r="AR20" s="88">
        <v>0</v>
      </c>
      <c r="AS20" s="88">
        <v>0</v>
      </c>
      <c r="AT20" s="88">
        <v>0</v>
      </c>
      <c r="AU20" s="88">
        <v>0</v>
      </c>
      <c r="AV20" s="88">
        <v>0</v>
      </c>
      <c r="AW20" s="88">
        <v>0</v>
      </c>
      <c r="AX20" s="88">
        <v>0</v>
      </c>
      <c r="AY20" s="88">
        <v>0</v>
      </c>
      <c r="AZ20" s="88">
        <v>0</v>
      </c>
      <c r="BA20" s="88">
        <v>0</v>
      </c>
      <c r="BB20" s="88">
        <v>0</v>
      </c>
      <c r="BC20" s="88">
        <v>0</v>
      </c>
      <c r="BD20" s="88">
        <v>0</v>
      </c>
      <c r="BE20" s="88">
        <v>0</v>
      </c>
      <c r="BF20" s="88">
        <v>0</v>
      </c>
      <c r="BG20" s="88">
        <v>0</v>
      </c>
      <c r="BH20" s="88">
        <v>0</v>
      </c>
      <c r="BI20" s="88">
        <v>0</v>
      </c>
      <c r="BJ20" s="88">
        <v>0</v>
      </c>
      <c r="BK20" s="88">
        <v>0</v>
      </c>
      <c r="BL20" s="88">
        <v>0</v>
      </c>
      <c r="BM20" s="88">
        <v>0</v>
      </c>
      <c r="BN20" s="88">
        <v>0</v>
      </c>
      <c r="BO20" s="88">
        <v>0</v>
      </c>
      <c r="BP20" s="88">
        <v>0</v>
      </c>
    </row>
    <row r="21" spans="1:68" hidden="1" outlineLevel="1">
      <c r="A21" t="s">
        <v>7</v>
      </c>
      <c r="B21" s="86" t="s">
        <v>7</v>
      </c>
      <c r="C21" s="87">
        <v>8.6999999999999994E-2</v>
      </c>
      <c r="D21" s="87">
        <v>0</v>
      </c>
      <c r="E21" s="87">
        <v>0</v>
      </c>
      <c r="F21" s="87">
        <v>0</v>
      </c>
      <c r="G21" s="87">
        <v>0</v>
      </c>
      <c r="H21" s="87">
        <v>0</v>
      </c>
      <c r="I21" s="87">
        <v>0</v>
      </c>
      <c r="J21" s="87">
        <v>0</v>
      </c>
      <c r="K21" s="87">
        <v>0</v>
      </c>
      <c r="L21" s="87">
        <v>0</v>
      </c>
      <c r="M21" s="87">
        <v>0</v>
      </c>
      <c r="N21" s="87">
        <v>0</v>
      </c>
      <c r="O21" s="87">
        <v>0</v>
      </c>
      <c r="P21" s="87">
        <v>0</v>
      </c>
      <c r="Q21" s="87">
        <v>0</v>
      </c>
      <c r="R21" s="87">
        <v>0</v>
      </c>
      <c r="S21" s="87">
        <v>0</v>
      </c>
      <c r="T21" s="87">
        <v>0</v>
      </c>
      <c r="U21" s="87">
        <v>0</v>
      </c>
      <c r="V21" s="87">
        <v>0</v>
      </c>
      <c r="W21" s="87">
        <v>0</v>
      </c>
      <c r="X21" s="87">
        <v>0</v>
      </c>
      <c r="Y21" s="87">
        <v>0</v>
      </c>
      <c r="Z21" s="88">
        <v>0</v>
      </c>
      <c r="AA21" s="88">
        <v>0</v>
      </c>
      <c r="AB21" s="88">
        <v>0</v>
      </c>
      <c r="AC21" s="87">
        <v>0</v>
      </c>
      <c r="AD21" s="87">
        <v>0</v>
      </c>
      <c r="AE21" s="87">
        <v>0</v>
      </c>
      <c r="AF21" s="87">
        <v>0</v>
      </c>
      <c r="AG21" s="87">
        <v>0</v>
      </c>
      <c r="AH21" s="87">
        <v>0</v>
      </c>
      <c r="AI21" s="87">
        <v>0</v>
      </c>
      <c r="AJ21" s="87">
        <v>0</v>
      </c>
      <c r="AK21" s="51">
        <v>0</v>
      </c>
      <c r="AL21" s="216">
        <v>0</v>
      </c>
      <c r="AM21" s="88">
        <v>0</v>
      </c>
      <c r="AN21" s="88">
        <v>0</v>
      </c>
      <c r="AO21" s="88">
        <v>0</v>
      </c>
      <c r="AP21" s="88">
        <v>0</v>
      </c>
      <c r="AQ21" s="88">
        <v>0</v>
      </c>
      <c r="AR21" s="88">
        <v>0</v>
      </c>
      <c r="AS21" s="88">
        <v>0</v>
      </c>
      <c r="AT21" s="88">
        <v>0</v>
      </c>
      <c r="AU21" s="88">
        <v>0</v>
      </c>
      <c r="AV21" s="88">
        <v>0</v>
      </c>
      <c r="AW21" s="88">
        <v>0</v>
      </c>
      <c r="AX21" s="88">
        <v>0</v>
      </c>
      <c r="AY21" s="88">
        <v>0</v>
      </c>
      <c r="AZ21" s="88">
        <v>0</v>
      </c>
      <c r="BA21" s="88">
        <v>0</v>
      </c>
      <c r="BB21" s="88">
        <v>0</v>
      </c>
      <c r="BC21" s="88">
        <v>0</v>
      </c>
      <c r="BD21" s="88">
        <v>0</v>
      </c>
      <c r="BE21" s="88">
        <v>0</v>
      </c>
      <c r="BF21" s="88">
        <v>0</v>
      </c>
      <c r="BG21" s="88">
        <v>0</v>
      </c>
      <c r="BH21" s="88">
        <v>0</v>
      </c>
      <c r="BI21" s="88">
        <v>0</v>
      </c>
      <c r="BJ21" s="88">
        <v>0</v>
      </c>
      <c r="BK21" s="88">
        <v>0</v>
      </c>
      <c r="BL21" s="88">
        <v>0</v>
      </c>
      <c r="BM21" s="88">
        <v>0</v>
      </c>
      <c r="BN21" s="88">
        <v>0</v>
      </c>
      <c r="BO21" s="88">
        <v>0</v>
      </c>
      <c r="BP21" s="88">
        <v>0</v>
      </c>
    </row>
    <row r="22" spans="1:68" hidden="1" outlineLevel="1">
      <c r="B22" s="86" t="s">
        <v>29</v>
      </c>
      <c r="C22" s="87">
        <v>0</v>
      </c>
      <c r="D22" s="87">
        <v>0</v>
      </c>
      <c r="E22" s="87">
        <v>0</v>
      </c>
      <c r="F22" s="87">
        <v>0</v>
      </c>
      <c r="G22" s="87">
        <v>0</v>
      </c>
      <c r="H22" s="87">
        <v>0</v>
      </c>
      <c r="I22" s="87">
        <v>0</v>
      </c>
      <c r="J22" s="87">
        <v>0</v>
      </c>
      <c r="K22" s="87">
        <v>0</v>
      </c>
      <c r="L22" s="87">
        <v>0.23499999999999999</v>
      </c>
      <c r="M22" s="87">
        <v>0</v>
      </c>
      <c r="N22" s="87">
        <v>0</v>
      </c>
      <c r="O22" s="87">
        <v>0</v>
      </c>
      <c r="P22" s="87">
        <v>0</v>
      </c>
      <c r="Q22" s="87">
        <v>0</v>
      </c>
      <c r="R22" s="87">
        <v>0</v>
      </c>
      <c r="S22" s="87">
        <v>0</v>
      </c>
      <c r="T22" s="87">
        <v>0</v>
      </c>
      <c r="U22" s="87">
        <v>0</v>
      </c>
      <c r="V22" s="87">
        <v>0</v>
      </c>
      <c r="W22" s="87">
        <v>0</v>
      </c>
      <c r="X22" s="87">
        <v>0</v>
      </c>
      <c r="Y22" s="87">
        <v>0</v>
      </c>
      <c r="Z22" s="88">
        <v>0</v>
      </c>
      <c r="AA22" s="88">
        <v>0</v>
      </c>
      <c r="AB22" s="88">
        <v>0</v>
      </c>
      <c r="AC22" s="87">
        <v>0</v>
      </c>
      <c r="AD22" s="87">
        <v>0</v>
      </c>
      <c r="AE22" s="87">
        <v>0</v>
      </c>
      <c r="AF22" s="87">
        <v>0</v>
      </c>
      <c r="AG22" s="87">
        <v>0</v>
      </c>
      <c r="AH22" s="87">
        <v>0</v>
      </c>
      <c r="AI22" s="87">
        <v>0</v>
      </c>
      <c r="AJ22" s="87">
        <v>0</v>
      </c>
      <c r="AK22" s="51">
        <v>0</v>
      </c>
      <c r="AL22" s="216">
        <v>0</v>
      </c>
      <c r="AM22" s="88">
        <v>0</v>
      </c>
      <c r="AN22" s="88">
        <v>0</v>
      </c>
      <c r="AO22" s="88">
        <v>0</v>
      </c>
      <c r="AP22" s="88">
        <v>0</v>
      </c>
      <c r="AQ22" s="88">
        <v>0</v>
      </c>
      <c r="AR22" s="88">
        <v>0</v>
      </c>
      <c r="AS22" s="88">
        <v>0</v>
      </c>
      <c r="AT22" s="88">
        <v>0</v>
      </c>
      <c r="AU22" s="88">
        <v>0</v>
      </c>
      <c r="AV22" s="88">
        <v>0</v>
      </c>
      <c r="AW22" s="88">
        <v>0</v>
      </c>
      <c r="AX22" s="88" t="s">
        <v>18</v>
      </c>
      <c r="AY22" s="88" t="s">
        <v>18</v>
      </c>
      <c r="AZ22" s="88" t="s">
        <v>18</v>
      </c>
      <c r="BA22" s="88" t="s">
        <v>18</v>
      </c>
      <c r="BB22" s="88" t="s">
        <v>18</v>
      </c>
      <c r="BC22" s="88" t="s">
        <v>18</v>
      </c>
      <c r="BD22" s="88" t="s">
        <v>18</v>
      </c>
      <c r="BE22" s="88" t="s">
        <v>18</v>
      </c>
      <c r="BF22" s="88" t="s">
        <v>18</v>
      </c>
      <c r="BG22" s="88" t="s">
        <v>18</v>
      </c>
      <c r="BH22" s="88" t="s">
        <v>18</v>
      </c>
      <c r="BI22" s="88" t="s">
        <v>18</v>
      </c>
      <c r="BJ22" s="88" t="s">
        <v>18</v>
      </c>
      <c r="BK22" s="88" t="s">
        <v>18</v>
      </c>
      <c r="BL22" s="88" t="s">
        <v>18</v>
      </c>
      <c r="BM22" s="88" t="s">
        <v>18</v>
      </c>
      <c r="BN22" s="88" t="s">
        <v>18</v>
      </c>
      <c r="BO22" s="88" t="s">
        <v>18</v>
      </c>
      <c r="BP22" s="88" t="s">
        <v>18</v>
      </c>
    </row>
    <row r="23" spans="1:68" hidden="1" outlineLevel="1">
      <c r="A23" t="s">
        <v>325</v>
      </c>
      <c r="B23" s="86" t="s">
        <v>9</v>
      </c>
      <c r="C23" s="87">
        <v>0</v>
      </c>
      <c r="D23" s="87">
        <v>7.2499999999999995E-2</v>
      </c>
      <c r="E23" s="87">
        <v>0</v>
      </c>
      <c r="F23" s="87">
        <v>0</v>
      </c>
      <c r="G23" s="87">
        <v>0</v>
      </c>
      <c r="H23" s="87">
        <v>0</v>
      </c>
      <c r="I23" s="87">
        <v>0</v>
      </c>
      <c r="J23" s="87">
        <v>0</v>
      </c>
      <c r="K23" s="87">
        <v>0</v>
      </c>
      <c r="L23" s="87">
        <v>0</v>
      </c>
      <c r="M23" s="87">
        <v>0.13</v>
      </c>
      <c r="N23" s="87">
        <v>0.13</v>
      </c>
      <c r="O23" s="87">
        <v>3.5999999999999997E-2</v>
      </c>
      <c r="P23" s="87">
        <v>0</v>
      </c>
      <c r="Q23" s="87">
        <v>0</v>
      </c>
      <c r="R23" s="87">
        <v>0</v>
      </c>
      <c r="S23" s="87">
        <v>0</v>
      </c>
      <c r="T23" s="87">
        <v>0</v>
      </c>
      <c r="U23" s="87">
        <v>0</v>
      </c>
      <c r="V23" s="87">
        <v>0</v>
      </c>
      <c r="W23" s="87">
        <v>0</v>
      </c>
      <c r="X23" s="87">
        <v>0</v>
      </c>
      <c r="Y23" s="87">
        <v>0</v>
      </c>
      <c r="Z23" s="88">
        <v>0</v>
      </c>
      <c r="AA23" s="88">
        <v>0</v>
      </c>
      <c r="AB23" s="88">
        <v>0</v>
      </c>
      <c r="AC23" s="87">
        <v>0</v>
      </c>
      <c r="AD23" s="87">
        <v>0.26017468556598128</v>
      </c>
      <c r="AE23" s="87">
        <v>0.154</v>
      </c>
      <c r="AF23" s="87">
        <v>0.14799999999999999</v>
      </c>
      <c r="AG23" s="87">
        <v>0.14754433068549011</v>
      </c>
      <c r="AH23" s="87">
        <v>0.18443041335686261</v>
      </c>
      <c r="AI23" s="87">
        <v>0.18443041335686261</v>
      </c>
      <c r="AJ23" s="87">
        <v>0</v>
      </c>
      <c r="AK23" s="51">
        <v>0</v>
      </c>
      <c r="AL23" s="216">
        <v>3.5999999999999997E-2</v>
      </c>
      <c r="AM23" s="88">
        <v>0.16179596525669199</v>
      </c>
      <c r="AN23" s="88">
        <v>0.41833489843231875</v>
      </c>
      <c r="AO23" s="88">
        <v>0.38198082958433865</v>
      </c>
      <c r="AP23" s="88">
        <v>0.34562676073635856</v>
      </c>
      <c r="AQ23" s="88">
        <v>0.63645931152019919</v>
      </c>
      <c r="AR23" s="88">
        <v>0.63645931152019919</v>
      </c>
      <c r="AS23" s="88">
        <v>0.52739710497625902</v>
      </c>
      <c r="AT23" s="88">
        <v>0.52739710497625902</v>
      </c>
      <c r="AU23" s="88">
        <v>0.52739710497625902</v>
      </c>
      <c r="AV23" s="88">
        <v>0.53846153846153855</v>
      </c>
      <c r="AW23" s="88">
        <v>0.53846153846153855</v>
      </c>
      <c r="AX23" s="88">
        <v>0.50000000000000022</v>
      </c>
      <c r="AY23" s="88">
        <v>0.50000000000000022</v>
      </c>
      <c r="AZ23" s="88">
        <v>0.65384615384615397</v>
      </c>
      <c r="BA23" s="88">
        <v>0.65384615384615397</v>
      </c>
      <c r="BB23" s="88">
        <v>0.69230769230769229</v>
      </c>
      <c r="BC23" s="88">
        <v>0.69230769230769229</v>
      </c>
      <c r="BD23" s="88">
        <v>0.73076923076923106</v>
      </c>
      <c r="BE23" s="88">
        <v>0.73076923076923106</v>
      </c>
      <c r="BF23" s="88">
        <v>0.73076923076923106</v>
      </c>
      <c r="BG23" s="88">
        <v>0.73076923076923106</v>
      </c>
      <c r="BH23" s="88">
        <v>0.76923076923076961</v>
      </c>
      <c r="BI23" s="88">
        <v>0.73076923076923106</v>
      </c>
      <c r="BJ23" s="88">
        <v>0.73076923076923106</v>
      </c>
      <c r="BK23" s="88">
        <v>0.73076923076923106</v>
      </c>
      <c r="BL23" s="88">
        <v>0.73076923076923106</v>
      </c>
      <c r="BM23" s="88">
        <v>0.73076923076923106</v>
      </c>
      <c r="BN23" s="88">
        <v>0.84615384615384648</v>
      </c>
      <c r="BO23" s="88">
        <v>0.84615384615384648</v>
      </c>
      <c r="BP23" s="88">
        <v>0.84615384615384648</v>
      </c>
    </row>
    <row r="24" spans="1:68" hidden="1" outlineLevel="1">
      <c r="A24" t="s">
        <v>10</v>
      </c>
      <c r="B24" s="86" t="s">
        <v>10</v>
      </c>
      <c r="C24" s="87">
        <v>0</v>
      </c>
      <c r="D24" s="87">
        <v>0</v>
      </c>
      <c r="E24" s="87">
        <v>0</v>
      </c>
      <c r="F24" s="87">
        <v>0</v>
      </c>
      <c r="G24" s="87">
        <v>0</v>
      </c>
      <c r="H24" s="87">
        <v>0</v>
      </c>
      <c r="I24" s="87">
        <v>0</v>
      </c>
      <c r="J24" s="87">
        <v>0</v>
      </c>
      <c r="K24" s="87">
        <v>0</v>
      </c>
      <c r="L24" s="87">
        <v>1</v>
      </c>
      <c r="M24" s="87">
        <v>0</v>
      </c>
      <c r="N24" s="87">
        <v>0</v>
      </c>
      <c r="O24" s="87">
        <v>0</v>
      </c>
      <c r="P24" s="87">
        <v>0</v>
      </c>
      <c r="Q24" s="87">
        <v>0</v>
      </c>
      <c r="R24" s="87">
        <v>0</v>
      </c>
      <c r="S24" s="87">
        <v>0</v>
      </c>
      <c r="T24" s="87">
        <v>0</v>
      </c>
      <c r="U24" s="87">
        <v>0</v>
      </c>
      <c r="V24" s="87">
        <v>0</v>
      </c>
      <c r="W24" s="87">
        <v>0</v>
      </c>
      <c r="X24" s="87">
        <v>0</v>
      </c>
      <c r="Y24" s="87">
        <v>0</v>
      </c>
      <c r="Z24" s="88">
        <v>0</v>
      </c>
      <c r="AA24" s="88">
        <v>0</v>
      </c>
      <c r="AB24" s="88">
        <v>0</v>
      </c>
      <c r="AC24" s="87">
        <v>0</v>
      </c>
      <c r="AD24" s="87">
        <v>0</v>
      </c>
      <c r="AE24" s="87">
        <v>0</v>
      </c>
      <c r="AF24" s="87">
        <v>0</v>
      </c>
      <c r="AG24" s="87">
        <v>0</v>
      </c>
      <c r="AH24" s="87">
        <v>0</v>
      </c>
      <c r="AI24" s="87">
        <v>0</v>
      </c>
      <c r="AJ24" s="87">
        <v>0</v>
      </c>
      <c r="AK24" s="51">
        <v>0</v>
      </c>
      <c r="AL24" s="216">
        <v>0</v>
      </c>
      <c r="AM24" s="88">
        <v>0</v>
      </c>
      <c r="AN24" s="88">
        <v>0</v>
      </c>
      <c r="AO24" s="88">
        <v>0</v>
      </c>
      <c r="AP24" s="88">
        <v>0</v>
      </c>
      <c r="AQ24" s="88">
        <v>0</v>
      </c>
      <c r="AR24" s="88">
        <v>0</v>
      </c>
      <c r="AS24" s="88">
        <v>0</v>
      </c>
      <c r="AT24" s="88">
        <v>0</v>
      </c>
      <c r="AU24" s="88">
        <v>0</v>
      </c>
      <c r="AV24" s="88">
        <v>0</v>
      </c>
      <c r="AW24" s="88">
        <v>0</v>
      </c>
      <c r="AX24" s="88">
        <v>0</v>
      </c>
      <c r="AY24" s="88">
        <v>0</v>
      </c>
      <c r="AZ24" s="88">
        <v>0</v>
      </c>
      <c r="BA24" s="88">
        <v>0</v>
      </c>
      <c r="BB24" s="88">
        <v>0</v>
      </c>
      <c r="BC24" s="88">
        <v>0</v>
      </c>
      <c r="BD24" s="88">
        <v>0</v>
      </c>
      <c r="BE24" s="88">
        <v>0</v>
      </c>
      <c r="BF24" s="88">
        <v>0</v>
      </c>
      <c r="BG24" s="88">
        <v>0</v>
      </c>
      <c r="BH24" s="88">
        <v>0</v>
      </c>
      <c r="BI24" s="88">
        <v>0</v>
      </c>
      <c r="BJ24" s="88">
        <v>0</v>
      </c>
      <c r="BK24" s="88">
        <v>0</v>
      </c>
      <c r="BL24" s="88">
        <v>0</v>
      </c>
      <c r="BM24" s="88">
        <v>0</v>
      </c>
      <c r="BN24" s="88">
        <v>0</v>
      </c>
      <c r="BO24" s="88">
        <v>0</v>
      </c>
      <c r="BP24" s="88">
        <v>0</v>
      </c>
    </row>
    <row r="25" spans="1:68" hidden="1" outlineLevel="1">
      <c r="B25" s="86" t="s">
        <v>11</v>
      </c>
      <c r="C25" s="87" t="s">
        <v>18</v>
      </c>
      <c r="D25" s="87">
        <v>0</v>
      </c>
      <c r="E25" s="87">
        <v>0</v>
      </c>
      <c r="F25" s="87">
        <v>0</v>
      </c>
      <c r="G25" s="87">
        <v>0</v>
      </c>
      <c r="H25" s="87">
        <v>0</v>
      </c>
      <c r="I25" s="87">
        <v>0.2</v>
      </c>
      <c r="J25" s="87">
        <v>0</v>
      </c>
      <c r="K25" s="87">
        <v>0</v>
      </c>
      <c r="L25" s="87">
        <v>0</v>
      </c>
      <c r="M25" s="87">
        <v>0</v>
      </c>
      <c r="N25" s="87">
        <v>0.1</v>
      </c>
      <c r="O25" s="87">
        <v>0</v>
      </c>
      <c r="P25" s="87">
        <v>0</v>
      </c>
      <c r="Q25" s="87">
        <v>0</v>
      </c>
      <c r="R25" s="87">
        <v>0</v>
      </c>
      <c r="S25" s="87">
        <v>0</v>
      </c>
      <c r="T25" s="87">
        <v>0</v>
      </c>
      <c r="U25" s="87">
        <v>0</v>
      </c>
      <c r="V25" s="87">
        <v>0</v>
      </c>
      <c r="W25" s="87">
        <v>0</v>
      </c>
      <c r="X25" s="87">
        <v>0</v>
      </c>
      <c r="Y25" s="87">
        <v>0</v>
      </c>
      <c r="Z25" s="88">
        <v>0.1</v>
      </c>
      <c r="AA25" s="88">
        <v>0.2</v>
      </c>
      <c r="AB25" s="88">
        <v>0.2</v>
      </c>
      <c r="AC25" s="87">
        <v>0.2</v>
      </c>
      <c r="AD25" s="87">
        <v>0.2</v>
      </c>
      <c r="AE25" s="87">
        <v>0.2</v>
      </c>
      <c r="AF25" s="87">
        <v>0.4</v>
      </c>
      <c r="AG25" s="87">
        <v>0.3</v>
      </c>
      <c r="AH25" s="87">
        <v>0.3</v>
      </c>
      <c r="AI25" s="87">
        <v>0.3</v>
      </c>
      <c r="AJ25" s="87">
        <v>0.3</v>
      </c>
      <c r="AK25" s="51">
        <v>0.3</v>
      </c>
      <c r="AL25" s="216">
        <v>0.3</v>
      </c>
      <c r="AM25" s="88">
        <v>0.3</v>
      </c>
      <c r="AN25" s="88">
        <v>0.4</v>
      </c>
      <c r="AO25" s="88">
        <v>0.4</v>
      </c>
      <c r="AP25" s="88">
        <v>0.3</v>
      </c>
      <c r="AQ25" s="88">
        <v>0.3</v>
      </c>
      <c r="AR25" s="88">
        <v>0.3</v>
      </c>
      <c r="AS25" s="88">
        <v>0.3</v>
      </c>
      <c r="AT25" s="88">
        <v>0.3</v>
      </c>
      <c r="AU25" s="88">
        <v>0.4</v>
      </c>
      <c r="AV25" s="88">
        <v>0.5</v>
      </c>
      <c r="AW25" s="88">
        <v>0.5</v>
      </c>
      <c r="AX25" s="88">
        <v>0.5</v>
      </c>
      <c r="AY25" s="88">
        <v>0.5</v>
      </c>
      <c r="AZ25" s="88">
        <v>0.5</v>
      </c>
      <c r="BA25" s="88">
        <v>0.5</v>
      </c>
      <c r="BB25" s="88">
        <v>0.5</v>
      </c>
      <c r="BC25" s="88">
        <v>0.5</v>
      </c>
      <c r="BD25" s="88">
        <v>0.5</v>
      </c>
      <c r="BE25" s="88">
        <v>0.3</v>
      </c>
      <c r="BF25" s="88">
        <v>0.4</v>
      </c>
      <c r="BG25" s="88">
        <v>0.4</v>
      </c>
      <c r="BH25" s="88">
        <v>0.4</v>
      </c>
      <c r="BI25" s="88">
        <v>0.4</v>
      </c>
      <c r="BJ25" s="88">
        <v>0.4</v>
      </c>
      <c r="BK25" s="88">
        <v>0.4</v>
      </c>
      <c r="BL25" s="88">
        <v>0.4</v>
      </c>
      <c r="BM25" s="88">
        <v>0.4</v>
      </c>
      <c r="BN25" s="88">
        <v>0</v>
      </c>
      <c r="BO25" s="88">
        <v>0</v>
      </c>
      <c r="BP25" s="88" t="s">
        <v>18</v>
      </c>
    </row>
    <row r="26" spans="1:68" hidden="1" outlineLevel="1">
      <c r="B26" s="86" t="s">
        <v>8</v>
      </c>
      <c r="C26" s="87">
        <v>0</v>
      </c>
      <c r="D26" s="87">
        <v>0</v>
      </c>
      <c r="E26" s="87">
        <v>0</v>
      </c>
      <c r="F26" s="87">
        <v>0</v>
      </c>
      <c r="G26" s="87">
        <v>0</v>
      </c>
      <c r="H26" s="87">
        <v>0</v>
      </c>
      <c r="I26" s="87">
        <v>0</v>
      </c>
      <c r="J26" s="87">
        <v>0</v>
      </c>
      <c r="K26" s="87">
        <v>0</v>
      </c>
      <c r="L26" s="87">
        <v>1</v>
      </c>
      <c r="M26" s="87">
        <v>0</v>
      </c>
      <c r="N26" s="87">
        <v>0</v>
      </c>
      <c r="O26" s="87">
        <v>0</v>
      </c>
      <c r="P26" s="87">
        <v>0</v>
      </c>
      <c r="Q26" s="87">
        <v>0</v>
      </c>
      <c r="R26" s="87">
        <v>0.114</v>
      </c>
      <c r="S26" s="87">
        <v>0</v>
      </c>
      <c r="T26" s="87">
        <v>0</v>
      </c>
      <c r="U26" s="87">
        <v>0</v>
      </c>
      <c r="V26" s="87">
        <v>0</v>
      </c>
      <c r="W26" s="87">
        <v>0</v>
      </c>
      <c r="X26" s="87">
        <v>0</v>
      </c>
      <c r="Y26" s="87">
        <v>0</v>
      </c>
      <c r="Z26" s="88">
        <v>0</v>
      </c>
      <c r="AA26" s="88">
        <v>0</v>
      </c>
      <c r="AB26" s="88">
        <v>0</v>
      </c>
      <c r="AC26" s="87">
        <v>0</v>
      </c>
      <c r="AD26" s="87">
        <v>0</v>
      </c>
      <c r="AE26" s="87">
        <v>0</v>
      </c>
      <c r="AF26" s="87" t="s">
        <v>18</v>
      </c>
      <c r="AG26" s="87" t="s">
        <v>18</v>
      </c>
      <c r="AH26" s="87" t="s">
        <v>18</v>
      </c>
      <c r="AI26" s="87" t="s">
        <v>18</v>
      </c>
      <c r="AJ26" s="87" t="s">
        <v>18</v>
      </c>
      <c r="AK26" s="87" t="s">
        <v>18</v>
      </c>
      <c r="AL26" s="88" t="s">
        <v>18</v>
      </c>
      <c r="AM26" s="88" t="s">
        <v>18</v>
      </c>
      <c r="AN26" s="88" t="s">
        <v>18</v>
      </c>
      <c r="AO26" s="88" t="s">
        <v>18</v>
      </c>
      <c r="AP26" s="88" t="s">
        <v>18</v>
      </c>
      <c r="AQ26" s="88" t="s">
        <v>18</v>
      </c>
      <c r="AR26" s="88" t="s">
        <v>18</v>
      </c>
      <c r="AS26" s="88" t="s">
        <v>18</v>
      </c>
      <c r="AT26" s="88" t="s">
        <v>18</v>
      </c>
      <c r="AU26" s="88" t="s">
        <v>18</v>
      </c>
      <c r="AV26" s="88" t="s">
        <v>18</v>
      </c>
      <c r="AW26" s="88" t="s">
        <v>18</v>
      </c>
      <c r="AX26" s="88" t="s">
        <v>18</v>
      </c>
      <c r="AY26" s="88" t="s">
        <v>18</v>
      </c>
      <c r="AZ26" s="88" t="s">
        <v>18</v>
      </c>
      <c r="BA26" s="88" t="s">
        <v>18</v>
      </c>
      <c r="BB26" s="88" t="s">
        <v>18</v>
      </c>
      <c r="BC26" s="88" t="s">
        <v>18</v>
      </c>
      <c r="BD26" s="88" t="s">
        <v>18</v>
      </c>
      <c r="BE26" s="88" t="s">
        <v>18</v>
      </c>
      <c r="BF26" s="88" t="s">
        <v>18</v>
      </c>
      <c r="BG26" s="88" t="s">
        <v>18</v>
      </c>
      <c r="BH26" s="88" t="s">
        <v>18</v>
      </c>
      <c r="BI26" s="88" t="s">
        <v>18</v>
      </c>
      <c r="BJ26" s="88" t="s">
        <v>18</v>
      </c>
      <c r="BK26" s="88" t="s">
        <v>18</v>
      </c>
      <c r="BL26" s="88" t="s">
        <v>18</v>
      </c>
      <c r="BM26" s="88" t="s">
        <v>18</v>
      </c>
      <c r="BN26" s="88" t="s">
        <v>18</v>
      </c>
      <c r="BO26" s="88" t="s">
        <v>18</v>
      </c>
      <c r="BP26" s="88" t="s">
        <v>18</v>
      </c>
    </row>
    <row r="27" spans="1:68" hidden="1" outlineLevel="1">
      <c r="A27" t="s">
        <v>45</v>
      </c>
      <c r="B27" s="86" t="s">
        <v>45</v>
      </c>
      <c r="C27" s="87" t="s">
        <v>18</v>
      </c>
      <c r="D27" s="87" t="s">
        <v>18</v>
      </c>
      <c r="E27" s="87" t="s">
        <v>18</v>
      </c>
      <c r="F27" s="87" t="s">
        <v>18</v>
      </c>
      <c r="G27" s="87" t="s">
        <v>18</v>
      </c>
      <c r="H27" s="87" t="s">
        <v>18</v>
      </c>
      <c r="I27" s="87" t="s">
        <v>18</v>
      </c>
      <c r="J27" s="87" t="s">
        <v>18</v>
      </c>
      <c r="K27" s="87" t="s">
        <v>18</v>
      </c>
      <c r="L27" s="87" t="s">
        <v>18</v>
      </c>
      <c r="M27" s="87" t="s">
        <v>18</v>
      </c>
      <c r="N27" s="87" t="s">
        <v>18</v>
      </c>
      <c r="O27" s="87" t="s">
        <v>18</v>
      </c>
      <c r="P27" s="87" t="s">
        <v>18</v>
      </c>
      <c r="Q27" s="87" t="s">
        <v>18</v>
      </c>
      <c r="R27" s="87" t="s">
        <v>18</v>
      </c>
      <c r="S27" s="87" t="s">
        <v>18</v>
      </c>
      <c r="T27" s="87" t="s">
        <v>18</v>
      </c>
      <c r="U27" s="87" t="s">
        <v>18</v>
      </c>
      <c r="V27" s="87" t="s">
        <v>18</v>
      </c>
      <c r="W27" s="87" t="s">
        <v>18</v>
      </c>
      <c r="X27" s="87" t="s">
        <v>18</v>
      </c>
      <c r="Y27" s="87" t="s">
        <v>18</v>
      </c>
      <c r="Z27" s="87" t="s">
        <v>18</v>
      </c>
      <c r="AA27" s="87" t="s">
        <v>18</v>
      </c>
      <c r="AB27" s="87" t="s">
        <v>18</v>
      </c>
      <c r="AC27" s="87" t="s">
        <v>18</v>
      </c>
      <c r="AD27" s="87" t="s">
        <v>18</v>
      </c>
      <c r="AE27" s="87" t="s">
        <v>18</v>
      </c>
      <c r="AF27" s="87" t="s">
        <v>18</v>
      </c>
      <c r="AG27" s="87" t="s">
        <v>18</v>
      </c>
      <c r="AH27" s="87" t="s">
        <v>18</v>
      </c>
      <c r="AI27" s="87" t="s">
        <v>18</v>
      </c>
      <c r="AJ27" s="87" t="s">
        <v>18</v>
      </c>
      <c r="AK27" s="87" t="s">
        <v>18</v>
      </c>
      <c r="AL27" s="88" t="s">
        <v>18</v>
      </c>
      <c r="AM27" s="88" t="s">
        <v>18</v>
      </c>
      <c r="AN27" s="88" t="s">
        <v>18</v>
      </c>
      <c r="AO27" s="88" t="s">
        <v>18</v>
      </c>
      <c r="AP27" s="88" t="s">
        <v>18</v>
      </c>
      <c r="AQ27" s="88" t="s">
        <v>18</v>
      </c>
      <c r="AR27" s="88" t="s">
        <v>18</v>
      </c>
      <c r="AS27" s="88" t="s">
        <v>18</v>
      </c>
      <c r="AT27" s="88" t="s">
        <v>18</v>
      </c>
      <c r="AU27" s="88" t="s">
        <v>18</v>
      </c>
      <c r="AV27" s="88">
        <v>1</v>
      </c>
      <c r="AW27" s="88">
        <v>0.52474921887847392</v>
      </c>
      <c r="AX27" s="88">
        <v>0.52474921887847392</v>
      </c>
      <c r="AY27" s="88">
        <v>0.52474921887847392</v>
      </c>
      <c r="AZ27" s="88">
        <v>0.52474921887847392</v>
      </c>
      <c r="BA27" s="88">
        <v>0.52474921887847392</v>
      </c>
      <c r="BB27" s="88">
        <v>0.52474921887847392</v>
      </c>
      <c r="BC27" s="88">
        <v>0.52488488735405359</v>
      </c>
      <c r="BD27" s="88">
        <v>0.52488488735405359</v>
      </c>
      <c r="BE27" s="88">
        <v>0.52488488735405359</v>
      </c>
      <c r="BF27" s="88">
        <v>0</v>
      </c>
      <c r="BG27" s="88">
        <v>0</v>
      </c>
      <c r="BH27" s="88">
        <v>0</v>
      </c>
      <c r="BI27" s="88">
        <v>0</v>
      </c>
      <c r="BJ27" s="88">
        <v>0</v>
      </c>
      <c r="BK27" s="88">
        <v>0</v>
      </c>
      <c r="BL27" s="88">
        <v>0</v>
      </c>
      <c r="BM27" s="88">
        <v>0</v>
      </c>
      <c r="BN27" s="88">
        <v>0</v>
      </c>
      <c r="BO27" s="88">
        <v>0</v>
      </c>
      <c r="BP27" s="88">
        <v>0</v>
      </c>
    </row>
    <row r="28" spans="1:68" collapsed="1">
      <c r="B28" s="82" t="s">
        <v>15</v>
      </c>
      <c r="C28" s="83">
        <v>0.04</v>
      </c>
      <c r="D28" s="83">
        <v>3.1E-2</v>
      </c>
      <c r="E28" s="83">
        <v>2.98E-2</v>
      </c>
      <c r="F28" s="83">
        <v>2.87E-2</v>
      </c>
      <c r="G28" s="83">
        <v>8.3000000000000001E-3</v>
      </c>
      <c r="H28" s="83">
        <v>3.0000000000000001E-3</v>
      </c>
      <c r="I28" s="83">
        <v>3.5000000000000003E-2</v>
      </c>
      <c r="J28" s="83">
        <v>7.0999999999999994E-2</v>
      </c>
      <c r="K28" s="83">
        <v>6.4000000000000001E-2</v>
      </c>
      <c r="L28" s="83">
        <v>4.4999999999999998E-2</v>
      </c>
      <c r="M28" s="83">
        <v>1.4999999999999999E-2</v>
      </c>
      <c r="N28" s="83">
        <v>1.2999999999999999E-2</v>
      </c>
      <c r="O28" s="83">
        <v>1.4E-2</v>
      </c>
      <c r="P28" s="83">
        <v>2.1000000000000001E-2</v>
      </c>
      <c r="Q28" s="83">
        <v>6.0000000000000001E-3</v>
      </c>
      <c r="R28" s="83">
        <v>4.0000000000000001E-3</v>
      </c>
      <c r="S28" s="83">
        <v>5.0000000000000001E-3</v>
      </c>
      <c r="T28" s="83">
        <v>0.03</v>
      </c>
      <c r="U28" s="83">
        <v>1.7000000000000001E-2</v>
      </c>
      <c r="V28" s="83">
        <v>1.4E-2</v>
      </c>
      <c r="W28" s="83">
        <v>2.3E-2</v>
      </c>
      <c r="X28" s="83">
        <v>3.1E-2</v>
      </c>
      <c r="Y28" s="83">
        <v>1.2E-2</v>
      </c>
      <c r="Z28" s="84">
        <v>0.03</v>
      </c>
      <c r="AA28" s="84">
        <v>3.3000000000000002E-2</v>
      </c>
      <c r="AB28" s="84">
        <v>4.4999999999999998E-2</v>
      </c>
      <c r="AC28" s="83">
        <v>5.0999999999999997E-2</v>
      </c>
      <c r="AD28" s="83">
        <v>4.2999999999999997E-2</v>
      </c>
      <c r="AE28" s="83">
        <v>4.1000000000000002E-2</v>
      </c>
      <c r="AF28" s="83">
        <v>4.2000000000000003E-2</v>
      </c>
      <c r="AG28" s="83">
        <v>4.7E-2</v>
      </c>
      <c r="AH28" s="83">
        <v>4.2999999999999997E-2</v>
      </c>
      <c r="AI28" s="83">
        <v>5.8000000000000003E-2</v>
      </c>
      <c r="AJ28" s="83">
        <v>9.8000000000000004E-2</v>
      </c>
      <c r="AK28" s="41">
        <v>9.4E-2</v>
      </c>
      <c r="AL28" s="215">
        <v>7.2999999999999995E-2</v>
      </c>
      <c r="AM28" s="84">
        <v>8.0130468780342079E-2</v>
      </c>
      <c r="AN28" s="84">
        <v>8.1070931577748154E-2</v>
      </c>
      <c r="AO28" s="84">
        <v>6.7021776096013799E-2</v>
      </c>
      <c r="AP28" s="84">
        <v>6.2087345766736343E-2</v>
      </c>
      <c r="AQ28" s="84">
        <v>7.0894505541990421E-2</v>
      </c>
      <c r="AR28" s="84">
        <v>6.4421418102482128E-2</v>
      </c>
      <c r="AS28" s="84">
        <v>5.4329327272280709E-2</v>
      </c>
      <c r="AT28" s="84">
        <v>5.83151046185909E-2</v>
      </c>
      <c r="AU28" s="84">
        <v>5.8650971977450374E-2</v>
      </c>
      <c r="AV28" s="84">
        <v>5.2537366109621182E-2</v>
      </c>
      <c r="AW28" s="84">
        <v>4.743566952957861E-2</v>
      </c>
      <c r="AX28" s="84">
        <v>4.8986948122133132E-2</v>
      </c>
      <c r="AY28" s="84">
        <v>5.3084609131880678E-2</v>
      </c>
      <c r="AZ28" s="84">
        <v>6.4441036186573916E-2</v>
      </c>
      <c r="BA28" s="84">
        <v>7.4447092541827659E-2</v>
      </c>
      <c r="BB28" s="84">
        <v>6.1416160352096905E-2</v>
      </c>
      <c r="BC28" s="84">
        <v>8.2061012389375118E-2</v>
      </c>
      <c r="BD28" s="84">
        <v>9.2818796027425335E-2</v>
      </c>
      <c r="BE28" s="84">
        <v>8.1643095175420413E-2</v>
      </c>
      <c r="BF28" s="84">
        <v>7.6983981981993188E-2</v>
      </c>
      <c r="BG28" s="84">
        <v>7.6965582915132738E-2</v>
      </c>
      <c r="BH28" s="84">
        <v>7.3164838207461169E-2</v>
      </c>
      <c r="BI28" s="84">
        <v>6.5662922616573832E-2</v>
      </c>
      <c r="BJ28" s="84">
        <v>4.8476034545381533E-2</v>
      </c>
      <c r="BK28" s="84">
        <v>5.0568286238192539E-2</v>
      </c>
      <c r="BL28" s="84">
        <v>5.8114861487325697E-2</v>
      </c>
      <c r="BM28" s="84">
        <v>4.5863890346786555E-2</v>
      </c>
      <c r="BN28" s="84">
        <v>4.233295370313829E-2</v>
      </c>
      <c r="BO28" s="84">
        <v>5.1436382751305944E-2</v>
      </c>
      <c r="BP28" s="84">
        <v>4.0178798182121056E-2</v>
      </c>
    </row>
    <row r="29" spans="1:68" hidden="1" outlineLevel="1">
      <c r="A29" t="s">
        <v>12</v>
      </c>
      <c r="B29" s="86" t="s">
        <v>12</v>
      </c>
      <c r="C29" s="87">
        <v>0.05</v>
      </c>
      <c r="D29" s="87">
        <v>2.4799999999999999E-2</v>
      </c>
      <c r="E29" s="87">
        <v>2.3300000000000001E-2</v>
      </c>
      <c r="F29" s="87">
        <v>1.52E-2</v>
      </c>
      <c r="G29" s="87">
        <v>1.9400000000000001E-2</v>
      </c>
      <c r="H29" s="87">
        <v>1.9099999999999999E-2</v>
      </c>
      <c r="I29" s="87">
        <v>2.0500000000000001E-2</v>
      </c>
      <c r="J29" s="87">
        <v>3.7100000000000001E-2</v>
      </c>
      <c r="K29" s="87">
        <v>3.32E-2</v>
      </c>
      <c r="L29" s="87">
        <v>3.3000000000000002E-2</v>
      </c>
      <c r="M29" s="87">
        <v>2.3E-2</v>
      </c>
      <c r="N29" s="87">
        <v>2.3E-2</v>
      </c>
      <c r="O29" s="87">
        <v>2.4E-2</v>
      </c>
      <c r="P29" s="87">
        <v>2.5000000000000001E-2</v>
      </c>
      <c r="Q29" s="87">
        <v>2.9000000000000001E-2</v>
      </c>
      <c r="R29" s="87">
        <v>0.02</v>
      </c>
      <c r="S29" s="87">
        <v>2.5000000000000001E-2</v>
      </c>
      <c r="T29" s="87">
        <v>2.1999999999999999E-2</v>
      </c>
      <c r="U29" s="87">
        <v>1.2E-2</v>
      </c>
      <c r="V29" s="87">
        <v>5.0000000000000001E-3</v>
      </c>
      <c r="W29" s="87">
        <v>7.0000000000000001E-3</v>
      </c>
      <c r="X29" s="87">
        <v>1.6E-2</v>
      </c>
      <c r="Y29" s="87">
        <v>1.7999999999999999E-2</v>
      </c>
      <c r="Z29" s="88">
        <v>8.3965054220348778E-3</v>
      </c>
      <c r="AA29" s="88">
        <v>1.7132950334840399E-2</v>
      </c>
      <c r="AB29" s="88">
        <v>1.5699999999999999E-2</v>
      </c>
      <c r="AC29" s="87">
        <v>2.2839275396798423E-2</v>
      </c>
      <c r="AD29" s="87">
        <v>1.55823675356014E-2</v>
      </c>
      <c r="AE29" s="87">
        <v>2.4E-2</v>
      </c>
      <c r="AF29" s="87">
        <v>4.6803638224880137E-2</v>
      </c>
      <c r="AG29" s="87">
        <v>3.5500289907875231E-2</v>
      </c>
      <c r="AH29" s="87">
        <v>5.1999999999999998E-2</v>
      </c>
      <c r="AI29" s="87">
        <v>8.9038567813321409E-2</v>
      </c>
      <c r="AJ29" s="87">
        <v>8.3055583611083061E-2</v>
      </c>
      <c r="AK29" s="51">
        <v>7.9000000000000001E-2</v>
      </c>
      <c r="AL29" s="216">
        <v>7.3999999999999996E-2</v>
      </c>
      <c r="AM29" s="88">
        <v>7.8827313318231451E-2</v>
      </c>
      <c r="AN29" s="88">
        <v>7.6883418392024047E-2</v>
      </c>
      <c r="AO29" s="88">
        <v>7.1596704520530172E-2</v>
      </c>
      <c r="AP29" s="88">
        <v>6.5977267839027381E-2</v>
      </c>
      <c r="AQ29" s="88">
        <v>6.292358820467521E-2</v>
      </c>
      <c r="AR29" s="88">
        <v>6.8486028726189474E-2</v>
      </c>
      <c r="AS29" s="88">
        <v>6.6065840556840158E-2</v>
      </c>
      <c r="AT29" s="88">
        <v>5.1088297658196627E-2</v>
      </c>
      <c r="AU29" s="88">
        <v>5.4690867051433646E-2</v>
      </c>
      <c r="AV29" s="88">
        <v>6.3916726383515782E-2</v>
      </c>
      <c r="AW29" s="88">
        <v>5.8140999553205577E-2</v>
      </c>
      <c r="AX29" s="88">
        <v>7.2487969068721222E-2</v>
      </c>
      <c r="AY29" s="88">
        <v>8.4136663357044283E-2</v>
      </c>
      <c r="AZ29" s="88">
        <v>0.10301728173185749</v>
      </c>
      <c r="BA29" s="88">
        <v>0.15357635569805134</v>
      </c>
      <c r="BB29" s="88">
        <v>0.15808730751057748</v>
      </c>
      <c r="BC29" s="88">
        <v>0.18661104518803287</v>
      </c>
      <c r="BD29" s="88">
        <v>0.18934938843667445</v>
      </c>
      <c r="BE29" s="88">
        <v>0.18044977287858935</v>
      </c>
      <c r="BF29" s="88">
        <v>0.17434942291403971</v>
      </c>
      <c r="BG29" s="88">
        <v>0.19207966218435388</v>
      </c>
      <c r="BH29" s="88">
        <v>0.19798819077609303</v>
      </c>
      <c r="BI29" s="88">
        <v>0.18279225384727935</v>
      </c>
      <c r="BJ29" s="88">
        <v>0.13231847106128772</v>
      </c>
      <c r="BK29" s="88">
        <v>0.13738843414281429</v>
      </c>
      <c r="BL29" s="88">
        <v>0.15131056045542646</v>
      </c>
      <c r="BM29" s="88">
        <v>0.13129336713361384</v>
      </c>
      <c r="BN29" s="88">
        <v>0.10408656230069346</v>
      </c>
      <c r="BO29" s="88">
        <v>0.15174455801158046</v>
      </c>
      <c r="BP29" s="88">
        <v>0.11259238134392428</v>
      </c>
    </row>
    <row r="30" spans="1:68" hidden="1" outlineLevel="1">
      <c r="A30" t="s">
        <v>30</v>
      </c>
      <c r="B30" s="23" t="s">
        <v>30</v>
      </c>
      <c r="C30" s="87">
        <v>8.0000000000000002E-3</v>
      </c>
      <c r="D30" s="87">
        <v>3.3999999999999998E-3</v>
      </c>
      <c r="E30" s="87">
        <v>1.8E-3</v>
      </c>
      <c r="F30" s="87">
        <v>1.8E-3</v>
      </c>
      <c r="G30" s="87">
        <v>6.7000000000000002E-3</v>
      </c>
      <c r="H30" s="87">
        <v>1.1999999999999999E-3</v>
      </c>
      <c r="I30" s="87">
        <v>3.6799999999999999E-2</v>
      </c>
      <c r="J30" s="87">
        <v>7.9600000000000004E-2</v>
      </c>
      <c r="K30" s="87">
        <v>7.1800000000000003E-2</v>
      </c>
      <c r="L30" s="87">
        <v>4.8000000000000001E-2</v>
      </c>
      <c r="M30" s="87">
        <v>8.0000000000000002E-3</v>
      </c>
      <c r="N30" s="87">
        <v>0.01</v>
      </c>
      <c r="O30" s="87">
        <v>1.2E-2</v>
      </c>
      <c r="P30" s="87">
        <v>2.5999999999999999E-2</v>
      </c>
      <c r="Q30" s="87">
        <v>0</v>
      </c>
      <c r="R30" s="87">
        <v>0</v>
      </c>
      <c r="S30" s="87">
        <v>0</v>
      </c>
      <c r="T30" s="87">
        <v>5.0000000000000001E-3</v>
      </c>
      <c r="U30" s="87">
        <v>6.0000000000000001E-3</v>
      </c>
      <c r="V30" s="87">
        <v>8.0000000000000002E-3</v>
      </c>
      <c r="W30" s="87">
        <v>2.1000000000000001E-2</v>
      </c>
      <c r="X30" s="87">
        <v>0.03</v>
      </c>
      <c r="Y30" s="87">
        <v>2E-3</v>
      </c>
      <c r="Z30" s="88">
        <v>1.3718989367783241E-3</v>
      </c>
      <c r="AA30" s="88">
        <v>9.0316680004572988E-3</v>
      </c>
      <c r="AB30" s="88">
        <v>1.2699999999999999E-2</v>
      </c>
      <c r="AC30" s="87">
        <v>1.8298209019636053E-2</v>
      </c>
      <c r="AD30" s="87">
        <v>2.0683739825727455E-2</v>
      </c>
      <c r="AE30" s="87">
        <v>0.02</v>
      </c>
      <c r="AF30" s="87">
        <v>1.8183603800632216E-2</v>
      </c>
      <c r="AG30" s="87">
        <v>1.5720050264647508E-2</v>
      </c>
      <c r="AH30" s="87">
        <v>1.5720050264647508E-2</v>
      </c>
      <c r="AI30" s="87">
        <v>1.6526776740847095E-2</v>
      </c>
      <c r="AJ30" s="87">
        <v>1.7018282087001478E-2</v>
      </c>
      <c r="AK30" s="51">
        <v>1.7000000000000001E-2</v>
      </c>
      <c r="AL30" s="216">
        <v>1.2999999999999999E-2</v>
      </c>
      <c r="AM30" s="88">
        <v>1.4015810558299589E-2</v>
      </c>
      <c r="AN30" s="88">
        <v>1.5285869145352573E-2</v>
      </c>
      <c r="AO30" s="88">
        <v>1.031061020760337E-2</v>
      </c>
      <c r="AP30" s="88">
        <v>1.3405174826241338E-2</v>
      </c>
      <c r="AQ30" s="88">
        <v>2.080485435091229E-2</v>
      </c>
      <c r="AR30" s="88">
        <v>1.7158681329053231E-2</v>
      </c>
      <c r="AS30" s="88">
        <v>1.239111802496036E-2</v>
      </c>
      <c r="AT30" s="88">
        <v>8.3357540918012028E-3</v>
      </c>
      <c r="AU30" s="88">
        <v>1.0529517004409433E-2</v>
      </c>
      <c r="AV30" s="88">
        <v>1.2038526505520277E-2</v>
      </c>
      <c r="AW30" s="88">
        <v>1.1038400652428634E-2</v>
      </c>
      <c r="AX30" s="88">
        <v>9.7715942718668604E-3</v>
      </c>
      <c r="AY30" s="88">
        <v>1.3898016338111382E-2</v>
      </c>
      <c r="AZ30" s="88">
        <v>1.7816960981054699E-2</v>
      </c>
      <c r="BA30" s="88">
        <v>1.9833248076080945E-2</v>
      </c>
      <c r="BB30" s="88">
        <v>2.1709340773021446E-2</v>
      </c>
      <c r="BC30" s="88">
        <v>9.0508694868119521E-2</v>
      </c>
      <c r="BD30" s="88">
        <v>8.9166813574802689E-2</v>
      </c>
      <c r="BE30" s="88">
        <v>8.2358072663435145E-2</v>
      </c>
      <c r="BF30" s="88">
        <v>7.8460643636198923E-2</v>
      </c>
      <c r="BG30" s="88">
        <v>7.8200085052603438E-2</v>
      </c>
      <c r="BH30" s="88">
        <v>7.3953980925357085E-2</v>
      </c>
      <c r="BI30" s="88">
        <v>5.4411155236261076E-2</v>
      </c>
      <c r="BJ30" s="88">
        <v>3.2552190500239463E-2</v>
      </c>
      <c r="BK30" s="88">
        <v>3.6406123412131328E-2</v>
      </c>
      <c r="BL30" s="88">
        <v>5.5045955005441335E-2</v>
      </c>
      <c r="BM30" s="88">
        <v>1.9561167514495464E-2</v>
      </c>
      <c r="BN30" s="88">
        <v>2.0631242598229578E-2</v>
      </c>
      <c r="BO30" s="88">
        <v>3.0443004071776854E-2</v>
      </c>
      <c r="BP30" s="88">
        <v>2.2660591899248579E-2</v>
      </c>
    </row>
    <row r="31" spans="1:68" hidden="1" outlineLevel="1">
      <c r="B31" s="23" t="s">
        <v>31</v>
      </c>
      <c r="C31" s="87" t="s">
        <v>18</v>
      </c>
      <c r="D31" s="87" t="s">
        <v>18</v>
      </c>
      <c r="E31" s="87" t="s">
        <v>18</v>
      </c>
      <c r="F31" s="87" t="s">
        <v>18</v>
      </c>
      <c r="G31" s="87" t="s">
        <v>18</v>
      </c>
      <c r="H31" s="87" t="s">
        <v>18</v>
      </c>
      <c r="I31" s="87" t="s">
        <v>18</v>
      </c>
      <c r="J31" s="87" t="s">
        <v>18</v>
      </c>
      <c r="K31" s="87" t="s">
        <v>18</v>
      </c>
      <c r="L31" s="87" t="s">
        <v>18</v>
      </c>
      <c r="M31" s="87" t="s">
        <v>18</v>
      </c>
      <c r="N31" s="87" t="s">
        <v>18</v>
      </c>
      <c r="O31" s="87" t="s">
        <v>18</v>
      </c>
      <c r="P31" s="87" t="s">
        <v>18</v>
      </c>
      <c r="Q31" s="87" t="s">
        <v>18</v>
      </c>
      <c r="R31" s="87" t="s">
        <v>18</v>
      </c>
      <c r="S31" s="87" t="s">
        <v>18</v>
      </c>
      <c r="T31" s="87">
        <v>4.5999999999999999E-2</v>
      </c>
      <c r="U31" s="87">
        <v>3.7999999999999999E-2</v>
      </c>
      <c r="V31" s="87">
        <v>1.6E-2</v>
      </c>
      <c r="W31" s="87">
        <v>2.7E-2</v>
      </c>
      <c r="X31" s="87">
        <v>0.04</v>
      </c>
      <c r="Y31" s="87">
        <v>2.3E-2</v>
      </c>
      <c r="Z31" s="88">
        <v>1.29E-2</v>
      </c>
      <c r="AA31" s="88">
        <v>1.47E-2</v>
      </c>
      <c r="AB31" s="88">
        <v>2.24E-2</v>
      </c>
      <c r="AC31" s="87">
        <v>3.4478362490261351E-2</v>
      </c>
      <c r="AD31" s="87">
        <v>2.7088841268348297E-2</v>
      </c>
      <c r="AE31" s="87">
        <v>4.1000000000000002E-2</v>
      </c>
      <c r="AF31" s="87">
        <v>3.8945511303091832E-2</v>
      </c>
      <c r="AG31" s="87">
        <v>4.0258154010133385E-2</v>
      </c>
      <c r="AH31" s="87">
        <v>1.4E-2</v>
      </c>
      <c r="AI31" s="87">
        <v>6.7998728064744884E-2</v>
      </c>
      <c r="AJ31" s="87">
        <v>6.6214923289922442E-2</v>
      </c>
      <c r="AK31" s="51">
        <v>0.06</v>
      </c>
      <c r="AL31" s="216">
        <v>4.1000000000000002E-2</v>
      </c>
      <c r="AM31" s="88">
        <v>6.5210882362872979E-2</v>
      </c>
      <c r="AN31" s="88">
        <v>4.5571301538703972E-2</v>
      </c>
      <c r="AO31" s="88">
        <v>5.3021409034117124E-2</v>
      </c>
      <c r="AP31" s="88">
        <v>8.0793214844497464E-3</v>
      </c>
      <c r="AQ31" s="88">
        <v>2.5109781574149118E-2</v>
      </c>
      <c r="AR31" s="88">
        <v>1.4657012644302858E-2</v>
      </c>
      <c r="AS31" s="88">
        <v>1.5725924065290782E-2</v>
      </c>
      <c r="AT31" s="88">
        <v>1.1428036630400439E-2</v>
      </c>
      <c r="AU31" s="88">
        <v>1.0951837878299739E-2</v>
      </c>
      <c r="AV31" s="88">
        <v>1.5627856675689139E-2</v>
      </c>
      <c r="AW31" s="88">
        <v>1.6659794884043396E-2</v>
      </c>
      <c r="AX31" s="88">
        <v>2.8911081523707825E-2</v>
      </c>
      <c r="AY31" s="88">
        <v>3.0761100411786552E-2</v>
      </c>
      <c r="AZ31" s="88">
        <v>6.6208804012333977E-2</v>
      </c>
      <c r="BA31" s="88">
        <v>4.1161722041734961E-2</v>
      </c>
      <c r="BB31" s="88">
        <v>1.4852956240501253E-2</v>
      </c>
      <c r="BC31" s="88">
        <v>2.1507635233197136E-2</v>
      </c>
      <c r="BD31" s="88" t="s">
        <v>18</v>
      </c>
      <c r="BE31" s="88" t="s">
        <v>18</v>
      </c>
      <c r="BF31" s="88" t="s">
        <v>18</v>
      </c>
      <c r="BG31" s="88" t="s">
        <v>18</v>
      </c>
      <c r="BH31" s="88" t="s">
        <v>18</v>
      </c>
      <c r="BI31" s="88" t="s">
        <v>18</v>
      </c>
      <c r="BJ31" s="88" t="s">
        <v>18</v>
      </c>
      <c r="BK31" s="88" t="s">
        <v>18</v>
      </c>
      <c r="BL31" s="88" t="s">
        <v>18</v>
      </c>
      <c r="BM31" s="88" t="s">
        <v>18</v>
      </c>
      <c r="BN31" s="88" t="s">
        <v>18</v>
      </c>
      <c r="BO31" s="88" t="s">
        <v>18</v>
      </c>
      <c r="BP31" s="88" t="s">
        <v>18</v>
      </c>
    </row>
    <row r="32" spans="1:68" hidden="1" outlineLevel="1">
      <c r="A32" t="s">
        <v>16</v>
      </c>
      <c r="B32" s="38" t="s">
        <v>16</v>
      </c>
      <c r="C32" s="87" t="s">
        <v>18</v>
      </c>
      <c r="D32" s="87" t="s">
        <v>18</v>
      </c>
      <c r="E32" s="87" t="s">
        <v>18</v>
      </c>
      <c r="F32" s="87" t="s">
        <v>18</v>
      </c>
      <c r="G32" s="87" t="s">
        <v>18</v>
      </c>
      <c r="H32" s="87" t="s">
        <v>18</v>
      </c>
      <c r="I32" s="87" t="s">
        <v>18</v>
      </c>
      <c r="J32" s="87" t="s">
        <v>18</v>
      </c>
      <c r="K32" s="87" t="s">
        <v>18</v>
      </c>
      <c r="L32" s="87" t="s">
        <v>18</v>
      </c>
      <c r="M32" s="87" t="s">
        <v>18</v>
      </c>
      <c r="N32" s="87" t="s">
        <v>18</v>
      </c>
      <c r="O32" s="87" t="s">
        <v>18</v>
      </c>
      <c r="P32" s="87" t="s">
        <v>18</v>
      </c>
      <c r="Q32" s="87" t="s">
        <v>18</v>
      </c>
      <c r="R32" s="87" t="s">
        <v>18</v>
      </c>
      <c r="S32" s="87" t="s">
        <v>18</v>
      </c>
      <c r="T32" s="87" t="s">
        <v>18</v>
      </c>
      <c r="U32" s="87" t="s">
        <v>18</v>
      </c>
      <c r="V32" s="87" t="s">
        <v>18</v>
      </c>
      <c r="W32" s="87" t="s">
        <v>18</v>
      </c>
      <c r="X32" s="87" t="s">
        <v>18</v>
      </c>
      <c r="Y32" s="87" t="s">
        <v>18</v>
      </c>
      <c r="Z32" s="88">
        <v>6.688873483535529E-2</v>
      </c>
      <c r="AA32" s="88">
        <v>6.3190737316511328E-2</v>
      </c>
      <c r="AB32" s="88">
        <v>8.3900000000000002E-2</v>
      </c>
      <c r="AC32" s="87">
        <v>9.7293376252436864E-2</v>
      </c>
      <c r="AD32" s="87">
        <v>7.3516441508406319E-2</v>
      </c>
      <c r="AE32" s="87">
        <v>5.8000000000000003E-2</v>
      </c>
      <c r="AF32" s="87">
        <v>6.5095209144575283E-2</v>
      </c>
      <c r="AG32" s="87">
        <v>8.1841645573809602E-2</v>
      </c>
      <c r="AH32" s="87">
        <v>8.1000000000000003E-2</v>
      </c>
      <c r="AI32" s="87">
        <v>0.10911092351481308</v>
      </c>
      <c r="AJ32" s="87">
        <v>0.17290968384817465</v>
      </c>
      <c r="AK32" s="51">
        <v>0.16300000000000001</v>
      </c>
      <c r="AL32" s="216">
        <v>9.5000000000000001E-2</v>
      </c>
      <c r="AM32" s="88">
        <v>9.2559929075039959E-2</v>
      </c>
      <c r="AN32" s="88">
        <v>0.10859957440098023</v>
      </c>
      <c r="AO32" s="88">
        <v>9.9814570784838658E-2</v>
      </c>
      <c r="AP32" s="88">
        <v>0.10329544692428577</v>
      </c>
      <c r="AQ32" s="88">
        <v>0.10256077845743168</v>
      </c>
      <c r="AR32" s="88">
        <v>0.10850382789770122</v>
      </c>
      <c r="AS32" s="88">
        <v>8.8033827922632008E-2</v>
      </c>
      <c r="AT32" s="88">
        <v>0.11402718540927653</v>
      </c>
      <c r="AU32" s="88">
        <v>0.12223300948868104</v>
      </c>
      <c r="AV32" s="88">
        <v>8.7214950059089399E-2</v>
      </c>
      <c r="AW32" s="88">
        <v>7.8248693274607151E-2</v>
      </c>
      <c r="AX32" s="88">
        <v>8.2839901369520227E-2</v>
      </c>
      <c r="AY32" s="88">
        <v>8.8165158452069056E-2</v>
      </c>
      <c r="AZ32" s="88">
        <v>9.3178511829446697E-2</v>
      </c>
      <c r="BA32" s="88">
        <v>0.11325731284984328</v>
      </c>
      <c r="BB32" s="88">
        <v>7.3950595918688133E-2</v>
      </c>
      <c r="BC32" s="88">
        <v>5.2697160736423138E-2</v>
      </c>
      <c r="BD32" s="88">
        <v>4.9162927407079046E-2</v>
      </c>
      <c r="BE32" s="88">
        <v>4.8490507893605567E-2</v>
      </c>
      <c r="BF32" s="88">
        <v>3.3173765673789733E-2</v>
      </c>
      <c r="BG32" s="88">
        <v>3.5064154198857181E-2</v>
      </c>
      <c r="BH32" s="88">
        <v>3.5654963327285863E-2</v>
      </c>
      <c r="BI32" s="88">
        <v>3.3231671776238599E-2</v>
      </c>
      <c r="BJ32" s="88">
        <v>2.2917452026796868E-2</v>
      </c>
      <c r="BK32" s="88">
        <v>2.8705953597517132E-2</v>
      </c>
      <c r="BL32" s="88">
        <v>3.2060784981643393E-2</v>
      </c>
      <c r="BM32" s="88">
        <v>3.9405397221906814E-2</v>
      </c>
      <c r="BN32" s="88">
        <v>3.9394950985958146E-2</v>
      </c>
      <c r="BO32" s="88">
        <v>3.8853260663865866E-2</v>
      </c>
      <c r="BP32" s="88">
        <v>4.3905075508118542E-2</v>
      </c>
    </row>
    <row r="33" spans="1:68" hidden="1" outlineLevel="1">
      <c r="A33" t="s">
        <v>17</v>
      </c>
      <c r="B33" s="38" t="s">
        <v>17</v>
      </c>
      <c r="C33" s="87" t="s">
        <v>18</v>
      </c>
      <c r="D33" s="87" t="s">
        <v>18</v>
      </c>
      <c r="E33" s="87" t="s">
        <v>18</v>
      </c>
      <c r="F33" s="87" t="s">
        <v>18</v>
      </c>
      <c r="G33" s="87" t="s">
        <v>18</v>
      </c>
      <c r="H33" s="87" t="s">
        <v>18</v>
      </c>
      <c r="I33" s="87" t="s">
        <v>18</v>
      </c>
      <c r="J33" s="87" t="s">
        <v>18</v>
      </c>
      <c r="K33" s="87" t="s">
        <v>18</v>
      </c>
      <c r="L33" s="87" t="s">
        <v>18</v>
      </c>
      <c r="M33" s="87" t="s">
        <v>18</v>
      </c>
      <c r="N33" s="87" t="s">
        <v>18</v>
      </c>
      <c r="O33" s="87" t="s">
        <v>18</v>
      </c>
      <c r="P33" s="87" t="s">
        <v>18</v>
      </c>
      <c r="Q33" s="87" t="s">
        <v>18</v>
      </c>
      <c r="R33" s="87" t="s">
        <v>18</v>
      </c>
      <c r="S33" s="87" t="s">
        <v>18</v>
      </c>
      <c r="T33" s="87" t="s">
        <v>18</v>
      </c>
      <c r="U33" s="87" t="s">
        <v>18</v>
      </c>
      <c r="V33" s="87" t="s">
        <v>18</v>
      </c>
      <c r="W33" s="87" t="s">
        <v>18</v>
      </c>
      <c r="X33" s="87" t="s">
        <v>18</v>
      </c>
      <c r="Y33" s="87" t="s">
        <v>18</v>
      </c>
      <c r="Z33" s="88">
        <v>7.164669994453661E-2</v>
      </c>
      <c r="AA33" s="88">
        <v>6.9679700499168051E-2</v>
      </c>
      <c r="AB33" s="88">
        <v>8.6699999999999999E-2</v>
      </c>
      <c r="AC33" s="87">
        <v>8.2403644199558118E-2</v>
      </c>
      <c r="AD33" s="87">
        <v>8.2073497068696724E-2</v>
      </c>
      <c r="AE33" s="87">
        <v>0.08</v>
      </c>
      <c r="AF33" s="87">
        <v>7.725786678120912E-2</v>
      </c>
      <c r="AG33" s="87">
        <v>8.0895152528218661E-2</v>
      </c>
      <c r="AH33" s="87">
        <v>8.3000000000000004E-2</v>
      </c>
      <c r="AI33" s="87">
        <v>9.0422542895332664E-2</v>
      </c>
      <c r="AJ33" s="87">
        <v>8.6422784188558796E-2</v>
      </c>
      <c r="AK33" s="51">
        <v>8.1000000000000003E-2</v>
      </c>
      <c r="AL33" s="216">
        <v>6.6000000000000003E-2</v>
      </c>
      <c r="AM33" s="88">
        <v>7.2512070204422852E-2</v>
      </c>
      <c r="AN33" s="88">
        <v>7.4115065371976221E-2</v>
      </c>
      <c r="AO33" s="88">
        <v>4.7603690332932207E-2</v>
      </c>
      <c r="AP33" s="88">
        <v>3.6722823906939428E-2</v>
      </c>
      <c r="AQ33" s="88">
        <v>4.0419121606936184E-2</v>
      </c>
      <c r="AR33" s="88">
        <v>3.3840702526014434E-2</v>
      </c>
      <c r="AS33" s="88">
        <v>3.7062326485731829E-2</v>
      </c>
      <c r="AT33" s="88">
        <v>3.3374696600967244E-2</v>
      </c>
      <c r="AU33" s="88">
        <v>5.3096213672861881E-2</v>
      </c>
      <c r="AV33" s="88">
        <v>7.9790064464599075E-2</v>
      </c>
      <c r="AW33" s="88">
        <v>5.4121640840498746E-2</v>
      </c>
      <c r="AX33" s="88">
        <v>4.7494863495863508E-2</v>
      </c>
      <c r="AY33" s="88">
        <v>4.8471843177898113E-2</v>
      </c>
      <c r="AZ33" s="88">
        <v>7.6313087459221149E-2</v>
      </c>
      <c r="BA33" s="88">
        <v>7.9232516881673584E-2</v>
      </c>
      <c r="BB33" s="88">
        <v>7.9900797154948022E-2</v>
      </c>
      <c r="BC33" s="88">
        <v>9.6027506928270182E-2</v>
      </c>
      <c r="BD33" s="88">
        <v>9.9286424222161801E-2</v>
      </c>
      <c r="BE33" s="88">
        <v>5.7365822419268055E-2</v>
      </c>
      <c r="BF33" s="88">
        <v>5.4083972519292985E-2</v>
      </c>
      <c r="BG33" s="88">
        <v>5.2589694175005385E-2</v>
      </c>
      <c r="BH33" s="88">
        <v>5.9334393718442728E-2</v>
      </c>
      <c r="BI33" s="88">
        <v>5.1317011132680689E-2</v>
      </c>
      <c r="BJ33" s="88">
        <v>3.4943429988255628E-2</v>
      </c>
      <c r="BK33" s="88">
        <v>3.7256996912294317E-2</v>
      </c>
      <c r="BL33" s="88">
        <v>3.7813874755491167E-2</v>
      </c>
      <c r="BM33" s="88">
        <v>3.5934016973802815E-2</v>
      </c>
      <c r="BN33" s="88">
        <v>3.3853694004519687E-2</v>
      </c>
      <c r="BO33" s="88">
        <v>4.8949264428210994E-2</v>
      </c>
      <c r="BP33" s="88">
        <v>4.4713760093015843E-2</v>
      </c>
    </row>
    <row r="34" spans="1:68" hidden="1" outlineLevel="1">
      <c r="A34" t="s">
        <v>20</v>
      </c>
      <c r="B34" s="38" t="s">
        <v>20</v>
      </c>
      <c r="C34" s="87" t="s">
        <v>18</v>
      </c>
      <c r="D34" s="87" t="s">
        <v>18</v>
      </c>
      <c r="E34" s="87" t="s">
        <v>18</v>
      </c>
      <c r="F34" s="87" t="s">
        <v>18</v>
      </c>
      <c r="G34" s="87" t="s">
        <v>18</v>
      </c>
      <c r="H34" s="87" t="s">
        <v>18</v>
      </c>
      <c r="I34" s="87" t="s">
        <v>18</v>
      </c>
      <c r="J34" s="87" t="s">
        <v>18</v>
      </c>
      <c r="K34" s="87" t="s">
        <v>18</v>
      </c>
      <c r="L34" s="87" t="s">
        <v>18</v>
      </c>
      <c r="M34" s="87" t="s">
        <v>18</v>
      </c>
      <c r="N34" s="87" t="s">
        <v>18</v>
      </c>
      <c r="O34" s="87" t="s">
        <v>18</v>
      </c>
      <c r="P34" s="87" t="s">
        <v>18</v>
      </c>
      <c r="Q34" s="87" t="s">
        <v>18</v>
      </c>
      <c r="R34" s="87" t="s">
        <v>18</v>
      </c>
      <c r="S34" s="87" t="s">
        <v>18</v>
      </c>
      <c r="T34" s="87" t="s">
        <v>18</v>
      </c>
      <c r="U34" s="87" t="s">
        <v>18</v>
      </c>
      <c r="V34" s="87" t="s">
        <v>18</v>
      </c>
      <c r="W34" s="87" t="s">
        <v>18</v>
      </c>
      <c r="X34" s="87" t="s">
        <v>18</v>
      </c>
      <c r="Y34" s="87" t="s">
        <v>18</v>
      </c>
      <c r="Z34" s="88" t="s">
        <v>18</v>
      </c>
      <c r="AA34" s="88" t="s">
        <v>18</v>
      </c>
      <c r="AB34" s="88" t="s">
        <v>18</v>
      </c>
      <c r="AC34" s="87" t="s">
        <v>18</v>
      </c>
      <c r="AD34" s="87" t="s">
        <v>18</v>
      </c>
      <c r="AE34" s="87" t="s">
        <v>18</v>
      </c>
      <c r="AF34" s="87">
        <v>3.1E-2</v>
      </c>
      <c r="AG34" s="87">
        <v>4.438804886242935E-2</v>
      </c>
      <c r="AH34" s="87">
        <v>2.1999999999999999E-2</v>
      </c>
      <c r="AI34" s="87">
        <v>9.7801878570736925E-3</v>
      </c>
      <c r="AJ34" s="87">
        <v>5.4168170335618911E-3</v>
      </c>
      <c r="AK34" s="51">
        <v>0</v>
      </c>
      <c r="AL34" s="216">
        <v>0</v>
      </c>
      <c r="AM34" s="88">
        <v>4.4313074272530506E-2</v>
      </c>
      <c r="AN34" s="88">
        <v>4.4331898665476092E-2</v>
      </c>
      <c r="AO34" s="88">
        <v>8.7897223788329423E-3</v>
      </c>
      <c r="AP34" s="88">
        <v>5.7144026171807539E-3</v>
      </c>
      <c r="AQ34" s="88">
        <v>1.4785955265873717E-2</v>
      </c>
      <c r="AR34" s="88">
        <v>3.0010680748986771E-3</v>
      </c>
      <c r="AS34" s="88">
        <v>6.74203496818315E-3</v>
      </c>
      <c r="AT34" s="88">
        <v>8.928072338182446E-3</v>
      </c>
      <c r="AU34" s="88">
        <v>5.8362449443753548E-3</v>
      </c>
      <c r="AV34" s="88">
        <v>8.8759808968663593E-3</v>
      </c>
      <c r="AW34" s="88">
        <v>1.6903272003675248E-2</v>
      </c>
      <c r="AX34" s="88">
        <v>6.6124323571637774E-3</v>
      </c>
      <c r="AY34" s="88">
        <v>1.0643993412175951E-2</v>
      </c>
      <c r="AZ34" s="88">
        <v>3.794000854688543E-2</v>
      </c>
      <c r="BA34" s="88">
        <v>3.9133211372159242E-2</v>
      </c>
      <c r="BB34" s="88">
        <v>2.9241426663330742E-2</v>
      </c>
      <c r="BC34" s="88">
        <v>4.3181036579739658E-2</v>
      </c>
      <c r="BD34" s="88">
        <v>6.0227097071056515E-2</v>
      </c>
      <c r="BE34" s="88">
        <v>3.9473573843095487E-2</v>
      </c>
      <c r="BF34" s="88">
        <v>3.6487479274546826E-2</v>
      </c>
      <c r="BG34" s="88">
        <v>3.3468911721339138E-2</v>
      </c>
      <c r="BH34" s="88">
        <v>3.981799184947199E-2</v>
      </c>
      <c r="BI34" s="88">
        <v>5.3461877628141752E-2</v>
      </c>
      <c r="BJ34" s="88">
        <v>3.3741563324784604E-2</v>
      </c>
      <c r="BK34" s="88">
        <v>2.1498939604376609E-2</v>
      </c>
      <c r="BL34" s="88">
        <v>2.4897213789796386E-2</v>
      </c>
      <c r="BM34" s="88">
        <v>2.0141010140205674E-2</v>
      </c>
      <c r="BN34" s="88">
        <v>7.7729483572740619E-3</v>
      </c>
      <c r="BO34" s="88">
        <v>1.0213948323360332E-2</v>
      </c>
      <c r="BP34" s="88">
        <v>2.1715238228188931E-2</v>
      </c>
    </row>
    <row r="35" spans="1:68" hidden="1" outlineLevel="1">
      <c r="A35" t="s">
        <v>23</v>
      </c>
      <c r="B35" s="38" t="s">
        <v>23</v>
      </c>
      <c r="C35" s="87" t="s">
        <v>18</v>
      </c>
      <c r="D35" s="87" t="s">
        <v>18</v>
      </c>
      <c r="E35" s="87" t="s">
        <v>18</v>
      </c>
      <c r="F35" s="87" t="s">
        <v>18</v>
      </c>
      <c r="G35" s="87" t="s">
        <v>18</v>
      </c>
      <c r="H35" s="87" t="s">
        <v>18</v>
      </c>
      <c r="I35" s="87" t="s">
        <v>18</v>
      </c>
      <c r="J35" s="87" t="s">
        <v>18</v>
      </c>
      <c r="K35" s="87" t="s">
        <v>18</v>
      </c>
      <c r="L35" s="87" t="s">
        <v>18</v>
      </c>
      <c r="M35" s="87" t="s">
        <v>18</v>
      </c>
      <c r="N35" s="87" t="s">
        <v>18</v>
      </c>
      <c r="O35" s="87" t="s">
        <v>18</v>
      </c>
      <c r="P35" s="87" t="s">
        <v>18</v>
      </c>
      <c r="Q35" s="87" t="s">
        <v>18</v>
      </c>
      <c r="R35" s="87" t="s">
        <v>18</v>
      </c>
      <c r="S35" s="87" t="s">
        <v>18</v>
      </c>
      <c r="T35" s="87" t="s">
        <v>18</v>
      </c>
      <c r="U35" s="87" t="s">
        <v>18</v>
      </c>
      <c r="V35" s="87" t="s">
        <v>18</v>
      </c>
      <c r="W35" s="87" t="s">
        <v>18</v>
      </c>
      <c r="X35" s="87" t="s">
        <v>18</v>
      </c>
      <c r="Y35" s="87" t="s">
        <v>18</v>
      </c>
      <c r="Z35" s="88" t="s">
        <v>18</v>
      </c>
      <c r="AA35" s="88" t="s">
        <v>18</v>
      </c>
      <c r="AB35" s="88" t="s">
        <v>18</v>
      </c>
      <c r="AC35" s="87" t="s">
        <v>18</v>
      </c>
      <c r="AD35" s="87" t="s">
        <v>18</v>
      </c>
      <c r="AE35" s="87" t="s">
        <v>18</v>
      </c>
      <c r="AF35" s="87" t="s">
        <v>18</v>
      </c>
      <c r="AG35" s="87" t="s">
        <v>18</v>
      </c>
      <c r="AH35" s="87" t="s">
        <v>18</v>
      </c>
      <c r="AI35" s="87" t="s">
        <v>18</v>
      </c>
      <c r="AJ35" s="87">
        <v>0.33776376060674324</v>
      </c>
      <c r="AK35" s="51">
        <v>0.33500000000000002</v>
      </c>
      <c r="AL35" s="216">
        <v>0.32900000000000001</v>
      </c>
      <c r="AM35" s="88">
        <v>0.32736189556135176</v>
      </c>
      <c r="AN35" s="88">
        <v>0.28065903941368991</v>
      </c>
      <c r="AO35" s="88">
        <v>0.25346872173580615</v>
      </c>
      <c r="AP35" s="88">
        <v>0.24126901767592565</v>
      </c>
      <c r="AQ35" s="88">
        <v>0.26233377488485943</v>
      </c>
      <c r="AR35" s="88">
        <v>0.22229134993737973</v>
      </c>
      <c r="AS35" s="88">
        <v>0.18303177277308511</v>
      </c>
      <c r="AT35" s="88">
        <v>0.18439736976891219</v>
      </c>
      <c r="AU35" s="88">
        <v>0.15498124175113073</v>
      </c>
      <c r="AV35" s="88">
        <v>0.14524507452396504</v>
      </c>
      <c r="AW35" s="88">
        <v>0.13081842460594925</v>
      </c>
      <c r="AX35" s="88">
        <v>0.13161177500534518</v>
      </c>
      <c r="AY35" s="88">
        <v>0.13220299561406043</v>
      </c>
      <c r="AZ35" s="88">
        <v>0.12389520840436168</v>
      </c>
      <c r="BA35" s="88">
        <v>0.15624981941948424</v>
      </c>
      <c r="BB35" s="88">
        <v>0.15348260359543031</v>
      </c>
      <c r="BC35" s="88">
        <v>0.1544357075578002</v>
      </c>
      <c r="BD35" s="88">
        <v>0.1760613078074347</v>
      </c>
      <c r="BE35" s="88">
        <v>0.22320618538829146</v>
      </c>
      <c r="BF35" s="88">
        <v>0.17255130412840769</v>
      </c>
      <c r="BG35" s="88">
        <v>0.16114824649095941</v>
      </c>
      <c r="BH35" s="88">
        <v>0.1246695376560938</v>
      </c>
      <c r="BI35" s="88">
        <v>0.12294378986013919</v>
      </c>
      <c r="BJ35" s="88">
        <v>0.12632028434448792</v>
      </c>
      <c r="BK35" s="88">
        <v>0.1272121113184978</v>
      </c>
      <c r="BL35" s="88">
        <v>0.11690942958677729</v>
      </c>
      <c r="BM35" s="88">
        <v>0.11600740683788811</v>
      </c>
      <c r="BN35" s="88">
        <v>0.11432228175827851</v>
      </c>
      <c r="BO35" s="88">
        <v>0.12290455157421652</v>
      </c>
      <c r="BP35" s="88" t="s">
        <v>18</v>
      </c>
    </row>
    <row r="36" spans="1:68" hidden="1" outlineLevel="1">
      <c r="B36" s="86" t="s">
        <v>13</v>
      </c>
      <c r="C36" s="87" t="s">
        <v>18</v>
      </c>
      <c r="D36" s="87" t="s">
        <v>18</v>
      </c>
      <c r="E36" s="87" t="s">
        <v>18</v>
      </c>
      <c r="F36" s="87" t="s">
        <v>18</v>
      </c>
      <c r="G36" s="87" t="s">
        <v>18</v>
      </c>
      <c r="H36" s="87" t="s">
        <v>18</v>
      </c>
      <c r="I36" s="87" t="s">
        <v>18</v>
      </c>
      <c r="J36" s="87" t="s">
        <v>18</v>
      </c>
      <c r="K36" s="87" t="s">
        <v>18</v>
      </c>
      <c r="L36" s="87" t="s">
        <v>18</v>
      </c>
      <c r="M36" s="87" t="s">
        <v>18</v>
      </c>
      <c r="N36" s="87" t="s">
        <v>18</v>
      </c>
      <c r="O36" s="87" t="s">
        <v>18</v>
      </c>
      <c r="P36" s="87" t="s">
        <v>18</v>
      </c>
      <c r="Q36" s="87" t="s">
        <v>18</v>
      </c>
      <c r="R36" s="87" t="s">
        <v>18</v>
      </c>
      <c r="S36" s="87" t="s">
        <v>18</v>
      </c>
      <c r="T36" s="87">
        <v>0.122</v>
      </c>
      <c r="U36" s="87">
        <v>3.7999999999999999E-2</v>
      </c>
      <c r="V36" s="87">
        <v>5.1999999999999998E-2</v>
      </c>
      <c r="W36" s="87">
        <v>4.2000000000000003E-2</v>
      </c>
      <c r="X36" s="87">
        <v>0.04</v>
      </c>
      <c r="Y36" s="87">
        <v>4.2000000000000003E-2</v>
      </c>
      <c r="Z36" s="88">
        <v>3.7100000000000001E-2</v>
      </c>
      <c r="AA36" s="88">
        <v>3.6499999999999998E-2</v>
      </c>
      <c r="AB36" s="88">
        <v>7.3200000000000001E-2</v>
      </c>
      <c r="AC36" s="87">
        <v>4.2693942792668756E-2</v>
      </c>
      <c r="AD36" s="87">
        <v>4.1671830999055096E-2</v>
      </c>
      <c r="AE36" s="87">
        <v>4.4999999999999998E-2</v>
      </c>
      <c r="AF36" s="87">
        <v>5.2178748538993715E-2</v>
      </c>
      <c r="AG36" s="87">
        <v>4.8556052664195791E-2</v>
      </c>
      <c r="AH36" s="87">
        <v>5.7000000000000002E-2</v>
      </c>
      <c r="AI36" s="87">
        <v>5.6075093808865176E-2</v>
      </c>
      <c r="AJ36" s="87">
        <v>5.2404964779066268E-2</v>
      </c>
      <c r="AK36" s="51">
        <v>5.3999999999999999E-2</v>
      </c>
      <c r="AL36" s="216">
        <v>5.8999999999999997E-2</v>
      </c>
      <c r="AM36" s="88">
        <v>5.0582207265452817E-2</v>
      </c>
      <c r="AN36" s="88">
        <v>0.10903451532225369</v>
      </c>
      <c r="AO36" s="88">
        <v>5.5130988187088628E-2</v>
      </c>
      <c r="AP36" s="88">
        <v>3.8286386818360149E-2</v>
      </c>
      <c r="AQ36" s="88" t="s">
        <v>18</v>
      </c>
      <c r="AR36" s="88" t="s">
        <v>18</v>
      </c>
      <c r="AS36" s="88" t="s">
        <v>18</v>
      </c>
      <c r="AT36" s="88" t="s">
        <v>18</v>
      </c>
      <c r="AU36" s="88" t="s">
        <v>18</v>
      </c>
      <c r="AV36" s="88" t="s">
        <v>18</v>
      </c>
      <c r="AW36" s="88" t="s">
        <v>18</v>
      </c>
      <c r="AX36" s="88" t="s">
        <v>18</v>
      </c>
      <c r="AY36" s="88" t="s">
        <v>18</v>
      </c>
      <c r="AZ36" s="88" t="s">
        <v>18</v>
      </c>
      <c r="BA36" s="88" t="s">
        <v>18</v>
      </c>
      <c r="BB36" s="88" t="s">
        <v>18</v>
      </c>
      <c r="BC36" s="88" t="s">
        <v>18</v>
      </c>
      <c r="BD36" s="88" t="s">
        <v>18</v>
      </c>
      <c r="BE36" s="88" t="s">
        <v>18</v>
      </c>
      <c r="BF36" s="88" t="s">
        <v>18</v>
      </c>
      <c r="BG36" s="88" t="s">
        <v>18</v>
      </c>
      <c r="BH36" s="88" t="s">
        <v>18</v>
      </c>
      <c r="BI36" s="88" t="s">
        <v>18</v>
      </c>
      <c r="BJ36" s="88" t="s">
        <v>18</v>
      </c>
      <c r="BK36" s="88" t="s">
        <v>18</v>
      </c>
      <c r="BL36" s="88" t="s">
        <v>18</v>
      </c>
      <c r="BM36" s="88" t="s">
        <v>18</v>
      </c>
      <c r="BN36" s="88" t="s">
        <v>18</v>
      </c>
      <c r="BO36" s="88" t="s">
        <v>18</v>
      </c>
      <c r="BP36" s="88" t="s">
        <v>18</v>
      </c>
    </row>
    <row r="37" spans="1:68" collapsed="1">
      <c r="B37" s="82" t="str">
        <f>IF('Sumário | Summary'!P1=1,"Galpões Logísticos","Distribution Centers")</f>
        <v>Galpões Logísticos</v>
      </c>
      <c r="C37" s="83">
        <v>0</v>
      </c>
      <c r="D37" s="83">
        <v>0</v>
      </c>
      <c r="E37" s="83">
        <v>0</v>
      </c>
      <c r="F37" s="83">
        <v>0</v>
      </c>
      <c r="G37" s="83">
        <v>0</v>
      </c>
      <c r="H37" s="83">
        <v>0.36199999999999999</v>
      </c>
      <c r="I37" s="83">
        <v>0</v>
      </c>
      <c r="J37" s="83">
        <v>0</v>
      </c>
      <c r="K37" s="83">
        <v>0</v>
      </c>
      <c r="L37" s="83">
        <v>0</v>
      </c>
      <c r="M37" s="83">
        <v>0</v>
      </c>
      <c r="N37" s="83">
        <v>0</v>
      </c>
      <c r="O37" s="83">
        <v>0</v>
      </c>
      <c r="P37" s="83">
        <v>0</v>
      </c>
      <c r="Q37" s="83">
        <v>0</v>
      </c>
      <c r="R37" s="83">
        <v>0</v>
      </c>
      <c r="S37" s="83">
        <v>0</v>
      </c>
      <c r="T37" s="83">
        <v>0</v>
      </c>
      <c r="U37" s="83">
        <v>0</v>
      </c>
      <c r="V37" s="83">
        <v>0</v>
      </c>
      <c r="W37" s="83">
        <v>0</v>
      </c>
      <c r="X37" s="83">
        <v>0.15</v>
      </c>
      <c r="Y37" s="83">
        <v>0.15</v>
      </c>
      <c r="Z37" s="84">
        <v>0.29299999999999998</v>
      </c>
      <c r="AA37" s="84">
        <v>7.9000000000000001E-2</v>
      </c>
      <c r="AB37" s="84">
        <v>0.17199999999999999</v>
      </c>
      <c r="AC37" s="83">
        <v>0.13900000000000001</v>
      </c>
      <c r="AD37" s="83">
        <v>0.11600000000000001</v>
      </c>
      <c r="AE37" s="83">
        <v>0.13900000000000001</v>
      </c>
      <c r="AF37" s="83">
        <v>0.113</v>
      </c>
      <c r="AG37" s="83">
        <v>0.113</v>
      </c>
      <c r="AH37" s="83">
        <v>0.105</v>
      </c>
      <c r="AI37" s="83">
        <v>0.154</v>
      </c>
      <c r="AJ37" s="83">
        <v>0.19800000000000001</v>
      </c>
      <c r="AK37" s="41">
        <v>0.184</v>
      </c>
      <c r="AL37" s="215">
        <v>0.184</v>
      </c>
      <c r="AM37" s="84">
        <v>0.31943269684893216</v>
      </c>
      <c r="AN37" s="84">
        <v>0.32158656080612547</v>
      </c>
      <c r="AO37" s="84">
        <v>1</v>
      </c>
      <c r="AP37" s="84">
        <v>1</v>
      </c>
      <c r="AQ37" s="84">
        <v>1</v>
      </c>
      <c r="AR37" s="84" t="s">
        <v>18</v>
      </c>
      <c r="AS37" s="84" t="s">
        <v>18</v>
      </c>
      <c r="AT37" s="84" t="s">
        <v>18</v>
      </c>
      <c r="AU37" s="84" t="s">
        <v>18</v>
      </c>
      <c r="AV37" s="84" t="s">
        <v>18</v>
      </c>
      <c r="AW37" s="84" t="s">
        <v>18</v>
      </c>
      <c r="AX37" s="84" t="s">
        <v>18</v>
      </c>
      <c r="AY37" s="84" t="s">
        <v>18</v>
      </c>
      <c r="AZ37" s="84" t="s">
        <v>18</v>
      </c>
      <c r="BA37" s="84" t="s">
        <v>18</v>
      </c>
      <c r="BB37" s="84" t="s">
        <v>18</v>
      </c>
      <c r="BC37" s="84" t="s">
        <v>18</v>
      </c>
      <c r="BD37" s="84" t="s">
        <v>18</v>
      </c>
      <c r="BE37" s="84" t="s">
        <v>18</v>
      </c>
      <c r="BF37" s="84" t="s">
        <v>18</v>
      </c>
      <c r="BG37" s="84" t="s">
        <v>18</v>
      </c>
      <c r="BH37" s="84" t="s">
        <v>18</v>
      </c>
      <c r="BI37" s="84" t="s">
        <v>18</v>
      </c>
      <c r="BJ37" s="84" t="s">
        <v>18</v>
      </c>
      <c r="BK37" s="84" t="s">
        <v>18</v>
      </c>
      <c r="BL37" s="84" t="s">
        <v>18</v>
      </c>
      <c r="BM37" s="84" t="s">
        <v>18</v>
      </c>
      <c r="BN37" s="84">
        <v>0.50211295666435518</v>
      </c>
      <c r="BO37" s="84">
        <v>0.50211295666435518</v>
      </c>
      <c r="BP37" s="84">
        <f>BP38</f>
        <v>0.33573776266111899</v>
      </c>
    </row>
    <row r="38" spans="1:68" hidden="1" outlineLevel="1">
      <c r="A38" t="s">
        <v>317</v>
      </c>
      <c r="B38" s="38" t="s">
        <v>317</v>
      </c>
      <c r="C38" s="87" t="s">
        <v>18</v>
      </c>
      <c r="D38" s="87" t="s">
        <v>18</v>
      </c>
      <c r="E38" s="87" t="s">
        <v>18</v>
      </c>
      <c r="F38" s="87" t="s">
        <v>18</v>
      </c>
      <c r="G38" s="87" t="s">
        <v>18</v>
      </c>
      <c r="H38" s="87" t="s">
        <v>18</v>
      </c>
      <c r="I38" s="87" t="s">
        <v>18</v>
      </c>
      <c r="J38" s="87" t="s">
        <v>18</v>
      </c>
      <c r="K38" s="87" t="s">
        <v>18</v>
      </c>
      <c r="L38" s="87" t="s">
        <v>18</v>
      </c>
      <c r="M38" s="87" t="s">
        <v>18</v>
      </c>
      <c r="N38" s="87" t="s">
        <v>18</v>
      </c>
      <c r="O38" s="87" t="s">
        <v>18</v>
      </c>
      <c r="P38" s="87" t="s">
        <v>18</v>
      </c>
      <c r="Q38" s="87" t="s">
        <v>18</v>
      </c>
      <c r="R38" s="87" t="s">
        <v>18</v>
      </c>
      <c r="S38" s="87" t="s">
        <v>18</v>
      </c>
      <c r="T38" s="87" t="s">
        <v>18</v>
      </c>
      <c r="U38" s="87" t="s">
        <v>18</v>
      </c>
      <c r="V38" s="87" t="s">
        <v>18</v>
      </c>
      <c r="W38" s="87" t="s">
        <v>18</v>
      </c>
      <c r="X38" s="87" t="s">
        <v>18</v>
      </c>
      <c r="Y38" s="87" t="s">
        <v>18</v>
      </c>
      <c r="Z38" s="87" t="s">
        <v>18</v>
      </c>
      <c r="AA38" s="87" t="s">
        <v>18</v>
      </c>
      <c r="AB38" s="87" t="s">
        <v>18</v>
      </c>
      <c r="AC38" s="87" t="s">
        <v>18</v>
      </c>
      <c r="AD38" s="87" t="s">
        <v>18</v>
      </c>
      <c r="AE38" s="87" t="s">
        <v>18</v>
      </c>
      <c r="AF38" s="87" t="s">
        <v>18</v>
      </c>
      <c r="AG38" s="87" t="s">
        <v>18</v>
      </c>
      <c r="AH38" s="87" t="s">
        <v>18</v>
      </c>
      <c r="AI38" s="87" t="s">
        <v>18</v>
      </c>
      <c r="AJ38" s="87" t="s">
        <v>18</v>
      </c>
      <c r="AK38" s="51" t="s">
        <v>18</v>
      </c>
      <c r="AL38" s="216" t="s">
        <v>18</v>
      </c>
      <c r="AM38" s="216" t="s">
        <v>18</v>
      </c>
      <c r="AN38" s="216" t="s">
        <v>18</v>
      </c>
      <c r="AO38" s="88" t="s">
        <v>18</v>
      </c>
      <c r="AP38" s="88" t="s">
        <v>18</v>
      </c>
      <c r="AQ38" s="88" t="s">
        <v>18</v>
      </c>
      <c r="AR38" s="88" t="s">
        <v>18</v>
      </c>
      <c r="AS38" s="88" t="s">
        <v>18</v>
      </c>
      <c r="AT38" s="88" t="s">
        <v>18</v>
      </c>
      <c r="AU38" s="88" t="s">
        <v>18</v>
      </c>
      <c r="AV38" s="88" t="s">
        <v>18</v>
      </c>
      <c r="AW38" s="88" t="s">
        <v>18</v>
      </c>
      <c r="AX38" s="88" t="s">
        <v>18</v>
      </c>
      <c r="AY38" s="88" t="s">
        <v>18</v>
      </c>
      <c r="AZ38" s="88" t="s">
        <v>18</v>
      </c>
      <c r="BA38" s="88" t="s">
        <v>18</v>
      </c>
      <c r="BB38" s="88" t="s">
        <v>18</v>
      </c>
      <c r="BC38" s="88" t="s">
        <v>18</v>
      </c>
      <c r="BD38" s="88" t="s">
        <v>18</v>
      </c>
      <c r="BE38" s="88" t="s">
        <v>18</v>
      </c>
      <c r="BF38" s="88" t="s">
        <v>18</v>
      </c>
      <c r="BG38" s="88" t="s">
        <v>18</v>
      </c>
      <c r="BH38" s="88" t="s">
        <v>18</v>
      </c>
      <c r="BI38" s="88" t="s">
        <v>18</v>
      </c>
      <c r="BJ38" s="88" t="s">
        <v>18</v>
      </c>
      <c r="BK38" s="88" t="s">
        <v>18</v>
      </c>
      <c r="BL38" s="88" t="s">
        <v>18</v>
      </c>
      <c r="BM38" s="88" t="s">
        <v>18</v>
      </c>
      <c r="BN38" s="88">
        <v>0.50211295666435518</v>
      </c>
      <c r="BO38" s="88">
        <v>0.50211295666435518</v>
      </c>
      <c r="BP38" s="88">
        <v>0.33573776266111899</v>
      </c>
    </row>
    <row r="39" spans="1:68" hidden="1" outlineLevel="1">
      <c r="B39" s="38" t="s">
        <v>32</v>
      </c>
      <c r="C39" s="87" t="s">
        <v>18</v>
      </c>
      <c r="D39" s="87">
        <v>0</v>
      </c>
      <c r="E39" s="87">
        <v>0</v>
      </c>
      <c r="F39" s="87">
        <v>0</v>
      </c>
      <c r="G39" s="87">
        <v>0</v>
      </c>
      <c r="H39" s="87">
        <v>0.36199999999999999</v>
      </c>
      <c r="I39" s="87">
        <v>0</v>
      </c>
      <c r="J39" s="87">
        <v>0</v>
      </c>
      <c r="K39" s="87">
        <v>0</v>
      </c>
      <c r="L39" s="87">
        <v>0</v>
      </c>
      <c r="M39" s="87">
        <v>0</v>
      </c>
      <c r="N39" s="87">
        <v>0</v>
      </c>
      <c r="O39" s="87">
        <v>0</v>
      </c>
      <c r="P39" s="87">
        <v>0</v>
      </c>
      <c r="Q39" s="87">
        <v>0</v>
      </c>
      <c r="R39" s="87">
        <v>0</v>
      </c>
      <c r="S39" s="87">
        <v>0</v>
      </c>
      <c r="T39" s="87">
        <v>0</v>
      </c>
      <c r="U39" s="87">
        <v>0</v>
      </c>
      <c r="V39" s="87">
        <v>0</v>
      </c>
      <c r="W39" s="87">
        <v>0</v>
      </c>
      <c r="X39" s="87">
        <v>0</v>
      </c>
      <c r="Y39" s="87">
        <v>0</v>
      </c>
      <c r="Z39" s="87">
        <v>0.31877672873052287</v>
      </c>
      <c r="AA39" s="87">
        <v>0</v>
      </c>
      <c r="AB39" s="87">
        <v>0</v>
      </c>
      <c r="AC39" s="87">
        <v>0</v>
      </c>
      <c r="AD39" s="87">
        <v>0</v>
      </c>
      <c r="AE39" s="87">
        <v>0</v>
      </c>
      <c r="AF39" s="87">
        <v>0.36244654253895431</v>
      </c>
      <c r="AG39" s="87">
        <v>0.36244654253895431</v>
      </c>
      <c r="AH39" s="87">
        <v>0.36244654253895431</v>
      </c>
      <c r="AI39" s="87">
        <v>0</v>
      </c>
      <c r="AJ39" s="87">
        <v>0.31877672873052287</v>
      </c>
      <c r="AK39" s="51">
        <v>0.46800000000000003</v>
      </c>
      <c r="AL39" s="216">
        <v>0.46800000000000003</v>
      </c>
      <c r="AM39" s="216">
        <v>0.46794750293317811</v>
      </c>
      <c r="AN39" s="216">
        <v>0.46795295072967408</v>
      </c>
      <c r="AO39" s="88">
        <v>1</v>
      </c>
      <c r="AP39" s="88">
        <v>1</v>
      </c>
      <c r="AQ39" s="88">
        <v>1</v>
      </c>
      <c r="AR39" s="88" t="s">
        <v>18</v>
      </c>
      <c r="AS39" s="88" t="s">
        <v>18</v>
      </c>
      <c r="AT39" s="88" t="s">
        <v>18</v>
      </c>
      <c r="AU39" s="88" t="s">
        <v>18</v>
      </c>
      <c r="AV39" s="88" t="s">
        <v>18</v>
      </c>
      <c r="AW39" s="88" t="s">
        <v>18</v>
      </c>
      <c r="AX39" s="88" t="s">
        <v>18</v>
      </c>
      <c r="AY39" s="88" t="s">
        <v>18</v>
      </c>
      <c r="AZ39" s="88" t="s">
        <v>18</v>
      </c>
      <c r="BA39" s="88" t="s">
        <v>18</v>
      </c>
      <c r="BB39" s="88" t="s">
        <v>18</v>
      </c>
      <c r="BC39" s="88" t="s">
        <v>18</v>
      </c>
      <c r="BD39" s="88" t="s">
        <v>18</v>
      </c>
      <c r="BE39" s="88" t="s">
        <v>18</v>
      </c>
      <c r="BF39" s="88" t="s">
        <v>18</v>
      </c>
      <c r="BG39" s="88" t="s">
        <v>18</v>
      </c>
      <c r="BH39" s="88" t="s">
        <v>18</v>
      </c>
      <c r="BI39" s="88" t="s">
        <v>18</v>
      </c>
      <c r="BJ39" s="88" t="s">
        <v>18</v>
      </c>
      <c r="BK39" s="88" t="s">
        <v>18</v>
      </c>
      <c r="BL39" s="88" t="s">
        <v>18</v>
      </c>
      <c r="BM39" s="88" t="s">
        <v>18</v>
      </c>
      <c r="BN39" s="88" t="s">
        <v>18</v>
      </c>
      <c r="BO39" s="88" t="s">
        <v>18</v>
      </c>
      <c r="BP39" s="88" t="s">
        <v>18</v>
      </c>
    </row>
    <row r="40" spans="1:68" hidden="1" outlineLevel="1">
      <c r="A40" s="15"/>
      <c r="B40" s="38" t="s">
        <v>34</v>
      </c>
      <c r="C40" s="87" t="s">
        <v>18</v>
      </c>
      <c r="D40" s="87" t="s">
        <v>18</v>
      </c>
      <c r="E40" s="87" t="s">
        <v>18</v>
      </c>
      <c r="F40" s="87" t="s">
        <v>18</v>
      </c>
      <c r="G40" s="87" t="s">
        <v>18</v>
      </c>
      <c r="H40" s="87" t="s">
        <v>18</v>
      </c>
      <c r="I40" s="87" t="s">
        <v>18</v>
      </c>
      <c r="J40" s="87" t="s">
        <v>18</v>
      </c>
      <c r="K40" s="87" t="s">
        <v>18</v>
      </c>
      <c r="L40" s="87" t="s">
        <v>18</v>
      </c>
      <c r="M40" s="87" t="s">
        <v>18</v>
      </c>
      <c r="N40" s="87" t="s">
        <v>18</v>
      </c>
      <c r="O40" s="87" t="s">
        <v>18</v>
      </c>
      <c r="P40" s="87" t="s">
        <v>18</v>
      </c>
      <c r="Q40" s="87" t="s">
        <v>18</v>
      </c>
      <c r="R40" s="87" t="s">
        <v>18</v>
      </c>
      <c r="S40" s="87">
        <v>0</v>
      </c>
      <c r="T40" s="87">
        <v>0</v>
      </c>
      <c r="U40" s="87">
        <v>0</v>
      </c>
      <c r="V40" s="87">
        <v>0</v>
      </c>
      <c r="W40" s="87">
        <v>0</v>
      </c>
      <c r="X40" s="87">
        <v>0</v>
      </c>
      <c r="Y40" s="87">
        <v>0</v>
      </c>
      <c r="Z40" s="87">
        <v>0</v>
      </c>
      <c r="AA40" s="87">
        <v>0</v>
      </c>
      <c r="AB40" s="87">
        <v>0</v>
      </c>
      <c r="AC40" s="87">
        <v>0</v>
      </c>
      <c r="AD40" s="87">
        <v>0</v>
      </c>
      <c r="AE40" s="87">
        <v>0</v>
      </c>
      <c r="AF40" s="87">
        <v>0</v>
      </c>
      <c r="AG40" s="87">
        <v>0</v>
      </c>
      <c r="AH40" s="87">
        <v>0</v>
      </c>
      <c r="AI40" s="87">
        <v>0</v>
      </c>
      <c r="AJ40" s="87">
        <v>0</v>
      </c>
      <c r="AK40" s="51">
        <v>0</v>
      </c>
      <c r="AL40" s="216">
        <v>0</v>
      </c>
      <c r="AM40" s="88">
        <v>0</v>
      </c>
      <c r="AN40" s="88">
        <v>8.1327470444028049E-2</v>
      </c>
      <c r="AO40" s="88" t="s">
        <v>18</v>
      </c>
      <c r="AP40" s="88" t="s">
        <v>18</v>
      </c>
      <c r="AQ40" s="88" t="s">
        <v>18</v>
      </c>
      <c r="AR40" s="88" t="s">
        <v>18</v>
      </c>
      <c r="AS40" s="88" t="s">
        <v>18</v>
      </c>
      <c r="AT40" s="88" t="s">
        <v>18</v>
      </c>
      <c r="AU40" s="88" t="s">
        <v>18</v>
      </c>
      <c r="AV40" s="88" t="s">
        <v>18</v>
      </c>
      <c r="AW40" s="88" t="s">
        <v>18</v>
      </c>
      <c r="AX40" s="88" t="s">
        <v>18</v>
      </c>
      <c r="AY40" s="88" t="s">
        <v>18</v>
      </c>
      <c r="AZ40" s="88" t="s">
        <v>18</v>
      </c>
      <c r="BA40" s="88" t="s">
        <v>18</v>
      </c>
      <c r="BB40" s="88" t="s">
        <v>18</v>
      </c>
      <c r="BC40" s="88" t="s">
        <v>18</v>
      </c>
      <c r="BD40" s="88" t="s">
        <v>18</v>
      </c>
      <c r="BE40" s="88" t="s">
        <v>18</v>
      </c>
      <c r="BF40" s="88" t="s">
        <v>18</v>
      </c>
      <c r="BG40" s="88" t="s">
        <v>18</v>
      </c>
      <c r="BH40" s="88" t="s">
        <v>18</v>
      </c>
      <c r="BI40" s="88" t="s">
        <v>18</v>
      </c>
      <c r="BJ40" s="88" t="s">
        <v>18</v>
      </c>
      <c r="BK40" s="88" t="s">
        <v>18</v>
      </c>
      <c r="BL40" s="88" t="s">
        <v>18</v>
      </c>
      <c r="BM40" s="88" t="s">
        <v>18</v>
      </c>
      <c r="BN40" s="88" t="s">
        <v>18</v>
      </c>
      <c r="BO40" s="88" t="s">
        <v>18</v>
      </c>
      <c r="BP40" s="88" t="s">
        <v>18</v>
      </c>
    </row>
    <row r="41" spans="1:68" hidden="1" outlineLevel="1">
      <c r="B41" s="38" t="s">
        <v>36</v>
      </c>
      <c r="C41" s="87" t="s">
        <v>18</v>
      </c>
      <c r="D41" s="87" t="s">
        <v>18</v>
      </c>
      <c r="E41" s="87" t="s">
        <v>18</v>
      </c>
      <c r="F41" s="87" t="s">
        <v>18</v>
      </c>
      <c r="G41" s="87" t="s">
        <v>18</v>
      </c>
      <c r="H41" s="87" t="s">
        <v>18</v>
      </c>
      <c r="I41" s="87" t="s">
        <v>18</v>
      </c>
      <c r="J41" s="87" t="s">
        <v>18</v>
      </c>
      <c r="K41" s="87" t="s">
        <v>18</v>
      </c>
      <c r="L41" s="87" t="s">
        <v>18</v>
      </c>
      <c r="M41" s="87" t="s">
        <v>18</v>
      </c>
      <c r="N41" s="87" t="s">
        <v>18</v>
      </c>
      <c r="O41" s="87" t="s">
        <v>18</v>
      </c>
      <c r="P41" s="87" t="s">
        <v>18</v>
      </c>
      <c r="Q41" s="87" t="s">
        <v>18</v>
      </c>
      <c r="R41" s="87" t="s">
        <v>18</v>
      </c>
      <c r="S41" s="87" t="s">
        <v>18</v>
      </c>
      <c r="T41" s="87" t="s">
        <v>18</v>
      </c>
      <c r="U41" s="87" t="s">
        <v>18</v>
      </c>
      <c r="V41" s="87" t="s">
        <v>18</v>
      </c>
      <c r="W41" s="87">
        <v>0</v>
      </c>
      <c r="X41" s="87">
        <v>0</v>
      </c>
      <c r="Y41" s="87">
        <v>0</v>
      </c>
      <c r="Z41" s="87">
        <v>0</v>
      </c>
      <c r="AA41" s="87">
        <v>0</v>
      </c>
      <c r="AB41" s="87">
        <v>0</v>
      </c>
      <c r="AC41" s="87">
        <v>0</v>
      </c>
      <c r="AD41" s="87">
        <v>0</v>
      </c>
      <c r="AE41" s="87">
        <v>0</v>
      </c>
      <c r="AF41" s="87">
        <v>0</v>
      </c>
      <c r="AG41" s="87">
        <v>0</v>
      </c>
      <c r="AH41" s="87">
        <v>0</v>
      </c>
      <c r="AI41" s="87">
        <v>0</v>
      </c>
      <c r="AJ41" s="87">
        <v>0</v>
      </c>
      <c r="AK41" s="51">
        <v>0</v>
      </c>
      <c r="AL41" s="216">
        <v>0</v>
      </c>
      <c r="AM41" s="88">
        <v>0</v>
      </c>
      <c r="AN41" s="88">
        <v>0</v>
      </c>
      <c r="AO41" s="88" t="s">
        <v>18</v>
      </c>
      <c r="AP41" s="88" t="s">
        <v>18</v>
      </c>
      <c r="AQ41" s="88" t="s">
        <v>18</v>
      </c>
      <c r="AR41" s="88" t="s">
        <v>18</v>
      </c>
      <c r="AS41" s="88" t="s">
        <v>18</v>
      </c>
      <c r="AT41" s="88" t="s">
        <v>18</v>
      </c>
      <c r="AU41" s="88" t="s">
        <v>18</v>
      </c>
      <c r="AV41" s="88" t="s">
        <v>18</v>
      </c>
      <c r="AW41" s="88" t="s">
        <v>18</v>
      </c>
      <c r="AX41" s="88" t="s">
        <v>18</v>
      </c>
      <c r="AY41" s="88" t="s">
        <v>18</v>
      </c>
      <c r="AZ41" s="88" t="s">
        <v>18</v>
      </c>
      <c r="BA41" s="88" t="s">
        <v>18</v>
      </c>
      <c r="BB41" s="88" t="s">
        <v>18</v>
      </c>
      <c r="BC41" s="88" t="s">
        <v>18</v>
      </c>
      <c r="BD41" s="88" t="s">
        <v>18</v>
      </c>
      <c r="BE41" s="88" t="s">
        <v>18</v>
      </c>
      <c r="BF41" s="88" t="s">
        <v>18</v>
      </c>
      <c r="BG41" s="88" t="s">
        <v>18</v>
      </c>
      <c r="BH41" s="88" t="s">
        <v>18</v>
      </c>
      <c r="BI41" s="88" t="s">
        <v>18</v>
      </c>
      <c r="BJ41" s="88" t="s">
        <v>18</v>
      </c>
      <c r="BK41" s="88" t="s">
        <v>18</v>
      </c>
      <c r="BL41" s="88" t="s">
        <v>18</v>
      </c>
      <c r="BM41" s="88" t="s">
        <v>18</v>
      </c>
      <c r="BN41" s="88" t="s">
        <v>18</v>
      </c>
      <c r="BO41" s="88" t="s">
        <v>18</v>
      </c>
      <c r="BP41" s="88" t="s">
        <v>18</v>
      </c>
    </row>
    <row r="42" spans="1:68" hidden="1" outlineLevel="1">
      <c r="B42" s="86" t="s">
        <v>37</v>
      </c>
      <c r="C42" s="87" t="s">
        <v>18</v>
      </c>
      <c r="D42" s="87" t="s">
        <v>18</v>
      </c>
      <c r="E42" s="87" t="s">
        <v>18</v>
      </c>
      <c r="F42" s="87" t="s">
        <v>18</v>
      </c>
      <c r="G42" s="87" t="s">
        <v>18</v>
      </c>
      <c r="H42" s="87" t="s">
        <v>18</v>
      </c>
      <c r="I42" s="87" t="s">
        <v>18</v>
      </c>
      <c r="J42" s="87" t="s">
        <v>18</v>
      </c>
      <c r="K42" s="87" t="s">
        <v>18</v>
      </c>
      <c r="L42" s="87" t="s">
        <v>18</v>
      </c>
      <c r="M42" s="87" t="s">
        <v>18</v>
      </c>
      <c r="N42" s="87" t="s">
        <v>18</v>
      </c>
      <c r="O42" s="87" t="s">
        <v>18</v>
      </c>
      <c r="P42" s="87" t="s">
        <v>18</v>
      </c>
      <c r="Q42" s="87" t="s">
        <v>18</v>
      </c>
      <c r="R42" s="87" t="s">
        <v>18</v>
      </c>
      <c r="S42" s="87" t="s">
        <v>18</v>
      </c>
      <c r="T42" s="87" t="s">
        <v>18</v>
      </c>
      <c r="U42" s="87" t="s">
        <v>18</v>
      </c>
      <c r="V42" s="87" t="s">
        <v>18</v>
      </c>
      <c r="W42" s="87" t="s">
        <v>18</v>
      </c>
      <c r="X42" s="87">
        <v>1</v>
      </c>
      <c r="Y42" s="87">
        <v>1</v>
      </c>
      <c r="Z42" s="87">
        <v>0.7551714770126321</v>
      </c>
      <c r="AA42" s="87">
        <v>0.43720701785629806</v>
      </c>
      <c r="AB42" s="87">
        <v>0.29160000000000003</v>
      </c>
      <c r="AC42" s="87">
        <v>0.29157201036162883</v>
      </c>
      <c r="AD42" s="87">
        <v>0.29157201036162883</v>
      </c>
      <c r="AE42" s="87">
        <v>0.29157201036162883</v>
      </c>
      <c r="AF42" s="87">
        <v>0.14600782901963061</v>
      </c>
      <c r="AG42" s="87">
        <v>0.14610611515142716</v>
      </c>
      <c r="AH42" s="87">
        <v>0</v>
      </c>
      <c r="AI42" s="87">
        <v>0</v>
      </c>
      <c r="AJ42" s="87">
        <v>0</v>
      </c>
      <c r="AK42" s="51">
        <v>0</v>
      </c>
      <c r="AL42" s="216">
        <v>0</v>
      </c>
      <c r="AM42" s="88">
        <v>0.53681949706532728</v>
      </c>
      <c r="AN42" s="88">
        <v>0.53681949706532728</v>
      </c>
      <c r="AO42" s="88" t="s">
        <v>18</v>
      </c>
      <c r="AP42" s="88" t="s">
        <v>18</v>
      </c>
      <c r="AQ42" s="88" t="s">
        <v>18</v>
      </c>
      <c r="AR42" s="88" t="s">
        <v>18</v>
      </c>
      <c r="AS42" s="88" t="s">
        <v>18</v>
      </c>
      <c r="AT42" s="88" t="s">
        <v>18</v>
      </c>
      <c r="AU42" s="88" t="s">
        <v>18</v>
      </c>
      <c r="AV42" s="88" t="s">
        <v>18</v>
      </c>
      <c r="AW42" s="88" t="s">
        <v>18</v>
      </c>
      <c r="AX42" s="88" t="s">
        <v>18</v>
      </c>
      <c r="AY42" s="88" t="s">
        <v>18</v>
      </c>
      <c r="AZ42" s="88" t="s">
        <v>18</v>
      </c>
      <c r="BA42" s="88" t="s">
        <v>18</v>
      </c>
      <c r="BB42" s="88" t="s">
        <v>18</v>
      </c>
      <c r="BC42" s="88" t="s">
        <v>18</v>
      </c>
      <c r="BD42" s="88" t="s">
        <v>18</v>
      </c>
      <c r="BE42" s="88" t="s">
        <v>18</v>
      </c>
      <c r="BF42" s="88" t="s">
        <v>18</v>
      </c>
      <c r="BG42" s="88" t="s">
        <v>18</v>
      </c>
      <c r="BH42" s="88" t="s">
        <v>18</v>
      </c>
      <c r="BI42" s="88" t="s">
        <v>18</v>
      </c>
      <c r="BJ42" s="88" t="s">
        <v>18</v>
      </c>
      <c r="BK42" s="88" t="s">
        <v>18</v>
      </c>
      <c r="BL42" s="88" t="s">
        <v>18</v>
      </c>
      <c r="BM42" s="88" t="s">
        <v>18</v>
      </c>
      <c r="BN42" s="88" t="s">
        <v>18</v>
      </c>
      <c r="BO42" s="88" t="s">
        <v>18</v>
      </c>
      <c r="BP42" s="88" t="s">
        <v>18</v>
      </c>
    </row>
    <row r="43" spans="1:68" hidden="1" outlineLevel="1">
      <c r="B43" s="86" t="s">
        <v>38</v>
      </c>
      <c r="C43" s="87" t="s">
        <v>18</v>
      </c>
      <c r="D43" s="87" t="s">
        <v>18</v>
      </c>
      <c r="E43" s="87" t="s">
        <v>18</v>
      </c>
      <c r="F43" s="87" t="s">
        <v>18</v>
      </c>
      <c r="G43" s="87" t="s">
        <v>18</v>
      </c>
      <c r="H43" s="87" t="s">
        <v>18</v>
      </c>
      <c r="I43" s="87" t="s">
        <v>18</v>
      </c>
      <c r="J43" s="87" t="s">
        <v>18</v>
      </c>
      <c r="K43" s="87" t="s">
        <v>18</v>
      </c>
      <c r="L43" s="87" t="s">
        <v>18</v>
      </c>
      <c r="M43" s="87" t="s">
        <v>18</v>
      </c>
      <c r="N43" s="87" t="s">
        <v>18</v>
      </c>
      <c r="O43" s="87" t="s">
        <v>18</v>
      </c>
      <c r="P43" s="87" t="s">
        <v>18</v>
      </c>
      <c r="Q43" s="87" t="s">
        <v>18</v>
      </c>
      <c r="R43" s="87" t="s">
        <v>18</v>
      </c>
      <c r="S43" s="87" t="s">
        <v>18</v>
      </c>
      <c r="T43" s="87" t="s">
        <v>18</v>
      </c>
      <c r="U43" s="87" t="s">
        <v>18</v>
      </c>
      <c r="V43" s="87" t="s">
        <v>18</v>
      </c>
      <c r="W43" s="87" t="s">
        <v>18</v>
      </c>
      <c r="X43" s="87" t="s">
        <v>18</v>
      </c>
      <c r="Y43" s="87" t="s">
        <v>18</v>
      </c>
      <c r="Z43" s="87">
        <v>0.22168443925515871</v>
      </c>
      <c r="AA43" s="87">
        <v>0.12342890871050263</v>
      </c>
      <c r="AB43" s="87">
        <v>0.1239</v>
      </c>
      <c r="AC43" s="87">
        <v>5.5350892754359511E-2</v>
      </c>
      <c r="AD43" s="87">
        <v>0</v>
      </c>
      <c r="AE43" s="87">
        <v>0</v>
      </c>
      <c r="AF43" s="87">
        <v>0</v>
      </c>
      <c r="AG43" s="87">
        <v>0</v>
      </c>
      <c r="AH43" s="87">
        <v>0</v>
      </c>
      <c r="AI43" s="87">
        <v>0</v>
      </c>
      <c r="AJ43" s="87">
        <v>0</v>
      </c>
      <c r="AK43" s="51">
        <v>0</v>
      </c>
      <c r="AL43" s="216">
        <v>0</v>
      </c>
      <c r="AM43" s="88">
        <v>0</v>
      </c>
      <c r="AN43" s="88">
        <v>0</v>
      </c>
      <c r="AO43" s="88" t="s">
        <v>18</v>
      </c>
      <c r="AP43" s="88" t="s">
        <v>18</v>
      </c>
      <c r="AQ43" s="88" t="s">
        <v>18</v>
      </c>
      <c r="AR43" s="88" t="s">
        <v>18</v>
      </c>
      <c r="AS43" s="88" t="s">
        <v>18</v>
      </c>
      <c r="AT43" s="88" t="s">
        <v>18</v>
      </c>
      <c r="AU43" s="88" t="s">
        <v>18</v>
      </c>
      <c r="AV43" s="88" t="s">
        <v>18</v>
      </c>
      <c r="AW43" s="88" t="s">
        <v>18</v>
      </c>
      <c r="AX43" s="88" t="s">
        <v>18</v>
      </c>
      <c r="AY43" s="88" t="s">
        <v>18</v>
      </c>
      <c r="AZ43" s="88" t="s">
        <v>18</v>
      </c>
      <c r="BA43" s="88" t="s">
        <v>18</v>
      </c>
      <c r="BB43" s="88" t="s">
        <v>18</v>
      </c>
      <c r="BC43" s="88" t="s">
        <v>18</v>
      </c>
      <c r="BD43" s="88" t="s">
        <v>18</v>
      </c>
      <c r="BE43" s="88" t="s">
        <v>18</v>
      </c>
      <c r="BF43" s="88" t="s">
        <v>18</v>
      </c>
      <c r="BG43" s="88" t="s">
        <v>18</v>
      </c>
      <c r="BH43" s="88" t="s">
        <v>18</v>
      </c>
      <c r="BI43" s="88" t="s">
        <v>18</v>
      </c>
      <c r="BJ43" s="88" t="s">
        <v>18</v>
      </c>
      <c r="BK43" s="88" t="s">
        <v>18</v>
      </c>
      <c r="BL43" s="88" t="s">
        <v>18</v>
      </c>
      <c r="BM43" s="88" t="s">
        <v>18</v>
      </c>
      <c r="BN43" s="88" t="s">
        <v>18</v>
      </c>
      <c r="BO43" s="88" t="s">
        <v>18</v>
      </c>
      <c r="BP43" s="88" t="s">
        <v>18</v>
      </c>
    </row>
    <row r="44" spans="1:68" hidden="1" outlineLevel="1">
      <c r="B44" s="38" t="s">
        <v>35</v>
      </c>
      <c r="C44" s="87" t="s">
        <v>18</v>
      </c>
      <c r="D44" s="87" t="s">
        <v>18</v>
      </c>
      <c r="E44" s="87" t="s">
        <v>18</v>
      </c>
      <c r="F44" s="87" t="s">
        <v>18</v>
      </c>
      <c r="G44" s="87" t="s">
        <v>18</v>
      </c>
      <c r="H44" s="87" t="s">
        <v>18</v>
      </c>
      <c r="I44" s="87" t="s">
        <v>18</v>
      </c>
      <c r="J44" s="87" t="s">
        <v>18</v>
      </c>
      <c r="K44" s="87" t="s">
        <v>18</v>
      </c>
      <c r="L44" s="87" t="s">
        <v>18</v>
      </c>
      <c r="M44" s="87" t="s">
        <v>18</v>
      </c>
      <c r="N44" s="87" t="s">
        <v>18</v>
      </c>
      <c r="O44" s="87" t="s">
        <v>18</v>
      </c>
      <c r="P44" s="87" t="s">
        <v>18</v>
      </c>
      <c r="Q44" s="87" t="s">
        <v>18</v>
      </c>
      <c r="R44" s="87" t="s">
        <v>18</v>
      </c>
      <c r="S44" s="87" t="s">
        <v>18</v>
      </c>
      <c r="T44" s="87" t="s">
        <v>18</v>
      </c>
      <c r="U44" s="87" t="s">
        <v>18</v>
      </c>
      <c r="V44" s="87" t="s">
        <v>18</v>
      </c>
      <c r="W44" s="87">
        <v>0</v>
      </c>
      <c r="X44" s="87">
        <v>0</v>
      </c>
      <c r="Y44" s="87">
        <v>0</v>
      </c>
      <c r="Z44" s="87">
        <v>0</v>
      </c>
      <c r="AA44" s="87">
        <v>0</v>
      </c>
      <c r="AB44" s="87">
        <v>0</v>
      </c>
      <c r="AC44" s="87">
        <v>0</v>
      </c>
      <c r="AD44" s="87">
        <v>0</v>
      </c>
      <c r="AE44" s="87">
        <v>0</v>
      </c>
      <c r="AF44" s="87">
        <v>0</v>
      </c>
      <c r="AG44" s="87">
        <v>0</v>
      </c>
      <c r="AH44" s="87">
        <v>0</v>
      </c>
      <c r="AI44" s="87">
        <v>0</v>
      </c>
      <c r="AJ44" s="87">
        <v>0</v>
      </c>
      <c r="AK44" s="51">
        <v>0</v>
      </c>
      <c r="AL44" s="216">
        <v>0</v>
      </c>
      <c r="AM44" s="88">
        <v>0</v>
      </c>
      <c r="AN44" s="88">
        <v>0</v>
      </c>
      <c r="AO44" s="88" t="s">
        <v>18</v>
      </c>
      <c r="AP44" s="88" t="s">
        <v>18</v>
      </c>
      <c r="AQ44" s="88" t="s">
        <v>18</v>
      </c>
      <c r="AR44" s="88" t="s">
        <v>18</v>
      </c>
      <c r="AS44" s="88" t="s">
        <v>18</v>
      </c>
      <c r="AT44" s="88" t="s">
        <v>18</v>
      </c>
      <c r="AU44" s="88" t="s">
        <v>18</v>
      </c>
      <c r="AV44" s="88" t="s">
        <v>18</v>
      </c>
      <c r="AW44" s="88" t="s">
        <v>18</v>
      </c>
      <c r="AX44" s="88" t="s">
        <v>18</v>
      </c>
      <c r="AY44" s="88" t="s">
        <v>18</v>
      </c>
      <c r="AZ44" s="88" t="s">
        <v>18</v>
      </c>
      <c r="BA44" s="88" t="s">
        <v>18</v>
      </c>
      <c r="BB44" s="88" t="s">
        <v>18</v>
      </c>
      <c r="BC44" s="88" t="s">
        <v>18</v>
      </c>
      <c r="BD44" s="88" t="s">
        <v>18</v>
      </c>
      <c r="BE44" s="88" t="s">
        <v>18</v>
      </c>
      <c r="BF44" s="88" t="s">
        <v>18</v>
      </c>
      <c r="BG44" s="88" t="s">
        <v>18</v>
      </c>
      <c r="BH44" s="88" t="s">
        <v>18</v>
      </c>
      <c r="BI44" s="88" t="s">
        <v>18</v>
      </c>
      <c r="BJ44" s="88" t="s">
        <v>18</v>
      </c>
      <c r="BK44" s="88" t="s">
        <v>18</v>
      </c>
      <c r="BL44" s="88" t="s">
        <v>18</v>
      </c>
      <c r="BM44" s="88" t="s">
        <v>18</v>
      </c>
      <c r="BN44" s="88" t="s">
        <v>18</v>
      </c>
      <c r="BO44" s="88" t="s">
        <v>18</v>
      </c>
      <c r="BP44" s="88" t="s">
        <v>18</v>
      </c>
    </row>
    <row r="45" spans="1:68" hidden="1" outlineLevel="1">
      <c r="B45" s="86" t="s">
        <v>39</v>
      </c>
      <c r="C45" s="87" t="s">
        <v>18</v>
      </c>
      <c r="D45" s="87" t="s">
        <v>18</v>
      </c>
      <c r="E45" s="87" t="s">
        <v>18</v>
      </c>
      <c r="F45" s="87" t="s">
        <v>18</v>
      </c>
      <c r="G45" s="87" t="s">
        <v>18</v>
      </c>
      <c r="H45" s="87" t="s">
        <v>18</v>
      </c>
      <c r="I45" s="87" t="s">
        <v>18</v>
      </c>
      <c r="J45" s="87" t="s">
        <v>18</v>
      </c>
      <c r="K45" s="87" t="s">
        <v>18</v>
      </c>
      <c r="L45" s="87" t="s">
        <v>18</v>
      </c>
      <c r="M45" s="87" t="s">
        <v>18</v>
      </c>
      <c r="N45" s="87" t="s">
        <v>18</v>
      </c>
      <c r="O45" s="87" t="s">
        <v>18</v>
      </c>
      <c r="P45" s="87" t="s">
        <v>18</v>
      </c>
      <c r="Q45" s="87" t="s">
        <v>18</v>
      </c>
      <c r="R45" s="87" t="s">
        <v>18</v>
      </c>
      <c r="S45" s="87" t="s">
        <v>18</v>
      </c>
      <c r="T45" s="87" t="s">
        <v>18</v>
      </c>
      <c r="U45" s="87" t="s">
        <v>18</v>
      </c>
      <c r="V45" s="87" t="s">
        <v>18</v>
      </c>
      <c r="W45" s="87" t="s">
        <v>18</v>
      </c>
      <c r="X45" s="87" t="s">
        <v>18</v>
      </c>
      <c r="Y45" s="87" t="s">
        <v>18</v>
      </c>
      <c r="Z45" s="87" t="s">
        <v>18</v>
      </c>
      <c r="AA45" s="87" t="s">
        <v>18</v>
      </c>
      <c r="AB45" s="87">
        <v>0.50539999999999996</v>
      </c>
      <c r="AC45" s="87">
        <v>0.50561609157196019</v>
      </c>
      <c r="AD45" s="87">
        <v>0.50561609157196019</v>
      </c>
      <c r="AE45" s="87">
        <v>0.50561609157196019</v>
      </c>
      <c r="AF45" s="87">
        <v>0</v>
      </c>
      <c r="AG45" s="87">
        <v>0</v>
      </c>
      <c r="AH45" s="87">
        <v>0</v>
      </c>
      <c r="AI45" s="87">
        <v>0</v>
      </c>
      <c r="AJ45" s="87">
        <v>0</v>
      </c>
      <c r="AK45" s="51">
        <v>0</v>
      </c>
      <c r="AL45" s="216">
        <v>0</v>
      </c>
      <c r="AM45" s="88">
        <v>0.50561609157196019</v>
      </c>
      <c r="AN45" s="88">
        <v>0.50561609157196019</v>
      </c>
      <c r="AO45" s="88" t="s">
        <v>18</v>
      </c>
      <c r="AP45" s="88" t="s">
        <v>18</v>
      </c>
      <c r="AQ45" s="88" t="s">
        <v>18</v>
      </c>
      <c r="AR45" s="88" t="s">
        <v>18</v>
      </c>
      <c r="AS45" s="88" t="s">
        <v>18</v>
      </c>
      <c r="AT45" s="88" t="s">
        <v>18</v>
      </c>
      <c r="AU45" s="88" t="s">
        <v>18</v>
      </c>
      <c r="AV45" s="88" t="s">
        <v>18</v>
      </c>
      <c r="AW45" s="88" t="s">
        <v>18</v>
      </c>
      <c r="AX45" s="88" t="s">
        <v>18</v>
      </c>
      <c r="AY45" s="88" t="s">
        <v>18</v>
      </c>
      <c r="AZ45" s="88" t="s">
        <v>18</v>
      </c>
      <c r="BA45" s="88" t="s">
        <v>18</v>
      </c>
      <c r="BB45" s="88" t="s">
        <v>18</v>
      </c>
      <c r="BC45" s="88" t="s">
        <v>18</v>
      </c>
      <c r="BD45" s="88" t="s">
        <v>18</v>
      </c>
      <c r="BE45" s="88" t="s">
        <v>18</v>
      </c>
      <c r="BF45" s="88" t="s">
        <v>18</v>
      </c>
      <c r="BG45" s="88" t="s">
        <v>18</v>
      </c>
      <c r="BH45" s="88" t="s">
        <v>18</v>
      </c>
      <c r="BI45" s="88" t="s">
        <v>18</v>
      </c>
      <c r="BJ45" s="88" t="s">
        <v>18</v>
      </c>
      <c r="BK45" s="88" t="s">
        <v>18</v>
      </c>
      <c r="BL45" s="88" t="s">
        <v>18</v>
      </c>
      <c r="BM45" s="88" t="s">
        <v>18</v>
      </c>
      <c r="BN45" s="88" t="s">
        <v>18</v>
      </c>
      <c r="BO45" s="88" t="s">
        <v>18</v>
      </c>
      <c r="BP45" s="88" t="s">
        <v>18</v>
      </c>
    </row>
    <row r="46" spans="1:68" hidden="1" outlineLevel="1">
      <c r="B46" s="86" t="s">
        <v>21</v>
      </c>
      <c r="C46" s="87" t="s">
        <v>18</v>
      </c>
      <c r="D46" s="87" t="s">
        <v>18</v>
      </c>
      <c r="E46" s="87" t="s">
        <v>18</v>
      </c>
      <c r="F46" s="87" t="s">
        <v>18</v>
      </c>
      <c r="G46" s="87" t="s">
        <v>18</v>
      </c>
      <c r="H46" s="87" t="s">
        <v>18</v>
      </c>
      <c r="I46" s="87" t="s">
        <v>18</v>
      </c>
      <c r="J46" s="87" t="s">
        <v>18</v>
      </c>
      <c r="K46" s="87" t="s">
        <v>18</v>
      </c>
      <c r="L46" s="87" t="s">
        <v>18</v>
      </c>
      <c r="M46" s="87" t="s">
        <v>18</v>
      </c>
      <c r="N46" s="87" t="s">
        <v>18</v>
      </c>
      <c r="O46" s="87" t="s">
        <v>18</v>
      </c>
      <c r="P46" s="87" t="s">
        <v>18</v>
      </c>
      <c r="Q46" s="87" t="s">
        <v>18</v>
      </c>
      <c r="R46" s="87" t="s">
        <v>18</v>
      </c>
      <c r="S46" s="87" t="s">
        <v>18</v>
      </c>
      <c r="T46" s="87" t="s">
        <v>18</v>
      </c>
      <c r="U46" s="87" t="s">
        <v>18</v>
      </c>
      <c r="V46" s="87" t="s">
        <v>18</v>
      </c>
      <c r="W46" s="87" t="s">
        <v>18</v>
      </c>
      <c r="X46" s="87" t="s">
        <v>18</v>
      </c>
      <c r="Y46" s="87" t="s">
        <v>18</v>
      </c>
      <c r="Z46" s="87" t="s">
        <v>18</v>
      </c>
      <c r="AA46" s="87" t="s">
        <v>18</v>
      </c>
      <c r="AB46" s="87" t="s">
        <v>18</v>
      </c>
      <c r="AC46" s="87" t="s">
        <v>18</v>
      </c>
      <c r="AD46" s="87" t="s">
        <v>18</v>
      </c>
      <c r="AE46" s="87" t="s">
        <v>18</v>
      </c>
      <c r="AF46" s="87" t="s">
        <v>18</v>
      </c>
      <c r="AG46" s="87" t="s">
        <v>18</v>
      </c>
      <c r="AH46" s="87" t="s">
        <v>18</v>
      </c>
      <c r="AI46" s="87">
        <v>0.60433115552581773</v>
      </c>
      <c r="AJ46" s="87">
        <v>0.6041693581763844</v>
      </c>
      <c r="AK46" s="51">
        <v>0.42299999999999999</v>
      </c>
      <c r="AL46" s="216">
        <v>0.42299999999999999</v>
      </c>
      <c r="AM46" s="88">
        <v>0.42319972328197319</v>
      </c>
      <c r="AN46" s="88">
        <v>0.42669229187278079</v>
      </c>
      <c r="AO46" s="88" t="s">
        <v>18</v>
      </c>
      <c r="AP46" s="88" t="s">
        <v>18</v>
      </c>
      <c r="AQ46" s="88" t="s">
        <v>18</v>
      </c>
      <c r="AR46" s="88" t="s">
        <v>18</v>
      </c>
      <c r="AS46" s="88" t="s">
        <v>18</v>
      </c>
      <c r="AT46" s="88" t="s">
        <v>18</v>
      </c>
      <c r="AU46" s="88" t="s">
        <v>18</v>
      </c>
      <c r="AV46" s="88" t="s">
        <v>18</v>
      </c>
      <c r="AW46" s="88" t="s">
        <v>18</v>
      </c>
      <c r="AX46" s="88" t="s">
        <v>18</v>
      </c>
      <c r="AY46" s="88" t="s">
        <v>18</v>
      </c>
      <c r="AZ46" s="88" t="s">
        <v>18</v>
      </c>
      <c r="BA46" s="88" t="s">
        <v>18</v>
      </c>
      <c r="BB46" s="88" t="s">
        <v>18</v>
      </c>
      <c r="BC46" s="88" t="s">
        <v>18</v>
      </c>
      <c r="BD46" s="88" t="s">
        <v>18</v>
      </c>
      <c r="BE46" s="88" t="s">
        <v>18</v>
      </c>
      <c r="BF46" s="88" t="s">
        <v>18</v>
      </c>
      <c r="BG46" s="88" t="s">
        <v>18</v>
      </c>
      <c r="BH46" s="88" t="s">
        <v>18</v>
      </c>
      <c r="BI46" s="88" t="s">
        <v>18</v>
      </c>
      <c r="BJ46" s="88" t="s">
        <v>18</v>
      </c>
      <c r="BK46" s="88" t="s">
        <v>18</v>
      </c>
      <c r="BL46" s="88" t="s">
        <v>18</v>
      </c>
      <c r="BM46" s="88" t="s">
        <v>18</v>
      </c>
      <c r="BN46" s="88" t="s">
        <v>18</v>
      </c>
      <c r="BO46" s="88" t="s">
        <v>18</v>
      </c>
      <c r="BP46" s="88" t="s">
        <v>18</v>
      </c>
    </row>
    <row r="47" spans="1:68" hidden="1" outlineLevel="1">
      <c r="B47" s="86" t="s">
        <v>22</v>
      </c>
      <c r="C47" s="87" t="s">
        <v>18</v>
      </c>
      <c r="D47" s="87" t="s">
        <v>18</v>
      </c>
      <c r="E47" s="87" t="s">
        <v>18</v>
      </c>
      <c r="F47" s="87" t="s">
        <v>18</v>
      </c>
      <c r="G47" s="87" t="s">
        <v>18</v>
      </c>
      <c r="H47" s="87" t="s">
        <v>18</v>
      </c>
      <c r="I47" s="87" t="s">
        <v>18</v>
      </c>
      <c r="J47" s="87" t="s">
        <v>18</v>
      </c>
      <c r="K47" s="87" t="s">
        <v>18</v>
      </c>
      <c r="L47" s="87" t="s">
        <v>18</v>
      </c>
      <c r="M47" s="87" t="s">
        <v>18</v>
      </c>
      <c r="N47" s="87" t="s">
        <v>18</v>
      </c>
      <c r="O47" s="87" t="s">
        <v>18</v>
      </c>
      <c r="P47" s="87" t="s">
        <v>18</v>
      </c>
      <c r="Q47" s="87" t="s">
        <v>18</v>
      </c>
      <c r="R47" s="87" t="s">
        <v>18</v>
      </c>
      <c r="S47" s="87" t="s">
        <v>18</v>
      </c>
      <c r="T47" s="87" t="s">
        <v>18</v>
      </c>
      <c r="U47" s="87" t="s">
        <v>18</v>
      </c>
      <c r="V47" s="87" t="s">
        <v>18</v>
      </c>
      <c r="W47" s="87" t="s">
        <v>18</v>
      </c>
      <c r="X47" s="87" t="s">
        <v>18</v>
      </c>
      <c r="Y47" s="87" t="s">
        <v>18</v>
      </c>
      <c r="Z47" s="87" t="s">
        <v>18</v>
      </c>
      <c r="AA47" s="87" t="s">
        <v>18</v>
      </c>
      <c r="AB47" s="87" t="s">
        <v>18</v>
      </c>
      <c r="AC47" s="87" t="s">
        <v>18</v>
      </c>
      <c r="AD47" s="87" t="s">
        <v>18</v>
      </c>
      <c r="AE47" s="87" t="s">
        <v>18</v>
      </c>
      <c r="AF47" s="87" t="s">
        <v>18</v>
      </c>
      <c r="AG47" s="87" t="s">
        <v>18</v>
      </c>
      <c r="AH47" s="87" t="s">
        <v>18</v>
      </c>
      <c r="AI47" s="87">
        <v>0.58095659585628112</v>
      </c>
      <c r="AJ47" s="87">
        <v>0.58818318908995537</v>
      </c>
      <c r="AK47" s="51">
        <v>0.57799999999999996</v>
      </c>
      <c r="AL47" s="216">
        <v>0.57799999999999996</v>
      </c>
      <c r="AM47" s="88">
        <v>0.57822579314668476</v>
      </c>
      <c r="AN47" s="88">
        <v>0.58095659585628112</v>
      </c>
      <c r="AO47" s="88" t="s">
        <v>18</v>
      </c>
      <c r="AP47" s="88" t="s">
        <v>18</v>
      </c>
      <c r="AQ47" s="88" t="s">
        <v>18</v>
      </c>
      <c r="AR47" s="88" t="s">
        <v>18</v>
      </c>
      <c r="AS47" s="88" t="s">
        <v>18</v>
      </c>
      <c r="AT47" s="88" t="s">
        <v>18</v>
      </c>
      <c r="AU47" s="88" t="s">
        <v>18</v>
      </c>
      <c r="AV47" s="88" t="s">
        <v>18</v>
      </c>
      <c r="AW47" s="88" t="s">
        <v>18</v>
      </c>
      <c r="AX47" s="88" t="s">
        <v>18</v>
      </c>
      <c r="AY47" s="88" t="s">
        <v>18</v>
      </c>
      <c r="AZ47" s="88" t="s">
        <v>18</v>
      </c>
      <c r="BA47" s="88" t="s">
        <v>18</v>
      </c>
      <c r="BB47" s="88" t="s">
        <v>18</v>
      </c>
      <c r="BC47" s="88" t="s">
        <v>18</v>
      </c>
      <c r="BD47" s="88" t="s">
        <v>18</v>
      </c>
      <c r="BE47" s="88" t="s">
        <v>18</v>
      </c>
      <c r="BF47" s="88" t="s">
        <v>18</v>
      </c>
      <c r="BG47" s="88" t="s">
        <v>18</v>
      </c>
      <c r="BH47" s="88" t="s">
        <v>18</v>
      </c>
      <c r="BI47" s="88" t="s">
        <v>18</v>
      </c>
      <c r="BJ47" s="88" t="s">
        <v>18</v>
      </c>
      <c r="BK47" s="88" t="s">
        <v>18</v>
      </c>
      <c r="BL47" s="88" t="s">
        <v>18</v>
      </c>
      <c r="BM47" s="88" t="s">
        <v>18</v>
      </c>
      <c r="BN47" s="88" t="s">
        <v>18</v>
      </c>
      <c r="BO47" s="88" t="s">
        <v>18</v>
      </c>
      <c r="BP47" s="88" t="s">
        <v>18</v>
      </c>
    </row>
    <row r="48" spans="1:68" hidden="1" outlineLevel="1">
      <c r="B48" s="86" t="s">
        <v>24</v>
      </c>
      <c r="C48" s="87" t="s">
        <v>18</v>
      </c>
      <c r="D48" s="87" t="s">
        <v>18</v>
      </c>
      <c r="E48" s="87" t="s">
        <v>18</v>
      </c>
      <c r="F48" s="87" t="s">
        <v>18</v>
      </c>
      <c r="G48" s="87" t="s">
        <v>18</v>
      </c>
      <c r="H48" s="87" t="s">
        <v>18</v>
      </c>
      <c r="I48" s="87" t="s">
        <v>18</v>
      </c>
      <c r="J48" s="87" t="s">
        <v>18</v>
      </c>
      <c r="K48" s="87" t="s">
        <v>18</v>
      </c>
      <c r="L48" s="87" t="s">
        <v>18</v>
      </c>
      <c r="M48" s="87" t="s">
        <v>18</v>
      </c>
      <c r="N48" s="87" t="s">
        <v>18</v>
      </c>
      <c r="O48" s="87" t="s">
        <v>18</v>
      </c>
      <c r="P48" s="87" t="s">
        <v>18</v>
      </c>
      <c r="Q48" s="87" t="s">
        <v>18</v>
      </c>
      <c r="R48" s="87" t="s">
        <v>18</v>
      </c>
      <c r="S48" s="87" t="s">
        <v>18</v>
      </c>
      <c r="T48" s="87" t="s">
        <v>18</v>
      </c>
      <c r="U48" s="87" t="s">
        <v>18</v>
      </c>
      <c r="V48" s="87" t="s">
        <v>18</v>
      </c>
      <c r="W48" s="87" t="s">
        <v>18</v>
      </c>
      <c r="X48" s="87" t="s">
        <v>18</v>
      </c>
      <c r="Y48" s="87" t="s">
        <v>18</v>
      </c>
      <c r="Z48" s="87" t="s">
        <v>18</v>
      </c>
      <c r="AA48" s="87" t="s">
        <v>18</v>
      </c>
      <c r="AB48" s="87" t="s">
        <v>18</v>
      </c>
      <c r="AC48" s="87" t="s">
        <v>18</v>
      </c>
      <c r="AD48" s="87" t="s">
        <v>18</v>
      </c>
      <c r="AE48" s="87" t="s">
        <v>18</v>
      </c>
      <c r="AF48" s="87" t="s">
        <v>18</v>
      </c>
      <c r="AG48" s="87" t="s">
        <v>18</v>
      </c>
      <c r="AH48" s="87" t="s">
        <v>18</v>
      </c>
      <c r="AI48" s="87" t="s">
        <v>18</v>
      </c>
      <c r="AJ48" s="87">
        <v>0</v>
      </c>
      <c r="AK48" s="51">
        <v>0</v>
      </c>
      <c r="AL48" s="216">
        <v>0</v>
      </c>
      <c r="AM48" s="88">
        <v>0.35348407937240428</v>
      </c>
      <c r="AN48" s="88">
        <v>0.35391240525074857</v>
      </c>
      <c r="AO48" s="88" t="s">
        <v>18</v>
      </c>
      <c r="AP48" s="88" t="s">
        <v>18</v>
      </c>
      <c r="AQ48" s="88" t="s">
        <v>18</v>
      </c>
      <c r="AR48" s="88" t="s">
        <v>18</v>
      </c>
      <c r="AS48" s="88" t="s">
        <v>18</v>
      </c>
      <c r="AT48" s="88" t="s">
        <v>18</v>
      </c>
      <c r="AU48" s="88" t="s">
        <v>18</v>
      </c>
      <c r="AV48" s="88" t="s">
        <v>18</v>
      </c>
      <c r="AW48" s="88" t="s">
        <v>18</v>
      </c>
      <c r="AX48" s="88" t="s">
        <v>18</v>
      </c>
      <c r="AY48" s="88" t="s">
        <v>18</v>
      </c>
      <c r="AZ48" s="88" t="s">
        <v>18</v>
      </c>
      <c r="BA48" s="88" t="s">
        <v>18</v>
      </c>
      <c r="BB48" s="88" t="s">
        <v>18</v>
      </c>
      <c r="BC48" s="88" t="s">
        <v>18</v>
      </c>
      <c r="BD48" s="88" t="s">
        <v>18</v>
      </c>
      <c r="BE48" s="88" t="s">
        <v>18</v>
      </c>
      <c r="BF48" s="88" t="s">
        <v>18</v>
      </c>
      <c r="BG48" s="88" t="s">
        <v>18</v>
      </c>
      <c r="BH48" s="88" t="s">
        <v>18</v>
      </c>
      <c r="BI48" s="88" t="s">
        <v>18</v>
      </c>
      <c r="BJ48" s="88" t="s">
        <v>18</v>
      </c>
      <c r="BK48" s="88" t="s">
        <v>18</v>
      </c>
      <c r="BL48" s="88" t="s">
        <v>18</v>
      </c>
      <c r="BM48" s="88" t="s">
        <v>18</v>
      </c>
      <c r="BN48" s="88" t="s">
        <v>18</v>
      </c>
      <c r="BO48" s="88" t="s">
        <v>18</v>
      </c>
      <c r="BP48" s="88" t="s">
        <v>18</v>
      </c>
    </row>
    <row r="49" spans="1:68" s="30" customFormat="1" collapsed="1">
      <c r="A49"/>
      <c r="B49" s="82" t="str">
        <f>IF('Sumário | Summary'!P1=1,"Outros","Others")</f>
        <v>Outros</v>
      </c>
      <c r="C49" s="83" t="s">
        <v>18</v>
      </c>
      <c r="D49" s="83" t="s">
        <v>18</v>
      </c>
      <c r="E49" s="83" t="s">
        <v>18</v>
      </c>
      <c r="F49" s="83" t="s">
        <v>18</v>
      </c>
      <c r="G49" s="83" t="s">
        <v>18</v>
      </c>
      <c r="H49" s="83" t="s">
        <v>18</v>
      </c>
      <c r="I49" s="83" t="s">
        <v>18</v>
      </c>
      <c r="J49" s="83" t="s">
        <v>18</v>
      </c>
      <c r="K49" s="83" t="s">
        <v>18</v>
      </c>
      <c r="L49" s="83" t="s">
        <v>18</v>
      </c>
      <c r="M49" s="83" t="s">
        <v>18</v>
      </c>
      <c r="N49" s="83" t="s">
        <v>18</v>
      </c>
      <c r="O49" s="83" t="s">
        <v>18</v>
      </c>
      <c r="P49" s="83" t="s">
        <v>18</v>
      </c>
      <c r="Q49" s="83" t="s">
        <v>18</v>
      </c>
      <c r="R49" s="83" t="s">
        <v>18</v>
      </c>
      <c r="S49" s="83" t="s">
        <v>18</v>
      </c>
      <c r="T49" s="83" t="s">
        <v>18</v>
      </c>
      <c r="U49" s="83" t="s">
        <v>18</v>
      </c>
      <c r="V49" s="83" t="s">
        <v>18</v>
      </c>
      <c r="W49" s="83">
        <v>0.10569580638431046</v>
      </c>
      <c r="X49" s="83">
        <v>0.10719580638431046</v>
      </c>
      <c r="Y49" s="83">
        <v>0.10331733778426873</v>
      </c>
      <c r="Z49" s="83">
        <v>0.10037554767369081</v>
      </c>
      <c r="AA49" s="83">
        <v>4.0500000000000001E-2</v>
      </c>
      <c r="AB49" s="83">
        <v>3.9262187088274045E-2</v>
      </c>
      <c r="AC49" s="83">
        <v>3.9262187088274045E-2</v>
      </c>
      <c r="AD49" s="83">
        <v>3.9262187088274045E-2</v>
      </c>
      <c r="AE49" s="83">
        <v>3.9262187088274045E-2</v>
      </c>
      <c r="AF49" s="83">
        <v>3.9262187088274045E-2</v>
      </c>
      <c r="AG49" s="83">
        <v>3.5265700483091793E-2</v>
      </c>
      <c r="AH49" s="83">
        <v>3.5180722891566263E-2</v>
      </c>
      <c r="AI49" s="83">
        <v>3.5180722891566263E-2</v>
      </c>
      <c r="AJ49" s="83">
        <v>2.8696604600219056E-2</v>
      </c>
      <c r="AK49" s="83">
        <v>2.8696604600219056E-2</v>
      </c>
      <c r="AL49" s="84">
        <v>3.832523953274708E-2</v>
      </c>
      <c r="AM49" s="84">
        <v>2.1785307877101926E-2</v>
      </c>
      <c r="AN49" s="84">
        <v>4.3352836794398358E-2</v>
      </c>
      <c r="AO49" s="84">
        <v>4.8061571060468003E-2</v>
      </c>
      <c r="AP49" s="84">
        <v>4.4878815491735738E-2</v>
      </c>
      <c r="AQ49" s="84">
        <v>7.9745260498101392E-2</v>
      </c>
      <c r="AR49" s="84">
        <v>7.8109294728612916E-2</v>
      </c>
      <c r="AS49" s="84">
        <v>7.5182442902613347E-2</v>
      </c>
      <c r="AT49" s="84">
        <v>7.0470861486486486E-2</v>
      </c>
      <c r="AU49" s="84">
        <v>7.0470861486486486E-2</v>
      </c>
      <c r="AV49" s="84">
        <v>9.3418008013178469E-2</v>
      </c>
      <c r="AW49" s="84">
        <v>0.12455864816915337</v>
      </c>
      <c r="AX49" s="84">
        <v>0.12966756827501963</v>
      </c>
      <c r="AY49" s="84">
        <v>0.12966756827501963</v>
      </c>
      <c r="AZ49" s="84">
        <v>0.12966756827501963</v>
      </c>
      <c r="BA49" s="84">
        <v>0.43280022103946719</v>
      </c>
      <c r="BB49" s="84">
        <v>0.57580294040659619</v>
      </c>
      <c r="BC49" s="84">
        <v>0.58325074309385505</v>
      </c>
      <c r="BD49" s="84">
        <v>0.96271148922644867</v>
      </c>
      <c r="BE49" s="84">
        <v>0.96271148922644867</v>
      </c>
      <c r="BF49" s="84">
        <v>0.96271148922644867</v>
      </c>
      <c r="BG49" s="84">
        <v>0.96271148922644867</v>
      </c>
      <c r="BH49" s="84">
        <v>0.96271148922644867</v>
      </c>
      <c r="BI49" s="84">
        <v>0.9823864489718932</v>
      </c>
      <c r="BJ49" s="84">
        <v>0.9823864489718932</v>
      </c>
      <c r="BK49" s="84">
        <v>0.9823864489718932</v>
      </c>
      <c r="BL49" s="84">
        <v>0.98855727117463077</v>
      </c>
      <c r="BM49" s="84">
        <v>0.98859999999999992</v>
      </c>
      <c r="BN49" s="84">
        <v>0.98859999999999992</v>
      </c>
      <c r="BO49" s="84">
        <f>BO50</f>
        <v>0.98860000000000003</v>
      </c>
      <c r="BP49" s="84">
        <f>BP50</f>
        <v>0.98856107490967826</v>
      </c>
    </row>
    <row r="50" spans="1:68" hidden="1" outlineLevel="1">
      <c r="A50" t="s">
        <v>25</v>
      </c>
      <c r="B50" s="86" t="s">
        <v>25</v>
      </c>
      <c r="C50" s="88" t="s">
        <v>18</v>
      </c>
      <c r="D50" s="88" t="s">
        <v>18</v>
      </c>
      <c r="E50" s="88" t="s">
        <v>18</v>
      </c>
      <c r="F50" s="88" t="s">
        <v>18</v>
      </c>
      <c r="G50" s="88" t="s">
        <v>18</v>
      </c>
      <c r="H50" s="88" t="s">
        <v>18</v>
      </c>
      <c r="I50" s="88" t="s">
        <v>18</v>
      </c>
      <c r="J50" s="88" t="s">
        <v>18</v>
      </c>
      <c r="K50" s="88" t="s">
        <v>18</v>
      </c>
      <c r="L50" s="88" t="s">
        <v>18</v>
      </c>
      <c r="M50" s="88" t="s">
        <v>18</v>
      </c>
      <c r="N50" s="88" t="s">
        <v>18</v>
      </c>
      <c r="O50" s="88" t="s">
        <v>18</v>
      </c>
      <c r="P50" s="88" t="s">
        <v>18</v>
      </c>
      <c r="Q50" s="88" t="s">
        <v>18</v>
      </c>
      <c r="R50" s="88" t="s">
        <v>18</v>
      </c>
      <c r="S50" s="88" t="s">
        <v>18</v>
      </c>
      <c r="T50" s="88" t="s">
        <v>18</v>
      </c>
      <c r="U50" s="88" t="s">
        <v>18</v>
      </c>
      <c r="V50" s="88" t="s">
        <v>18</v>
      </c>
      <c r="W50" s="88">
        <v>0.10569580638431046</v>
      </c>
      <c r="X50" s="88">
        <v>0.10719580638431046</v>
      </c>
      <c r="Y50" s="88">
        <v>0.10331733778426873</v>
      </c>
      <c r="Z50" s="88">
        <v>0.10037554767369081</v>
      </c>
      <c r="AA50" s="88">
        <v>4.0500000000000001E-2</v>
      </c>
      <c r="AB50" s="88">
        <v>3.9262187088274045E-2</v>
      </c>
      <c r="AC50" s="88">
        <v>3.9262187088274045E-2</v>
      </c>
      <c r="AD50" s="88">
        <v>3.9262187088274045E-2</v>
      </c>
      <c r="AE50" s="88">
        <v>3.9262187088274045E-2</v>
      </c>
      <c r="AF50" s="88">
        <v>3.9262187088274045E-2</v>
      </c>
      <c r="AG50" s="88">
        <v>3.5265700483091793E-2</v>
      </c>
      <c r="AH50" s="88">
        <v>3.5180722891566263E-2</v>
      </c>
      <c r="AI50" s="88">
        <v>3.5180722891566263E-2</v>
      </c>
      <c r="AJ50" s="88">
        <v>2.8696604600219056E-2</v>
      </c>
      <c r="AK50" s="88">
        <v>2.8696604600219056E-2</v>
      </c>
      <c r="AL50" s="88">
        <v>3.832523953274708E-2</v>
      </c>
      <c r="AM50" s="88">
        <v>2.1785307877101926E-2</v>
      </c>
      <c r="AN50" s="88">
        <v>4.3352836794398358E-2</v>
      </c>
      <c r="AO50" s="88">
        <v>4.8061571060468003E-2</v>
      </c>
      <c r="AP50" s="88">
        <v>4.4878815491735738E-2</v>
      </c>
      <c r="AQ50" s="88">
        <v>7.9745260498101392E-2</v>
      </c>
      <c r="AR50" s="88">
        <v>7.8109294728612916E-2</v>
      </c>
      <c r="AS50" s="88">
        <v>7.5182442902613347E-2</v>
      </c>
      <c r="AT50" s="88">
        <v>7.0470861486486486E-2</v>
      </c>
      <c r="AU50" s="88">
        <v>7.0470861486486486E-2</v>
      </c>
      <c r="AV50" s="88">
        <v>9.3418008013178469E-2</v>
      </c>
      <c r="AW50" s="88">
        <v>0.12455864816915337</v>
      </c>
      <c r="AX50" s="88">
        <v>0.12966756827501963</v>
      </c>
      <c r="AY50" s="88">
        <v>0.12966756827501963</v>
      </c>
      <c r="AZ50" s="88">
        <v>0.12966756827501963</v>
      </c>
      <c r="BA50" s="88">
        <v>0.43280022103946719</v>
      </c>
      <c r="BB50" s="88">
        <v>0.57580294040659619</v>
      </c>
      <c r="BC50" s="88">
        <v>0.58325074309385505</v>
      </c>
      <c r="BD50" s="88">
        <v>0.96271148922644867</v>
      </c>
      <c r="BE50" s="88">
        <v>0.96271148922644867</v>
      </c>
      <c r="BF50" s="88">
        <v>0.96271148922644867</v>
      </c>
      <c r="BG50" s="88">
        <v>0.96271148922644867</v>
      </c>
      <c r="BH50" s="88">
        <v>0.96271148922644867</v>
      </c>
      <c r="BI50" s="88">
        <v>0.9823864489718932</v>
      </c>
      <c r="BJ50" s="88">
        <v>0.9823864489718932</v>
      </c>
      <c r="BK50" s="88">
        <v>0.9823864489718932</v>
      </c>
      <c r="BL50" s="88">
        <v>0.98855727117463077</v>
      </c>
      <c r="BM50" s="88">
        <v>0.98859999999999992</v>
      </c>
      <c r="BN50" s="88">
        <v>0.98859999999999992</v>
      </c>
      <c r="BO50" s="88">
        <v>0.98860000000000003</v>
      </c>
      <c r="BP50" s="88">
        <v>0.98856107490967826</v>
      </c>
    </row>
    <row r="51" spans="1:68" s="30" customFormat="1" collapsed="1">
      <c r="B51" s="89" t="s">
        <v>14</v>
      </c>
      <c r="C51" s="83">
        <v>3.3000000000000002E-2</v>
      </c>
      <c r="D51" s="83">
        <v>1.0999999999999999E-2</v>
      </c>
      <c r="E51" s="83">
        <v>8.9999999999999993E-3</v>
      </c>
      <c r="F51" s="83">
        <v>8.9999999999999993E-3</v>
      </c>
      <c r="G51" s="83">
        <v>4.0300000000000002E-2</v>
      </c>
      <c r="H51" s="83">
        <v>0.114</v>
      </c>
      <c r="I51" s="83">
        <v>3.1E-2</v>
      </c>
      <c r="J51" s="83">
        <v>0.02</v>
      </c>
      <c r="K51" s="83">
        <v>1.4999999999999999E-2</v>
      </c>
      <c r="L51" s="83">
        <v>3.3000000000000002E-2</v>
      </c>
      <c r="M51" s="83">
        <v>8.0000000000000002E-3</v>
      </c>
      <c r="N51" s="83">
        <v>8.9999999999999993E-3</v>
      </c>
      <c r="O51" s="83">
        <v>5.0000000000000001E-3</v>
      </c>
      <c r="P51" s="83">
        <v>5.0000000000000001E-3</v>
      </c>
      <c r="Q51" s="83">
        <v>2E-3</v>
      </c>
      <c r="R51" s="83">
        <v>8.0000000000000002E-3</v>
      </c>
      <c r="S51" s="83">
        <v>8.0000000000000002E-3</v>
      </c>
      <c r="T51" s="83">
        <v>8.9999999999999993E-3</v>
      </c>
      <c r="U51" s="83">
        <v>5.0000000000000001E-3</v>
      </c>
      <c r="V51" s="83">
        <v>5.0000000000000001E-3</v>
      </c>
      <c r="W51" s="83">
        <v>0.02</v>
      </c>
      <c r="X51" s="83">
        <v>6.3E-2</v>
      </c>
      <c r="Y51" s="83">
        <v>6.9000000000000006E-2</v>
      </c>
      <c r="Z51" s="83">
        <v>0.12556853083191005</v>
      </c>
      <c r="AA51" s="83">
        <v>6.1219734941137798E-2</v>
      </c>
      <c r="AB51" s="83">
        <v>9.7468294973413458E-2</v>
      </c>
      <c r="AC51" s="83">
        <v>0.11840925018164593</v>
      </c>
      <c r="AD51" s="83">
        <v>0.113</v>
      </c>
      <c r="AE51" s="83">
        <v>0.11899999999999999</v>
      </c>
      <c r="AF51" s="83">
        <v>0.10214046831217374</v>
      </c>
      <c r="AG51" s="83">
        <v>9.2700000000000005E-2</v>
      </c>
      <c r="AH51" s="83">
        <v>8.3299999999999999E-2</v>
      </c>
      <c r="AI51" s="83">
        <v>0.10829999999999999</v>
      </c>
      <c r="AJ51" s="83">
        <v>0.13896814675056898</v>
      </c>
      <c r="AK51" s="41">
        <v>0.12986538359926098</v>
      </c>
      <c r="AL51" s="215">
        <v>0.12570000000000001</v>
      </c>
      <c r="AM51" s="84">
        <v>0.18841134137987495</v>
      </c>
      <c r="AN51" s="84">
        <v>0.19919878485438058</v>
      </c>
      <c r="AO51" s="84">
        <v>0.13969082591298365</v>
      </c>
      <c r="AP51" s="84">
        <v>0.12798374396630768</v>
      </c>
      <c r="AQ51" s="84">
        <v>0.14066293853407189</v>
      </c>
      <c r="AR51" s="84">
        <v>9.1158023678169803E-2</v>
      </c>
      <c r="AS51" s="84">
        <v>8.2276295401970137E-2</v>
      </c>
      <c r="AT51" s="84">
        <v>7.3910892516731413E-2</v>
      </c>
      <c r="AU51" s="84">
        <v>7.8031559507371451E-2</v>
      </c>
      <c r="AV51" s="84">
        <v>0.11504349466187663</v>
      </c>
      <c r="AW51" s="84">
        <v>8.9913723371832774E-2</v>
      </c>
      <c r="AX51" s="84">
        <v>8.5730160160020288E-2</v>
      </c>
      <c r="AY51" s="84">
        <v>8.5631522603020885E-2</v>
      </c>
      <c r="AZ51" s="84">
        <v>9.7768079708404829E-2</v>
      </c>
      <c r="BA51" s="84">
        <v>0.12013102276690021</v>
      </c>
      <c r="BB51" s="84">
        <v>0.13997683906110833</v>
      </c>
      <c r="BC51" s="84">
        <v>0.15468399002268268</v>
      </c>
      <c r="BD51" s="84">
        <v>0.18443647147504</v>
      </c>
      <c r="BE51" s="84">
        <v>0.16359290871578283</v>
      </c>
      <c r="BF51" s="84">
        <v>0.17536671022920311</v>
      </c>
      <c r="BG51" s="84">
        <v>0.17648281108777203</v>
      </c>
      <c r="BH51" s="84">
        <v>0.17363577221224027</v>
      </c>
      <c r="BI51" s="84">
        <v>0.17622319694026786</v>
      </c>
      <c r="BJ51" s="84">
        <v>0.1639680007070986</v>
      </c>
      <c r="BK51" s="84">
        <v>0.17218495574344458</v>
      </c>
      <c r="BL51" s="84">
        <v>0.18118759310236873</v>
      </c>
      <c r="BM51" s="84">
        <v>0.17467973561574224</v>
      </c>
      <c r="BN51" s="84">
        <v>0.17233776561736111</v>
      </c>
      <c r="BO51" s="84">
        <v>0.19463805630629397</v>
      </c>
      <c r="BP51" s="84">
        <v>0.33376851522273021</v>
      </c>
    </row>
    <row r="52" spans="1:68" s="30" customFormat="1">
      <c r="B52" s="89" t="s">
        <v>288</v>
      </c>
      <c r="C52" s="83">
        <v>3.3000000000000002E-2</v>
      </c>
      <c r="D52" s="83">
        <v>1.0999999999999999E-2</v>
      </c>
      <c r="E52" s="83">
        <v>8.9999999999999993E-3</v>
      </c>
      <c r="F52" s="83">
        <v>8.9999999999999993E-3</v>
      </c>
      <c r="G52" s="83">
        <v>4.0300000000000002E-2</v>
      </c>
      <c r="H52" s="83">
        <v>0.114</v>
      </c>
      <c r="I52" s="83">
        <v>3.1E-2</v>
      </c>
      <c r="J52" s="83">
        <v>0.02</v>
      </c>
      <c r="K52" s="83">
        <v>1.4999999999999999E-2</v>
      </c>
      <c r="L52" s="83">
        <v>3.3000000000000002E-2</v>
      </c>
      <c r="M52" s="83">
        <v>8.0000000000000002E-3</v>
      </c>
      <c r="N52" s="83">
        <v>8.9999999999999993E-3</v>
      </c>
      <c r="O52" s="83">
        <v>5.0000000000000001E-3</v>
      </c>
      <c r="P52" s="83">
        <v>5.0000000000000001E-3</v>
      </c>
      <c r="Q52" s="83">
        <v>2E-3</v>
      </c>
      <c r="R52" s="83">
        <v>8.0000000000000002E-3</v>
      </c>
      <c r="S52" s="83">
        <v>8.0000000000000002E-3</v>
      </c>
      <c r="T52" s="83">
        <v>8.9999999999999993E-3</v>
      </c>
      <c r="U52" s="83">
        <v>5.0000000000000001E-3</v>
      </c>
      <c r="V52" s="83">
        <v>5.0000000000000001E-3</v>
      </c>
      <c r="W52" s="83">
        <v>1.2779416294174329E-2</v>
      </c>
      <c r="X52" s="83">
        <v>5.828609695952422E-2</v>
      </c>
      <c r="Y52" s="83">
        <v>6.5451604062153265E-2</v>
      </c>
      <c r="Z52" s="83">
        <v>0.12755632461215388</v>
      </c>
      <c r="AA52" s="83">
        <v>6.2785459077240341E-2</v>
      </c>
      <c r="AB52" s="83">
        <v>0.10147630288166479</v>
      </c>
      <c r="AC52" s="83">
        <v>0.12333966534831874</v>
      </c>
      <c r="AD52" s="83">
        <v>0.11770112661746988</v>
      </c>
      <c r="AE52" s="83">
        <v>0.12413634415880317</v>
      </c>
      <c r="AF52" s="83">
        <v>0.1059180497054597</v>
      </c>
      <c r="AG52" s="83">
        <v>9.5241090773156248E-2</v>
      </c>
      <c r="AH52" s="83">
        <v>8.5556961884625346E-2</v>
      </c>
      <c r="AI52" s="83">
        <v>0.11141268814802745</v>
      </c>
      <c r="AJ52" s="83">
        <v>0.14327752236305741</v>
      </c>
      <c r="AK52" s="41">
        <v>0.1339439899119402</v>
      </c>
      <c r="AL52" s="215">
        <v>0.12925218336625413</v>
      </c>
      <c r="AM52" s="84">
        <v>0.20244192261166161</v>
      </c>
      <c r="AN52" s="84">
        <v>0.21426942497675283</v>
      </c>
      <c r="AO52" s="84">
        <v>0.14898738203984419</v>
      </c>
      <c r="AP52" s="84">
        <v>0.13637553296570548</v>
      </c>
      <c r="AQ52" s="84">
        <v>0.14713043876648702</v>
      </c>
      <c r="AR52" s="84">
        <v>9.2537450554728284E-2</v>
      </c>
      <c r="AS52" s="84">
        <v>8.3026522886750942E-2</v>
      </c>
      <c r="AT52" s="84">
        <v>7.4274588095554206E-2</v>
      </c>
      <c r="AU52" s="84">
        <v>7.8652847547112145E-2</v>
      </c>
      <c r="AV52" s="84">
        <v>0.11672612477674894</v>
      </c>
      <c r="AW52" s="84">
        <v>8.7894437284059421E-2</v>
      </c>
      <c r="AX52" s="84">
        <v>8.3250975194390162E-2</v>
      </c>
      <c r="AY52" s="84">
        <v>8.3146959604271931E-2</v>
      </c>
      <c r="AZ52" s="84">
        <v>9.5974930753262896E-2</v>
      </c>
      <c r="BA52" s="84">
        <v>0.10247658841187028</v>
      </c>
      <c r="BB52" s="84">
        <v>0.10730172862438529</v>
      </c>
      <c r="BC52" s="84">
        <v>0.1225672109869179</v>
      </c>
      <c r="BD52" s="84">
        <v>0.12212777052193236</v>
      </c>
      <c r="BE52" s="84">
        <v>0.10367283729360041</v>
      </c>
      <c r="BF52" s="84">
        <v>9.513086957240037E-2</v>
      </c>
      <c r="BG52" s="84">
        <v>9.6599584098636268E-2</v>
      </c>
      <c r="BH52" s="84">
        <v>9.3472456137223686E-2</v>
      </c>
      <c r="BI52" s="84">
        <v>8.6853475094694613E-2</v>
      </c>
      <c r="BJ52" s="84">
        <v>7.3251388421217256E-2</v>
      </c>
      <c r="BK52" s="84">
        <v>7.6739359972764987E-2</v>
      </c>
      <c r="BL52" s="84">
        <v>8.1283854340527664E-2</v>
      </c>
      <c r="BM52" s="84">
        <v>7.4042372075551477E-2</v>
      </c>
      <c r="BN52" s="84">
        <v>9.1747000645450813E-2</v>
      </c>
      <c r="BO52" s="84">
        <v>9.3412993442355527E-2</v>
      </c>
      <c r="BP52" s="84">
        <v>0.13302570750590217</v>
      </c>
    </row>
    <row r="54" spans="1:68" ht="18.75" customHeight="1">
      <c r="B54" s="205" t="str">
        <f>IF('Sumário | Summary'!P1=1,"Vacância Financeira","Financial Vacancy")</f>
        <v>Vacância Financeira</v>
      </c>
      <c r="C54" s="201" t="str">
        <f t="shared" ref="C54:BA54" si="0">C5</f>
        <v>1T08</v>
      </c>
      <c r="D54" s="201" t="str">
        <f t="shared" si="0"/>
        <v>2T08</v>
      </c>
      <c r="E54" s="201" t="str">
        <f t="shared" si="0"/>
        <v>3T08</v>
      </c>
      <c r="F54" s="201" t="str">
        <f t="shared" si="0"/>
        <v>4T08</v>
      </c>
      <c r="G54" s="201" t="str">
        <f t="shared" si="0"/>
        <v>1T09</v>
      </c>
      <c r="H54" s="201" t="str">
        <f t="shared" si="0"/>
        <v>2T09</v>
      </c>
      <c r="I54" s="201" t="str">
        <f t="shared" si="0"/>
        <v>3T09</v>
      </c>
      <c r="J54" s="201" t="str">
        <f t="shared" si="0"/>
        <v>4T09</v>
      </c>
      <c r="K54" s="201" t="str">
        <f t="shared" si="0"/>
        <v>1T10</v>
      </c>
      <c r="L54" s="201" t="str">
        <f t="shared" si="0"/>
        <v>2T10</v>
      </c>
      <c r="M54" s="201" t="str">
        <f t="shared" si="0"/>
        <v>3T10</v>
      </c>
      <c r="N54" s="201" t="str">
        <f t="shared" si="0"/>
        <v>4T10</v>
      </c>
      <c r="O54" s="201" t="str">
        <f t="shared" si="0"/>
        <v>1T11</v>
      </c>
      <c r="P54" s="201" t="str">
        <f t="shared" si="0"/>
        <v>2T11</v>
      </c>
      <c r="Q54" s="201" t="str">
        <f t="shared" si="0"/>
        <v>3T11</v>
      </c>
      <c r="R54" s="201" t="str">
        <f t="shared" si="0"/>
        <v>4T11</v>
      </c>
      <c r="S54" s="201" t="str">
        <f t="shared" si="0"/>
        <v>1T12</v>
      </c>
      <c r="T54" s="201" t="str">
        <f t="shared" si="0"/>
        <v>2T12</v>
      </c>
      <c r="U54" s="201" t="str">
        <f t="shared" si="0"/>
        <v>3T12</v>
      </c>
      <c r="V54" s="201" t="str">
        <f t="shared" si="0"/>
        <v>4T12</v>
      </c>
      <c r="W54" s="201" t="str">
        <f t="shared" si="0"/>
        <v>1T13</v>
      </c>
      <c r="X54" s="201" t="str">
        <f t="shared" si="0"/>
        <v>2T13</v>
      </c>
      <c r="Y54" s="201" t="str">
        <f t="shared" si="0"/>
        <v>3T13</v>
      </c>
      <c r="Z54" s="201" t="str">
        <f t="shared" si="0"/>
        <v>4T13</v>
      </c>
      <c r="AA54" s="201" t="str">
        <f t="shared" si="0"/>
        <v>1T14</v>
      </c>
      <c r="AB54" s="201" t="str">
        <f t="shared" si="0"/>
        <v>2T14</v>
      </c>
      <c r="AC54" s="201" t="str">
        <f t="shared" si="0"/>
        <v>3T14</v>
      </c>
      <c r="AD54" s="201" t="str">
        <f t="shared" si="0"/>
        <v>4T14</v>
      </c>
      <c r="AE54" s="201" t="str">
        <f t="shared" si="0"/>
        <v>1T15</v>
      </c>
      <c r="AF54" s="201" t="str">
        <f t="shared" si="0"/>
        <v>2T15</v>
      </c>
      <c r="AG54" s="201" t="str">
        <f t="shared" si="0"/>
        <v>3T15</v>
      </c>
      <c r="AH54" s="201" t="str">
        <f t="shared" si="0"/>
        <v>4T15</v>
      </c>
      <c r="AI54" s="201" t="str">
        <f t="shared" si="0"/>
        <v>1T16</v>
      </c>
      <c r="AJ54" s="201" t="str">
        <f t="shared" si="0"/>
        <v>2T16</v>
      </c>
      <c r="AK54" s="201" t="str">
        <f t="shared" si="0"/>
        <v>3T16</v>
      </c>
      <c r="AL54" s="201" t="str">
        <f t="shared" si="0"/>
        <v>4T16</v>
      </c>
      <c r="AM54" s="201" t="str">
        <f t="shared" si="0"/>
        <v>1T17</v>
      </c>
      <c r="AN54" s="201" t="str">
        <f t="shared" si="0"/>
        <v>2T17</v>
      </c>
      <c r="AO54" s="201" t="str">
        <f t="shared" si="0"/>
        <v>3T17</v>
      </c>
      <c r="AP54" s="201" t="str">
        <f t="shared" si="0"/>
        <v>4T17</v>
      </c>
      <c r="AQ54" s="201" t="str">
        <f t="shared" si="0"/>
        <v>1T18</v>
      </c>
      <c r="AR54" s="201" t="str">
        <f t="shared" si="0"/>
        <v>2T18</v>
      </c>
      <c r="AS54" s="201" t="str">
        <f t="shared" si="0"/>
        <v>3T18</v>
      </c>
      <c r="AT54" s="201" t="str">
        <f t="shared" si="0"/>
        <v>4T18</v>
      </c>
      <c r="AU54" s="201" t="str">
        <f t="shared" si="0"/>
        <v>1T19</v>
      </c>
      <c r="AV54" s="201" t="str">
        <f t="shared" si="0"/>
        <v>2T19</v>
      </c>
      <c r="AW54" s="201" t="str">
        <f t="shared" si="0"/>
        <v>3T19</v>
      </c>
      <c r="AX54" s="201" t="str">
        <f t="shared" si="0"/>
        <v>4T19</v>
      </c>
      <c r="AY54" s="201" t="str">
        <f t="shared" si="0"/>
        <v>1T20</v>
      </c>
      <c r="AZ54" s="201" t="str">
        <f t="shared" si="0"/>
        <v>2T20</v>
      </c>
      <c r="BA54" s="201" t="str">
        <f t="shared" si="0"/>
        <v>3T20</v>
      </c>
      <c r="BB54" s="201" t="str">
        <f t="shared" ref="BB54:BM54" si="1">BB5</f>
        <v>4T20</v>
      </c>
      <c r="BC54" s="201" t="str">
        <f t="shared" si="1"/>
        <v>1T21</v>
      </c>
      <c r="BD54" s="201" t="str">
        <f t="shared" si="1"/>
        <v>2T21</v>
      </c>
      <c r="BE54" s="201" t="str">
        <f t="shared" si="1"/>
        <v>3T21</v>
      </c>
      <c r="BF54" s="201" t="str">
        <f t="shared" si="1"/>
        <v>4T21</v>
      </c>
      <c r="BG54" s="201" t="str">
        <f t="shared" si="1"/>
        <v>1T22</v>
      </c>
      <c r="BH54" s="201" t="str">
        <f t="shared" si="1"/>
        <v>2T22</v>
      </c>
      <c r="BI54" s="201" t="str">
        <f t="shared" si="1"/>
        <v>3T22</v>
      </c>
      <c r="BJ54" s="201" t="str">
        <f t="shared" si="1"/>
        <v>4T22</v>
      </c>
      <c r="BK54" s="201" t="str">
        <f t="shared" si="1"/>
        <v>1T23</v>
      </c>
      <c r="BL54" s="201" t="str">
        <f t="shared" si="1"/>
        <v>2T23</v>
      </c>
      <c r="BM54" s="201" t="str">
        <f t="shared" si="1"/>
        <v>3T23</v>
      </c>
      <c r="BN54" s="201" t="s">
        <v>315</v>
      </c>
      <c r="BO54" s="201" t="str">
        <f t="shared" ref="BO54" si="2">BO5</f>
        <v>1T24</v>
      </c>
      <c r="BP54" s="201" t="str">
        <f>BP5</f>
        <v>2T24</v>
      </c>
    </row>
    <row r="55" spans="1:68" ht="15" customHeight="1">
      <c r="B55" s="14" t="str">
        <f>IF('Sumário | Summary'!P1=1,"Escritórios","Offices")</f>
        <v>Escritórios</v>
      </c>
      <c r="C55" s="56">
        <v>4.4999999999999998E-2</v>
      </c>
      <c r="D55" s="56">
        <v>4.1000000000000003E-3</v>
      </c>
      <c r="E55" s="56">
        <v>0</v>
      </c>
      <c r="F55" s="56">
        <v>0</v>
      </c>
      <c r="G55" s="56">
        <v>7.7799999999999994E-2</v>
      </c>
      <c r="H55" s="56">
        <v>6.2E-2</v>
      </c>
      <c r="I55" s="56">
        <v>3.5000000000000003E-2</v>
      </c>
      <c r="J55" s="56">
        <v>0</v>
      </c>
      <c r="K55" s="56">
        <v>0</v>
      </c>
      <c r="L55" s="56">
        <v>1.6E-2</v>
      </c>
      <c r="M55" s="56">
        <v>4.0000000000000001E-3</v>
      </c>
      <c r="N55" s="56">
        <v>5.0000000000000001E-3</v>
      </c>
      <c r="O55" s="56">
        <v>1E-3</v>
      </c>
      <c r="P55" s="56">
        <v>0</v>
      </c>
      <c r="Q55" s="56">
        <v>0</v>
      </c>
      <c r="R55" s="56">
        <v>8.0000000000000002E-3</v>
      </c>
      <c r="S55" s="56">
        <v>8.0000000000000002E-3</v>
      </c>
      <c r="T55" s="56">
        <v>0</v>
      </c>
      <c r="U55" s="56">
        <v>0</v>
      </c>
      <c r="V55" s="56">
        <v>0</v>
      </c>
      <c r="W55" s="56">
        <v>1.4999999999999999E-2</v>
      </c>
      <c r="X55" s="56">
        <v>3.5000000000000003E-2</v>
      </c>
      <c r="Y55" s="56">
        <v>5.8999999999999997E-2</v>
      </c>
      <c r="Z55" s="56">
        <v>8.9117645132304912E-2</v>
      </c>
      <c r="AA55" s="56">
        <v>9.0309475775272943E-2</v>
      </c>
      <c r="AB55" s="56">
        <v>8.5714394862238877E-2</v>
      </c>
      <c r="AC55" s="56">
        <v>0.17745358154257757</v>
      </c>
      <c r="AD55" s="56">
        <v>0.19095473311035915</v>
      </c>
      <c r="AE55" s="56">
        <v>0.18999999999999995</v>
      </c>
      <c r="AF55" s="56">
        <v>0.12055890796120743</v>
      </c>
      <c r="AG55" s="56">
        <v>0.13900000000000001</v>
      </c>
      <c r="AH55" s="56">
        <v>0.12065710473930097</v>
      </c>
      <c r="AI55" s="56">
        <v>0.10435894500043739</v>
      </c>
      <c r="AJ55" s="56">
        <v>8.9058154457241537E-2</v>
      </c>
      <c r="AK55" s="56">
        <v>9.8000000000000004E-2</v>
      </c>
      <c r="AL55" s="56">
        <v>7.85E-2</v>
      </c>
      <c r="AM55" s="56">
        <v>8.8955806219252892E-2</v>
      </c>
      <c r="AN55" s="56">
        <v>0.14030687808261832</v>
      </c>
      <c r="AO55" s="56">
        <v>0.12934974345115938</v>
      </c>
      <c r="AP55" s="56">
        <v>9.7225394273738247E-2</v>
      </c>
      <c r="AQ55" s="56">
        <v>0.10686714766740579</v>
      </c>
      <c r="AR55" s="56">
        <v>0.11757226025262631</v>
      </c>
      <c r="AS55" s="56">
        <v>0.10917272272778129</v>
      </c>
      <c r="AT55" s="56">
        <v>7.6415234208248611E-2</v>
      </c>
      <c r="AU55" s="56">
        <v>9.2870004030162975E-2</v>
      </c>
      <c r="AV55" s="56">
        <v>0.12780347545447332</v>
      </c>
      <c r="AW55" s="56">
        <v>8.6882588842252875E-2</v>
      </c>
      <c r="AX55" s="56">
        <v>7.9241272075188413E-2</v>
      </c>
      <c r="AY55" s="88">
        <v>6.9361707757443311E-2</v>
      </c>
      <c r="AZ55" s="56">
        <v>8.2949022061524227E-2</v>
      </c>
      <c r="BA55" s="56">
        <v>8.6332357786817457E-2</v>
      </c>
      <c r="BB55" s="56">
        <v>0.13347778942707725</v>
      </c>
      <c r="BC55" s="88">
        <v>0.13681590862299295</v>
      </c>
      <c r="BD55" s="88">
        <v>0.10286598450309624</v>
      </c>
      <c r="BE55" s="88">
        <v>7.3696579186237426E-2</v>
      </c>
      <c r="BF55" s="88">
        <v>0.12623175146465931</v>
      </c>
      <c r="BG55" s="88">
        <v>0.13843986964698626</v>
      </c>
      <c r="BH55" s="88">
        <v>0.12470021849280989</v>
      </c>
      <c r="BI55" s="88">
        <v>0.12393785072366624</v>
      </c>
      <c r="BJ55" s="88">
        <v>0.11117323323530064</v>
      </c>
      <c r="BK55" s="88">
        <v>0.11850927714936853</v>
      </c>
      <c r="BL55" s="88">
        <v>0.11821010950843912</v>
      </c>
      <c r="BM55" s="88">
        <v>0.13014746097691066</v>
      </c>
      <c r="BN55" s="88">
        <v>0.12903968729281282</v>
      </c>
      <c r="BO55" s="88">
        <v>0.11197308828371812</v>
      </c>
      <c r="BP55" s="88">
        <v>0.15596975642979891</v>
      </c>
    </row>
    <row r="56" spans="1:68" ht="15" customHeight="1">
      <c r="B56" s="14" t="s">
        <v>15</v>
      </c>
      <c r="C56" s="37">
        <v>9.9000000000000005E-2</v>
      </c>
      <c r="D56" s="37">
        <v>1.89E-2</v>
      </c>
      <c r="E56" s="37">
        <v>2.98E-2</v>
      </c>
      <c r="F56" s="37">
        <v>2.87E-2</v>
      </c>
      <c r="G56" s="37">
        <v>8.3000000000000001E-3</v>
      </c>
      <c r="H56" s="37">
        <v>2E-3</v>
      </c>
      <c r="I56" s="37">
        <v>3.5000000000000003E-2</v>
      </c>
      <c r="J56" s="37">
        <v>0.04</v>
      </c>
      <c r="K56" s="37">
        <v>5.7000000000000002E-2</v>
      </c>
      <c r="L56" s="37">
        <v>5.0999999999999997E-2</v>
      </c>
      <c r="M56" s="37">
        <v>1.7999999999999999E-2</v>
      </c>
      <c r="N56" s="37">
        <v>1.7000000000000001E-2</v>
      </c>
      <c r="O56" s="37">
        <v>1.7999999999999999E-2</v>
      </c>
      <c r="P56" s="37">
        <v>2.5000000000000001E-2</v>
      </c>
      <c r="Q56" s="37">
        <v>0.01</v>
      </c>
      <c r="R56" s="37">
        <v>8.0000000000000002E-3</v>
      </c>
      <c r="S56" s="37">
        <v>0.01</v>
      </c>
      <c r="T56" s="37">
        <v>3.1E-2</v>
      </c>
      <c r="U56" s="37">
        <v>0.01</v>
      </c>
      <c r="V56" s="37">
        <v>1.4E-2</v>
      </c>
      <c r="W56" s="37">
        <v>2.1999999999999999E-2</v>
      </c>
      <c r="X56" s="37">
        <v>3.1E-2</v>
      </c>
      <c r="Y56" s="37">
        <v>1.2E-2</v>
      </c>
      <c r="Z56" s="37">
        <v>3.0380037830442672E-2</v>
      </c>
      <c r="AA56" s="37">
        <v>3.2804094717047497E-2</v>
      </c>
      <c r="AB56" s="37">
        <v>4.4770025001351355E-2</v>
      </c>
      <c r="AC56" s="37">
        <v>7.1567625418199235E-2</v>
      </c>
      <c r="AD56" s="37">
        <v>5.7395104227437009E-2</v>
      </c>
      <c r="AE56" s="37">
        <v>7.7999999999999958E-2</v>
      </c>
      <c r="AF56" s="37">
        <v>7.7994020128770311E-2</v>
      </c>
      <c r="AG56" s="37">
        <v>8.0999999999999961E-2</v>
      </c>
      <c r="AH56" s="37">
        <v>7.3408406329491388E-2</v>
      </c>
      <c r="AI56" s="37">
        <v>7.3408406329491388E-2</v>
      </c>
      <c r="AJ56" s="37">
        <v>0.10872837403974535</v>
      </c>
      <c r="AK56" s="37">
        <v>0.104</v>
      </c>
      <c r="AL56" s="37">
        <v>9.4600000000000004E-2</v>
      </c>
      <c r="AM56" s="56">
        <v>0.104</v>
      </c>
      <c r="AN56" s="56">
        <v>0.1</v>
      </c>
      <c r="AO56" s="56">
        <v>8.4000000000000005E-2</v>
      </c>
      <c r="AP56" s="56">
        <v>7.8576018400992029E-2</v>
      </c>
      <c r="AQ56" s="56">
        <v>6.5000000000000002E-2</v>
      </c>
      <c r="AR56" s="56">
        <v>5.3764232714344579E-2</v>
      </c>
      <c r="AS56" s="56">
        <v>4.937470417408886E-2</v>
      </c>
      <c r="AT56" s="56">
        <v>5.0169100283137057E-2</v>
      </c>
      <c r="AU56" s="56">
        <v>5.9557214418061284E-2</v>
      </c>
      <c r="AV56" s="56">
        <v>5.9387942504258225E-2</v>
      </c>
      <c r="AW56" s="56">
        <v>5.1813610023515463E-2</v>
      </c>
      <c r="AX56" s="56">
        <v>5.1861958420646934E-2</v>
      </c>
      <c r="AY56" s="88">
        <v>4.8121178759300845E-2</v>
      </c>
      <c r="AZ56" s="56">
        <v>6.7773604469657564E-2</v>
      </c>
      <c r="BA56" s="56">
        <v>6.6714658222133738E-2</v>
      </c>
      <c r="BB56" s="56">
        <v>6.3218127304275076E-2</v>
      </c>
      <c r="BC56" s="88">
        <v>7.8665457439970901E-2</v>
      </c>
      <c r="BD56" s="88">
        <v>9.0420310597348161E-2</v>
      </c>
      <c r="BE56" s="88">
        <v>8.0220837430828487E-2</v>
      </c>
      <c r="BF56" s="88">
        <v>7.531199283494748E-2</v>
      </c>
      <c r="BG56" s="88">
        <v>7.7346446340209513E-2</v>
      </c>
      <c r="BH56" s="88">
        <v>8.0777616621664744E-2</v>
      </c>
      <c r="BI56" s="88">
        <v>7.7862760312538221E-2</v>
      </c>
      <c r="BJ56" s="88">
        <v>5.5474109948572652E-2</v>
      </c>
      <c r="BK56" s="88">
        <v>5.5835603780564104E-2</v>
      </c>
      <c r="BL56" s="88">
        <v>6.4847688667212688E-2</v>
      </c>
      <c r="BM56" s="88">
        <v>5.7569795415734891E-2</v>
      </c>
      <c r="BN56" s="88">
        <v>5.2380854598694571E-2</v>
      </c>
      <c r="BO56" s="88">
        <v>5.8686552577581305E-2</v>
      </c>
      <c r="BP56" s="88">
        <v>4.279983165187546E-2</v>
      </c>
    </row>
    <row r="57" spans="1:68" ht="15" customHeight="1">
      <c r="B57" s="14" t="str">
        <f>IF('Sumário | Summary'!P1=1,"Galpões Logísticos","Distribution Centers")</f>
        <v>Galpões Logísticos</v>
      </c>
      <c r="C57" s="37">
        <v>0.04</v>
      </c>
      <c r="D57" s="37">
        <v>3.1E-2</v>
      </c>
      <c r="E57" s="37">
        <v>0</v>
      </c>
      <c r="F57" s="37">
        <v>0</v>
      </c>
      <c r="G57" s="37">
        <v>0</v>
      </c>
      <c r="H57" s="37">
        <v>0.39700000000000002</v>
      </c>
      <c r="I57" s="37">
        <v>0</v>
      </c>
      <c r="J57" s="37">
        <v>0</v>
      </c>
      <c r="K57" s="37">
        <v>0</v>
      </c>
      <c r="L57" s="37">
        <v>0</v>
      </c>
      <c r="M57" s="37">
        <v>0</v>
      </c>
      <c r="N57" s="37">
        <v>0</v>
      </c>
      <c r="O57" s="37">
        <v>0</v>
      </c>
      <c r="P57" s="37">
        <v>0</v>
      </c>
      <c r="Q57" s="37">
        <v>0</v>
      </c>
      <c r="R57" s="37">
        <v>0</v>
      </c>
      <c r="S57" s="37">
        <v>0</v>
      </c>
      <c r="T57" s="37">
        <v>0</v>
      </c>
      <c r="U57" s="37">
        <v>0</v>
      </c>
      <c r="V57" s="37">
        <v>0</v>
      </c>
      <c r="W57" s="37">
        <v>0</v>
      </c>
      <c r="X57" s="37">
        <v>0.151</v>
      </c>
      <c r="Y57" s="37">
        <v>0.15</v>
      </c>
      <c r="Z57" s="37">
        <v>0.29549848602541712</v>
      </c>
      <c r="AA57" s="37">
        <v>6.2945305183021785E-2</v>
      </c>
      <c r="AB57" s="37">
        <v>8.9841839016168254E-2</v>
      </c>
      <c r="AC57" s="37">
        <v>0.15043041387086348</v>
      </c>
      <c r="AD57" s="37">
        <v>0.1332527481648286</v>
      </c>
      <c r="AE57" s="37">
        <v>0.15000000000000002</v>
      </c>
      <c r="AF57" s="37">
        <v>0.16836384577139876</v>
      </c>
      <c r="AG57" s="37">
        <v>0.17299999999999993</v>
      </c>
      <c r="AH57" s="37">
        <v>0.16707708831653156</v>
      </c>
      <c r="AI57" s="37">
        <v>0.20143357046440213</v>
      </c>
      <c r="AJ57" s="37">
        <v>0.16586871997988495</v>
      </c>
      <c r="AK57" s="37">
        <v>0.153</v>
      </c>
      <c r="AL57" s="37">
        <v>0.16520000000000001</v>
      </c>
      <c r="AM57" s="56">
        <v>0.33100000000000002</v>
      </c>
      <c r="AN57" s="56">
        <v>0.316</v>
      </c>
      <c r="AO57" s="56">
        <v>1</v>
      </c>
      <c r="AP57" s="56">
        <v>1</v>
      </c>
      <c r="AQ57" s="56">
        <v>1</v>
      </c>
      <c r="AR57" s="49" t="s">
        <v>18</v>
      </c>
      <c r="AS57" s="49" t="s">
        <v>18</v>
      </c>
      <c r="AT57" s="49" t="s">
        <v>18</v>
      </c>
      <c r="AU57" s="49" t="s">
        <v>18</v>
      </c>
      <c r="AV57" s="49" t="s">
        <v>18</v>
      </c>
      <c r="AW57" s="49" t="s">
        <v>18</v>
      </c>
      <c r="AX57" s="49" t="s">
        <v>18</v>
      </c>
      <c r="AY57" s="88" t="s">
        <v>18</v>
      </c>
      <c r="AZ57" s="49" t="s">
        <v>18</v>
      </c>
      <c r="BA57" s="49" t="s">
        <v>18</v>
      </c>
      <c r="BB57" s="49" t="s">
        <v>18</v>
      </c>
      <c r="BC57" s="49" t="s">
        <v>18</v>
      </c>
      <c r="BD57" s="49" t="s">
        <v>18</v>
      </c>
      <c r="BE57" s="49" t="s">
        <v>18</v>
      </c>
      <c r="BF57" s="49" t="s">
        <v>18</v>
      </c>
      <c r="BG57" s="49" t="s">
        <v>18</v>
      </c>
      <c r="BH57" s="49" t="s">
        <v>18</v>
      </c>
      <c r="BI57" s="49" t="s">
        <v>18</v>
      </c>
      <c r="BJ57" s="49" t="s">
        <v>18</v>
      </c>
      <c r="BK57" s="49" t="s">
        <v>18</v>
      </c>
      <c r="BL57" s="49" t="s">
        <v>18</v>
      </c>
      <c r="BM57" s="49" t="s">
        <v>18</v>
      </c>
      <c r="BN57" s="49">
        <v>0.50211295666435507</v>
      </c>
      <c r="BO57" s="88">
        <v>0.50211295666435518</v>
      </c>
      <c r="BP57" s="49">
        <v>0.33573776266111899</v>
      </c>
    </row>
    <row r="58" spans="1:68" ht="15" customHeight="1">
      <c r="B58" s="14" t="str">
        <f>IF('Sumário | Summary'!P1=1,"Outros","Others")</f>
        <v>Outros</v>
      </c>
      <c r="C58" s="49">
        <v>0</v>
      </c>
      <c r="D58" s="49">
        <v>0</v>
      </c>
      <c r="E58" s="49">
        <v>0</v>
      </c>
      <c r="F58" s="49">
        <v>0</v>
      </c>
      <c r="G58" s="49">
        <v>3.3E-3</v>
      </c>
      <c r="H58" s="49">
        <v>2.1000000000000001E-2</v>
      </c>
      <c r="I58" s="49">
        <v>0.05</v>
      </c>
      <c r="J58" s="49">
        <v>2.7E-2</v>
      </c>
      <c r="K58" s="49">
        <v>6.0000000000000001E-3</v>
      </c>
      <c r="L58" s="49">
        <v>5.0000000000000001E-3</v>
      </c>
      <c r="M58" s="49">
        <v>6.0000000000000001E-3</v>
      </c>
      <c r="N58" s="49">
        <v>3.0000000000000001E-3</v>
      </c>
      <c r="O58" s="49">
        <v>3.0000000000000001E-3</v>
      </c>
      <c r="P58" s="49">
        <v>4.0000000000000001E-3</v>
      </c>
      <c r="Q58" s="49">
        <v>3.0000000000000001E-3</v>
      </c>
      <c r="R58" s="49">
        <v>3.0000000000000001E-3</v>
      </c>
      <c r="S58" s="49">
        <v>2E-3</v>
      </c>
      <c r="T58" s="49">
        <v>2E-3</v>
      </c>
      <c r="U58" s="49">
        <v>0</v>
      </c>
      <c r="V58" s="49">
        <v>0</v>
      </c>
      <c r="W58" s="49">
        <v>9.8000000000000004E-2</v>
      </c>
      <c r="X58" s="49">
        <v>9.9000000000000005E-2</v>
      </c>
      <c r="Y58" s="49">
        <v>9.7000000000000003E-2</v>
      </c>
      <c r="Z58" s="49">
        <v>9.3030303533778322E-2</v>
      </c>
      <c r="AA58" s="49">
        <v>3.7327179618950372E-2</v>
      </c>
      <c r="AB58" s="49">
        <v>3.6201564872351322E-2</v>
      </c>
      <c r="AC58" s="49">
        <v>3.6223979405570442E-2</v>
      </c>
      <c r="AD58" s="49">
        <v>3.6223979405570442E-2</v>
      </c>
      <c r="AE58" s="49">
        <v>3.6000000000000032E-2</v>
      </c>
      <c r="AF58" s="49">
        <v>3.926218708827401E-2</v>
      </c>
      <c r="AG58" s="49">
        <v>3.5000000000000031E-2</v>
      </c>
      <c r="AH58" s="49">
        <v>3.518072289156636E-2</v>
      </c>
      <c r="AI58" s="49">
        <v>3.5180722891566416E-2</v>
      </c>
      <c r="AJ58" s="49">
        <v>2.9000000000000001E-2</v>
      </c>
      <c r="AK58" s="49">
        <v>2.9000000000000001E-2</v>
      </c>
      <c r="AL58" s="49">
        <v>3.8300000000000001E-2</v>
      </c>
      <c r="AM58" s="49">
        <v>2.1785307877101978E-2</v>
      </c>
      <c r="AN58" s="49">
        <v>4.3352836794398268E-2</v>
      </c>
      <c r="AO58" s="49">
        <v>4.806157106046785E-2</v>
      </c>
      <c r="AP58" s="49">
        <v>4.487881549173553E-2</v>
      </c>
      <c r="AQ58" s="49">
        <v>7.974526049810142E-2</v>
      </c>
      <c r="AR58" s="49">
        <v>7.8109294728612458E-2</v>
      </c>
      <c r="AS58" s="49">
        <v>7.5182442902613292E-2</v>
      </c>
      <c r="AT58" s="49">
        <v>7.0470861486486222E-2</v>
      </c>
      <c r="AU58" s="49">
        <v>7.047086148648643E-2</v>
      </c>
      <c r="AV58" s="49">
        <v>9.3418008013178205E-2</v>
      </c>
      <c r="AW58" s="49">
        <v>0.12455864816915314</v>
      </c>
      <c r="AX58" s="49">
        <v>0.12966756827501955</v>
      </c>
      <c r="AY58" s="88">
        <v>0.12966756827501963</v>
      </c>
      <c r="AZ58" s="49">
        <v>0.12966756827501968</v>
      </c>
      <c r="BA58" s="49">
        <v>0.43280022103946719</v>
      </c>
      <c r="BB58" s="49">
        <v>0.5758029404065963</v>
      </c>
      <c r="BC58" s="49">
        <v>0.58325074309385516</v>
      </c>
      <c r="BD58" s="49">
        <v>0.96266945904081314</v>
      </c>
      <c r="BE58" s="49">
        <v>0.96266945904081314</v>
      </c>
      <c r="BF58" s="49">
        <v>0.96266945904081314</v>
      </c>
      <c r="BG58" s="49">
        <v>0.96266945904081314</v>
      </c>
      <c r="BH58" s="49">
        <v>0.96266945904081314</v>
      </c>
      <c r="BI58" s="49">
        <v>0.98238644897189331</v>
      </c>
      <c r="BJ58" s="49">
        <v>0.98238644897189309</v>
      </c>
      <c r="BK58" s="49">
        <v>0.98238644897189331</v>
      </c>
      <c r="BL58" s="88">
        <v>0.98860000000000003</v>
      </c>
      <c r="BM58" s="88">
        <v>0.9885999999999997</v>
      </c>
      <c r="BN58" s="88">
        <v>0.98859999999999992</v>
      </c>
      <c r="BO58" s="88">
        <v>0.9885999999999997</v>
      </c>
      <c r="BP58" s="88">
        <v>0.98856107490967804</v>
      </c>
    </row>
    <row r="59" spans="1:68" s="15" customFormat="1" ht="15" customHeight="1">
      <c r="B59" s="29" t="s">
        <v>14</v>
      </c>
      <c r="C59" s="50">
        <v>3.3000000000000002E-2</v>
      </c>
      <c r="D59" s="50">
        <v>1.0999999999999999E-2</v>
      </c>
      <c r="E59" s="50">
        <v>8.9999999999999993E-3</v>
      </c>
      <c r="F59" s="50">
        <v>8.9999999999999993E-3</v>
      </c>
      <c r="G59" s="50">
        <v>0.04</v>
      </c>
      <c r="H59" s="50">
        <v>5.6887442899865269E-2</v>
      </c>
      <c r="I59" s="50">
        <v>3.4799360085321959E-2</v>
      </c>
      <c r="J59" s="50">
        <v>1.3621119091751621E-2</v>
      </c>
      <c r="K59" s="50">
        <v>1.6426753941181895E-2</v>
      </c>
      <c r="L59" s="50">
        <v>2.4499985881688547E-2</v>
      </c>
      <c r="M59" s="50">
        <v>8.0829033076727837E-3</v>
      </c>
      <c r="N59" s="50">
        <v>8.1162838656458642E-3</v>
      </c>
      <c r="O59" s="50">
        <v>5.8674003050773584E-3</v>
      </c>
      <c r="P59" s="50">
        <v>7.4525668759563134E-3</v>
      </c>
      <c r="Q59" s="50">
        <v>2.7714173009095971E-3</v>
      </c>
      <c r="R59" s="50">
        <v>7.4962337475411407E-3</v>
      </c>
      <c r="S59" s="50">
        <v>7.818447812739833E-3</v>
      </c>
      <c r="T59" s="50">
        <v>8.6448598298910408E-3</v>
      </c>
      <c r="U59" s="50">
        <v>2.9738078663418027E-3</v>
      </c>
      <c r="V59" s="50">
        <v>4.8023402848647641E-3</v>
      </c>
      <c r="W59" s="50">
        <v>2.2029676773455378E-2</v>
      </c>
      <c r="X59" s="50">
        <v>4.3999999999999997E-2</v>
      </c>
      <c r="Y59" s="50">
        <v>5.2338990954675299E-2</v>
      </c>
      <c r="Z59" s="50">
        <v>8.4729841765155384E-2</v>
      </c>
      <c r="AA59" s="50">
        <v>6.3783101309832405E-2</v>
      </c>
      <c r="AB59" s="50">
        <v>6.7642755783008532E-2</v>
      </c>
      <c r="AC59" s="50">
        <v>0.12345631615362464</v>
      </c>
      <c r="AD59" s="50">
        <v>0.14399999999999999</v>
      </c>
      <c r="AE59" s="50">
        <v>0.14900000000000002</v>
      </c>
      <c r="AF59" s="50">
        <v>0.10962996869773252</v>
      </c>
      <c r="AG59" s="50">
        <v>0.12</v>
      </c>
      <c r="AH59" s="50">
        <v>0.10708237748953849</v>
      </c>
      <c r="AI59" s="50">
        <v>0.1070629496473845</v>
      </c>
      <c r="AJ59" s="50">
        <v>0.10589141060042324</v>
      </c>
      <c r="AK59" s="50">
        <v>0.10627355593903637</v>
      </c>
      <c r="AL59" s="50">
        <v>9.8199999999999996E-2</v>
      </c>
      <c r="AM59" s="50">
        <v>0.1457</v>
      </c>
      <c r="AN59" s="50">
        <v>0.15509999999999999</v>
      </c>
      <c r="AO59" s="50">
        <v>0.11509999999999999</v>
      </c>
      <c r="AP59" s="50">
        <v>9.7806617743399854E-2</v>
      </c>
      <c r="AQ59" s="50">
        <v>9.4600000000000004E-2</v>
      </c>
      <c r="AR59" s="50">
        <v>8.2971818578736034E-2</v>
      </c>
      <c r="AS59" s="50">
        <v>7.6908749785324138E-2</v>
      </c>
      <c r="AT59" s="50">
        <v>5.867463843475923E-2</v>
      </c>
      <c r="AU59" s="50">
        <v>7.4678497896488422E-2</v>
      </c>
      <c r="AV59" s="50">
        <v>9.113973196733241E-2</v>
      </c>
      <c r="AW59" s="50">
        <v>7.0553490923832271E-2</v>
      </c>
      <c r="AX59" s="50">
        <v>6.3403974018751863E-2</v>
      </c>
      <c r="AY59" s="84">
        <v>6.1372155087087904E-2</v>
      </c>
      <c r="AZ59" s="50">
        <v>7.8170834010701767E-2</v>
      </c>
      <c r="BA59" s="50">
        <v>9.5091578384082498E-2</v>
      </c>
      <c r="BB59" s="50">
        <v>0.10520829620625814</v>
      </c>
      <c r="BC59" s="84">
        <v>0.10542270230536592</v>
      </c>
      <c r="BD59" s="84">
        <v>0.11076484569584766</v>
      </c>
      <c r="BE59" s="84">
        <v>0.10461325154247379</v>
      </c>
      <c r="BF59" s="84">
        <v>0.12537670376539994</v>
      </c>
      <c r="BG59" s="84">
        <v>0.13912522158764795</v>
      </c>
      <c r="BH59" s="84">
        <v>0.13473468293294733</v>
      </c>
      <c r="BI59" s="84">
        <v>0.13679038081655001</v>
      </c>
      <c r="BJ59" s="84">
        <v>0.10637038757345973</v>
      </c>
      <c r="BK59" s="84">
        <v>0.12093476263907457</v>
      </c>
      <c r="BL59" s="84">
        <v>0.12853273728862902</v>
      </c>
      <c r="BM59" s="84">
        <v>0.12770396809740306</v>
      </c>
      <c r="BN59" s="84">
        <v>0.11486265893403103</v>
      </c>
      <c r="BO59" s="84">
        <v>0.13185840533449691</v>
      </c>
      <c r="BP59" s="84">
        <v>0.19906237331603735</v>
      </c>
    </row>
    <row r="60" spans="1:68" s="15" customFormat="1" ht="15" customHeight="1">
      <c r="B60" s="29" t="s">
        <v>288</v>
      </c>
      <c r="C60" s="50">
        <v>3.3000000000000002E-2</v>
      </c>
      <c r="D60" s="50">
        <v>1.0999999999999999E-2</v>
      </c>
      <c r="E60" s="50">
        <v>8.9999999999999993E-3</v>
      </c>
      <c r="F60" s="50">
        <v>8.9999999999999993E-3</v>
      </c>
      <c r="G60" s="50">
        <v>0.04</v>
      </c>
      <c r="H60" s="50">
        <v>5.6887442899865269E-2</v>
      </c>
      <c r="I60" s="50">
        <v>3.4799360085321959E-2</v>
      </c>
      <c r="J60" s="50">
        <v>1.3621119091751621E-2</v>
      </c>
      <c r="K60" s="50">
        <v>1.6426753941181895E-2</v>
      </c>
      <c r="L60" s="50">
        <v>2.4499985881688547E-2</v>
      </c>
      <c r="M60" s="50">
        <v>8.0829033076727837E-3</v>
      </c>
      <c r="N60" s="50">
        <v>8.1162838656458642E-3</v>
      </c>
      <c r="O60" s="50">
        <v>5.8674003050773584E-3</v>
      </c>
      <c r="P60" s="50">
        <v>7.4525668759563134E-3</v>
      </c>
      <c r="Q60" s="50">
        <v>2.7714173009095971E-3</v>
      </c>
      <c r="R60" s="50">
        <v>7.4962337475411407E-3</v>
      </c>
      <c r="S60" s="50">
        <v>7.818447812739833E-3</v>
      </c>
      <c r="T60" s="50">
        <v>8.6448598298910408E-3</v>
      </c>
      <c r="U60" s="50">
        <v>2.9738078663418027E-3</v>
      </c>
      <c r="V60" s="50">
        <v>4.8023402848647641E-3</v>
      </c>
      <c r="W60" s="50">
        <v>1.6600252534634454E-2</v>
      </c>
      <c r="X60" s="50">
        <v>3.9885756245490359E-2</v>
      </c>
      <c r="Y60" s="50">
        <v>4.8803801952031475E-2</v>
      </c>
      <c r="Z60" s="50">
        <v>8.386591096381836E-2</v>
      </c>
      <c r="AA60" s="50">
        <v>6.5133479633694785E-2</v>
      </c>
      <c r="AB60" s="50">
        <v>6.9243873028251038E-2</v>
      </c>
      <c r="AC60" s="50">
        <v>0.12771274720072101</v>
      </c>
      <c r="AD60" s="50">
        <v>0.15030872091544861</v>
      </c>
      <c r="AE60" s="50">
        <v>0.15615441033824182</v>
      </c>
      <c r="AF60" s="50">
        <v>0.11410674185639372</v>
      </c>
      <c r="AG60" s="50">
        <v>0.1257996101236491</v>
      </c>
      <c r="AH60" s="50">
        <v>0.11163122866856739</v>
      </c>
      <c r="AI60" s="50">
        <v>0.11198682852358714</v>
      </c>
      <c r="AJ60" s="50">
        <v>0.11127233457930009</v>
      </c>
      <c r="AK60" s="50">
        <v>0.11173854988395839</v>
      </c>
      <c r="AL60" s="50">
        <v>0.10243962271346779</v>
      </c>
      <c r="AM60" s="50">
        <v>0.15722135987406816</v>
      </c>
      <c r="AN60" s="50">
        <v>0.15857293789146329</v>
      </c>
      <c r="AO60" s="50">
        <v>0.11803940278138289</v>
      </c>
      <c r="AP60" s="50">
        <v>9.9695740437529629E-2</v>
      </c>
      <c r="AQ60" s="50">
        <v>9.5120402704191434E-2</v>
      </c>
      <c r="AR60" s="50">
        <v>8.314928049813794E-2</v>
      </c>
      <c r="AS60" s="50">
        <v>7.697365403657562E-2</v>
      </c>
      <c r="AT60" s="50">
        <v>5.8352234929378681E-2</v>
      </c>
      <c r="AU60" s="50">
        <v>7.4839102145235342E-2</v>
      </c>
      <c r="AV60" s="50">
        <v>9.1056591095609485E-2</v>
      </c>
      <c r="AW60" s="50">
        <v>6.8467991938877718E-2</v>
      </c>
      <c r="AX60" s="50">
        <v>6.1670132987568925E-2</v>
      </c>
      <c r="AY60" s="84">
        <v>5.8752097429955179E-2</v>
      </c>
      <c r="AZ60" s="50">
        <v>7.6180504895904291E-2</v>
      </c>
      <c r="BA60" s="50">
        <v>7.7726261741522279E-2</v>
      </c>
      <c r="BB60" s="50">
        <v>9.236078804034456E-2</v>
      </c>
      <c r="BC60" s="84">
        <v>9.6383840329251416E-2</v>
      </c>
      <c r="BD60" s="84">
        <v>9.4253989982000685E-2</v>
      </c>
      <c r="BE60" s="84">
        <v>7.6578166584432686E-2</v>
      </c>
      <c r="BF60" s="84">
        <v>8.7401368221023193E-2</v>
      </c>
      <c r="BG60" s="84">
        <v>9.5180399953705003E-2</v>
      </c>
      <c r="BH60" s="84">
        <v>9.2611634293672862E-2</v>
      </c>
      <c r="BI60" s="84">
        <v>9.0191426264421587E-2</v>
      </c>
      <c r="BJ60" s="84">
        <v>6.8399456153339033E-2</v>
      </c>
      <c r="BK60" s="84">
        <v>7.3404809786297764E-2</v>
      </c>
      <c r="BL60" s="84">
        <v>7.9398805316459806E-2</v>
      </c>
      <c r="BM60" s="84">
        <v>7.7610373560373647E-2</v>
      </c>
      <c r="BN60" s="84">
        <v>7.2583141755905467E-2</v>
      </c>
      <c r="BO60" s="84">
        <v>8.0849367323412122E-2</v>
      </c>
      <c r="BP60" s="84">
        <v>9.75726701224605E-2</v>
      </c>
    </row>
    <row r="62" spans="1:68">
      <c r="BA62" s="214"/>
    </row>
    <row r="63" spans="1:68">
      <c r="BA63" s="214"/>
    </row>
    <row r="64" spans="1:68">
      <c r="BA64" s="214"/>
    </row>
  </sheetData>
  <phoneticPr fontId="158" type="noConversion"/>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J29"/>
  <sheetViews>
    <sheetView showGridLines="0" topLeftCell="B1" zoomScale="80" zoomScaleNormal="80" workbookViewId="0">
      <selection activeCell="B1" sqref="B1"/>
    </sheetView>
  </sheetViews>
  <sheetFormatPr defaultRowHeight="14.4"/>
  <cols>
    <col min="1" max="1" width="24.77734375" hidden="1" customWidth="1"/>
    <col min="2" max="2" width="41.88671875" customWidth="1"/>
    <col min="3" max="3" width="22.109375" style="110" customWidth="1"/>
    <col min="4" max="4" width="31.33203125" style="110" bestFit="1" customWidth="1"/>
  </cols>
  <sheetData>
    <row r="1" spans="2:4">
      <c r="D1" s="115" t="s">
        <v>42</v>
      </c>
    </row>
    <row r="2" spans="2:4">
      <c r="D2" s="115" t="s">
        <v>41</v>
      </c>
    </row>
    <row r="3" spans="2:4">
      <c r="D3" s="116">
        <v>1</v>
      </c>
    </row>
    <row r="4" spans="2:4" ht="6.75" customHeight="1">
      <c r="B4" s="12"/>
      <c r="C4" s="111"/>
      <c r="D4" s="111"/>
    </row>
    <row r="5" spans="2:4" s="7" customFormat="1" ht="36.75" customHeight="1">
      <c r="B5" s="145" t="str">
        <f>IF('Sumário | Summary'!P1=1,"Consolidação no IFRS","Consolidation in IFRS")</f>
        <v>Consolidação no IFRS</v>
      </c>
      <c r="C5" s="146" t="str">
        <f>IF('Sumário | Summary'!P1=1,"Consolida 100%", "Assets that are 100% consolidated")</f>
        <v>Consolida 100%</v>
      </c>
      <c r="D5" s="146" t="str">
        <f>IF('Sumário | Summary'!P1=1,"Não consolida (participação de minoritários)","Assets that are not consolidated (Minority Shareholders Interests)")</f>
        <v>Não consolida (participação de minoritários)</v>
      </c>
    </row>
    <row r="6" spans="2:4" ht="15" customHeight="1">
      <c r="B6" s="23" t="s">
        <v>28</v>
      </c>
      <c r="C6" s="109" t="s">
        <v>40</v>
      </c>
      <c r="D6" s="112"/>
    </row>
    <row r="7" spans="2:4" ht="15" customHeight="1">
      <c r="B7" s="38" t="s">
        <v>48</v>
      </c>
      <c r="C7" s="113" t="s">
        <v>40</v>
      </c>
      <c r="D7" s="113"/>
    </row>
    <row r="8" spans="2:4" ht="15" customHeight="1">
      <c r="B8" s="38" t="s">
        <v>49</v>
      </c>
      <c r="C8" s="113" t="s">
        <v>40</v>
      </c>
      <c r="D8" s="113"/>
    </row>
    <row r="9" spans="2:4" ht="15" customHeight="1">
      <c r="B9" s="19" t="s">
        <v>6</v>
      </c>
      <c r="C9" s="109" t="s">
        <v>40</v>
      </c>
      <c r="D9" s="112"/>
    </row>
    <row r="10" spans="2:4" ht="15" customHeight="1">
      <c r="B10" s="19" t="s">
        <v>7</v>
      </c>
      <c r="C10" s="109" t="s">
        <v>40</v>
      </c>
      <c r="D10" s="112"/>
    </row>
    <row r="11" spans="2:4" ht="15" customHeight="1">
      <c r="B11" s="38" t="s">
        <v>25</v>
      </c>
      <c r="C11" s="109" t="s">
        <v>40</v>
      </c>
      <c r="D11" s="109"/>
    </row>
    <row r="12" spans="2:4" ht="15" customHeight="1">
      <c r="B12" s="19" t="s">
        <v>9</v>
      </c>
      <c r="C12" s="109"/>
      <c r="D12" s="109" t="s">
        <v>308</v>
      </c>
    </row>
    <row r="13" spans="2:4" ht="15" customHeight="1">
      <c r="B13" s="19" t="s">
        <v>11</v>
      </c>
      <c r="C13" s="109" t="s">
        <v>40</v>
      </c>
      <c r="D13" s="112"/>
    </row>
    <row r="14" spans="2:4" ht="15" customHeight="1">
      <c r="B14" s="38" t="s">
        <v>45</v>
      </c>
      <c r="C14" s="113" t="s">
        <v>40</v>
      </c>
      <c r="D14" s="113"/>
    </row>
    <row r="15" spans="2:4" ht="15" customHeight="1">
      <c r="B15" s="19" t="s">
        <v>12</v>
      </c>
      <c r="C15" s="109" t="s">
        <v>40</v>
      </c>
      <c r="D15" s="112"/>
    </row>
    <row r="16" spans="2:4" ht="15" customHeight="1">
      <c r="B16" s="23" t="s">
        <v>304</v>
      </c>
      <c r="C16" s="109"/>
      <c r="D16" s="109" t="s">
        <v>307</v>
      </c>
    </row>
    <row r="17" spans="1:10" ht="15" customHeight="1">
      <c r="B17" s="19" t="s">
        <v>16</v>
      </c>
      <c r="C17" s="109" t="s">
        <v>40</v>
      </c>
      <c r="D17" s="112"/>
      <c r="J17" s="225"/>
    </row>
    <row r="18" spans="1:10" ht="15" customHeight="1">
      <c r="B18" s="19" t="s">
        <v>17</v>
      </c>
      <c r="C18" s="109" t="s">
        <v>40</v>
      </c>
      <c r="D18" s="112"/>
    </row>
    <row r="19" spans="1:10" ht="15" customHeight="1">
      <c r="B19" s="19" t="s">
        <v>20</v>
      </c>
      <c r="C19" s="109" t="s">
        <v>40</v>
      </c>
      <c r="D19" s="112"/>
    </row>
    <row r="20" spans="1:10" ht="15" customHeight="1">
      <c r="B20" s="38" t="s">
        <v>23</v>
      </c>
      <c r="C20" s="109" t="s">
        <v>40</v>
      </c>
      <c r="D20" s="114"/>
    </row>
    <row r="21" spans="1:10" ht="115.2" customHeight="1">
      <c r="A21" t="s">
        <v>305</v>
      </c>
      <c r="B21" s="224" t="str">
        <f>IF('Sumário | Summary'!P1=1,A21,A22)</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21"/>
      <c r="D21"/>
    </row>
    <row r="22" spans="1:10">
      <c r="A22" t="s">
        <v>306</v>
      </c>
      <c r="B22" s="224"/>
      <c r="C22"/>
      <c r="D22"/>
    </row>
    <row r="23" spans="1:10">
      <c r="B23" s="224"/>
      <c r="C23" s="223"/>
      <c r="D23" s="223"/>
    </row>
    <row r="24" spans="1:10">
      <c r="B24" s="224"/>
      <c r="C24" s="224"/>
      <c r="D24" s="224"/>
    </row>
    <row r="25" spans="1:10">
      <c r="C25"/>
      <c r="D25"/>
    </row>
    <row r="26" spans="1:10">
      <c r="C26"/>
      <c r="D26"/>
    </row>
    <row r="27" spans="1:10">
      <c r="C27"/>
      <c r="D27"/>
    </row>
    <row r="28" spans="1:10">
      <c r="C28"/>
      <c r="D28"/>
    </row>
    <row r="29" spans="1:10">
      <c r="C29"/>
      <c r="D29"/>
    </row>
  </sheetData>
  <pageMargins left="0.25" right="0.25"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Sumário | Summary</vt:lpstr>
      <vt:lpstr>DRE - IFRS</vt:lpstr>
      <vt:lpstr>DRE - Proforma</vt:lpstr>
      <vt:lpstr>Indicadores</vt:lpstr>
      <vt:lpstr>Balanço IFRS</vt:lpstr>
      <vt:lpstr>Balanço Proforma</vt:lpstr>
      <vt:lpstr>Porfólio</vt:lpstr>
      <vt:lpstr>Vacância</vt:lpstr>
      <vt:lpstr>Consolidação IFRS</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Fundamentos Interativos</dc:title>
  <dc:creator>Filipe Novi David</dc:creator>
  <cp:lastModifiedBy>Erik Portugal Lundberg</cp:lastModifiedBy>
  <cp:lastPrinted>2013-03-12T14:28:41Z</cp:lastPrinted>
  <dcterms:created xsi:type="dcterms:W3CDTF">2010-05-21T20:26:20Z</dcterms:created>
  <dcterms:modified xsi:type="dcterms:W3CDTF">2024-09-09T19:04:02Z</dcterms:modified>
</cp:coreProperties>
</file>