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d.docs.live.net/357da910280cd5df/Área de Trabalho/"/>
    </mc:Choice>
  </mc:AlternateContent>
  <xr:revisionPtr revIDLastSave="2792" documentId="8_{8E87C167-32BD-4EC6-9D24-7F512C459DA7}" xr6:coauthVersionLast="46" xr6:coauthVersionMax="46" xr10:uidLastSave="{37B41D29-DC50-40CF-8B40-94F7336891B3}"/>
  <bookViews>
    <workbookView xWindow="-110" yWindow="-110" windowWidth="19420" windowHeight="10420" tabRatio="771" xr2:uid="{D200024D-0DED-44C1-B635-7E49B543B94E}"/>
  </bookViews>
  <sheets>
    <sheet name="Simulador" sheetId="4" r:id="rId1"/>
    <sheet name="Informações detalhadas" sheetId="11" r:id="rId2"/>
    <sheet name="Categorias" sheetId="6" r:id="rId3"/>
    <sheet name="Auxiliar" sheetId="1" state="hidden" r:id="rId4"/>
    <sheet name="Tarifas 2020" sheetId="2" state="hidden" r:id="rId5"/>
    <sheet name="Fatura 2020" sheetId="3" state="hidden" r:id="rId6"/>
    <sheet name="Tarifas 2021" sheetId="7" state="hidden" r:id="rId7"/>
    <sheet name="Fatura 2021" sheetId="8" state="hidden" r:id="rId8"/>
    <sheet name="Tarifas 3RTO" sheetId="9" state="hidden" r:id="rId9"/>
    <sheet name="Fatura 3RTO" sheetId="10" state="hidden" r:id="rId10"/>
  </sheets>
  <definedNames>
    <definedName name="_xlnm._FilterDatabase" localSheetId="3" hidden="1">Auxiliar!$A$1:$C$379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 l="1"/>
  <c r="C4" i="11" l="1"/>
  <c r="C3" i="11"/>
  <c r="C2" i="11"/>
  <c r="AS53" i="10" l="1"/>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C53" i="10"/>
  <c r="B53"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B44"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B20" i="10"/>
  <c r="D47" i="9" l="1"/>
  <c r="D46" i="9"/>
  <c r="D45" i="9"/>
  <c r="D44" i="9"/>
  <c r="D43" i="9"/>
  <c r="D42" i="9"/>
  <c r="D41" i="9"/>
  <c r="D40" i="9"/>
  <c r="D39" i="9"/>
  <c r="D38" i="9"/>
  <c r="D37" i="9"/>
  <c r="D36" i="9"/>
  <c r="D35" i="9"/>
  <c r="D34" i="9"/>
  <c r="D33" i="9"/>
  <c r="D32" i="9"/>
  <c r="D31" i="9"/>
  <c r="D30" i="9"/>
  <c r="A47" i="9"/>
  <c r="A46" i="9"/>
  <c r="A45" i="9"/>
  <c r="A44" i="9"/>
  <c r="A43" i="9"/>
  <c r="A42" i="9"/>
  <c r="A41" i="9"/>
  <c r="A40" i="9"/>
  <c r="A39" i="9"/>
  <c r="A38" i="9"/>
  <c r="A37" i="9"/>
  <c r="A36" i="9"/>
  <c r="A35" i="9"/>
  <c r="A34" i="9"/>
  <c r="A33" i="9"/>
  <c r="A32" i="9"/>
  <c r="A31" i="9"/>
  <c r="A30" i="9"/>
  <c r="J3" i="9"/>
  <c r="I3" i="9"/>
  <c r="H3" i="9"/>
  <c r="AF29" i="7" l="1"/>
  <c r="AF28" i="7"/>
  <c r="AF27" i="7"/>
  <c r="AF26" i="7"/>
  <c r="AF25" i="7"/>
  <c r="AF24" i="7"/>
  <c r="AF23" i="7"/>
  <c r="AF22" i="7"/>
  <c r="AF21" i="7"/>
  <c r="AF20" i="7"/>
  <c r="AF19" i="7"/>
  <c r="AF18" i="7"/>
  <c r="AF17" i="7"/>
  <c r="AF16" i="7"/>
  <c r="AF15" i="7"/>
  <c r="AF14" i="7"/>
  <c r="AF13" i="7"/>
  <c r="AF12" i="7"/>
  <c r="AF11" i="7"/>
  <c r="AF10" i="7"/>
  <c r="AF9" i="7"/>
  <c r="AF8" i="7"/>
  <c r="AF7" i="7"/>
  <c r="AF6" i="7"/>
  <c r="AF5" i="7"/>
  <c r="AF4" i="7"/>
  <c r="AA29" i="7"/>
  <c r="Z29" i="7"/>
  <c r="AA28" i="7"/>
  <c r="Z28" i="7"/>
  <c r="AA27" i="7"/>
  <c r="Z27" i="7"/>
  <c r="AA26" i="7"/>
  <c r="Z26" i="7"/>
  <c r="AA25" i="7"/>
  <c r="Z25" i="7"/>
  <c r="AA24" i="7"/>
  <c r="Z24" i="7"/>
  <c r="AA23" i="7"/>
  <c r="Z23" i="7"/>
  <c r="AA22" i="7"/>
  <c r="Z22" i="7"/>
  <c r="AA21" i="7"/>
  <c r="Z21" i="7"/>
  <c r="AA20" i="7"/>
  <c r="Z20" i="7"/>
  <c r="AA19" i="7"/>
  <c r="Z19" i="7"/>
  <c r="AA18" i="7"/>
  <c r="Z18" i="7"/>
  <c r="AA17" i="7"/>
  <c r="Z17" i="7"/>
  <c r="AA16" i="7"/>
  <c r="Z16" i="7"/>
  <c r="AA15" i="7"/>
  <c r="Z15" i="7"/>
  <c r="AA14" i="7"/>
  <c r="Z14" i="7"/>
  <c r="AA13" i="7"/>
  <c r="Z13" i="7"/>
  <c r="AA12" i="7"/>
  <c r="Z12" i="7"/>
  <c r="AA11" i="7"/>
  <c r="Z11" i="7"/>
  <c r="AA10" i="7"/>
  <c r="Z10" i="7"/>
  <c r="AA9" i="7"/>
  <c r="Z9" i="7"/>
  <c r="AA8" i="7"/>
  <c r="Z8" i="7"/>
  <c r="AA7" i="7"/>
  <c r="Z7" i="7"/>
  <c r="AA6" i="7"/>
  <c r="Z6" i="7"/>
  <c r="AA5" i="7"/>
  <c r="Z5" i="7"/>
  <c r="AA4" i="7"/>
  <c r="Z4" i="7"/>
  <c r="U29" i="7"/>
  <c r="T29" i="7"/>
  <c r="U28" i="7"/>
  <c r="T28" i="7"/>
  <c r="U27" i="7"/>
  <c r="T27" i="7"/>
  <c r="U26" i="7"/>
  <c r="T26" i="7"/>
  <c r="U25" i="7"/>
  <c r="T25" i="7"/>
  <c r="U24" i="7"/>
  <c r="T24" i="7"/>
  <c r="U23" i="7"/>
  <c r="T23" i="7"/>
  <c r="U22" i="7"/>
  <c r="T22" i="7"/>
  <c r="U21" i="7"/>
  <c r="T21" i="7"/>
  <c r="U20" i="7"/>
  <c r="T20" i="7"/>
  <c r="U19" i="7"/>
  <c r="T19" i="7"/>
  <c r="U18" i="7"/>
  <c r="T18" i="7"/>
  <c r="U17" i="7"/>
  <c r="T17" i="7"/>
  <c r="U16" i="7"/>
  <c r="T16" i="7"/>
  <c r="U15" i="7"/>
  <c r="T15" i="7"/>
  <c r="U14" i="7"/>
  <c r="T14" i="7"/>
  <c r="U13" i="7"/>
  <c r="T13" i="7"/>
  <c r="U12" i="7"/>
  <c r="T12" i="7"/>
  <c r="U11" i="7"/>
  <c r="T11" i="7"/>
  <c r="U10" i="7"/>
  <c r="T10" i="7"/>
  <c r="U9" i="7"/>
  <c r="T9" i="7"/>
  <c r="U8" i="7"/>
  <c r="T8" i="7"/>
  <c r="U7" i="7"/>
  <c r="T7" i="7"/>
  <c r="U6" i="7"/>
  <c r="T6" i="7"/>
  <c r="U5" i="7"/>
  <c r="T5" i="7"/>
  <c r="U4" i="7"/>
  <c r="T4" i="7"/>
  <c r="B4" i="10" l="1"/>
  <c r="D29" i="9"/>
  <c r="A29" i="9"/>
  <c r="D28" i="9"/>
  <c r="A28" i="9"/>
  <c r="D27" i="9"/>
  <c r="A27" i="9"/>
  <c r="D26" i="9"/>
  <c r="A26" i="9"/>
  <c r="D25" i="9"/>
  <c r="A25" i="9"/>
  <c r="D24" i="9"/>
  <c r="A24" i="9"/>
  <c r="D23" i="9"/>
  <c r="A23" i="9"/>
  <c r="D22" i="9"/>
  <c r="A22" i="9"/>
  <c r="D21" i="9"/>
  <c r="A21" i="9"/>
  <c r="D20" i="9"/>
  <c r="A20" i="9"/>
  <c r="D19" i="9"/>
  <c r="A19" i="9"/>
  <c r="D18" i="9"/>
  <c r="A18" i="9"/>
  <c r="D17" i="9"/>
  <c r="A17" i="9"/>
  <c r="D16" i="9"/>
  <c r="A16" i="9"/>
  <c r="D15" i="9"/>
  <c r="A15" i="9"/>
  <c r="D14" i="9"/>
  <c r="A14" i="9"/>
  <c r="D13" i="9"/>
  <c r="A13" i="9"/>
  <c r="D12" i="9"/>
  <c r="A12" i="9"/>
  <c r="D11" i="9"/>
  <c r="A11" i="9"/>
  <c r="D10" i="9"/>
  <c r="A10" i="9"/>
  <c r="D9" i="9"/>
  <c r="A9" i="9"/>
  <c r="D8" i="9"/>
  <c r="A8" i="9"/>
  <c r="D7" i="9"/>
  <c r="A7" i="9"/>
  <c r="D6" i="9"/>
  <c r="A6" i="9"/>
  <c r="D5" i="9"/>
  <c r="A5" i="9"/>
  <c r="A4" i="9"/>
  <c r="G3" i="9"/>
  <c r="F3" i="9"/>
  <c r="B4" i="8"/>
  <c r="A21" i="8" s="1"/>
  <c r="D29" i="7"/>
  <c r="A29" i="7"/>
  <c r="D28" i="7"/>
  <c r="A28" i="7"/>
  <c r="D27" i="7"/>
  <c r="A27" i="7"/>
  <c r="D26" i="7"/>
  <c r="A26" i="7"/>
  <c r="D25" i="7"/>
  <c r="A25" i="7"/>
  <c r="D24" i="7"/>
  <c r="A24" i="7"/>
  <c r="D23" i="7"/>
  <c r="A23" i="7"/>
  <c r="D22" i="7"/>
  <c r="A22" i="7"/>
  <c r="D21" i="7"/>
  <c r="A21" i="7"/>
  <c r="D20" i="7"/>
  <c r="A20" i="7"/>
  <c r="D19" i="7"/>
  <c r="A19" i="7"/>
  <c r="D18" i="7"/>
  <c r="A18" i="7"/>
  <c r="D17" i="7"/>
  <c r="A17" i="7"/>
  <c r="D16" i="7"/>
  <c r="A16" i="7"/>
  <c r="D15" i="7"/>
  <c r="A15" i="7"/>
  <c r="D14" i="7"/>
  <c r="A14" i="7"/>
  <c r="D13" i="7"/>
  <c r="A13" i="7"/>
  <c r="D12" i="7"/>
  <c r="A12" i="7"/>
  <c r="D11" i="7"/>
  <c r="A11" i="7"/>
  <c r="D10" i="7"/>
  <c r="A10" i="7"/>
  <c r="D9" i="7"/>
  <c r="A9" i="7"/>
  <c r="D8" i="7"/>
  <c r="A8" i="7"/>
  <c r="D7" i="7"/>
  <c r="A7" i="7"/>
  <c r="D6" i="7"/>
  <c r="A6" i="7"/>
  <c r="D5" i="7"/>
  <c r="A5" i="7"/>
  <c r="A4" i="7"/>
  <c r="G3" i="7"/>
  <c r="F3" i="7"/>
  <c r="K1" i="7"/>
  <c r="K3" i="7" s="1"/>
  <c r="I1" i="7"/>
  <c r="I3" i="7" s="1"/>
  <c r="H1" i="7"/>
  <c r="H3" i="7" s="1"/>
  <c r="B4" i="3"/>
  <c r="A21" i="3" s="1"/>
  <c r="AU5" i="1"/>
  <c r="BC9" i="1"/>
  <c r="BC8" i="1"/>
  <c r="BC7" i="1"/>
  <c r="BB8" i="1"/>
  <c r="BB7" i="1"/>
  <c r="BB6" i="1"/>
  <c r="BA9" i="1"/>
  <c r="BA8" i="1"/>
  <c r="BA7" i="1"/>
  <c r="BA6" i="1"/>
  <c r="BA5" i="1"/>
  <c r="AZ9" i="1"/>
  <c r="AZ8" i="1"/>
  <c r="AZ6" i="1"/>
  <c r="AZ5" i="1"/>
  <c r="AV5" i="1"/>
  <c r="AV6" i="1"/>
  <c r="AV7" i="1"/>
  <c r="AW5" i="1"/>
  <c r="BB9" i="1"/>
  <c r="AY9" i="1"/>
  <c r="AX9" i="1"/>
  <c r="AX8" i="1"/>
  <c r="AX7" i="1"/>
  <c r="AX6" i="1"/>
  <c r="AX5" i="1"/>
  <c r="AX4" i="1"/>
  <c r="AW9" i="1"/>
  <c r="AW8" i="1"/>
  <c r="AW7" i="1"/>
  <c r="AV9" i="1"/>
  <c r="AT9" i="1"/>
  <c r="AR8" i="1"/>
  <c r="AR7" i="1"/>
  <c r="AR6" i="1"/>
  <c r="AN9" i="1"/>
  <c r="AN8" i="1"/>
  <c r="AN6" i="1"/>
  <c r="AN5" i="1"/>
  <c r="AK9" i="1"/>
  <c r="AJ9" i="1"/>
  <c r="AI9" i="1"/>
  <c r="AH9" i="1"/>
  <c r="AK8" i="1"/>
  <c r="AJ8" i="1"/>
  <c r="AI8" i="1"/>
  <c r="AH8" i="1"/>
  <c r="AK7" i="1"/>
  <c r="AJ7" i="1"/>
  <c r="AI7" i="1"/>
  <c r="AH7" i="1"/>
  <c r="AK6" i="1"/>
  <c r="AJ6" i="1"/>
  <c r="AI6" i="1"/>
  <c r="AH6" i="1"/>
  <c r="AG9" i="1"/>
  <c r="AG8" i="1"/>
  <c r="AG6" i="1"/>
  <c r="AG5" i="1"/>
  <c r="AA8" i="1"/>
  <c r="Z8" i="1"/>
  <c r="AA7" i="1"/>
  <c r="Z7" i="1"/>
  <c r="AA6" i="1"/>
  <c r="Z6" i="1"/>
  <c r="AA5" i="1"/>
  <c r="Z5" i="1"/>
  <c r="X8" i="1"/>
  <c r="X7" i="1"/>
  <c r="X6" i="1"/>
  <c r="X5" i="1"/>
  <c r="AC6" i="1"/>
  <c r="AC7" i="1"/>
  <c r="AC8" i="1"/>
  <c r="AB8" i="1"/>
  <c r="AB7" i="1"/>
  <c r="AB6" i="1"/>
  <c r="Y8" i="1"/>
  <c r="Y7" i="1"/>
  <c r="Y6" i="1"/>
  <c r="W5" i="1"/>
  <c r="V19" i="1"/>
  <c r="V18" i="1"/>
  <c r="V17" i="1"/>
  <c r="V16" i="1"/>
  <c r="V15" i="1"/>
  <c r="V14" i="1"/>
  <c r="V13" i="1"/>
  <c r="V12" i="1"/>
  <c r="V11" i="1"/>
  <c r="V10" i="1"/>
  <c r="I25" i="1"/>
  <c r="U19" i="1"/>
  <c r="T19" i="1"/>
  <c r="S19" i="1"/>
  <c r="U18" i="1"/>
  <c r="T18" i="1"/>
  <c r="S18" i="1"/>
  <c r="U17" i="1"/>
  <c r="T17" i="1"/>
  <c r="S17" i="1"/>
  <c r="U16" i="1"/>
  <c r="T16" i="1"/>
  <c r="S16" i="1"/>
  <c r="U15" i="1"/>
  <c r="T15" i="1"/>
  <c r="S15" i="1"/>
  <c r="U14" i="1"/>
  <c r="T14" i="1"/>
  <c r="S14" i="1"/>
  <c r="U13" i="1"/>
  <c r="T13" i="1"/>
  <c r="S13" i="1"/>
  <c r="U12" i="1"/>
  <c r="T12" i="1"/>
  <c r="S12" i="1"/>
  <c r="U11" i="1"/>
  <c r="T11" i="1"/>
  <c r="S11" i="1"/>
  <c r="U10" i="1"/>
  <c r="T10" i="1"/>
  <c r="S10" i="1"/>
  <c r="R19" i="1"/>
  <c r="R18" i="1"/>
  <c r="R17" i="1"/>
  <c r="R16" i="1"/>
  <c r="R15" i="1"/>
  <c r="R14" i="1"/>
  <c r="R13" i="1"/>
  <c r="R12" i="1"/>
  <c r="R11" i="1"/>
  <c r="R10" i="1"/>
  <c r="I28" i="1"/>
  <c r="I27" i="1"/>
  <c r="I26" i="1"/>
  <c r="P21" i="1"/>
  <c r="Q21" i="1" s="1"/>
  <c r="G22" i="1"/>
  <c r="H30" i="1" s="1"/>
  <c r="A29" i="2"/>
  <c r="A28" i="2"/>
  <c r="A27" i="2"/>
  <c r="A26" i="2"/>
  <c r="A25" i="2"/>
  <c r="A24" i="2"/>
  <c r="A23" i="2"/>
  <c r="A22" i="2"/>
  <c r="A21" i="2"/>
  <c r="A20" i="2"/>
  <c r="A19" i="2"/>
  <c r="A18" i="2"/>
  <c r="A17" i="2"/>
  <c r="A16" i="2"/>
  <c r="A15" i="2"/>
  <c r="A14" i="2"/>
  <c r="A13" i="2"/>
  <c r="A12" i="2"/>
  <c r="A11" i="2"/>
  <c r="A10" i="2"/>
  <c r="A9" i="2"/>
  <c r="A8" i="2"/>
  <c r="A7" i="2"/>
  <c r="A6" i="2"/>
  <c r="A5" i="2"/>
  <c r="A4" i="2"/>
  <c r="E14" i="4" l="1"/>
  <c r="E13" i="4"/>
  <c r="E12" i="4"/>
  <c r="E11" i="4"/>
  <c r="E10" i="4"/>
  <c r="R21" i="1"/>
  <c r="A54" i="10"/>
  <c r="A45" i="10"/>
  <c r="A37" i="10"/>
  <c r="A29" i="10"/>
  <c r="B3" i="8"/>
  <c r="C3" i="8"/>
  <c r="B3" i="10"/>
  <c r="C3" i="10"/>
  <c r="B1" i="8"/>
  <c r="B1" i="10"/>
  <c r="A21" i="10"/>
  <c r="A13" i="8"/>
  <c r="J1" i="7"/>
  <c r="M1" i="7"/>
  <c r="A13" i="3"/>
  <c r="B3" i="3"/>
  <c r="C3" i="3"/>
  <c r="BD3" i="1"/>
  <c r="BD2" i="1"/>
  <c r="AR5" i="1"/>
  <c r="BB5" i="1" s="1"/>
  <c r="AL5" i="1"/>
  <c r="AY5" i="1" s="1"/>
  <c r="AL6" i="1"/>
  <c r="AY6" i="1" s="1"/>
  <c r="AL7" i="1"/>
  <c r="AY7" i="1" s="1"/>
  <c r="AL8" i="1"/>
  <c r="AY8" i="1" s="1"/>
  <c r="I22" i="1"/>
  <c r="B1" i="3"/>
  <c r="H22" i="1"/>
  <c r="I1" i="2"/>
  <c r="I3" i="2" s="1"/>
  <c r="H1" i="2"/>
  <c r="J1" i="2" s="1"/>
  <c r="L1" i="2" s="1"/>
  <c r="N1" i="2" s="1"/>
  <c r="P1" i="2" s="1"/>
  <c r="R1" i="2" s="1"/>
  <c r="K1" i="2"/>
  <c r="M1" i="2" s="1"/>
  <c r="O1" i="2" s="1"/>
  <c r="Q1" i="2" s="1"/>
  <c r="S1" i="2" s="1"/>
  <c r="G3" i="2"/>
  <c r="F3" i="2"/>
  <c r="D29" i="2"/>
  <c r="D28" i="2"/>
  <c r="D27" i="2"/>
  <c r="D26" i="2"/>
  <c r="D25" i="2"/>
  <c r="D24" i="2"/>
  <c r="D23" i="2"/>
  <c r="D22" i="2"/>
  <c r="D21" i="2"/>
  <c r="D20" i="2"/>
  <c r="D19" i="2"/>
  <c r="D18" i="2"/>
  <c r="D17" i="2"/>
  <c r="D16" i="2"/>
  <c r="D15" i="2"/>
  <c r="D14" i="2"/>
  <c r="D13" i="2"/>
  <c r="D12" i="2"/>
  <c r="D11" i="2"/>
  <c r="D10" i="2"/>
  <c r="D9" i="2"/>
  <c r="D8" i="2"/>
  <c r="D7" i="2"/>
  <c r="D6" i="2"/>
  <c r="D5" i="2"/>
  <c r="D7" i="11" l="1"/>
  <c r="AO54" i="10"/>
  <c r="AG54" i="10"/>
  <c r="Y54" i="10"/>
  <c r="Q54" i="10"/>
  <c r="I54" i="10"/>
  <c r="AN54" i="10"/>
  <c r="AF54" i="10"/>
  <c r="X54" i="10"/>
  <c r="P54" i="10"/>
  <c r="H54" i="10"/>
  <c r="G54" i="10"/>
  <c r="AL54" i="10"/>
  <c r="AD54" i="10"/>
  <c r="V54" i="10"/>
  <c r="N54" i="10"/>
  <c r="F54" i="10"/>
  <c r="K54" i="10"/>
  <c r="AS54" i="10"/>
  <c r="AK54" i="10"/>
  <c r="AC54" i="10"/>
  <c r="U54" i="10"/>
  <c r="M54" i="10"/>
  <c r="E54" i="10"/>
  <c r="D54" i="10"/>
  <c r="S54" i="10"/>
  <c r="AR54" i="10"/>
  <c r="AJ54" i="10"/>
  <c r="AB54" i="10"/>
  <c r="T54" i="10"/>
  <c r="L54" i="10"/>
  <c r="AA54" i="10"/>
  <c r="AQ54" i="10"/>
  <c r="AI54" i="10"/>
  <c r="C54" i="10"/>
  <c r="AP54" i="10"/>
  <c r="AH54" i="10"/>
  <c r="Z54" i="10"/>
  <c r="R54" i="10"/>
  <c r="J54" i="10"/>
  <c r="B54" i="10"/>
  <c r="AM54" i="10"/>
  <c r="AE54" i="10"/>
  <c r="W54" i="10"/>
  <c r="O54" i="10"/>
  <c r="D45" i="10"/>
  <c r="AM45" i="10"/>
  <c r="AE45" i="10"/>
  <c r="W45" i="10"/>
  <c r="O45" i="10"/>
  <c r="G45" i="10"/>
  <c r="AD45" i="10"/>
  <c r="N45" i="10"/>
  <c r="AC45" i="10"/>
  <c r="AL45" i="10"/>
  <c r="V45" i="10"/>
  <c r="U45" i="10"/>
  <c r="M45" i="10"/>
  <c r="AR45" i="10"/>
  <c r="AJ45" i="10"/>
  <c r="AB45" i="10"/>
  <c r="T45" i="10"/>
  <c r="L45" i="10"/>
  <c r="C45" i="10"/>
  <c r="J45" i="10"/>
  <c r="Y45" i="10"/>
  <c r="AQ45" i="10"/>
  <c r="AI45" i="10"/>
  <c r="AA45" i="10"/>
  <c r="S45" i="10"/>
  <c r="K45" i="10"/>
  <c r="R45" i="10"/>
  <c r="AG45" i="10"/>
  <c r="AP45" i="10"/>
  <c r="AH45" i="10"/>
  <c r="Z45" i="10"/>
  <c r="AO45" i="10"/>
  <c r="I45" i="10"/>
  <c r="Q45" i="10"/>
  <c r="AN45" i="10"/>
  <c r="AF45" i="10"/>
  <c r="X45" i="10"/>
  <c r="P45" i="10"/>
  <c r="H45" i="10"/>
  <c r="B45" i="10"/>
  <c r="F45" i="10"/>
  <c r="AS45" i="10"/>
  <c r="AK45" i="10"/>
  <c r="E45" i="10"/>
  <c r="AS37" i="10"/>
  <c r="AK37" i="10"/>
  <c r="AC37" i="10"/>
  <c r="U37" i="10"/>
  <c r="M37" i="10"/>
  <c r="E37" i="10"/>
  <c r="AR37" i="10"/>
  <c r="AJ37" i="10"/>
  <c r="AB37" i="10"/>
  <c r="T37" i="10"/>
  <c r="L37" i="10"/>
  <c r="D37" i="10"/>
  <c r="AQ37" i="10"/>
  <c r="AI37" i="10"/>
  <c r="AA37" i="10"/>
  <c r="S37" i="10"/>
  <c r="K37" i="10"/>
  <c r="C37" i="10"/>
  <c r="AP37" i="10"/>
  <c r="AH37" i="10"/>
  <c r="Z37" i="10"/>
  <c r="R37" i="10"/>
  <c r="J37" i="10"/>
  <c r="B37" i="10"/>
  <c r="AO37" i="10"/>
  <c r="AG37" i="10"/>
  <c r="Y37" i="10"/>
  <c r="Q37" i="10"/>
  <c r="I37" i="10"/>
  <c r="AN37" i="10"/>
  <c r="AF37" i="10"/>
  <c r="X37" i="10"/>
  <c r="P37" i="10"/>
  <c r="H37" i="10"/>
  <c r="AM37" i="10"/>
  <c r="AE37" i="10"/>
  <c r="W37" i="10"/>
  <c r="O37" i="10"/>
  <c r="G37" i="10"/>
  <c r="AL37" i="10"/>
  <c r="AD37" i="10"/>
  <c r="V37" i="10"/>
  <c r="N37" i="10"/>
  <c r="F37" i="10"/>
  <c r="AN29" i="10"/>
  <c r="H29" i="10"/>
  <c r="AK29" i="10"/>
  <c r="AA29" i="10"/>
  <c r="P29" i="10"/>
  <c r="D29" i="10"/>
  <c r="AG29" i="10"/>
  <c r="AI29" i="10"/>
  <c r="E29" i="10"/>
  <c r="AJ29" i="10"/>
  <c r="Z29" i="10"/>
  <c r="O29" i="10"/>
  <c r="C29" i="10"/>
  <c r="AD29" i="10"/>
  <c r="AR29" i="10"/>
  <c r="AH29" i="10"/>
  <c r="X29" i="10"/>
  <c r="M29" i="10"/>
  <c r="B29" i="10"/>
  <c r="U29" i="10"/>
  <c r="AP29" i="10"/>
  <c r="AF29" i="10"/>
  <c r="V29" i="10"/>
  <c r="J29" i="10"/>
  <c r="L29" i="10"/>
  <c r="Q29" i="10"/>
  <c r="AO29" i="10"/>
  <c r="AE29" i="10"/>
  <c r="T29" i="10"/>
  <c r="I29" i="10"/>
  <c r="AQ29" i="10"/>
  <c r="N29" i="10"/>
  <c r="AM29" i="10"/>
  <c r="AC29" i="10"/>
  <c r="S29" i="10"/>
  <c r="G29" i="10"/>
  <c r="Y29" i="10"/>
  <c r="AS29" i="10"/>
  <c r="K29" i="10"/>
  <c r="AL29" i="10"/>
  <c r="AB29" i="10"/>
  <c r="R29" i="10"/>
  <c r="F29" i="10"/>
  <c r="W29" i="10"/>
  <c r="AO21" i="10"/>
  <c r="AG21" i="10"/>
  <c r="Y21" i="10"/>
  <c r="Q21" i="10"/>
  <c r="I21" i="10"/>
  <c r="AM21" i="10"/>
  <c r="AE21" i="10"/>
  <c r="O21" i="10"/>
  <c r="AL21" i="10"/>
  <c r="AD21" i="10"/>
  <c r="N21" i="10"/>
  <c r="AK21" i="10"/>
  <c r="AC21" i="10"/>
  <c r="M21" i="10"/>
  <c r="AJ21" i="10"/>
  <c r="AB21" i="10"/>
  <c r="L21" i="10"/>
  <c r="AI21" i="10"/>
  <c r="AA21" i="10"/>
  <c r="K21" i="10"/>
  <c r="AH21" i="10"/>
  <c r="Z21" i="10"/>
  <c r="J21" i="10"/>
  <c r="AN21" i="10"/>
  <c r="AF21" i="10"/>
  <c r="X21" i="10"/>
  <c r="P21" i="10"/>
  <c r="H21" i="10"/>
  <c r="W21" i="10"/>
  <c r="G21" i="10"/>
  <c r="V21" i="10"/>
  <c r="F21" i="10"/>
  <c r="G3" i="10" s="1"/>
  <c r="AS21" i="10"/>
  <c r="U21" i="10"/>
  <c r="E21" i="10"/>
  <c r="AR21" i="10"/>
  <c r="T21" i="10"/>
  <c r="D21" i="10"/>
  <c r="AQ21" i="10"/>
  <c r="S21" i="10"/>
  <c r="C21" i="10"/>
  <c r="AP21" i="10"/>
  <c r="R21" i="10"/>
  <c r="B21" i="10"/>
  <c r="B2" i="8"/>
  <c r="H12" i="8" s="1"/>
  <c r="M3" i="7"/>
  <c r="O1" i="7"/>
  <c r="J3" i="7"/>
  <c r="L1" i="7"/>
  <c r="J30" i="1"/>
  <c r="AD8" i="1"/>
  <c r="AT8" i="1" s="1"/>
  <c r="BD8" i="1" s="1"/>
  <c r="AD7" i="1"/>
  <c r="AT7" i="1" s="1"/>
  <c r="BD7" i="1" s="1"/>
  <c r="AD6" i="1"/>
  <c r="AT6" i="1" s="1"/>
  <c r="BD6" i="1" s="1"/>
  <c r="AD5" i="1"/>
  <c r="AT5" i="1" s="1"/>
  <c r="BD5" i="1" s="1"/>
  <c r="BD9" i="1"/>
  <c r="U21" i="1"/>
  <c r="S21" i="1"/>
  <c r="T21" i="1"/>
  <c r="B2" i="3"/>
  <c r="K30" i="1"/>
  <c r="I30" i="1"/>
  <c r="M30" i="1"/>
  <c r="L30" i="1"/>
  <c r="L3" i="2"/>
  <c r="N3" i="2"/>
  <c r="H3" i="2"/>
  <c r="P3" i="2"/>
  <c r="Q3" i="2"/>
  <c r="M3" i="2"/>
  <c r="O3" i="2"/>
  <c r="J3" i="2"/>
  <c r="K3" i="2"/>
  <c r="S3" i="2"/>
  <c r="R3" i="2"/>
  <c r="B10" i="11" l="1"/>
  <c r="B11" i="11"/>
  <c r="E7" i="11"/>
  <c r="B8" i="11"/>
  <c r="B7" i="11"/>
  <c r="E8" i="11"/>
  <c r="B9" i="11"/>
  <c r="E9" i="11"/>
  <c r="E10" i="11"/>
  <c r="D8" i="11"/>
  <c r="D9" i="11"/>
  <c r="D10" i="11"/>
  <c r="E11" i="11"/>
  <c r="I12" i="10"/>
  <c r="I2" i="10"/>
  <c r="K3" i="10"/>
  <c r="H10" i="10"/>
  <c r="G5" i="10"/>
  <c r="G6" i="10"/>
  <c r="G12" i="10"/>
  <c r="J6" i="10"/>
  <c r="G8" i="10"/>
  <c r="J3" i="10"/>
  <c r="I11" i="10"/>
  <c r="K2" i="10"/>
  <c r="H11" i="10"/>
  <c r="K9" i="10"/>
  <c r="H6" i="10"/>
  <c r="K5" i="10"/>
  <c r="J9" i="10"/>
  <c r="K7" i="10"/>
  <c r="G11" i="10"/>
  <c r="G10" i="10"/>
  <c r="H3" i="10"/>
  <c r="H12" i="10"/>
  <c r="H2" i="10"/>
  <c r="H9" i="10"/>
  <c r="J7" i="10"/>
  <c r="J8" i="10"/>
  <c r="J10" i="10"/>
  <c r="G9" i="10"/>
  <c r="K8" i="10"/>
  <c r="I6" i="10"/>
  <c r="G4" i="10"/>
  <c r="I4" i="10"/>
  <c r="J4" i="10"/>
  <c r="K4" i="10"/>
  <c r="J5" i="10"/>
  <c r="H5" i="10"/>
  <c r="I9" i="10"/>
  <c r="I3" i="10"/>
  <c r="I10" i="10"/>
  <c r="J2" i="10"/>
  <c r="J12" i="10"/>
  <c r="K6" i="10"/>
  <c r="H7" i="10"/>
  <c r="I7" i="10"/>
  <c r="H8" i="10"/>
  <c r="I5" i="10"/>
  <c r="J11" i="10"/>
  <c r="K11" i="10"/>
  <c r="G7" i="10"/>
  <c r="H4" i="10"/>
  <c r="I8" i="10"/>
  <c r="K10" i="10"/>
  <c r="K12" i="10"/>
  <c r="G2" i="10"/>
  <c r="X20" i="8"/>
  <c r="X21" i="8" s="1"/>
  <c r="AA20" i="8"/>
  <c r="AA21" i="8" s="1"/>
  <c r="V20" i="8"/>
  <c r="V21" i="8" s="1"/>
  <c r="H20" i="8"/>
  <c r="H21" i="8" s="1"/>
  <c r="U20" i="8"/>
  <c r="U21" i="8" s="1"/>
  <c r="D20" i="8"/>
  <c r="D21" i="8" s="1"/>
  <c r="X12" i="8"/>
  <c r="X13" i="8" s="1"/>
  <c r="T20" i="8"/>
  <c r="T21" i="8" s="1"/>
  <c r="C20" i="8"/>
  <c r="C21" i="8" s="1"/>
  <c r="V12" i="8"/>
  <c r="V13" i="8" s="1"/>
  <c r="H13" i="8"/>
  <c r="AE20" i="8"/>
  <c r="AE21" i="8" s="1"/>
  <c r="P12" i="8"/>
  <c r="P13" i="8" s="1"/>
  <c r="Z12" i="8"/>
  <c r="Z13" i="8" s="1"/>
  <c r="Q20" i="8"/>
  <c r="Q21" i="8" s="1"/>
  <c r="B20" i="8"/>
  <c r="B21" i="8" s="1"/>
  <c r="U12" i="8"/>
  <c r="U13" i="8" s="1"/>
  <c r="F12" i="8"/>
  <c r="F13" i="8" s="1"/>
  <c r="AE12" i="8"/>
  <c r="AE13" i="8" s="1"/>
  <c r="B12" i="8"/>
  <c r="B13" i="8" s="1"/>
  <c r="L12" i="8"/>
  <c r="L13" i="8" s="1"/>
  <c r="AF20" i="8"/>
  <c r="AF21" i="8" s="1"/>
  <c r="N20" i="8"/>
  <c r="N21" i="8" s="1"/>
  <c r="AF12" i="8"/>
  <c r="AF13" i="8" s="1"/>
  <c r="Q12" i="8"/>
  <c r="Q13" i="8" s="1"/>
  <c r="E12" i="8"/>
  <c r="E13" i="8" s="1"/>
  <c r="L20" i="8"/>
  <c r="L21" i="8" s="1"/>
  <c r="D12" i="8"/>
  <c r="D13" i="8" s="1"/>
  <c r="N12" i="8"/>
  <c r="N13" i="8" s="1"/>
  <c r="K12" i="8"/>
  <c r="K13" i="8" s="1"/>
  <c r="AD20" i="8"/>
  <c r="AD21" i="8" s="1"/>
  <c r="K20" i="8"/>
  <c r="K21" i="8" s="1"/>
  <c r="AA12" i="8"/>
  <c r="AA13" i="8" s="1"/>
  <c r="O12" i="8"/>
  <c r="O13" i="8" s="1"/>
  <c r="C12" i="8"/>
  <c r="C13" i="8" s="1"/>
  <c r="J20" i="8"/>
  <c r="J21" i="8" s="1"/>
  <c r="Y12" i="8"/>
  <c r="Y13" i="8" s="1"/>
  <c r="Y20" i="8"/>
  <c r="Y21" i="8" s="1"/>
  <c r="J12" i="8"/>
  <c r="J13" i="8" s="1"/>
  <c r="AC20" i="8"/>
  <c r="AC21" i="8" s="1"/>
  <c r="T12" i="8"/>
  <c r="T13" i="8" s="1"/>
  <c r="I12" i="8"/>
  <c r="I13" i="8" s="1"/>
  <c r="AD12" i="8"/>
  <c r="AD13" i="8" s="1"/>
  <c r="S12" i="8"/>
  <c r="S13" i="8" s="1"/>
  <c r="F20" i="8"/>
  <c r="F21" i="8" s="1"/>
  <c r="O20" i="8"/>
  <c r="O21" i="8" s="1"/>
  <c r="AC12" i="8"/>
  <c r="AC13" i="8" s="1"/>
  <c r="P20" i="8"/>
  <c r="P21" i="8" s="1"/>
  <c r="E20" i="8"/>
  <c r="E21" i="8" s="1"/>
  <c r="Z20" i="8"/>
  <c r="Z21" i="8" s="1"/>
  <c r="I20" i="8"/>
  <c r="I21" i="8" s="1"/>
  <c r="S20" i="8"/>
  <c r="S21" i="8" s="1"/>
  <c r="O3" i="7"/>
  <c r="Q1" i="7"/>
  <c r="L3" i="7"/>
  <c r="N1" i="7"/>
  <c r="V21" i="1"/>
  <c r="Q20" i="3"/>
  <c r="Q21" i="3" s="1"/>
  <c r="Y12" i="3"/>
  <c r="Y13" i="3" s="1"/>
  <c r="Z20" i="3"/>
  <c r="Z21" i="3" s="1"/>
  <c r="AF20" i="3"/>
  <c r="AF21" i="3" s="1"/>
  <c r="Y20" i="3"/>
  <c r="Y21" i="3" s="1"/>
  <c r="L20" i="3"/>
  <c r="L21" i="3" s="1"/>
  <c r="K12" i="3"/>
  <c r="K13" i="3" s="1"/>
  <c r="H20" i="3"/>
  <c r="H21" i="3" s="1"/>
  <c r="K20" i="3"/>
  <c r="K21" i="3" s="1"/>
  <c r="P20" i="3"/>
  <c r="P21" i="3" s="1"/>
  <c r="O20" i="3"/>
  <c r="O21" i="3" s="1"/>
  <c r="C20" i="3"/>
  <c r="C21" i="3" s="1"/>
  <c r="AD12" i="3"/>
  <c r="AD13" i="3" s="1"/>
  <c r="D12" i="3"/>
  <c r="D13" i="3" s="1"/>
  <c r="F20" i="3"/>
  <c r="F21" i="3" s="1"/>
  <c r="E12" i="3"/>
  <c r="E13" i="3" s="1"/>
  <c r="E20" i="3"/>
  <c r="E21" i="3" s="1"/>
  <c r="B20" i="3"/>
  <c r="B21" i="3" s="1"/>
  <c r="U20" i="3"/>
  <c r="U21" i="3" s="1"/>
  <c r="N20" i="3"/>
  <c r="N21" i="3" s="1"/>
  <c r="S20" i="3"/>
  <c r="S21" i="3" s="1"/>
  <c r="I12" i="3"/>
  <c r="I13" i="3" s="1"/>
  <c r="H12" i="3"/>
  <c r="H13" i="3" s="1"/>
  <c r="AF12" i="3"/>
  <c r="AF13" i="3" s="1"/>
  <c r="F12" i="3"/>
  <c r="F13" i="3" s="1"/>
  <c r="O12" i="3"/>
  <c r="O13" i="3" s="1"/>
  <c r="T12" i="3"/>
  <c r="T13" i="3" s="1"/>
  <c r="AD20" i="3"/>
  <c r="AD21" i="3" s="1"/>
  <c r="AC12" i="3"/>
  <c r="AC13" i="3" s="1"/>
  <c r="X12" i="3"/>
  <c r="X13" i="3" s="1"/>
  <c r="AA12" i="3"/>
  <c r="AA13" i="3" s="1"/>
  <c r="N12" i="3"/>
  <c r="N13" i="3" s="1"/>
  <c r="Z12" i="3"/>
  <c r="Z13" i="3" s="1"/>
  <c r="J12" i="3"/>
  <c r="J13" i="3" s="1"/>
  <c r="L12" i="3"/>
  <c r="L13" i="3" s="1"/>
  <c r="S12" i="3"/>
  <c r="S13" i="3" s="1"/>
  <c r="J20" i="3"/>
  <c r="J21" i="3" s="1"/>
  <c r="Q12" i="3"/>
  <c r="Q13" i="3" s="1"/>
  <c r="T20" i="3"/>
  <c r="T21" i="3" s="1"/>
  <c r="B12" i="3"/>
  <c r="B13" i="3" s="1"/>
  <c r="I20" i="3"/>
  <c r="I21" i="3" s="1"/>
  <c r="V12" i="3"/>
  <c r="V13" i="3" s="1"/>
  <c r="P12" i="3"/>
  <c r="P13" i="3" s="1"/>
  <c r="AE12" i="3"/>
  <c r="AE13" i="3" s="1"/>
  <c r="X20" i="3"/>
  <c r="X21" i="3" s="1"/>
  <c r="AC20" i="3"/>
  <c r="AC21" i="3" s="1"/>
  <c r="D20" i="3"/>
  <c r="D21" i="3" s="1"/>
  <c r="C12" i="3"/>
  <c r="C13" i="3" s="1"/>
  <c r="AA20" i="3"/>
  <c r="AA21" i="3" s="1"/>
  <c r="V20" i="3"/>
  <c r="V21" i="3" s="1"/>
  <c r="U12" i="3"/>
  <c r="U13" i="3" s="1"/>
  <c r="AE20" i="3"/>
  <c r="AE21" i="3" s="1"/>
  <c r="U1" i="2"/>
  <c r="W1" i="2" s="1"/>
  <c r="T1" i="2"/>
  <c r="V1" i="2" s="1"/>
  <c r="X1" i="2" s="1"/>
  <c r="U3" i="2"/>
  <c r="D11" i="11" l="1"/>
  <c r="L5" i="10"/>
  <c r="L8" i="10"/>
  <c r="P8" i="10" s="1"/>
  <c r="L3" i="10"/>
  <c r="L12" i="10"/>
  <c r="L9" i="10"/>
  <c r="P9" i="10" s="1"/>
  <c r="L10" i="10"/>
  <c r="R10" i="10" s="1"/>
  <c r="S10" i="10" s="1"/>
  <c r="L11" i="10"/>
  <c r="O11" i="10" s="1"/>
  <c r="L2" i="10"/>
  <c r="P2" i="10" s="1"/>
  <c r="L7" i="10"/>
  <c r="P7" i="10" s="1"/>
  <c r="L6" i="10"/>
  <c r="L4" i="10"/>
  <c r="M13" i="8"/>
  <c r="AB13" i="8"/>
  <c r="AB21" i="8"/>
  <c r="W21" i="8"/>
  <c r="M21" i="8"/>
  <c r="G13" i="8"/>
  <c r="AG21" i="8"/>
  <c r="AG13" i="8"/>
  <c r="R21" i="8"/>
  <c r="R13" i="8"/>
  <c r="G21" i="8"/>
  <c r="W13" i="8"/>
  <c r="Q3" i="7"/>
  <c r="S1" i="7"/>
  <c r="P1" i="7"/>
  <c r="N3" i="7"/>
  <c r="AB13" i="3"/>
  <c r="W13" i="3"/>
  <c r="R21" i="3"/>
  <c r="G13" i="3"/>
  <c r="R13" i="3"/>
  <c r="M21" i="3"/>
  <c r="G21" i="3"/>
  <c r="M13" i="3"/>
  <c r="AG21" i="3"/>
  <c r="AB21" i="3"/>
  <c r="AG13" i="3"/>
  <c r="W21" i="3"/>
  <c r="T3" i="2"/>
  <c r="V3" i="2"/>
  <c r="Z1" i="2"/>
  <c r="X3" i="2"/>
  <c r="Y1" i="2"/>
  <c r="W3" i="2"/>
  <c r="P4" i="10" l="1"/>
  <c r="F12" i="4"/>
  <c r="P3" i="10"/>
  <c r="F11" i="4"/>
  <c r="N6" i="10"/>
  <c r="F14" i="4"/>
  <c r="P5" i="10"/>
  <c r="F13" i="4"/>
  <c r="O3" i="10"/>
  <c r="N3" i="10"/>
  <c r="R3" i="10"/>
  <c r="S3" i="10" s="1"/>
  <c r="R7" i="10"/>
  <c r="S7" i="10" s="1"/>
  <c r="N4" i="10"/>
  <c r="N2" i="10"/>
  <c r="R9" i="10"/>
  <c r="S9" i="10" s="1"/>
  <c r="O5" i="10"/>
  <c r="N9" i="10"/>
  <c r="R8" i="10"/>
  <c r="S8" i="10" s="1"/>
  <c r="N8" i="10"/>
  <c r="O8" i="10"/>
  <c r="R5" i="10"/>
  <c r="S5" i="10" s="1"/>
  <c r="N5" i="10"/>
  <c r="P12" i="10"/>
  <c r="B5" i="10"/>
  <c r="N11" i="10"/>
  <c r="R4" i="10"/>
  <c r="S4" i="10" s="1"/>
  <c r="N7" i="10"/>
  <c r="R2" i="10"/>
  <c r="S2" i="10" s="1"/>
  <c r="P6" i="10"/>
  <c r="O2" i="10"/>
  <c r="R6" i="10"/>
  <c r="S6" i="10" s="1"/>
  <c r="O6" i="10"/>
  <c r="O9" i="10"/>
  <c r="R12" i="10"/>
  <c r="S12" i="10" s="1"/>
  <c r="N12" i="10"/>
  <c r="P10" i="10"/>
  <c r="P11" i="10"/>
  <c r="O10" i="10"/>
  <c r="O4" i="10"/>
  <c r="O7" i="10"/>
  <c r="N10" i="10"/>
  <c r="R11" i="10"/>
  <c r="S11" i="10" s="1"/>
  <c r="O12" i="10"/>
  <c r="G3" i="8"/>
  <c r="G1" i="8"/>
  <c r="G2" i="8"/>
  <c r="G6" i="8"/>
  <c r="G5" i="8"/>
  <c r="G4" i="8"/>
  <c r="U1" i="7"/>
  <c r="S3" i="7"/>
  <c r="P3" i="7"/>
  <c r="R1" i="7"/>
  <c r="G3" i="3"/>
  <c r="G1" i="3"/>
  <c r="G5" i="3"/>
  <c r="G2" i="3"/>
  <c r="G4" i="3"/>
  <c r="G6" i="3"/>
  <c r="AB1" i="2"/>
  <c r="Z3" i="2"/>
  <c r="AA1" i="2"/>
  <c r="Y3" i="2"/>
  <c r="B5" i="3" l="1"/>
  <c r="C17" i="4"/>
  <c r="B5" i="8"/>
  <c r="U3" i="7"/>
  <c r="W1" i="7"/>
  <c r="R3" i="7"/>
  <c r="T1" i="7"/>
  <c r="AD1" i="2"/>
  <c r="AB3" i="2"/>
  <c r="AC1" i="2"/>
  <c r="AA3" i="2"/>
  <c r="C7" i="11" l="1"/>
  <c r="C8" i="11"/>
  <c r="W3" i="7"/>
  <c r="Y1" i="7"/>
  <c r="T3" i="7"/>
  <c r="V1" i="7"/>
  <c r="AF1" i="2"/>
  <c r="AF3" i="2" s="1"/>
  <c r="AD3" i="2"/>
  <c r="AE1" i="2"/>
  <c r="AC3" i="2"/>
  <c r="C13" i="4" l="1"/>
  <c r="C9" i="4"/>
  <c r="C19" i="4" s="1"/>
  <c r="Y3" i="7"/>
  <c r="AA1" i="7"/>
  <c r="X1" i="7"/>
  <c r="V3" i="7"/>
  <c r="AG1" i="2"/>
  <c r="AG3" i="2" s="1"/>
  <c r="AE3" i="2"/>
  <c r="C18" i="4" l="1"/>
  <c r="B10" i="4"/>
  <c r="C14" i="4"/>
  <c r="C15" i="4"/>
  <c r="X3" i="7"/>
  <c r="Z1" i="7"/>
  <c r="AC1" i="7"/>
  <c r="AA3" i="7"/>
  <c r="AC3" i="7" l="1"/>
  <c r="AE1" i="7"/>
  <c r="Z3" i="7"/>
  <c r="AB1" i="7"/>
  <c r="AB3" i="7" l="1"/>
  <c r="AD1" i="7"/>
  <c r="AE3" i="7"/>
  <c r="AG1" i="7"/>
  <c r="AG3" i="7" s="1"/>
  <c r="AF1" i="7" l="1"/>
  <c r="AF3" i="7" s="1"/>
  <c r="AD3" i="7"/>
</calcChain>
</file>

<file path=xl/sharedStrings.xml><?xml version="1.0" encoding="utf-8"?>
<sst xmlns="http://schemas.openxmlformats.org/spreadsheetml/2006/main" count="2000" uniqueCount="571">
  <si>
    <t>ADAMANTINA</t>
  </si>
  <si>
    <t>RB</t>
  </si>
  <si>
    <t>ADOLFO</t>
  </si>
  <si>
    <t>RT</t>
  </si>
  <si>
    <t>AGUAI</t>
  </si>
  <si>
    <t>RG</t>
  </si>
  <si>
    <t>AGUAS DA PRATA</t>
  </si>
  <si>
    <t>AGUAS DE SANTA BARBARA</t>
  </si>
  <si>
    <t>RA</t>
  </si>
  <si>
    <t>AGUAS DE SAO PEDRO</t>
  </si>
  <si>
    <t>RM</t>
  </si>
  <si>
    <t>AGUDOS</t>
  </si>
  <si>
    <t>ALAMBARI</t>
  </si>
  <si>
    <t>ALFREDO MARCONDES</t>
  </si>
  <si>
    <t>ALTAIR</t>
  </si>
  <si>
    <t>ALTO ALEGRE</t>
  </si>
  <si>
    <t>ALUMINIO</t>
  </si>
  <si>
    <t>ALVARES MACHADO</t>
  </si>
  <si>
    <t>ALVARO DE CARVALHO</t>
  </si>
  <si>
    <t>ALVINLANDIA</t>
  </si>
  <si>
    <t>ANGATUBA</t>
  </si>
  <si>
    <t>ANHEMBI</t>
  </si>
  <si>
    <t>ANHUMAS</t>
  </si>
  <si>
    <t>APARECIDA DOESTE</t>
  </si>
  <si>
    <t>APIAI</t>
  </si>
  <si>
    <t>RR</t>
  </si>
  <si>
    <t>ARACARIGUAMA</t>
  </si>
  <si>
    <t>ARANDU</t>
  </si>
  <si>
    <t>ARAPEI</t>
  </si>
  <si>
    <t>RV</t>
  </si>
  <si>
    <t>ARCO IRIS</t>
  </si>
  <si>
    <t>AREALVA</t>
  </si>
  <si>
    <t>AREIOPOLIS</t>
  </si>
  <si>
    <t>ARUJA</t>
  </si>
  <si>
    <t>ML</t>
  </si>
  <si>
    <t>ASPASIA</t>
  </si>
  <si>
    <t>ASSIS</t>
  </si>
  <si>
    <t>AURIFLAMA</t>
  </si>
  <si>
    <t>AVAI</t>
  </si>
  <si>
    <t>AVARE</t>
  </si>
  <si>
    <t>BALBINOS</t>
  </si>
  <si>
    <t>BANANAL</t>
  </si>
  <si>
    <t>BARAO DE ANTONINA</t>
  </si>
  <si>
    <t>BARRA DO CHAPEU</t>
  </si>
  <si>
    <t>BARRA DO TURVO</t>
  </si>
  <si>
    <t>BARUERI</t>
  </si>
  <si>
    <t>MO</t>
  </si>
  <si>
    <t>BASTOS</t>
  </si>
  <si>
    <t>BENTO DE ABREU</t>
  </si>
  <si>
    <t>BERNARDINO DE CAMPOS</t>
  </si>
  <si>
    <t>BERTIOGA</t>
  </si>
  <si>
    <t>RS</t>
  </si>
  <si>
    <t>BIRITIBA MIRIM</t>
  </si>
  <si>
    <t>BOCAINA</t>
  </si>
  <si>
    <t>BOFETE</t>
  </si>
  <si>
    <t>BOITUVA</t>
  </si>
  <si>
    <t>BOM SUCESSO DE ITARARE</t>
  </si>
  <si>
    <t>BORA</t>
  </si>
  <si>
    <t>BORACEIA</t>
  </si>
  <si>
    <t>BOTUCATU</t>
  </si>
  <si>
    <t>BRAGANCA PAULISTA</t>
  </si>
  <si>
    <t>MN</t>
  </si>
  <si>
    <t>BREJO ALEGRE</t>
  </si>
  <si>
    <t>BURI</t>
  </si>
  <si>
    <t>BURITIZAL</t>
  </si>
  <si>
    <t>CABREUVA</t>
  </si>
  <si>
    <t>RJ</t>
  </si>
  <si>
    <t>CACAPAVA</t>
  </si>
  <si>
    <t>CACHOEIRA PAULISTA</t>
  </si>
  <si>
    <t>CAIABU</t>
  </si>
  <si>
    <t>CAIEIRAS</t>
  </si>
  <si>
    <t>CAJAMAR</t>
  </si>
  <si>
    <t>CAJATI</t>
  </si>
  <si>
    <t>CAJURU</t>
  </si>
  <si>
    <t>CAMPINA DO MONTE ALEGRE</t>
  </si>
  <si>
    <t>CAMPO LIMPO PAULISTA</t>
  </si>
  <si>
    <t>CAMPOS DO JORDAO</t>
  </si>
  <si>
    <t>CANANEIA</t>
  </si>
  <si>
    <t>CANAS</t>
  </si>
  <si>
    <t>CANDIDO RODRIGUES</t>
  </si>
  <si>
    <t>CAPAO BONITO</t>
  </si>
  <si>
    <t>CAPELA DO ALTO</t>
  </si>
  <si>
    <t>CARAGUATATUBA</t>
  </si>
  <si>
    <t>RN</t>
  </si>
  <si>
    <t>CARAPICUIBA</t>
  </si>
  <si>
    <t>CARDOSO</t>
  </si>
  <si>
    <t>CASSIA DOS COQUEIROS</t>
  </si>
  <si>
    <t>CATIGUA</t>
  </si>
  <si>
    <t>CESARIO LANGE</t>
  </si>
  <si>
    <t>CHARQUEADA</t>
  </si>
  <si>
    <t>COLOMBIA</t>
  </si>
  <si>
    <t>CONCHAS</t>
  </si>
  <si>
    <t>COROADOS</t>
  </si>
  <si>
    <t>CORONEL MACEDO</t>
  </si>
  <si>
    <t>COTIA</t>
  </si>
  <si>
    <t>CRUZALIA</t>
  </si>
  <si>
    <t>CUBATAO</t>
  </si>
  <si>
    <t>DIADEMA</t>
  </si>
  <si>
    <t>MS</t>
  </si>
  <si>
    <t>DIRCE REIS</t>
  </si>
  <si>
    <t>DIVINOLANDIA</t>
  </si>
  <si>
    <t>DOLCINOPOLIS</t>
  </si>
  <si>
    <t>DOURADO</t>
  </si>
  <si>
    <t>DUARTINA</t>
  </si>
  <si>
    <t>ECHAPORA</t>
  </si>
  <si>
    <t>ELDORADO</t>
  </si>
  <si>
    <t>ELIAS FAUSTO</t>
  </si>
  <si>
    <t>EMBU</t>
  </si>
  <si>
    <t>EMBU GUACU</t>
  </si>
  <si>
    <t>EMILIANOPOLIS</t>
  </si>
  <si>
    <t>ESPIRITO SANTO DO PINHAL</t>
  </si>
  <si>
    <t>ESPIRITO SANTO DO TURVO</t>
  </si>
  <si>
    <t>ESTRELA DO NORTE</t>
  </si>
  <si>
    <t>ESTRELA DOESTE</t>
  </si>
  <si>
    <t>EUCLIDES DA CUNHA PAULISTA</t>
  </si>
  <si>
    <t>FARTURA</t>
  </si>
  <si>
    <t>FERNANDO PRESTES</t>
  </si>
  <si>
    <t>FERNANDOPOLIS</t>
  </si>
  <si>
    <t>FERNAO</t>
  </si>
  <si>
    <t>FERRAZ DE VASCONCELOS</t>
  </si>
  <si>
    <t>FLORA RICA</t>
  </si>
  <si>
    <t>FLOREAL</t>
  </si>
  <si>
    <t>FLORIDA PAULISTA</t>
  </si>
  <si>
    <t>FLORINIA</t>
  </si>
  <si>
    <t>FRANCA</t>
  </si>
  <si>
    <t>FRANCISCO MORATO</t>
  </si>
  <si>
    <t>FRANCO DA ROCHA</t>
  </si>
  <si>
    <t>GABRIEL MONTEIRO</t>
  </si>
  <si>
    <t>GALIA</t>
  </si>
  <si>
    <t>GASTAO VIDIGAL</t>
  </si>
  <si>
    <t>GENERAL SALGADO</t>
  </si>
  <si>
    <t>GLICERIO</t>
  </si>
  <si>
    <t>GUAPIARA</t>
  </si>
  <si>
    <t>GUARANI DOESTE</t>
  </si>
  <si>
    <t>GUARAREMA</t>
  </si>
  <si>
    <t>GUAREI</t>
  </si>
  <si>
    <t>GUARIBA</t>
  </si>
  <si>
    <t>GUARUJA</t>
  </si>
  <si>
    <t>GUARULHOS</t>
  </si>
  <si>
    <t>GUZOLANDIA</t>
  </si>
  <si>
    <t>HORTOLANDIA</t>
  </si>
  <si>
    <t>IACRI</t>
  </si>
  <si>
    <t>IARAS</t>
  </si>
  <si>
    <t>IBIRA</t>
  </si>
  <si>
    <t>IBIUNA</t>
  </si>
  <si>
    <t>ICEM</t>
  </si>
  <si>
    <t>IGARAPAVA</t>
  </si>
  <si>
    <t>IGARATA</t>
  </si>
  <si>
    <t>IGUAPE</t>
  </si>
  <si>
    <t>ILHA COMPRIDA</t>
  </si>
  <si>
    <t>ILHABELA</t>
  </si>
  <si>
    <t>INDIAPORA</t>
  </si>
  <si>
    <t>INUBIA PAULISTA</t>
  </si>
  <si>
    <t>IPERO</t>
  </si>
  <si>
    <t>IPORANGA</t>
  </si>
  <si>
    <t>IRAPUA</t>
  </si>
  <si>
    <t>ITABERA</t>
  </si>
  <si>
    <t>ITAI</t>
  </si>
  <si>
    <t>ITANHAEM</t>
  </si>
  <si>
    <t>ITAOCA</t>
  </si>
  <si>
    <t>ITAPECERICA DA SERRA</t>
  </si>
  <si>
    <t>ITAPETININGA</t>
  </si>
  <si>
    <t>ITAPEVA</t>
  </si>
  <si>
    <t>ITAPEVI</t>
  </si>
  <si>
    <t>ITAPIRAPUA PAULISTA</t>
  </si>
  <si>
    <t>ITAPORANGA</t>
  </si>
  <si>
    <t>ITAQUAQUECETUBA</t>
  </si>
  <si>
    <t>ITARARE</t>
  </si>
  <si>
    <t>ITARIRI</t>
  </si>
  <si>
    <t>ITATIBA</t>
  </si>
  <si>
    <t>ITATINGA</t>
  </si>
  <si>
    <t>ITIRAPUA</t>
  </si>
  <si>
    <t>ITOBI</t>
  </si>
  <si>
    <t>ITUPEVA</t>
  </si>
  <si>
    <t>JABORANDI</t>
  </si>
  <si>
    <t>JACUPIRANGA</t>
  </si>
  <si>
    <t>JALES</t>
  </si>
  <si>
    <t>JAMBEIRO</t>
  </si>
  <si>
    <t>JANDIRA</t>
  </si>
  <si>
    <t>JARINU</t>
  </si>
  <si>
    <t>JERIQUARA</t>
  </si>
  <si>
    <t>JOANOPOLIS</t>
  </si>
  <si>
    <t>JUQUIA</t>
  </si>
  <si>
    <t>JUQUITIBA</t>
  </si>
  <si>
    <t>LAGOINHA</t>
  </si>
  <si>
    <t>LARANJAL PAULISTA</t>
  </si>
  <si>
    <t>LAVRINHAS</t>
  </si>
  <si>
    <t>LINS</t>
  </si>
  <si>
    <t>LORENA</t>
  </si>
  <si>
    <t>LOURDES</t>
  </si>
  <si>
    <t>LUCELIA</t>
  </si>
  <si>
    <t>LUCIANOPOLIS</t>
  </si>
  <si>
    <t>LUIZIANIA</t>
  </si>
  <si>
    <t>LUPERCIO</t>
  </si>
  <si>
    <t>LUTECIA</t>
  </si>
  <si>
    <t>MACEDONIA</t>
  </si>
  <si>
    <t>MAGDA</t>
  </si>
  <si>
    <t>MAIRIPORA</t>
  </si>
  <si>
    <t>MARABA PAULISTA</t>
  </si>
  <si>
    <t>MARACAI</t>
  </si>
  <si>
    <t>MARIAPOLIS</t>
  </si>
  <si>
    <t>MARINOPOLIS</t>
  </si>
  <si>
    <t>MERIDIANO</t>
  </si>
  <si>
    <t>MESOPOLIS</t>
  </si>
  <si>
    <t>MIGUELOPOLIS</t>
  </si>
  <si>
    <t>MIRA ESTRELA</t>
  </si>
  <si>
    <t>MIRACATU</t>
  </si>
  <si>
    <t>MIRANTE DO PARANAPANEMA</t>
  </si>
  <si>
    <t>MOCOCA</t>
  </si>
  <si>
    <t>MOGI DAS CRUZES</t>
  </si>
  <si>
    <t>MOMBUCA</t>
  </si>
  <si>
    <t>MONCOES</t>
  </si>
  <si>
    <t>MONGAGUA</t>
  </si>
  <si>
    <t>MONTE ALTO</t>
  </si>
  <si>
    <t>MONTE APRAZIVEL</t>
  </si>
  <si>
    <t>MONTE MOR</t>
  </si>
  <si>
    <t>MONTEIRO LOBATO</t>
  </si>
  <si>
    <t>MORUNGABA</t>
  </si>
  <si>
    <t>NARANDIBA</t>
  </si>
  <si>
    <t>NAZARE PAULISTA</t>
  </si>
  <si>
    <t>NHANDEARA</t>
  </si>
  <si>
    <t>NIPOA</t>
  </si>
  <si>
    <t>NOVA CAMPINA</t>
  </si>
  <si>
    <t>NOVA CANAA PAULISTA</t>
  </si>
  <si>
    <t>NOVA GRANADA</t>
  </si>
  <si>
    <t>NOVA GUATAPORANGA</t>
  </si>
  <si>
    <t>NOVA LUZITANIA</t>
  </si>
  <si>
    <t>NOVO HORIZONTE</t>
  </si>
  <si>
    <t>OLEO</t>
  </si>
  <si>
    <t>ONDA VERDE</t>
  </si>
  <si>
    <t>ORIENTE</t>
  </si>
  <si>
    <t>ORINDIUVA</t>
  </si>
  <si>
    <t>OSASCO</t>
  </si>
  <si>
    <t>OSCAR BRESSANE</t>
  </si>
  <si>
    <t>OSVALDO CRUZ</t>
  </si>
  <si>
    <t>OUROESTE</t>
  </si>
  <si>
    <t>PALMARES PAULISTA</t>
  </si>
  <si>
    <t>PALMEIRA DOESTE</t>
  </si>
  <si>
    <t>PARAGUACU PAULISTA</t>
  </si>
  <si>
    <t>PARANAPANEMA</t>
  </si>
  <si>
    <t>PARANAPUA</t>
  </si>
  <si>
    <t>PARAPUA</t>
  </si>
  <si>
    <t>PARDINHO</t>
  </si>
  <si>
    <t>PARIQUERA ACU</t>
  </si>
  <si>
    <t>PAULINIA</t>
  </si>
  <si>
    <t>PAULISTANIA</t>
  </si>
  <si>
    <t>PAULO DE FARIA</t>
  </si>
  <si>
    <t>PEDERNEIRAS</t>
  </si>
  <si>
    <t>PEDRA BELA</t>
  </si>
  <si>
    <t>PEDRANOPOLIS</t>
  </si>
  <si>
    <t>PEDREGULHO</t>
  </si>
  <si>
    <t>PEDRINHAS PAULISTA</t>
  </si>
  <si>
    <t>PEDRO DE TOLEDO</t>
  </si>
  <si>
    <t>PEREIRAS</t>
  </si>
  <si>
    <t>PERUIBE</t>
  </si>
  <si>
    <t>PIACATU</t>
  </si>
  <si>
    <t>PIEDADE</t>
  </si>
  <si>
    <t>PILAR DO SUL</t>
  </si>
  <si>
    <t>PINDAMONHANGABA</t>
  </si>
  <si>
    <t>PINHALZINHO</t>
  </si>
  <si>
    <t>PIQUEROBI</t>
  </si>
  <si>
    <t>PIRACAIA</t>
  </si>
  <si>
    <t>PIRAJU</t>
  </si>
  <si>
    <t>PIRAPORA DO BOM JESUS</t>
  </si>
  <si>
    <t>PIRAPOZINHO</t>
  </si>
  <si>
    <t>PIRATININGA</t>
  </si>
  <si>
    <t>PLANALTO</t>
  </si>
  <si>
    <t>PLATINA</t>
  </si>
  <si>
    <t>POA</t>
  </si>
  <si>
    <t>POLONI</t>
  </si>
  <si>
    <t>PONGAI</t>
  </si>
  <si>
    <t>PONTALINDA</t>
  </si>
  <si>
    <t>PONTES GESTAL</t>
  </si>
  <si>
    <t>POPULINA</t>
  </si>
  <si>
    <t>PORANGABA</t>
  </si>
  <si>
    <t>PRACINHA</t>
  </si>
  <si>
    <t>PRAIA GRANDE</t>
  </si>
  <si>
    <t>PRATANIA</t>
  </si>
  <si>
    <t>PRESIDENTE ALVES</t>
  </si>
  <si>
    <t>PRESIDENTE BERNARDES</t>
  </si>
  <si>
    <t>PRESIDENTE EPITACIO</t>
  </si>
  <si>
    <t>PRESIDENTE PRUDENTE</t>
  </si>
  <si>
    <t>QUADRA</t>
  </si>
  <si>
    <t>QUATA</t>
  </si>
  <si>
    <t>QUEIROZ</t>
  </si>
  <si>
    <t>QUELUZ</t>
  </si>
  <si>
    <t>QUINTANA</t>
  </si>
  <si>
    <t>REDENCAO DA SERRA</t>
  </si>
  <si>
    <t>REGENTE FEIJO</t>
  </si>
  <si>
    <t>REGISTRO</t>
  </si>
  <si>
    <t>RESTINGA</t>
  </si>
  <si>
    <t>RIBEIRA</t>
  </si>
  <si>
    <t>RIBEIRAO BRANCO</t>
  </si>
  <si>
    <t>RIBEIRAO CORRENTE</t>
  </si>
  <si>
    <t>RIBEIRAO DO SUL</t>
  </si>
  <si>
    <t>RIBEIRAO DOS INDIOS</t>
  </si>
  <si>
    <t>RIBEIRAO GRANDE</t>
  </si>
  <si>
    <t>RIBEIRAO PIRES</t>
  </si>
  <si>
    <t>RIFAINA</t>
  </si>
  <si>
    <t>RIO GRANDE DA SERRA</t>
  </si>
  <si>
    <t>RIOLANDIA</t>
  </si>
  <si>
    <t>RIVERSUL</t>
  </si>
  <si>
    <t>ROSANA</t>
  </si>
  <si>
    <t>ROSEIRA</t>
  </si>
  <si>
    <t>RUBIACEA</t>
  </si>
  <si>
    <t>RUBINEIA</t>
  </si>
  <si>
    <t>SAGRES</t>
  </si>
  <si>
    <t>SALESOPOLIS</t>
  </si>
  <si>
    <t>SALMOURAO</t>
  </si>
  <si>
    <t>SALTINHO</t>
  </si>
  <si>
    <t>SALTO DE PIRAPORA</t>
  </si>
  <si>
    <t>SANDOVALINA</t>
  </si>
  <si>
    <t>SANTA ALBERTINA</t>
  </si>
  <si>
    <t>SANTA BRANCA</t>
  </si>
  <si>
    <t>SANTA CLARA DOESTE</t>
  </si>
  <si>
    <t>SANTA CRUZ DA ESPERANCA</t>
  </si>
  <si>
    <t>SANTA CRUZ DO RIO PARDO</t>
  </si>
  <si>
    <t>SANTA ERNESTINA</t>
  </si>
  <si>
    <t>SANTA ISABEL</t>
  </si>
  <si>
    <t>SANTA MARIA DA SERRA</t>
  </si>
  <si>
    <t>SANTA MERCEDES</t>
  </si>
  <si>
    <t>SANTA ROSA DO VITERBO</t>
  </si>
  <si>
    <t>SANTA SALETE</t>
  </si>
  <si>
    <t>SANTANA DA PONTE PENSA</t>
  </si>
  <si>
    <t>SANTANA DO PARNAIBA</t>
  </si>
  <si>
    <t>SANTO ANASTACIO</t>
  </si>
  <si>
    <t>SANTO ANDRE</t>
  </si>
  <si>
    <t>MC</t>
  </si>
  <si>
    <t>SANTO ANTONIO DO JARDIM</t>
  </si>
  <si>
    <t>SANTO ANTONIO DO PINHAL</t>
  </si>
  <si>
    <t>SANTO EXPEDITO</t>
  </si>
  <si>
    <t>SANTOPOLIS DO AGUAPEI</t>
  </si>
  <si>
    <t>SANTOS</t>
  </si>
  <si>
    <t>SAO BENTO DO SAPUCAI</t>
  </si>
  <si>
    <t>SAO BERNARDO DO CAMPO</t>
  </si>
  <si>
    <t>SAO FRANCISCO</t>
  </si>
  <si>
    <t>SAO JOAO DA BOA VISTA</t>
  </si>
  <si>
    <t>SAO JOAO DAS DUAS PONTES</t>
  </si>
  <si>
    <t>SAO JOSE DOS CAMPOS</t>
  </si>
  <si>
    <t>SAO LOURENCO DA SERRA</t>
  </si>
  <si>
    <t>SAO LUIS DO PARAITINGA</t>
  </si>
  <si>
    <t>SAO MANUEL</t>
  </si>
  <si>
    <t>SAO MIGUEL ARCANJO</t>
  </si>
  <si>
    <t>SAO PAULO</t>
  </si>
  <si>
    <t>SAO ROQUE</t>
  </si>
  <si>
    <t>SAO SEBASTIAO</t>
  </si>
  <si>
    <t>SAO VICENTE</t>
  </si>
  <si>
    <t>SARAPUI</t>
  </si>
  <si>
    <t>SARUTAIA</t>
  </si>
  <si>
    <t>SEBASTIANOPOLIS DO SUL</t>
  </si>
  <si>
    <t>SERRA AZUL</t>
  </si>
  <si>
    <t>SERRA NEGRA</t>
  </si>
  <si>
    <t>SETE BARRAS</t>
  </si>
  <si>
    <t>SILVEIRAS</t>
  </si>
  <si>
    <t>SOCORRO</t>
  </si>
  <si>
    <t>SUD MENNUCCI</t>
  </si>
  <si>
    <t>SUZANO</t>
  </si>
  <si>
    <t>TABOAO DA SERRA</t>
  </si>
  <si>
    <t>TACIBA</t>
  </si>
  <si>
    <t>TAGUAI</t>
  </si>
  <si>
    <t>TAPIRAI</t>
  </si>
  <si>
    <t>TAQUARITUBA</t>
  </si>
  <si>
    <t>TAQUARIVAI</t>
  </si>
  <si>
    <t>TARABAI</t>
  </si>
  <si>
    <t>TARUMA</t>
  </si>
  <si>
    <t>TATUI</t>
  </si>
  <si>
    <t>TAUBATE</t>
  </si>
  <si>
    <t>TEODORO SAMPAIO</t>
  </si>
  <si>
    <t>TERRA ROXA</t>
  </si>
  <si>
    <t>TIMBURI</t>
  </si>
  <si>
    <t>TORRE DE PEDRA</t>
  </si>
  <si>
    <t>TORRINHA</t>
  </si>
  <si>
    <t>TREMEMBE</t>
  </si>
  <si>
    <t>TRES FRONTEIRAS</t>
  </si>
  <si>
    <t>TUPA</t>
  </si>
  <si>
    <t>TURIUBA</t>
  </si>
  <si>
    <t>TURMALINA</t>
  </si>
  <si>
    <t>UBATUBA</t>
  </si>
  <si>
    <t>UBIRAJARA</t>
  </si>
  <si>
    <t>UNIAO PAULISTA</t>
  </si>
  <si>
    <t>URANIA</t>
  </si>
  <si>
    <t>URU</t>
  </si>
  <si>
    <t>VALENTIM GENTIL</t>
  </si>
  <si>
    <t>VARGEM</t>
  </si>
  <si>
    <t>VARGEM GRANDE PAULISTA</t>
  </si>
  <si>
    <t>VARZEA PAULISTA</t>
  </si>
  <si>
    <t>VITORIA BRASIL</t>
  </si>
  <si>
    <t>ZACARIAS</t>
  </si>
  <si>
    <t>Município</t>
  </si>
  <si>
    <t>UN</t>
  </si>
  <si>
    <t>Tabela Tarifária</t>
  </si>
  <si>
    <t>Código</t>
  </si>
  <si>
    <t>Diretoria Metropolitana (GT-M)</t>
  </si>
  <si>
    <t>Diretoria Metropolitana (GT-M) - Bragança</t>
  </si>
  <si>
    <t>MC (exceto para os municípios de Santo André e Mauá), ML (inclui os municípios de Guararema e Santa Isabel), MO, MN (exceto para os municípios de: Bragança Paulista, Joanópolis, Nazaré Paulista, Pedra Bela, Pinhalzinho, Piracaia, Socorro, Vargem e Guarulhos) e MS</t>
  </si>
  <si>
    <t>MN (somente para os municípios de: Bragança Paulista, Joanópolis, Nazaré Paulista, Pedra Bela, Pinhalzinho, Piracaia, Socorro e Vargem)</t>
  </si>
  <si>
    <t>Diretoria de Sistemas Regionais (RS e RN)</t>
  </si>
  <si>
    <t>Baixada Santista e Litoral Norte</t>
  </si>
  <si>
    <t>Diretoria de Sistemas Regionais (RR)</t>
  </si>
  <si>
    <t>Área de Registro (exceto para os municípios de: Apiaí, Barra do Chapéu, Itaóca, Itapirapuã Paulista e Ribeira)</t>
  </si>
  <si>
    <t>Diretoria de Sistemas Regionais (GT - Interior)</t>
  </si>
  <si>
    <t>RA (exceto município de Tejupá), RB, RG (exceto municípios de Aguaí e Tapiratiba), RJ (exceto município de Saltinho), RM, RR (para os municípios de: Apiaí, Barra do Chapéu, Itaóca, Itapirapuã Paulista e Ribeira) e RT (exceto município de Lins)</t>
  </si>
  <si>
    <t>Diretoria de Sistemas Regionais (RV)</t>
  </si>
  <si>
    <t>RV (exceto os municípios de Guararema e Santa Isabel onde as tarifas praticadas são da RMSP-ML)</t>
  </si>
  <si>
    <t>Aguaí</t>
  </si>
  <si>
    <t>Guarulhos</t>
  </si>
  <si>
    <t>Lins</t>
  </si>
  <si>
    <t>Saltinho</t>
  </si>
  <si>
    <t>Santo André</t>
  </si>
  <si>
    <t>Tapiratiba</t>
  </si>
  <si>
    <t>Tejupá</t>
  </si>
  <si>
    <t>Mauá</t>
  </si>
  <si>
    <t>PAT</t>
  </si>
  <si>
    <t>MAUÁ</t>
  </si>
  <si>
    <t>M</t>
  </si>
  <si>
    <t>TEJUPA</t>
  </si>
  <si>
    <t>TAPIRATIBA</t>
  </si>
  <si>
    <t>Residencial Social</t>
  </si>
  <si>
    <t>0 a 10</t>
  </si>
  <si>
    <t>11 a 20</t>
  </si>
  <si>
    <t>21 a 30</t>
  </si>
  <si>
    <t>31 a 50</t>
  </si>
  <si>
    <t>Acima de 50</t>
  </si>
  <si>
    <t>Residencial Favela</t>
  </si>
  <si>
    <t>Residencial Normal</t>
  </si>
  <si>
    <t>21 a 50</t>
  </si>
  <si>
    <t>Comercial / Industrial / Pública sem contrato</t>
  </si>
  <si>
    <t>Comercial: Entidades de Assistência Social</t>
  </si>
  <si>
    <t>Pública com contrato</t>
  </si>
  <si>
    <t>Faixa Inicial</t>
  </si>
  <si>
    <t>Faixa Final</t>
  </si>
  <si>
    <t>Faixa</t>
  </si>
  <si>
    <t>Categoria</t>
  </si>
  <si>
    <t>Água</t>
  </si>
  <si>
    <t>Esgoto</t>
  </si>
  <si>
    <t>Descrição</t>
  </si>
  <si>
    <t>Deliberação 2020</t>
  </si>
  <si>
    <t>Adamantina</t>
  </si>
  <si>
    <t>Pirapozinho</t>
  </si>
  <si>
    <t>Presidente Prudente</t>
  </si>
  <si>
    <t>967/2020</t>
  </si>
  <si>
    <t>1021/2020</t>
  </si>
  <si>
    <t>1099/2020</t>
  </si>
  <si>
    <t>RE</t>
  </si>
  <si>
    <t>IND</t>
  </si>
  <si>
    <t>1033/2020</t>
  </si>
  <si>
    <t>919/2019</t>
  </si>
  <si>
    <t>924/2019</t>
  </si>
  <si>
    <t>Deliberação 2021</t>
  </si>
  <si>
    <t>1022/2020</t>
  </si>
  <si>
    <t>957/2020</t>
  </si>
  <si>
    <t>1009/2020</t>
  </si>
  <si>
    <t>Apenas água</t>
  </si>
  <si>
    <t>Consumo</t>
  </si>
  <si>
    <t>Observação</t>
  </si>
  <si>
    <t>Tarifa</t>
  </si>
  <si>
    <t>Residencial</t>
  </si>
  <si>
    <t>Observações:</t>
  </si>
  <si>
    <t>Comercial</t>
  </si>
  <si>
    <t>Industrial</t>
  </si>
  <si>
    <t>Pública</t>
  </si>
  <si>
    <t>Ligação usada exclusivamente para moradia, atendendo uma ou mais economias*</t>
  </si>
  <si>
    <t>Imóvel ou subdivisão de imóvel, com numeração própria, caracterizada como unidade autônoma de consumo, de qualquer categoria, atendida por ramal próprio ou compartilhado com outras economias (Cf. Deliberação ARSESP nº 106, de 13 de novembro de 2009)</t>
  </si>
  <si>
    <t>* Economia</t>
  </si>
  <si>
    <t>Ligação na qual a atividade exercida estiver incluída na classificação de comércio e serviços estabelecida pelo IBGE, atendendo uma ou mais economias*</t>
  </si>
  <si>
    <t>Residencial Vulnerável</t>
  </si>
  <si>
    <t>Residencial Coletivo</t>
  </si>
  <si>
    <t>Comercial Coletivo</t>
  </si>
  <si>
    <t>Comercial Assistencial</t>
  </si>
  <si>
    <t>Definição em 2020</t>
  </si>
  <si>
    <t>Definição em 2021</t>
  </si>
  <si>
    <t>Definição em 2022</t>
  </si>
  <si>
    <t>Definição em 2023 em diante</t>
  </si>
  <si>
    <t>Não existe</t>
  </si>
  <si>
    <t>Ligação na qual a atividade exercida estiver incluída na classificação de indústria estabelecida pelo IBGE</t>
  </si>
  <si>
    <t>Ligação usada por órgãos dos Poderes Executivo, Legislativo, Judiciário, e, Autarquias e Fundações vinculadas aos Poderes Públicos</t>
  </si>
  <si>
    <t>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t>
  </si>
  <si>
    <t>Categoria válida apenas para os municípios da Região Metropolitana de São Paulo</t>
  </si>
  <si>
    <t>Ligação usada exclusivamente para moradia, atendendo uma ou mais economias*, que atenda os seguintes critérios: (i) ter renda familiar de até 3 salários-mínimos, ser morador de habitação unifamiliar subnormal com área útil construída de até 60 m², ser consumidor de energia elétrica com consumo de até 170 kWh/mês;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t>
  </si>
  <si>
    <r>
      <t xml:space="preserve">Ligação usada exclusivamente para moradia, atendendo </t>
    </r>
    <r>
      <rPr>
        <b/>
        <sz val="11"/>
        <color theme="1"/>
        <rFont val="Arial Narrow"/>
        <family val="2"/>
      </rPr>
      <t>apenas uma economia</t>
    </r>
    <r>
      <rPr>
        <sz val="11"/>
        <color theme="1"/>
        <rFont val="Arial Narrow"/>
        <family val="2"/>
      </rPr>
      <t>*</t>
    </r>
  </si>
  <si>
    <r>
      <t xml:space="preserve">Ligação usada exclusivamente para moradia, atendendo </t>
    </r>
    <r>
      <rPr>
        <b/>
        <sz val="11"/>
        <color theme="1"/>
        <rFont val="Arial Narrow"/>
        <family val="2"/>
      </rPr>
      <t>mais de uma economia</t>
    </r>
    <r>
      <rPr>
        <sz val="11"/>
        <color theme="1"/>
        <rFont val="Arial Narrow"/>
        <family val="2"/>
      </rPr>
      <t>*</t>
    </r>
  </si>
  <si>
    <t>Ligação usada exclusivamente para moradia, atendendo uma ou mais economias*, que atenda os seguintes critérios: (i) ter renda familiar de até 3 salários-mínimos, ser morador de habitação unifamiliar subnormal com área útil construída de até 60 m², ser consumidor de energia elétrica com consumo de até 170 kWh/mês;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 ou (iv) usuários da região metropolitana de São Paulo que anteriormente eram classificados como Residencial Favela e que não foram reclassificados como Residencial Vulnerável</t>
  </si>
  <si>
    <t>Ligação usada exclusivamente para moradia, atendendo apenas uma economia*, que atenda os seguintes critérios: (i) estar registrado no CadÚnico com renda mensal per capita entre a segunda faixa do cadastro (atualmente, R$ 178) e ½ salário-mínimo;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t>
  </si>
  <si>
    <t>Ligação usada exclusivamente para moradia, atendendo uma ou mais economias*, que atenda os seguintes critérios: (i) usuário da região metropolitana de São Paulo que, anteriormente, era classificado como Residencial Favela; ou (ii) após 30 de setembro de 2021, os usuários que estejam registrados no CadÚnico com renda mensal per capita na primeira faixa do cadastro (atualmente, R$ 89)</t>
  </si>
  <si>
    <t>Ligação usada exclusivamente para moradia, atendendo apenas uma economia*, cujo titular esteja registrado no CadÚnico com renda mensal per capita até a segunda faixa do cadastro (atualmente, R$ 178)</t>
  </si>
  <si>
    <t>Ligação na qual a atividade exercida estiver incluída na classificação de comércio e serviços estabelecida pelo IBGE, atendendo apenas uma economia*</t>
  </si>
  <si>
    <t>Ligação na qual a atividade exercida estiver incluída na classificação de comércio e serviços estabelecida pelo IBGE, atendendo mais de uma economia*</t>
  </si>
  <si>
    <t>Geral</t>
  </si>
  <si>
    <t>Valor de fatura</t>
  </si>
  <si>
    <t>RMSP</t>
  </si>
  <si>
    <t>A partir de 01 de outubro de 2021, se o domicílio tiver renda mensal per capita inferior a R$ 89, será reclassificado como Residencial Vulnerável.</t>
  </si>
  <si>
    <t>A partir de 10 de maio de 2023, se o domicílio tiver renda mensal per capita inferior a meio salário mínimo, será reclassificado como Residencial Social.</t>
  </si>
  <si>
    <t>O município possui a categoria Residencial Especial. O valor de fatura indicado pode diferir da fatura real.</t>
  </si>
  <si>
    <t>A fatura inclui apenas o serviço de distribuição de água.</t>
  </si>
  <si>
    <t>Entre 10 de maio de 2021 a 09 de maio de 2022</t>
  </si>
  <si>
    <t>Entre 10 de maio de 2022 a 09 de maio de 2023</t>
  </si>
  <si>
    <t>Entre 10 de maio de 2023 a 09 de maio de 2024</t>
  </si>
  <si>
    <t>A partir de 10 de maio de 2024</t>
  </si>
  <si>
    <t>Escolha o município:</t>
  </si>
  <si>
    <t>Escolha a categoria:</t>
  </si>
  <si>
    <t>Indique o consumo mensal (m³):</t>
  </si>
  <si>
    <t>A partir de 10 de maio de 2022, se o domicílio tiver renda mensal per capita inferior a R$ 178, será reclassificado como Residencial Vulnerável. Ligações com mais de uma economia (prédios e condomínios) serão reclassificadas como Residencial Coletivo, exceto se tiver passado por processo de individualização da medição com autorização da Sabesp.</t>
  </si>
  <si>
    <t>CE</t>
  </si>
  <si>
    <t>CE, RE</t>
  </si>
  <si>
    <t>Ligações com mais de uma economia (prédios e condomínios) serão reclassificadas como Comercial Coletivo, exceto se tiver passado por processo de individualização da medição com autorização da Sabesp.</t>
  </si>
  <si>
    <t>O município possui a categoria Comercial Especial. O valor de fatura indicado pode diferir da fatura real.</t>
  </si>
  <si>
    <t>O município possui regras de transição tarifária e pode ter diferenças no valor fatura.</t>
  </si>
  <si>
    <t>A tarifa depende das características do hidrômetro que atende o condomínio/prédio. Verificar tabela específica.</t>
  </si>
  <si>
    <t>Esta tarifa deixará de existir a partir de 10 de maio de 2021.</t>
  </si>
  <si>
    <t>As tarifas para esta categoria serão publicadas pela Arsesp até maio de 2022.</t>
  </si>
  <si>
    <t>Esta tarifa pode ser diferenciada a depender das características do contrato entre Sabesp e município.</t>
  </si>
  <si>
    <t>A partir de 10 de maio de 2023 o critério para ser beneficiado com a tarifa Residencial Social será alterado.</t>
  </si>
  <si>
    <t>Fatura 2020</t>
  </si>
  <si>
    <t>6, 9, 10</t>
  </si>
  <si>
    <t>A tarifa será determinada a partir das regras de transição. Verificar site da Arsesp.</t>
  </si>
  <si>
    <t>Residencial Individual</t>
  </si>
  <si>
    <t>0 a 5</t>
  </si>
  <si>
    <t>5 a 15</t>
  </si>
  <si>
    <t>15 a 30</t>
  </si>
  <si>
    <t>Mais de 30</t>
  </si>
  <si>
    <t>Fixo</t>
  </si>
  <si>
    <t>Variável</t>
  </si>
  <si>
    <t>EsgotoColeta</t>
  </si>
  <si>
    <t>EsgotoTratamento</t>
  </si>
  <si>
    <t>Residencial Coletivo - CPH 0-1</t>
  </si>
  <si>
    <t>0 a 15</t>
  </si>
  <si>
    <t>15 a 50</t>
  </si>
  <si>
    <t>Mais de 50</t>
  </si>
  <si>
    <t>Residencial Coletivo - CPH 2-4</t>
  </si>
  <si>
    <t>0 a 200</t>
  </si>
  <si>
    <t>200 a 600</t>
  </si>
  <si>
    <t>Mais de 600</t>
  </si>
  <si>
    <t>Residencial Coletivo - CPH 5-7</t>
  </si>
  <si>
    <t>0 a 600</t>
  </si>
  <si>
    <t>600 a 2.000</t>
  </si>
  <si>
    <t>Mais de 2.000</t>
  </si>
  <si>
    <t>Residencial Coletivo - CPH 8-11</t>
  </si>
  <si>
    <t>0 a 2.000</t>
  </si>
  <si>
    <t>2.000 a 6.000</t>
  </si>
  <si>
    <t>Mais de 6.000</t>
  </si>
  <si>
    <t>10 a 20</t>
  </si>
  <si>
    <t>20 a 30</t>
  </si>
  <si>
    <t>30 a 100</t>
  </si>
  <si>
    <t>Mais de 100</t>
  </si>
  <si>
    <t>10 a 50</t>
  </si>
  <si>
    <t>50 a 100</t>
  </si>
  <si>
    <t>100 a 500</t>
  </si>
  <si>
    <t>Mais de 500</t>
  </si>
  <si>
    <t>Total</t>
  </si>
  <si>
    <t>Esgoto Coleta</t>
  </si>
  <si>
    <t>Água Fixo</t>
  </si>
  <si>
    <t>Água Variável</t>
  </si>
  <si>
    <t>Esgoto Fixo</t>
  </si>
  <si>
    <t>Esgoto Variável</t>
  </si>
  <si>
    <t>Tratamento Variável</t>
  </si>
  <si>
    <t>Esgoto Tratamento</t>
  </si>
  <si>
    <t>Fatura 3 RTO</t>
  </si>
  <si>
    <t>Fatura 2021</t>
  </si>
  <si>
    <t>Qual o valor da fatura vigente (até 09 de maio de 2021)?</t>
  </si>
  <si>
    <t>Qual o novo valor da fatura (a partir de 10 de maio de 2021)?</t>
  </si>
  <si>
    <t>Período de referência</t>
  </si>
  <si>
    <t>Definição da categoria</t>
  </si>
  <si>
    <t>Consumo (m³)</t>
  </si>
  <si>
    <t>Informações detalhadas</t>
  </si>
  <si>
    <t>Definição das categorias</t>
  </si>
  <si>
    <t>Voltar</t>
  </si>
  <si>
    <t>Variação em R$</t>
  </si>
  <si>
    <t>Variação %</t>
  </si>
  <si>
    <t>Qual seria o valor da fatura na nova estrutura tarifária?</t>
  </si>
  <si>
    <t>Fatura  - Residencial Coletivo (nova estrutura)</t>
  </si>
  <si>
    <t>* Este valor é calculado com base na estrutura tarifária revisada em mai/21. É equivalente ao valor da fatura no final do período de transição (2024). 
Importante: o valor real a ser aplicado a partir de 2024 está sujeito às variações monetárias e outros ajustes a serem aplicados no ciclo. 
Verificar site da Arsesp para mais detalhes.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</si>
</sst>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R$&quot;\ #,##0.00"/>
    <numFmt numFmtId="165" formatCode="0.0%"/>
  </numFmts>
  <fonts count="16"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sz val="11"/>
      <color theme="1"/>
      <name val="Calibri"/>
      <family val="2"/>
      <scheme val="minor"/>
    </font>
    <font>
      <b/>
      <sz val="11"/>
      <color theme="0"/>
      <name val="Calibri"/>
      <family val="2"/>
      <scheme val="minor"/>
    </font>
    <font>
      <sz val="11"/>
      <color theme="0"/>
      <name val="Calibri"/>
      <family val="2"/>
      <scheme val="minor"/>
    </font>
    <font>
      <b/>
      <sz val="11"/>
      <color theme="0"/>
      <name val="Arial Narrow"/>
      <family val="2"/>
    </font>
    <font>
      <b/>
      <i/>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i/>
      <sz val="11"/>
      <color theme="1"/>
      <name val="Calibri"/>
      <family val="2"/>
      <scheme val="minor"/>
    </font>
    <font>
      <i/>
      <sz val="11"/>
      <name val="Calibri"/>
      <family val="2"/>
      <scheme val="minor"/>
    </font>
    <font>
      <b/>
      <i/>
      <sz val="11"/>
      <color rgb="FFC0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4"/>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cellStyleXfs>
  <cellXfs count="54">
    <xf numFmtId="0" fontId="0" fillId="0" borderId="0" xfId="0"/>
    <xf numFmtId="0" fontId="1" fillId="0" borderId="0" xfId="0" applyFont="1"/>
    <xf numFmtId="16" fontId="0" fillId="0" borderId="0" xfId="0" applyNumberFormat="1"/>
    <xf numFmtId="0" fontId="2" fillId="0" borderId="0" xfId="0" applyFont="1"/>
    <xf numFmtId="0" fontId="2" fillId="0" borderId="1" xfId="0" applyFont="1" applyBorder="1" applyAlignment="1">
      <alignment vertical="center"/>
    </xf>
    <xf numFmtId="0" fontId="2" fillId="0" borderId="1" xfId="0" applyFont="1" applyBorder="1" applyAlignment="1">
      <alignment vertical="center" wrapText="1"/>
    </xf>
    <xf numFmtId="0" fontId="7" fillId="2" borderId="1" xfId="0" applyFont="1" applyFill="1" applyBorder="1"/>
    <xf numFmtId="0" fontId="7" fillId="2" borderId="1" xfId="0" applyFont="1" applyFill="1" applyBorder="1" applyAlignment="1">
      <alignment horizontal="center" vertical="center"/>
    </xf>
    <xf numFmtId="0" fontId="0" fillId="0" borderId="1" xfId="0" applyBorder="1"/>
    <xf numFmtId="0" fontId="0" fillId="0" borderId="1" xfId="0" applyBorder="1" applyAlignment="1">
      <alignment vertical="center"/>
    </xf>
    <xf numFmtId="0" fontId="0" fillId="0" borderId="1" xfId="0" applyBorder="1" applyAlignment="1">
      <alignment vertical="center" wrapText="1"/>
    </xf>
    <xf numFmtId="164" fontId="0" fillId="0" borderId="1" xfId="1" applyNumberFormat="1" applyFont="1" applyBorder="1" applyAlignment="1">
      <alignment horizontal="center" vertical="center"/>
    </xf>
    <xf numFmtId="164" fontId="0" fillId="0" borderId="1" xfId="0" applyNumberFormat="1" applyBorder="1" applyAlignment="1">
      <alignment horizontal="center" vertical="center"/>
    </xf>
    <xf numFmtId="165" fontId="1" fillId="0" borderId="0" xfId="2" applyNumberFormat="1" applyFont="1" applyBorder="1"/>
    <xf numFmtId="9" fontId="0" fillId="0" borderId="0" xfId="2" applyFont="1"/>
    <xf numFmtId="9" fontId="0" fillId="0" borderId="0" xfId="0" applyNumberFormat="1"/>
    <xf numFmtId="164" fontId="0" fillId="0" borderId="0" xfId="0" applyNumberFormat="1" applyBorder="1" applyAlignment="1">
      <alignment horizontal="center" vertical="center"/>
    </xf>
    <xf numFmtId="0" fontId="9" fillId="0" borderId="0" xfId="0" applyFont="1"/>
    <xf numFmtId="0" fontId="0" fillId="0" borderId="2" xfId="0" applyBorder="1"/>
    <xf numFmtId="0" fontId="6" fillId="3" borderId="0" xfId="0" applyFont="1" applyFill="1" applyBorder="1"/>
    <xf numFmtId="0" fontId="5" fillId="4" borderId="1" xfId="0" applyFont="1" applyFill="1" applyBorder="1"/>
    <xf numFmtId="0" fontId="5" fillId="4" borderId="1" xfId="0" applyFont="1" applyFill="1" applyBorder="1" applyAlignment="1">
      <alignment horizontal="center" vertical="center"/>
    </xf>
    <xf numFmtId="0" fontId="12" fillId="5" borderId="0" xfId="3" applyFill="1" applyAlignment="1">
      <alignment horizontal="center"/>
    </xf>
    <xf numFmtId="164" fontId="0" fillId="5" borderId="1" xfId="0" applyNumberFormat="1" applyFill="1" applyBorder="1" applyAlignment="1">
      <alignment horizontal="center" vertical="center"/>
    </xf>
    <xf numFmtId="0" fontId="6" fillId="6" borderId="0" xfId="0" applyFont="1" applyFill="1" applyBorder="1"/>
    <xf numFmtId="0" fontId="14" fillId="0" borderId="0" xfId="0" applyFont="1" applyFill="1" applyBorder="1" applyAlignment="1">
      <alignment horizontal="right"/>
    </xf>
    <xf numFmtId="0" fontId="6" fillId="7" borderId="0" xfId="0" applyFont="1" applyFill="1" applyBorder="1" applyAlignment="1">
      <alignment vertic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6" fillId="0" borderId="0" xfId="0" applyFont="1" applyBorder="1"/>
    <xf numFmtId="0" fontId="11" fillId="0" borderId="0" xfId="0" applyFont="1" applyBorder="1"/>
    <xf numFmtId="0" fontId="9" fillId="0" borderId="8" xfId="0" applyFont="1" applyBorder="1"/>
    <xf numFmtId="0" fontId="9" fillId="0" borderId="0" xfId="0" applyFont="1" applyBorder="1"/>
    <xf numFmtId="0" fontId="1" fillId="0" borderId="0" xfId="0" applyFont="1" applyBorder="1"/>
    <xf numFmtId="0" fontId="0" fillId="0" borderId="8" xfId="0" applyBorder="1"/>
    <xf numFmtId="0" fontId="12" fillId="5" borderId="0" xfId="3" applyFill="1" applyBorder="1" applyAlignment="1">
      <alignment horizontal="center"/>
    </xf>
    <xf numFmtId="0" fontId="8" fillId="0" borderId="0" xfId="0" applyFont="1" applyBorder="1"/>
    <xf numFmtId="164" fontId="11" fillId="0" borderId="0" xfId="0" applyNumberFormat="1" applyFont="1" applyBorder="1"/>
    <xf numFmtId="0" fontId="13" fillId="0" borderId="0" xfId="0" applyFont="1" applyBorder="1" applyAlignment="1">
      <alignment horizontal="right"/>
    </xf>
    <xf numFmtId="164" fontId="0" fillId="0" borderId="0" xfId="0" applyNumberFormat="1" applyBorder="1"/>
    <xf numFmtId="0" fontId="1" fillId="0" borderId="0" xfId="0" applyFont="1" applyBorder="1" applyAlignment="1">
      <alignment vertical="center" wrapText="1"/>
    </xf>
    <xf numFmtId="0" fontId="0" fillId="0" borderId="9" xfId="0" applyBorder="1"/>
    <xf numFmtId="0" fontId="0" fillId="0" borderId="10" xfId="0" applyBorder="1"/>
    <xf numFmtId="0" fontId="0" fillId="0" borderId="11" xfId="0" applyBorder="1"/>
    <xf numFmtId="0" fontId="15" fillId="0" borderId="0" xfId="0" applyFont="1" applyBorder="1"/>
    <xf numFmtId="0" fontId="15" fillId="0" borderId="0" xfId="0" applyFont="1" applyBorder="1" applyAlignment="1">
      <alignment vertical="top"/>
    </xf>
    <xf numFmtId="0" fontId="10" fillId="0" borderId="0" xfId="0" applyFont="1" applyBorder="1" applyAlignment="1">
      <alignment horizontal="center"/>
    </xf>
    <xf numFmtId="0" fontId="8" fillId="0" borderId="3" xfId="0" applyFont="1" applyBorder="1" applyAlignment="1">
      <alignment horizontal="left" vertical="center" wrapText="1" indent="1"/>
    </xf>
    <xf numFmtId="0" fontId="8" fillId="0" borderId="0" xfId="0" applyFont="1" applyBorder="1" applyAlignment="1">
      <alignment horizontal="left" vertical="center" wrapText="1" indent="1"/>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
    <cellStyle name="Hiperlink" xfId="3" builtinId="8"/>
    <cellStyle name="Normal" xfId="0" builtinId="0"/>
    <cellStyle name="Porcentagem" xfId="2" builtinId="5"/>
    <cellStyle name="Vírgula" xfId="1" builtinId="3"/>
  </cellStyles>
  <dxfs count="4">
    <dxf>
      <font>
        <color rgb="FFC00000"/>
      </font>
    </dxf>
    <dxf>
      <font>
        <color rgb="FFC00000"/>
      </font>
    </dxf>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1168400</xdr:colOff>
      <xdr:row>1</xdr:row>
      <xdr:rowOff>76200</xdr:rowOff>
    </xdr:from>
    <xdr:to>
      <xdr:col>5</xdr:col>
      <xdr:colOff>768350</xdr:colOff>
      <xdr:row>6</xdr:row>
      <xdr:rowOff>158750</xdr:rowOff>
    </xdr:to>
    <xdr:pic>
      <xdr:nvPicPr>
        <xdr:cNvPr id="2" name="Imagem 1" descr="ARSESP">
          <a:extLst>
            <a:ext uri="{FF2B5EF4-FFF2-40B4-BE49-F238E27FC236}">
              <a16:creationId xmlns:a16="http://schemas.microsoft.com/office/drawing/2014/main" id="{E49E726A-C88B-4675-BA7B-5AD179EEB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209550"/>
          <a:ext cx="142875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0068-983E-44C9-8F3D-FDD923420587}">
  <dimension ref="A1:L20"/>
  <sheetViews>
    <sheetView showGridLines="0" tabSelected="1" zoomScaleNormal="100" workbookViewId="0">
      <selection activeCell="C7" sqref="C7"/>
    </sheetView>
  </sheetViews>
  <sheetFormatPr defaultColWidth="0" defaultRowHeight="14.5" zeroHeight="1" x14ac:dyDescent="0.35"/>
  <cols>
    <col min="1" max="1" width="1.26953125" customWidth="1"/>
    <col min="2" max="2" width="52.453125" bestFit="1" customWidth="1"/>
    <col min="3" max="3" width="21.1796875" customWidth="1"/>
    <col min="4" max="4" width="22.08984375" customWidth="1"/>
    <col min="5" max="5" width="26.1796875" customWidth="1"/>
    <col min="6" max="6" width="15.36328125" customWidth="1"/>
    <col min="7" max="7" width="2.81640625" customWidth="1"/>
    <col min="8" max="8" width="10.453125" hidden="1" customWidth="1"/>
    <col min="9" max="12" width="0" hidden="1" customWidth="1"/>
    <col min="13" max="16384" width="8.7265625" hidden="1"/>
  </cols>
  <sheetData>
    <row r="1" spans="1:12" ht="10.5" customHeight="1" x14ac:dyDescent="0.35">
      <c r="A1" s="27"/>
      <c r="B1" s="28"/>
      <c r="C1" s="28"/>
      <c r="D1" s="28"/>
      <c r="E1" s="28"/>
      <c r="F1" s="28"/>
      <c r="G1" s="29"/>
    </row>
    <row r="2" spans="1:12" x14ac:dyDescent="0.35">
      <c r="A2" s="30"/>
      <c r="B2" s="31"/>
      <c r="C2" s="31"/>
      <c r="D2" s="31"/>
      <c r="E2" s="32" t="s">
        <v>569</v>
      </c>
      <c r="F2" s="33"/>
      <c r="G2" s="34"/>
      <c r="H2" s="17"/>
      <c r="I2" s="17"/>
      <c r="J2" s="17"/>
      <c r="K2" s="17"/>
      <c r="L2" s="17"/>
    </row>
    <row r="3" spans="1:12" x14ac:dyDescent="0.35">
      <c r="A3" s="30"/>
      <c r="B3" s="19" t="s">
        <v>498</v>
      </c>
      <c r="C3" s="18" t="s">
        <v>325</v>
      </c>
      <c r="D3" s="31"/>
      <c r="E3" s="32" t="s">
        <v>524</v>
      </c>
      <c r="F3" s="35"/>
      <c r="G3" s="34"/>
      <c r="H3" s="17"/>
      <c r="I3" s="17"/>
      <c r="J3" s="17"/>
      <c r="K3" s="17"/>
      <c r="L3" s="17"/>
    </row>
    <row r="4" spans="1:12" ht="5" customHeight="1" x14ac:dyDescent="0.35">
      <c r="A4" s="30"/>
      <c r="B4" s="31"/>
      <c r="C4" s="36"/>
      <c r="D4" s="31"/>
      <c r="E4" s="32" t="s">
        <v>528</v>
      </c>
      <c r="F4" s="35"/>
      <c r="G4" s="37"/>
      <c r="I4" s="17"/>
      <c r="J4" s="17"/>
      <c r="K4" s="17"/>
      <c r="L4" s="17"/>
    </row>
    <row r="5" spans="1:12" x14ac:dyDescent="0.35">
      <c r="A5" s="30"/>
      <c r="B5" s="19" t="s">
        <v>499</v>
      </c>
      <c r="C5" s="8" t="s">
        <v>456</v>
      </c>
      <c r="D5" s="38" t="s">
        <v>564</v>
      </c>
      <c r="E5" s="32" t="s">
        <v>532</v>
      </c>
      <c r="F5" s="35"/>
      <c r="G5" s="37"/>
      <c r="I5" s="17"/>
      <c r="J5" s="17"/>
      <c r="K5" s="17"/>
      <c r="L5" s="17"/>
    </row>
    <row r="6" spans="1:12" ht="5" customHeight="1" x14ac:dyDescent="0.35">
      <c r="A6" s="30"/>
      <c r="B6" s="31"/>
      <c r="C6" s="31"/>
      <c r="D6" s="31"/>
      <c r="E6" s="32" t="s">
        <v>536</v>
      </c>
      <c r="F6" s="35"/>
      <c r="G6" s="37"/>
      <c r="I6" s="17"/>
      <c r="J6" s="17"/>
      <c r="K6" s="17"/>
      <c r="L6" s="17"/>
    </row>
    <row r="7" spans="1:12" x14ac:dyDescent="0.35">
      <c r="A7" s="30"/>
      <c r="B7" s="19" t="s">
        <v>500</v>
      </c>
      <c r="C7" s="8">
        <v>10</v>
      </c>
      <c r="D7" s="31"/>
      <c r="E7" s="35"/>
      <c r="F7" s="35"/>
      <c r="G7" s="37"/>
      <c r="I7" s="17"/>
      <c r="J7" s="17"/>
      <c r="K7" s="17"/>
      <c r="L7" s="17"/>
    </row>
    <row r="8" spans="1:12" ht="22" customHeight="1" x14ac:dyDescent="0.35">
      <c r="A8" s="30"/>
      <c r="B8" s="48" t="str">
        <f>IF(C3="MAUÁ","Para o município de Mauá, as faturas incluem apenas o serviço de água","")</f>
        <v/>
      </c>
      <c r="C8" s="31"/>
      <c r="D8" s="31"/>
      <c r="F8" s="35"/>
      <c r="G8" s="37"/>
      <c r="I8" s="17"/>
      <c r="J8" s="17"/>
      <c r="K8" s="17"/>
      <c r="L8" s="17"/>
    </row>
    <row r="9" spans="1:12" x14ac:dyDescent="0.35">
      <c r="A9" s="30"/>
      <c r="B9" s="24" t="s">
        <v>558</v>
      </c>
      <c r="C9" s="23">
        <f>IF('Informações detalhadas'!C7=0,"",'Informações detalhadas'!C7)</f>
        <v>48.78</v>
      </c>
      <c r="D9" s="31"/>
      <c r="E9" s="35"/>
      <c r="F9" s="35"/>
      <c r="G9" s="37"/>
      <c r="I9" s="17"/>
      <c r="J9" s="17"/>
      <c r="K9" s="17"/>
      <c r="L9" s="17"/>
    </row>
    <row r="10" spans="1:12" x14ac:dyDescent="0.35">
      <c r="A10" s="30"/>
      <c r="B10" s="47" t="str">
        <f>IF(C9&lt;&gt;"","","Tarifa não existente na estrutura vigente")</f>
        <v/>
      </c>
      <c r="C10" s="16"/>
      <c r="D10" s="39"/>
      <c r="E10" s="49" t="str">
        <f>IF(Auxiliar!$Q$21=2,E2,"")</f>
        <v/>
      </c>
      <c r="F10" s="49"/>
      <c r="G10" s="37"/>
      <c r="I10" s="17"/>
      <c r="J10" s="17"/>
      <c r="K10" s="17"/>
      <c r="L10" s="17"/>
    </row>
    <row r="11" spans="1:12" x14ac:dyDescent="0.35">
      <c r="A11" s="30"/>
      <c r="B11" s="31"/>
      <c r="C11" s="16"/>
      <c r="D11" s="39"/>
      <c r="E11" s="33" t="str">
        <f>IF(Auxiliar!$Q$21=2,E3,"")</f>
        <v/>
      </c>
      <c r="F11" s="40" t="str">
        <f>IF(Auxiliar!$Q$21=2,'Fatura 3RTO'!L3,"")</f>
        <v/>
      </c>
      <c r="G11" s="37"/>
      <c r="I11" s="17"/>
      <c r="J11" s="17"/>
      <c r="K11" s="17"/>
      <c r="L11" s="17"/>
    </row>
    <row r="12" spans="1:12" x14ac:dyDescent="0.35">
      <c r="A12" s="30"/>
      <c r="B12" s="31"/>
      <c r="C12" s="31"/>
      <c r="D12" s="31"/>
      <c r="E12" s="33" t="str">
        <f>IF(Auxiliar!$Q$21=2,E4,"")</f>
        <v/>
      </c>
      <c r="F12" s="40" t="str">
        <f>IF(Auxiliar!$Q$21=2,'Fatura 3RTO'!L4,"")</f>
        <v/>
      </c>
      <c r="G12" s="37"/>
      <c r="I12" s="17"/>
      <c r="J12" s="17"/>
      <c r="K12" s="17"/>
      <c r="L12" s="17"/>
    </row>
    <row r="13" spans="1:12" x14ac:dyDescent="0.35">
      <c r="A13" s="30"/>
      <c r="B13" s="24" t="s">
        <v>559</v>
      </c>
      <c r="C13" s="23">
        <f>IF('Informações detalhadas'!C8=0,"",'Informações detalhadas'!C8)</f>
        <v>52.260000000000005</v>
      </c>
      <c r="D13" s="31"/>
      <c r="E13" s="33" t="str">
        <f>IF(Auxiliar!$Q$21=2,E5,"")</f>
        <v/>
      </c>
      <c r="F13" s="40" t="str">
        <f>IF(Auxiliar!$Q$21=2,'Fatura 3RTO'!L5,"")</f>
        <v/>
      </c>
      <c r="G13" s="37"/>
      <c r="I13" s="17"/>
      <c r="J13" s="17"/>
      <c r="K13" s="17"/>
      <c r="L13" s="17"/>
    </row>
    <row r="14" spans="1:12" x14ac:dyDescent="0.35">
      <c r="A14" s="30"/>
      <c r="B14" s="41" t="s">
        <v>566</v>
      </c>
      <c r="C14" s="42">
        <f>IFERROR(C13-C9,"")</f>
        <v>3.480000000000004</v>
      </c>
      <c r="D14" s="31"/>
      <c r="E14" s="33" t="str">
        <f>IF(Auxiliar!$Q$21=2,E6,"")</f>
        <v/>
      </c>
      <c r="F14" s="40" t="str">
        <f>IF(Auxiliar!$Q$21=2,'Fatura 3RTO'!L6,"")</f>
        <v/>
      </c>
      <c r="G14" s="37"/>
      <c r="I14" s="17"/>
      <c r="J14" s="17"/>
      <c r="K14" s="17"/>
      <c r="L14" s="17"/>
    </row>
    <row r="15" spans="1:12" x14ac:dyDescent="0.35">
      <c r="A15" s="30"/>
      <c r="B15" s="25" t="s">
        <v>567</v>
      </c>
      <c r="C15" s="13">
        <f>IFERROR(IF(AND(C9&gt;0,C13&gt;0),C13/C9-1,""),"")</f>
        <v>7.1340713407134215E-2</v>
      </c>
      <c r="D15" s="31"/>
      <c r="E15" s="35"/>
      <c r="F15" s="35"/>
      <c r="G15" s="37"/>
      <c r="I15" s="17"/>
      <c r="J15" s="17"/>
      <c r="K15" s="17"/>
      <c r="L15" s="17"/>
    </row>
    <row r="16" spans="1:12" x14ac:dyDescent="0.35">
      <c r="A16" s="30"/>
      <c r="B16" s="31"/>
      <c r="C16" s="31"/>
      <c r="D16" s="31"/>
      <c r="E16" s="35"/>
      <c r="F16" s="35"/>
      <c r="G16" s="37"/>
      <c r="I16" s="17"/>
      <c r="J16" s="17"/>
      <c r="K16" s="17"/>
      <c r="L16" s="17"/>
    </row>
    <row r="17" spans="1:12" ht="94.5" customHeight="1" x14ac:dyDescent="0.35">
      <c r="A17" s="30"/>
      <c r="B17" s="26" t="s">
        <v>568</v>
      </c>
      <c r="C17" s="12">
        <f>'Fatura 3RTO'!B5</f>
        <v>56.16</v>
      </c>
      <c r="D17" s="50" t="s">
        <v>570</v>
      </c>
      <c r="E17" s="51"/>
      <c r="F17" s="51"/>
      <c r="G17" s="34"/>
      <c r="H17" s="17"/>
      <c r="I17" s="17"/>
      <c r="J17" s="17"/>
      <c r="K17" s="17"/>
      <c r="L17" s="17"/>
    </row>
    <row r="18" spans="1:12" x14ac:dyDescent="0.35">
      <c r="A18" s="30"/>
      <c r="B18" s="41" t="s">
        <v>566</v>
      </c>
      <c r="C18" s="42">
        <f>IFERROR(C17-C9,"")</f>
        <v>7.3799999999999955</v>
      </c>
      <c r="D18" s="43"/>
      <c r="E18" s="31"/>
      <c r="F18" s="31"/>
      <c r="G18" s="37"/>
    </row>
    <row r="19" spans="1:12" x14ac:dyDescent="0.35">
      <c r="A19" s="30"/>
      <c r="B19" s="25" t="s">
        <v>567</v>
      </c>
      <c r="C19" s="13">
        <f>IFERROR(IF(AND(C9&gt;0,C17&gt;0),C17/C9-1,""),"")</f>
        <v>0.1512915129151291</v>
      </c>
      <c r="D19" s="38" t="s">
        <v>563</v>
      </c>
      <c r="E19" s="31"/>
      <c r="F19" s="31"/>
      <c r="G19" s="37"/>
    </row>
    <row r="20" spans="1:12" ht="15" thickBot="1" x14ac:dyDescent="0.4">
      <c r="A20" s="44"/>
      <c r="B20" s="45"/>
      <c r="C20" s="45"/>
      <c r="D20" s="45"/>
      <c r="E20" s="45"/>
      <c r="F20" s="45"/>
      <c r="G20" s="46"/>
    </row>
  </sheetData>
  <mergeCells count="2">
    <mergeCell ref="E10:F10"/>
    <mergeCell ref="D17:F17"/>
  </mergeCells>
  <conditionalFormatting sqref="C15">
    <cfRule type="cellIs" dxfId="3" priority="5" operator="lessThan">
      <formula>0</formula>
    </cfRule>
  </conditionalFormatting>
  <conditionalFormatting sqref="C19">
    <cfRule type="cellIs" dxfId="2" priority="3" operator="lessThan">
      <formula>0</formula>
    </cfRule>
  </conditionalFormatting>
  <conditionalFormatting sqref="C14">
    <cfRule type="cellIs" dxfId="1" priority="2" operator="lessThan">
      <formula>0</formula>
    </cfRule>
  </conditionalFormatting>
  <conditionalFormatting sqref="C18">
    <cfRule type="cellIs" dxfId="0" priority="1" operator="lessThan">
      <formula>0</formula>
    </cfRule>
  </conditionalFormatting>
  <hyperlinks>
    <hyperlink ref="D5" location="Categorias!A1" display="Definição de categorias" xr:uid="{12F434E0-18DF-474C-ABE2-78CCDA25E283}"/>
    <hyperlink ref="D19" location="'Informações detalhadas'!A1" display="Informações detalhadas" xr:uid="{CE370D62-C704-435F-B002-33FCAA803352}"/>
  </hyperlink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BE7E141-7087-465C-A406-4652013BC81A}">
          <x14:formula1>
            <xm:f>Auxiliar!$A$2:$A$377</xm:f>
          </x14:formula1>
          <xm:sqref>C3</xm:sqref>
        </x14:dataValidation>
        <x14:dataValidation type="list" allowBlank="1" showInputMessage="1" showErrorMessage="1" xr:uid="{C5D877F2-8A44-4CC2-BD12-D181503661B5}">
          <x14:formula1>
            <xm:f>Auxiliar!$P$10:$P$19</xm:f>
          </x14:formula1>
          <xm:sqref>C5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F941E-A692-428A-AA67-C425828D8C0A}">
  <sheetPr>
    <tabColor rgb="FFC00000"/>
  </sheetPr>
  <dimension ref="A1:AS54"/>
  <sheetViews>
    <sheetView workbookViewId="0">
      <selection activeCell="AA5" sqref="AA5:AG5"/>
    </sheetView>
  </sheetViews>
  <sheetFormatPr defaultRowHeight="14.5" x14ac:dyDescent="0.35"/>
  <cols>
    <col min="31" max="32" width="0" hidden="1" customWidth="1"/>
  </cols>
  <sheetData>
    <row r="1" spans="1:45" x14ac:dyDescent="0.35">
      <c r="A1" t="s">
        <v>388</v>
      </c>
      <c r="B1" t="str">
        <f>Auxiliar!G22</f>
        <v>SANTO ANASTACIO</v>
      </c>
      <c r="G1" t="s">
        <v>550</v>
      </c>
      <c r="H1" t="s">
        <v>551</v>
      </c>
      <c r="I1" t="s">
        <v>552</v>
      </c>
      <c r="J1" t="s">
        <v>553</v>
      </c>
      <c r="K1" t="s">
        <v>554</v>
      </c>
      <c r="L1" t="s">
        <v>548</v>
      </c>
      <c r="N1" t="s">
        <v>433</v>
      </c>
      <c r="O1" t="s">
        <v>549</v>
      </c>
      <c r="P1" t="s">
        <v>555</v>
      </c>
      <c r="R1" t="s">
        <v>520</v>
      </c>
      <c r="S1" t="s">
        <v>521</v>
      </c>
    </row>
    <row r="2" spans="1:45" x14ac:dyDescent="0.35">
      <c r="A2" t="s">
        <v>390</v>
      </c>
      <c r="E2">
        <v>1</v>
      </c>
      <c r="F2" t="s">
        <v>515</v>
      </c>
      <c r="G2">
        <f>SUMIF($B$16:$AU$16,$F2,$B$21:$AU$21)</f>
        <v>8.34</v>
      </c>
      <c r="H2">
        <f>SUMIFS($B$29:$AS$29,$B$24:$AS$24,$F2,$B$29:$AS$29,"&gt;0")</f>
        <v>20.2</v>
      </c>
      <c r="I2">
        <f>SUMIF($B$16:$AU$16,$F2,$B$37:$AU$37)</f>
        <v>6.22</v>
      </c>
      <c r="J2">
        <f>SUMIFS($B$45:$AS$45,$B$24:$AS$24,$F2,$B$45:$AS$45,"&gt;0")</f>
        <v>11.250000000000002</v>
      </c>
      <c r="K2">
        <f>SUMIFS($B$54:$AS$54,$B$24:$AS$24,$F2,$B$54:$AS$54,"&gt;0")</f>
        <v>10.149999999999999</v>
      </c>
      <c r="L2">
        <f>SUM(G2:K2)</f>
        <v>56.16</v>
      </c>
      <c r="N2" s="14">
        <f>SUM(G2:H2)/$L2</f>
        <v>0.50819088319088324</v>
      </c>
      <c r="O2" s="14">
        <f>SUM(I2:J2)/$L2</f>
        <v>0.31107549857549865</v>
      </c>
      <c r="P2" s="14">
        <f>SUM(K2)/$L2</f>
        <v>0.18073361823361822</v>
      </c>
      <c r="R2" s="14">
        <f>(G2+I2)/L2</f>
        <v>0.25925925925925924</v>
      </c>
      <c r="S2" s="15">
        <f>1-R2</f>
        <v>0.7407407407407407</v>
      </c>
    </row>
    <row r="3" spans="1:45" x14ac:dyDescent="0.35">
      <c r="A3" t="s">
        <v>432</v>
      </c>
      <c r="B3">
        <f>Auxiliar!Q21</f>
        <v>1</v>
      </c>
      <c r="C3" t="str">
        <f>Auxiliar!P21</f>
        <v>Residencial</v>
      </c>
      <c r="E3">
        <v>2</v>
      </c>
      <c r="F3" t="s">
        <v>524</v>
      </c>
      <c r="G3">
        <f t="shared" ref="G3:G12" si="0">SUMIF($B$16:$AU$16,$F3,$B$21:$AU$21)</f>
        <v>8.34</v>
      </c>
      <c r="H3">
        <f t="shared" ref="H3:H12" si="1">SUMIFS($B$29:$AS$29,$B$24:$AS$24,$F3,$B$29:$AS$29,"&gt;0")</f>
        <v>29.1</v>
      </c>
      <c r="I3">
        <f t="shared" ref="I3:I12" si="2">SUMIF($B$16:$AU$16,$F3,$B$37:$AU$37)</f>
        <v>6.22</v>
      </c>
      <c r="J3">
        <f t="shared" ref="J3:J12" si="3">SUMIFS($B$45:$AS$45,$B$24:$AS$24,$F3,$B$45:$AS$45,"&gt;0")</f>
        <v>16.200000000000003</v>
      </c>
      <c r="K3">
        <f t="shared" ref="K3:K12" si="4">SUMIFS($B$54:$AS$54,$B$24:$AS$24,$F3,$B$54:$AS$54,"&gt;0")</f>
        <v>14.6</v>
      </c>
      <c r="L3">
        <f t="shared" ref="L3:L12" si="5">SUM(G3:K3)</f>
        <v>74.459999999999994</v>
      </c>
      <c r="N3" s="14">
        <f t="shared" ref="N3:N12" si="6">SUM(G3:H3)/$L3</f>
        <v>0.50282030620467366</v>
      </c>
      <c r="O3" s="14">
        <f t="shared" ref="O3:O12" si="7">SUM(I3:J3)/$L3</f>
        <v>0.3011012624227774</v>
      </c>
      <c r="P3" s="14">
        <f t="shared" ref="P3:P12" si="8">SUM(K3)/$L3</f>
        <v>0.19607843137254904</v>
      </c>
      <c r="R3" s="14">
        <f t="shared" ref="R3:R12" si="9">(G3+I3)/L3</f>
        <v>0.19554123019070641</v>
      </c>
      <c r="S3" s="15">
        <f t="shared" ref="S3:S12" si="10">1-R3</f>
        <v>0.80445876980929354</v>
      </c>
    </row>
    <row r="4" spans="1:45" x14ac:dyDescent="0.35">
      <c r="A4" t="s">
        <v>453</v>
      </c>
      <c r="B4">
        <f>Simulador!C7</f>
        <v>10</v>
      </c>
      <c r="E4">
        <v>2</v>
      </c>
      <c r="F4" t="s">
        <v>528</v>
      </c>
      <c r="G4">
        <f t="shared" si="0"/>
        <v>124.53</v>
      </c>
      <c r="H4">
        <f t="shared" si="1"/>
        <v>434.5</v>
      </c>
      <c r="I4">
        <f t="shared" si="2"/>
        <v>92.87</v>
      </c>
      <c r="J4">
        <f t="shared" si="3"/>
        <v>241.9</v>
      </c>
      <c r="K4">
        <f t="shared" si="4"/>
        <v>218</v>
      </c>
      <c r="L4">
        <f t="shared" si="5"/>
        <v>1111.8</v>
      </c>
      <c r="N4" s="14">
        <f t="shared" si="6"/>
        <v>0.50281525454218379</v>
      </c>
      <c r="O4" s="14">
        <f t="shared" si="7"/>
        <v>0.30110631408526711</v>
      </c>
      <c r="P4" s="14">
        <f t="shared" si="8"/>
        <v>0.19607843137254902</v>
      </c>
      <c r="R4" s="14">
        <f t="shared" si="9"/>
        <v>0.19553876596510164</v>
      </c>
      <c r="S4" s="15">
        <f t="shared" si="10"/>
        <v>0.80446123403489833</v>
      </c>
    </row>
    <row r="5" spans="1:45" x14ac:dyDescent="0.35">
      <c r="A5" t="s">
        <v>556</v>
      </c>
      <c r="B5">
        <f>IFERROR(IF(B3=2,"Ver tabela ao lado",VLOOKUP(B3,E2:L12,8,0)),"")</f>
        <v>56.16</v>
      </c>
      <c r="E5">
        <v>2</v>
      </c>
      <c r="F5" t="s">
        <v>532</v>
      </c>
      <c r="G5">
        <f t="shared" si="0"/>
        <v>261.51</v>
      </c>
      <c r="H5">
        <f t="shared" si="1"/>
        <v>912.4</v>
      </c>
      <c r="I5">
        <f t="shared" si="2"/>
        <v>195.03</v>
      </c>
      <c r="J5">
        <f t="shared" si="3"/>
        <v>508</v>
      </c>
      <c r="K5">
        <f t="shared" si="4"/>
        <v>457.8</v>
      </c>
      <c r="L5">
        <f t="shared" si="5"/>
        <v>2334.7399999999998</v>
      </c>
      <c r="N5" s="14">
        <f t="shared" si="6"/>
        <v>0.50280116843845568</v>
      </c>
      <c r="O5" s="14">
        <f t="shared" si="7"/>
        <v>0.30111704086964719</v>
      </c>
      <c r="P5" s="14">
        <f t="shared" si="8"/>
        <v>0.19608179069189718</v>
      </c>
      <c r="R5" s="14">
        <f t="shared" si="9"/>
        <v>0.19554211603861671</v>
      </c>
      <c r="S5" s="15">
        <f t="shared" si="10"/>
        <v>0.80445788396138329</v>
      </c>
    </row>
    <row r="6" spans="1:45" x14ac:dyDescent="0.35">
      <c r="E6">
        <v>2</v>
      </c>
      <c r="F6" t="s">
        <v>536</v>
      </c>
      <c r="G6">
        <f t="shared" si="0"/>
        <v>836.82</v>
      </c>
      <c r="H6">
        <f t="shared" si="1"/>
        <v>2919.8</v>
      </c>
      <c r="I6">
        <f t="shared" si="2"/>
        <v>624.1</v>
      </c>
      <c r="J6">
        <f t="shared" si="3"/>
        <v>1625.5</v>
      </c>
      <c r="K6">
        <f t="shared" si="4"/>
        <v>1464.9</v>
      </c>
      <c r="L6">
        <f t="shared" si="5"/>
        <v>7471.1200000000008</v>
      </c>
      <c r="N6" s="14">
        <f t="shared" si="6"/>
        <v>0.5028188544689417</v>
      </c>
      <c r="O6" s="14">
        <f t="shared" si="7"/>
        <v>0.30110612598914216</v>
      </c>
      <c r="P6" s="14">
        <f t="shared" si="8"/>
        <v>0.19607501954191606</v>
      </c>
      <c r="R6" s="14">
        <f t="shared" si="9"/>
        <v>0.19554230155585775</v>
      </c>
      <c r="S6" s="15">
        <f t="shared" si="10"/>
        <v>0.80445769844414228</v>
      </c>
    </row>
    <row r="7" spans="1:45" x14ac:dyDescent="0.35">
      <c r="E7">
        <v>3</v>
      </c>
      <c r="F7" t="s">
        <v>417</v>
      </c>
      <c r="G7">
        <f t="shared" si="0"/>
        <v>2.6</v>
      </c>
      <c r="H7">
        <f t="shared" si="1"/>
        <v>7.1</v>
      </c>
      <c r="I7">
        <f t="shared" si="2"/>
        <v>1.94</v>
      </c>
      <c r="J7">
        <f t="shared" si="3"/>
        <v>3.9000000000000004</v>
      </c>
      <c r="K7">
        <f t="shared" si="4"/>
        <v>2.3000000000000003</v>
      </c>
      <c r="L7">
        <f t="shared" si="5"/>
        <v>17.84</v>
      </c>
      <c r="N7" s="14">
        <f t="shared" si="6"/>
        <v>0.54372197309417036</v>
      </c>
      <c r="O7" s="14">
        <f t="shared" si="7"/>
        <v>0.3273542600896861</v>
      </c>
      <c r="P7" s="14">
        <f t="shared" si="8"/>
        <v>0.12892376681614351</v>
      </c>
      <c r="R7" s="14">
        <f t="shared" si="9"/>
        <v>0.25448430493273544</v>
      </c>
      <c r="S7" s="15">
        <f t="shared" si="10"/>
        <v>0.74551569506726456</v>
      </c>
    </row>
    <row r="8" spans="1:45" x14ac:dyDescent="0.35">
      <c r="E8">
        <v>5</v>
      </c>
      <c r="F8" t="s">
        <v>465</v>
      </c>
      <c r="G8">
        <f t="shared" si="0"/>
        <v>0.3</v>
      </c>
      <c r="H8">
        <f t="shared" si="1"/>
        <v>0.8</v>
      </c>
      <c r="I8">
        <f t="shared" si="2"/>
        <v>0.23</v>
      </c>
      <c r="J8">
        <f t="shared" si="3"/>
        <v>0.5</v>
      </c>
      <c r="K8">
        <f t="shared" si="4"/>
        <v>0.3</v>
      </c>
      <c r="L8">
        <f t="shared" si="5"/>
        <v>2.13</v>
      </c>
      <c r="N8" s="14">
        <f t="shared" si="6"/>
        <v>0.51643192488262912</v>
      </c>
      <c r="O8" s="14">
        <f t="shared" si="7"/>
        <v>0.34272300469483569</v>
      </c>
      <c r="P8" s="14">
        <f t="shared" si="8"/>
        <v>0.14084507042253522</v>
      </c>
      <c r="R8" s="14">
        <f t="shared" si="9"/>
        <v>0.24882629107981225</v>
      </c>
      <c r="S8" s="15">
        <f t="shared" si="10"/>
        <v>0.75117370892018775</v>
      </c>
    </row>
    <row r="9" spans="1:45" x14ac:dyDescent="0.35">
      <c r="E9">
        <v>6</v>
      </c>
      <c r="F9" t="s">
        <v>458</v>
      </c>
      <c r="G9">
        <f t="shared" si="0"/>
        <v>16.27</v>
      </c>
      <c r="H9">
        <f t="shared" si="1"/>
        <v>33.150000000000006</v>
      </c>
      <c r="I9">
        <f t="shared" si="2"/>
        <v>12.14</v>
      </c>
      <c r="J9">
        <f t="shared" si="3"/>
        <v>18.450000000000003</v>
      </c>
      <c r="K9">
        <f t="shared" si="4"/>
        <v>15.95</v>
      </c>
      <c r="L9">
        <f t="shared" si="5"/>
        <v>95.960000000000008</v>
      </c>
      <c r="N9" s="14">
        <f t="shared" si="6"/>
        <v>0.51500625260525212</v>
      </c>
      <c r="O9" s="14">
        <f t="shared" si="7"/>
        <v>0.31877865777407255</v>
      </c>
      <c r="P9" s="14">
        <f t="shared" si="8"/>
        <v>0.16621508962067527</v>
      </c>
      <c r="R9" s="14">
        <f t="shared" si="9"/>
        <v>0.29606085869112125</v>
      </c>
      <c r="S9" s="15">
        <f t="shared" si="10"/>
        <v>0.70393914130887869</v>
      </c>
    </row>
    <row r="10" spans="1:45" x14ac:dyDescent="0.35">
      <c r="E10">
        <v>8</v>
      </c>
      <c r="F10" t="s">
        <v>468</v>
      </c>
      <c r="G10">
        <f t="shared" si="0"/>
        <v>8.1300000000000008</v>
      </c>
      <c r="H10">
        <f t="shared" si="1"/>
        <v>16.600000000000001</v>
      </c>
      <c r="I10">
        <f t="shared" si="2"/>
        <v>6.07</v>
      </c>
      <c r="J10">
        <f t="shared" si="3"/>
        <v>9.25</v>
      </c>
      <c r="K10">
        <f t="shared" si="4"/>
        <v>7.9500000000000011</v>
      </c>
      <c r="L10">
        <f t="shared" si="5"/>
        <v>48.000000000000007</v>
      </c>
      <c r="N10" s="14">
        <f t="shared" si="6"/>
        <v>0.51520833333333338</v>
      </c>
      <c r="O10" s="14">
        <f t="shared" si="7"/>
        <v>0.3191666666666666</v>
      </c>
      <c r="P10" s="14">
        <f t="shared" si="8"/>
        <v>0.16562499999999999</v>
      </c>
      <c r="R10" s="14">
        <f t="shared" si="9"/>
        <v>0.29583333333333334</v>
      </c>
      <c r="S10" s="15">
        <f t="shared" si="10"/>
        <v>0.70416666666666661</v>
      </c>
    </row>
    <row r="11" spans="1:45" x14ac:dyDescent="0.35">
      <c r="E11">
        <v>9</v>
      </c>
      <c r="F11" t="s">
        <v>459</v>
      </c>
      <c r="G11">
        <f t="shared" si="0"/>
        <v>13.56</v>
      </c>
      <c r="H11">
        <f t="shared" si="1"/>
        <v>18.400000000000002</v>
      </c>
      <c r="I11">
        <f t="shared" si="2"/>
        <v>10.119999999999999</v>
      </c>
      <c r="J11">
        <f t="shared" si="3"/>
        <v>10.3</v>
      </c>
      <c r="K11">
        <f t="shared" si="4"/>
        <v>5.8999999999999995</v>
      </c>
      <c r="L11">
        <f t="shared" si="5"/>
        <v>58.279999999999994</v>
      </c>
      <c r="N11" s="14">
        <f t="shared" si="6"/>
        <v>0.54838709677419362</v>
      </c>
      <c r="O11" s="14">
        <f t="shared" si="7"/>
        <v>0.35037748798901858</v>
      </c>
      <c r="P11" s="14">
        <f t="shared" si="8"/>
        <v>0.10123541523678792</v>
      </c>
      <c r="R11" s="14">
        <f t="shared" si="9"/>
        <v>0.40631434454358273</v>
      </c>
      <c r="S11" s="15">
        <f t="shared" si="10"/>
        <v>0.59368565545641727</v>
      </c>
    </row>
    <row r="12" spans="1:45" x14ac:dyDescent="0.35">
      <c r="E12">
        <v>10</v>
      </c>
      <c r="F12" t="s">
        <v>460</v>
      </c>
      <c r="G12">
        <f t="shared" si="0"/>
        <v>23.05</v>
      </c>
      <c r="H12">
        <f t="shared" si="1"/>
        <v>23.5</v>
      </c>
      <c r="I12">
        <f t="shared" si="2"/>
        <v>17.2</v>
      </c>
      <c r="J12">
        <f t="shared" si="3"/>
        <v>13.100000000000001</v>
      </c>
      <c r="K12">
        <f t="shared" si="4"/>
        <v>10</v>
      </c>
      <c r="L12">
        <f t="shared" si="5"/>
        <v>86.85</v>
      </c>
      <c r="N12" s="14">
        <f t="shared" si="6"/>
        <v>0.53598157743235464</v>
      </c>
      <c r="O12" s="14">
        <f t="shared" si="7"/>
        <v>0.34887737478411057</v>
      </c>
      <c r="P12" s="14">
        <f t="shared" si="8"/>
        <v>0.11514104778353484</v>
      </c>
      <c r="R12" s="14">
        <f t="shared" si="9"/>
        <v>0.46344271732872772</v>
      </c>
      <c r="S12" s="15">
        <f t="shared" si="10"/>
        <v>0.53655728267127234</v>
      </c>
    </row>
    <row r="15" spans="1:45" x14ac:dyDescent="0.35">
      <c r="A15" t="s">
        <v>550</v>
      </c>
    </row>
    <row r="16" spans="1:45" x14ac:dyDescent="0.35">
      <c r="A16" t="s">
        <v>432</v>
      </c>
      <c r="B16" t="s">
        <v>515</v>
      </c>
      <c r="C16" t="s">
        <v>515</v>
      </c>
      <c r="D16" t="s">
        <v>515</v>
      </c>
      <c r="E16" t="s">
        <v>515</v>
      </c>
      <c r="F16" t="s">
        <v>524</v>
      </c>
      <c r="G16" t="s">
        <v>524</v>
      </c>
      <c r="H16" t="s">
        <v>524</v>
      </c>
      <c r="I16" t="s">
        <v>528</v>
      </c>
      <c r="J16" t="s">
        <v>528</v>
      </c>
      <c r="K16" t="s">
        <v>528</v>
      </c>
      <c r="L16" t="s">
        <v>532</v>
      </c>
      <c r="M16" t="s">
        <v>532</v>
      </c>
      <c r="N16" t="s">
        <v>532</v>
      </c>
      <c r="O16" t="s">
        <v>536</v>
      </c>
      <c r="P16" t="s">
        <v>536</v>
      </c>
      <c r="Q16" t="s">
        <v>536</v>
      </c>
      <c r="R16" t="s">
        <v>417</v>
      </c>
      <c r="S16" t="s">
        <v>417</v>
      </c>
      <c r="T16" t="s">
        <v>417</v>
      </c>
      <c r="U16" t="s">
        <v>417</v>
      </c>
      <c r="V16" t="s">
        <v>465</v>
      </c>
      <c r="W16" t="s">
        <v>465</v>
      </c>
      <c r="X16" t="s">
        <v>465</v>
      </c>
      <c r="Y16" t="s">
        <v>465</v>
      </c>
      <c r="Z16" t="s">
        <v>458</v>
      </c>
      <c r="AA16" t="s">
        <v>458</v>
      </c>
      <c r="AB16" t="s">
        <v>458</v>
      </c>
      <c r="AC16" t="s">
        <v>458</v>
      </c>
      <c r="AD16" t="s">
        <v>458</v>
      </c>
      <c r="AE16" t="s">
        <v>468</v>
      </c>
      <c r="AF16" t="s">
        <v>468</v>
      </c>
      <c r="AG16" t="s">
        <v>468</v>
      </c>
      <c r="AH16" t="s">
        <v>468</v>
      </c>
      <c r="AI16" t="s">
        <v>468</v>
      </c>
      <c r="AJ16" t="s">
        <v>459</v>
      </c>
      <c r="AK16" t="s">
        <v>459</v>
      </c>
      <c r="AL16" t="s">
        <v>459</v>
      </c>
      <c r="AM16" t="s">
        <v>459</v>
      </c>
      <c r="AN16" t="s">
        <v>459</v>
      </c>
      <c r="AO16" t="s">
        <v>460</v>
      </c>
      <c r="AP16" t="s">
        <v>460</v>
      </c>
      <c r="AQ16" t="s">
        <v>460</v>
      </c>
      <c r="AR16" t="s">
        <v>460</v>
      </c>
      <c r="AS16" t="s">
        <v>460</v>
      </c>
    </row>
    <row r="17" spans="1:45" x14ac:dyDescent="0.35">
      <c r="A17" t="s">
        <v>431</v>
      </c>
      <c r="B17" t="s">
        <v>516</v>
      </c>
      <c r="C17" t="s">
        <v>517</v>
      </c>
      <c r="D17" t="s">
        <v>518</v>
      </c>
      <c r="E17" t="s">
        <v>519</v>
      </c>
      <c r="F17" t="s">
        <v>525</v>
      </c>
      <c r="G17" t="s">
        <v>526</v>
      </c>
      <c r="H17" t="s">
        <v>527</v>
      </c>
      <c r="I17" t="s">
        <v>529</v>
      </c>
      <c r="J17" t="s">
        <v>530</v>
      </c>
      <c r="K17" t="s">
        <v>531</v>
      </c>
      <c r="L17" t="s">
        <v>533</v>
      </c>
      <c r="M17" t="s">
        <v>534</v>
      </c>
      <c r="N17" t="s">
        <v>535</v>
      </c>
      <c r="O17" t="s">
        <v>537</v>
      </c>
      <c r="P17" t="s">
        <v>538</v>
      </c>
      <c r="Q17" t="s">
        <v>539</v>
      </c>
      <c r="R17" t="s">
        <v>418</v>
      </c>
      <c r="S17" t="s">
        <v>540</v>
      </c>
      <c r="T17" t="s">
        <v>541</v>
      </c>
      <c r="U17" t="s">
        <v>519</v>
      </c>
      <c r="V17" t="s">
        <v>418</v>
      </c>
      <c r="W17" t="s">
        <v>540</v>
      </c>
      <c r="X17" t="s">
        <v>541</v>
      </c>
      <c r="Y17" t="s">
        <v>519</v>
      </c>
      <c r="Z17" t="s">
        <v>516</v>
      </c>
      <c r="AA17" t="s">
        <v>517</v>
      </c>
      <c r="AB17" t="s">
        <v>518</v>
      </c>
      <c r="AC17" t="s">
        <v>542</v>
      </c>
      <c r="AD17" t="s">
        <v>543</v>
      </c>
      <c r="AE17" t="s">
        <v>516</v>
      </c>
      <c r="AF17" t="s">
        <v>517</v>
      </c>
      <c r="AG17" t="s">
        <v>518</v>
      </c>
      <c r="AH17" t="s">
        <v>542</v>
      </c>
      <c r="AI17" t="s">
        <v>543</v>
      </c>
      <c r="AJ17" t="s">
        <v>418</v>
      </c>
      <c r="AK17" t="s">
        <v>544</v>
      </c>
      <c r="AL17" t="s">
        <v>545</v>
      </c>
      <c r="AM17" t="s">
        <v>546</v>
      </c>
      <c r="AN17" t="s">
        <v>547</v>
      </c>
      <c r="AO17" t="s">
        <v>418</v>
      </c>
      <c r="AP17" t="s">
        <v>544</v>
      </c>
      <c r="AQ17" t="s">
        <v>545</v>
      </c>
      <c r="AR17" t="s">
        <v>546</v>
      </c>
      <c r="AS17" t="s">
        <v>547</v>
      </c>
    </row>
    <row r="18" spans="1:45" x14ac:dyDescent="0.35">
      <c r="A18" t="s">
        <v>429</v>
      </c>
      <c r="B18">
        <v>0</v>
      </c>
      <c r="C18">
        <v>5</v>
      </c>
      <c r="D18">
        <v>15</v>
      </c>
      <c r="E18">
        <v>30</v>
      </c>
      <c r="F18">
        <v>0</v>
      </c>
      <c r="G18">
        <v>15</v>
      </c>
      <c r="H18">
        <v>50</v>
      </c>
      <c r="I18">
        <v>0</v>
      </c>
      <c r="J18">
        <v>200</v>
      </c>
      <c r="K18">
        <v>600</v>
      </c>
      <c r="L18">
        <v>0</v>
      </c>
      <c r="M18">
        <v>600</v>
      </c>
      <c r="N18">
        <v>2000</v>
      </c>
      <c r="O18">
        <v>0</v>
      </c>
      <c r="P18">
        <v>2000</v>
      </c>
      <c r="Q18">
        <v>6000</v>
      </c>
      <c r="R18">
        <v>0</v>
      </c>
      <c r="S18">
        <v>10</v>
      </c>
      <c r="T18">
        <v>20</v>
      </c>
      <c r="U18">
        <v>30</v>
      </c>
      <c r="V18">
        <v>0</v>
      </c>
      <c r="W18">
        <v>10</v>
      </c>
      <c r="X18">
        <v>20</v>
      </c>
      <c r="Y18">
        <v>30</v>
      </c>
      <c r="Z18">
        <v>0</v>
      </c>
      <c r="AA18">
        <v>5</v>
      </c>
      <c r="AB18">
        <v>15</v>
      </c>
      <c r="AC18">
        <v>30</v>
      </c>
      <c r="AD18">
        <v>100</v>
      </c>
      <c r="AE18">
        <v>0</v>
      </c>
      <c r="AF18">
        <v>5</v>
      </c>
      <c r="AG18">
        <v>15</v>
      </c>
      <c r="AH18">
        <v>30</v>
      </c>
      <c r="AI18">
        <v>100</v>
      </c>
      <c r="AJ18">
        <v>0</v>
      </c>
      <c r="AK18">
        <v>10</v>
      </c>
      <c r="AL18">
        <v>50</v>
      </c>
      <c r="AM18">
        <v>100</v>
      </c>
      <c r="AN18">
        <v>500</v>
      </c>
      <c r="AO18">
        <v>0</v>
      </c>
      <c r="AP18">
        <v>10</v>
      </c>
      <c r="AQ18">
        <v>50</v>
      </c>
      <c r="AR18">
        <v>100</v>
      </c>
      <c r="AS18">
        <v>500</v>
      </c>
    </row>
    <row r="19" spans="1:45" x14ac:dyDescent="0.35">
      <c r="A19" t="s">
        <v>430</v>
      </c>
      <c r="B19">
        <v>5</v>
      </c>
      <c r="C19">
        <v>15</v>
      </c>
      <c r="D19">
        <v>30</v>
      </c>
      <c r="F19">
        <v>15</v>
      </c>
      <c r="G19">
        <v>50</v>
      </c>
      <c r="I19">
        <v>200</v>
      </c>
      <c r="J19">
        <v>600</v>
      </c>
      <c r="L19">
        <v>600</v>
      </c>
      <c r="M19">
        <v>2000</v>
      </c>
      <c r="O19">
        <v>2000</v>
      </c>
      <c r="P19">
        <v>6000</v>
      </c>
      <c r="R19">
        <v>10</v>
      </c>
      <c r="S19">
        <v>20</v>
      </c>
      <c r="T19">
        <v>30</v>
      </c>
      <c r="V19">
        <v>10</v>
      </c>
      <c r="W19">
        <v>20</v>
      </c>
      <c r="X19">
        <v>30</v>
      </c>
      <c r="Z19">
        <v>5</v>
      </c>
      <c r="AA19">
        <v>15</v>
      </c>
      <c r="AB19">
        <v>30</v>
      </c>
      <c r="AC19">
        <v>100</v>
      </c>
      <c r="AE19">
        <v>5</v>
      </c>
      <c r="AF19">
        <v>15</v>
      </c>
      <c r="AG19">
        <v>30</v>
      </c>
      <c r="AH19">
        <v>100</v>
      </c>
      <c r="AJ19">
        <v>10</v>
      </c>
      <c r="AK19">
        <v>50</v>
      </c>
      <c r="AL19">
        <v>100</v>
      </c>
      <c r="AM19">
        <v>500</v>
      </c>
      <c r="AO19">
        <v>10</v>
      </c>
      <c r="AP19">
        <v>50</v>
      </c>
      <c r="AQ19">
        <v>100</v>
      </c>
      <c r="AR19">
        <v>500</v>
      </c>
    </row>
    <row r="20" spans="1:45" x14ac:dyDescent="0.35">
      <c r="A20" t="s">
        <v>455</v>
      </c>
      <c r="B20">
        <f>VLOOKUP(B16&amp;B17,'Tarifas 3RTO'!$A$4:$J$47,COLUMN('Tarifas 3RTO'!$F$4),0)</f>
        <v>8.34</v>
      </c>
      <c r="C20">
        <f>VLOOKUP(C16&amp;C17,'Tarifas 3RTO'!$A$4:$J$47,COLUMN('Tarifas 3RTO'!$F$4),0)</f>
        <v>8.34</v>
      </c>
      <c r="D20">
        <f>VLOOKUP(D16&amp;D17,'Tarifas 3RTO'!$A$4:$J$47,COLUMN('Tarifas 3RTO'!$F$4),0)</f>
        <v>36.130000000000003</v>
      </c>
      <c r="E20">
        <f>VLOOKUP(E16&amp;E17,'Tarifas 3RTO'!$A$4:$J$47,COLUMN('Tarifas 3RTO'!$F$4),0)</f>
        <v>75.16</v>
      </c>
      <c r="F20">
        <f>VLOOKUP(F16&amp;F17,'Tarifas 3RTO'!$A$4:$J$47,COLUMN('Tarifas 3RTO'!$F$4),0)</f>
        <v>8.34</v>
      </c>
      <c r="G20">
        <f>VLOOKUP(G16&amp;G17,'Tarifas 3RTO'!$A$4:$J$47,COLUMN('Tarifas 3RTO'!$F$4),0)</f>
        <v>9.17</v>
      </c>
      <c r="H20">
        <f>VLOOKUP(H16&amp;H17,'Tarifas 3RTO'!$A$4:$J$47,COLUMN('Tarifas 3RTO'!$F$4),0)</f>
        <v>13.76</v>
      </c>
      <c r="I20">
        <f>VLOOKUP(I16&amp;I17,'Tarifas 3RTO'!$A$4:$J$47,COLUMN('Tarifas 3RTO'!$F$4),0)</f>
        <v>124.53</v>
      </c>
      <c r="J20">
        <f>VLOOKUP(J16&amp;J17,'Tarifas 3RTO'!$A$4:$J$47,COLUMN('Tarifas 3RTO'!$F$4),0)</f>
        <v>111.92</v>
      </c>
      <c r="K20">
        <f>VLOOKUP(K16&amp;K17,'Tarifas 3RTO'!$A$4:$J$47,COLUMN('Tarifas 3RTO'!$F$4),0)</f>
        <v>167.88</v>
      </c>
      <c r="L20">
        <f>VLOOKUP(L16&amp;L17,'Tarifas 3RTO'!$A$4:$J$47,COLUMN('Tarifas 3RTO'!$F$4),0)</f>
        <v>261.51</v>
      </c>
      <c r="M20">
        <f>VLOOKUP(M16&amp;M17,'Tarifas 3RTO'!$A$4:$J$47,COLUMN('Tarifas 3RTO'!$F$4),0)</f>
        <v>358.15</v>
      </c>
      <c r="N20">
        <f>VLOOKUP(N16&amp;N17,'Tarifas 3RTO'!$A$4:$J$47,COLUMN('Tarifas 3RTO'!$F$4),0)</f>
        <v>483.51</v>
      </c>
      <c r="O20">
        <f>VLOOKUP(O16&amp;O17,'Tarifas 3RTO'!$A$4:$J$47,COLUMN('Tarifas 3RTO'!$F$4),0)</f>
        <v>836.82</v>
      </c>
      <c r="P20">
        <f>VLOOKUP(P16&amp;P17,'Tarifas 3RTO'!$A$4:$J$47,COLUMN('Tarifas 3RTO'!$F$4),0)</f>
        <v>1164</v>
      </c>
      <c r="Q20">
        <f>VLOOKUP(Q16&amp;Q17,'Tarifas 3RTO'!$A$4:$J$47,COLUMN('Tarifas 3RTO'!$F$4),0)</f>
        <v>1450.52</v>
      </c>
      <c r="R20">
        <f>VLOOKUP(R16&amp;R17,'Tarifas 3RTO'!$A$4:$J$47,COLUMN('Tarifas 3RTO'!$F$4),0)</f>
        <v>2.6</v>
      </c>
      <c r="S20">
        <f>VLOOKUP(S16&amp;S17,'Tarifas 3RTO'!$A$4:$J$47,COLUMN('Tarifas 3RTO'!$F$4),0)</f>
        <v>4.17</v>
      </c>
      <c r="T20">
        <f>VLOOKUP(T16&amp;T17,'Tarifas 3RTO'!$A$4:$J$47,COLUMN('Tarifas 3RTO'!$F$4),0)</f>
        <v>16.66</v>
      </c>
      <c r="U20">
        <f>VLOOKUP(U16&amp;U17,'Tarifas 3RTO'!$A$4:$J$47,COLUMN('Tarifas 3RTO'!$F$4),0)</f>
        <v>45.09</v>
      </c>
      <c r="V20">
        <f>VLOOKUP(V16&amp;V17,'Tarifas 3RTO'!$A$4:$J$47,COLUMN('Tarifas 3RTO'!$F$4),0)</f>
        <v>0.3</v>
      </c>
      <c r="W20">
        <f>VLOOKUP(W16&amp;W17,'Tarifas 3RTO'!$A$4:$J$47,COLUMN('Tarifas 3RTO'!$F$4),0)</f>
        <v>0.48</v>
      </c>
      <c r="X20">
        <f>VLOOKUP(X16&amp;X17,'Tarifas 3RTO'!$A$4:$J$47,COLUMN('Tarifas 3RTO'!$F$4),0)</f>
        <v>1.94</v>
      </c>
      <c r="Y20">
        <f>VLOOKUP(Y16&amp;Y17,'Tarifas 3RTO'!$A$4:$J$47,COLUMN('Tarifas 3RTO'!$F$4),0)</f>
        <v>37.58</v>
      </c>
      <c r="Z20">
        <f>VLOOKUP(Z16&amp;Z17,'Tarifas 3RTO'!$A$4:$J$47,COLUMN('Tarifas 3RTO'!$F$4),0)</f>
        <v>16.27</v>
      </c>
      <c r="AA20">
        <f>VLOOKUP(AA16&amp;AA17,'Tarifas 3RTO'!$A$4:$J$47,COLUMN('Tarifas 3RTO'!$F$4),0)</f>
        <v>16.27</v>
      </c>
      <c r="AB20">
        <f>VLOOKUP(AB16&amp;AB17,'Tarifas 3RTO'!$A$4:$J$47,COLUMN('Tarifas 3RTO'!$F$4),0)</f>
        <v>40.67</v>
      </c>
      <c r="AC20">
        <f>VLOOKUP(AC16&amp;AC17,'Tarifas 3RTO'!$A$4:$J$47,COLUMN('Tarifas 3RTO'!$F$4),0)</f>
        <v>97.61</v>
      </c>
      <c r="AD20">
        <f>VLOOKUP(AD16&amp;AD17,'Tarifas 3RTO'!$A$4:$J$47,COLUMN('Tarifas 3RTO'!$F$4),0)</f>
        <v>162.68</v>
      </c>
      <c r="AE20">
        <f>VLOOKUP(AE16&amp;AE17,'Tarifas 3RTO'!$A$4:$J$47,COLUMN('Tarifas 3RTO'!$F$4),0)</f>
        <v>8.1300000000000008</v>
      </c>
      <c r="AF20">
        <f>VLOOKUP(AF16&amp;AF17,'Tarifas 3RTO'!$A$4:$J$47,COLUMN('Tarifas 3RTO'!$F$4),0)</f>
        <v>8.1300000000000008</v>
      </c>
      <c r="AG20">
        <f>VLOOKUP(AG16&amp;AG17,'Tarifas 3RTO'!$A$4:$J$47,COLUMN('Tarifas 3RTO'!$F$4),0)</f>
        <v>20.34</v>
      </c>
      <c r="AH20">
        <f>VLOOKUP(AH16&amp;AH17,'Tarifas 3RTO'!$A$4:$J$47,COLUMN('Tarifas 3RTO'!$F$4),0)</f>
        <v>48.81</v>
      </c>
      <c r="AI20">
        <f>VLOOKUP(AI16&amp;AI17,'Tarifas 3RTO'!$A$4:$J$47,COLUMN('Tarifas 3RTO'!$F$4),0)</f>
        <v>81.34</v>
      </c>
      <c r="AJ20">
        <f>VLOOKUP(AJ16&amp;AJ17,'Tarifas 3RTO'!$A$4:$J$47,COLUMN('Tarifas 3RTO'!$F$4),0)</f>
        <v>13.56</v>
      </c>
      <c r="AK20">
        <f>VLOOKUP(AK16&amp;AK17,'Tarifas 3RTO'!$A$4:$J$47,COLUMN('Tarifas 3RTO'!$F$4),0)</f>
        <v>51.53</v>
      </c>
      <c r="AL20">
        <f>VLOOKUP(AL16&amp;AL17,'Tarifas 3RTO'!$A$4:$J$47,COLUMN('Tarifas 3RTO'!$F$4),0)</f>
        <v>97.9</v>
      </c>
      <c r="AM20">
        <f>VLOOKUP(AM16&amp;AM17,'Tarifas 3RTO'!$A$4:$J$47,COLUMN('Tarifas 3RTO'!$F$4),0)</f>
        <v>116.26</v>
      </c>
      <c r="AN20">
        <f>VLOOKUP(AN16&amp;AN17,'Tarifas 3RTO'!$A$4:$J$47,COLUMN('Tarifas 3RTO'!$F$4),0)</f>
        <v>121.49</v>
      </c>
      <c r="AO20">
        <f>VLOOKUP(AO16&amp;AO17,'Tarifas 3RTO'!$A$4:$J$47,COLUMN('Tarifas 3RTO'!$F$4),0)</f>
        <v>23.05</v>
      </c>
      <c r="AP20">
        <f>VLOOKUP(AP16&amp;AP17,'Tarifas 3RTO'!$A$4:$J$47,COLUMN('Tarifas 3RTO'!$F$4),0)</f>
        <v>28.81</v>
      </c>
      <c r="AQ20">
        <f>VLOOKUP(AQ16&amp;AQ17,'Tarifas 3RTO'!$A$4:$J$47,COLUMN('Tarifas 3RTO'!$F$4),0)</f>
        <v>115.25</v>
      </c>
      <c r="AR20">
        <f>VLOOKUP(AR16&amp;AR17,'Tarifas 3RTO'!$A$4:$J$47,COLUMN('Tarifas 3RTO'!$F$4),0)</f>
        <v>132.54</v>
      </c>
      <c r="AS20">
        <f>VLOOKUP(AS16&amp;AS17,'Tarifas 3RTO'!$A$4:$J$47,COLUMN('Tarifas 3RTO'!$F$4),0)</f>
        <v>138.30000000000001</v>
      </c>
    </row>
    <row r="21" spans="1:45" x14ac:dyDescent="0.35">
      <c r="A21">
        <f>B4</f>
        <v>10</v>
      </c>
      <c r="B21">
        <f>IF(OR($A21&gt;B19,$A21&lt;B18),0,B20)</f>
        <v>0</v>
      </c>
      <c r="C21">
        <f>IF(OR($A21&gt;C19,$A21&lt;=C18),0,C20)</f>
        <v>8.34</v>
      </c>
      <c r="D21">
        <f t="shared" ref="D21:AS21" si="11">IF(OR($A21&gt;D19,$A21&lt;=D18),0,D20)</f>
        <v>0</v>
      </c>
      <c r="E21">
        <f t="shared" si="11"/>
        <v>0</v>
      </c>
      <c r="F21">
        <f t="shared" si="11"/>
        <v>8.34</v>
      </c>
      <c r="G21">
        <f t="shared" si="11"/>
        <v>0</v>
      </c>
      <c r="H21">
        <f t="shared" si="11"/>
        <v>0</v>
      </c>
      <c r="I21">
        <f t="shared" si="11"/>
        <v>124.53</v>
      </c>
      <c r="J21">
        <f t="shared" si="11"/>
        <v>0</v>
      </c>
      <c r="K21">
        <f t="shared" si="11"/>
        <v>0</v>
      </c>
      <c r="L21">
        <f t="shared" si="11"/>
        <v>261.51</v>
      </c>
      <c r="M21">
        <f t="shared" si="11"/>
        <v>0</v>
      </c>
      <c r="N21">
        <f t="shared" si="11"/>
        <v>0</v>
      </c>
      <c r="O21">
        <f t="shared" si="11"/>
        <v>836.82</v>
      </c>
      <c r="P21">
        <f t="shared" si="11"/>
        <v>0</v>
      </c>
      <c r="Q21">
        <f t="shared" si="11"/>
        <v>0</v>
      </c>
      <c r="R21">
        <f t="shared" si="11"/>
        <v>2.6</v>
      </c>
      <c r="S21">
        <f t="shared" si="11"/>
        <v>0</v>
      </c>
      <c r="T21">
        <f t="shared" si="11"/>
        <v>0</v>
      </c>
      <c r="U21">
        <f t="shared" si="11"/>
        <v>0</v>
      </c>
      <c r="V21">
        <f t="shared" si="11"/>
        <v>0.3</v>
      </c>
      <c r="W21">
        <f t="shared" si="11"/>
        <v>0</v>
      </c>
      <c r="X21">
        <f t="shared" si="11"/>
        <v>0</v>
      </c>
      <c r="Y21">
        <f t="shared" si="11"/>
        <v>0</v>
      </c>
      <c r="Z21">
        <f t="shared" si="11"/>
        <v>0</v>
      </c>
      <c r="AA21">
        <f t="shared" si="11"/>
        <v>16.27</v>
      </c>
      <c r="AB21">
        <f t="shared" si="11"/>
        <v>0</v>
      </c>
      <c r="AC21">
        <f t="shared" si="11"/>
        <v>0</v>
      </c>
      <c r="AD21">
        <f t="shared" si="11"/>
        <v>0</v>
      </c>
      <c r="AE21">
        <f t="shared" si="11"/>
        <v>0</v>
      </c>
      <c r="AF21">
        <f t="shared" si="11"/>
        <v>8.1300000000000008</v>
      </c>
      <c r="AG21">
        <f t="shared" si="11"/>
        <v>0</v>
      </c>
      <c r="AH21">
        <f t="shared" si="11"/>
        <v>0</v>
      </c>
      <c r="AI21">
        <f t="shared" si="11"/>
        <v>0</v>
      </c>
      <c r="AJ21">
        <f t="shared" si="11"/>
        <v>13.56</v>
      </c>
      <c r="AK21">
        <f t="shared" si="11"/>
        <v>0</v>
      </c>
      <c r="AL21">
        <f t="shared" si="11"/>
        <v>0</v>
      </c>
      <c r="AM21">
        <f t="shared" si="11"/>
        <v>0</v>
      </c>
      <c r="AN21">
        <f t="shared" si="11"/>
        <v>0</v>
      </c>
      <c r="AO21">
        <f t="shared" si="11"/>
        <v>23.05</v>
      </c>
      <c r="AP21">
        <f t="shared" si="11"/>
        <v>0</v>
      </c>
      <c r="AQ21">
        <f t="shared" si="11"/>
        <v>0</v>
      </c>
      <c r="AR21">
        <f t="shared" si="11"/>
        <v>0</v>
      </c>
      <c r="AS21">
        <f t="shared" si="11"/>
        <v>0</v>
      </c>
    </row>
    <row r="23" spans="1:45" x14ac:dyDescent="0.35">
      <c r="A23" t="s">
        <v>551</v>
      </c>
    </row>
    <row r="24" spans="1:45" x14ac:dyDescent="0.35">
      <c r="A24" t="s">
        <v>432</v>
      </c>
      <c r="B24" t="s">
        <v>515</v>
      </c>
      <c r="C24" t="s">
        <v>515</v>
      </c>
      <c r="D24" t="s">
        <v>515</v>
      </c>
      <c r="E24" t="s">
        <v>515</v>
      </c>
      <c r="F24" t="s">
        <v>524</v>
      </c>
      <c r="G24" t="s">
        <v>524</v>
      </c>
      <c r="H24" t="s">
        <v>524</v>
      </c>
      <c r="I24" t="s">
        <v>528</v>
      </c>
      <c r="J24" t="s">
        <v>528</v>
      </c>
      <c r="K24" t="s">
        <v>528</v>
      </c>
      <c r="L24" t="s">
        <v>532</v>
      </c>
      <c r="M24" t="s">
        <v>532</v>
      </c>
      <c r="N24" t="s">
        <v>532</v>
      </c>
      <c r="O24" t="s">
        <v>536</v>
      </c>
      <c r="P24" t="s">
        <v>536</v>
      </c>
      <c r="Q24" t="s">
        <v>536</v>
      </c>
      <c r="R24" t="s">
        <v>417</v>
      </c>
      <c r="S24" t="s">
        <v>417</v>
      </c>
      <c r="T24" t="s">
        <v>417</v>
      </c>
      <c r="U24" t="s">
        <v>417</v>
      </c>
      <c r="V24" t="s">
        <v>465</v>
      </c>
      <c r="W24" t="s">
        <v>465</v>
      </c>
      <c r="X24" t="s">
        <v>465</v>
      </c>
      <c r="Y24" t="s">
        <v>465</v>
      </c>
      <c r="Z24" t="s">
        <v>458</v>
      </c>
      <c r="AA24" t="s">
        <v>458</v>
      </c>
      <c r="AB24" t="s">
        <v>458</v>
      </c>
      <c r="AC24" t="s">
        <v>458</v>
      </c>
      <c r="AD24" t="s">
        <v>458</v>
      </c>
      <c r="AE24" t="s">
        <v>468</v>
      </c>
      <c r="AF24" t="s">
        <v>468</v>
      </c>
      <c r="AG24" t="s">
        <v>468</v>
      </c>
      <c r="AH24" t="s">
        <v>468</v>
      </c>
      <c r="AI24" t="s">
        <v>468</v>
      </c>
      <c r="AJ24" t="s">
        <v>459</v>
      </c>
      <c r="AK24" t="s">
        <v>459</v>
      </c>
      <c r="AL24" t="s">
        <v>459</v>
      </c>
      <c r="AM24" t="s">
        <v>459</v>
      </c>
      <c r="AN24" t="s">
        <v>459</v>
      </c>
      <c r="AO24" t="s">
        <v>460</v>
      </c>
      <c r="AP24" t="s">
        <v>460</v>
      </c>
      <c r="AQ24" t="s">
        <v>460</v>
      </c>
      <c r="AR24" t="s">
        <v>460</v>
      </c>
      <c r="AS24" t="s">
        <v>460</v>
      </c>
    </row>
    <row r="25" spans="1:45" x14ac:dyDescent="0.35">
      <c r="A25" t="s">
        <v>431</v>
      </c>
      <c r="B25" t="s">
        <v>516</v>
      </c>
      <c r="C25" t="s">
        <v>517</v>
      </c>
      <c r="D25" t="s">
        <v>518</v>
      </c>
      <c r="E25" t="s">
        <v>519</v>
      </c>
      <c r="F25" t="s">
        <v>525</v>
      </c>
      <c r="G25" t="s">
        <v>526</v>
      </c>
      <c r="H25" t="s">
        <v>527</v>
      </c>
      <c r="I25" t="s">
        <v>529</v>
      </c>
      <c r="J25" t="s">
        <v>530</v>
      </c>
      <c r="K25" t="s">
        <v>531</v>
      </c>
      <c r="L25" t="s">
        <v>533</v>
      </c>
      <c r="M25" t="s">
        <v>534</v>
      </c>
      <c r="N25" t="s">
        <v>535</v>
      </c>
      <c r="O25" t="s">
        <v>537</v>
      </c>
      <c r="P25" t="s">
        <v>538</v>
      </c>
      <c r="Q25" t="s">
        <v>539</v>
      </c>
      <c r="R25" t="s">
        <v>418</v>
      </c>
      <c r="S25" t="s">
        <v>540</v>
      </c>
      <c r="T25" t="s">
        <v>541</v>
      </c>
      <c r="U25" t="s">
        <v>519</v>
      </c>
      <c r="V25" t="s">
        <v>418</v>
      </c>
      <c r="W25" t="s">
        <v>540</v>
      </c>
      <c r="X25" t="s">
        <v>541</v>
      </c>
      <c r="Y25" t="s">
        <v>519</v>
      </c>
      <c r="Z25" t="s">
        <v>516</v>
      </c>
      <c r="AA25" t="s">
        <v>517</v>
      </c>
      <c r="AB25" t="s">
        <v>518</v>
      </c>
      <c r="AC25" t="s">
        <v>542</v>
      </c>
      <c r="AD25" t="s">
        <v>543</v>
      </c>
      <c r="AE25" t="s">
        <v>516</v>
      </c>
      <c r="AF25" t="s">
        <v>517</v>
      </c>
      <c r="AG25" t="s">
        <v>518</v>
      </c>
      <c r="AH25" t="s">
        <v>542</v>
      </c>
      <c r="AI25" t="s">
        <v>543</v>
      </c>
      <c r="AJ25" t="s">
        <v>418</v>
      </c>
      <c r="AK25" t="s">
        <v>544</v>
      </c>
      <c r="AL25" t="s">
        <v>545</v>
      </c>
      <c r="AM25" t="s">
        <v>546</v>
      </c>
      <c r="AN25" t="s">
        <v>547</v>
      </c>
      <c r="AO25" t="s">
        <v>418</v>
      </c>
      <c r="AP25" t="s">
        <v>544</v>
      </c>
      <c r="AQ25" t="s">
        <v>545</v>
      </c>
      <c r="AR25" t="s">
        <v>546</v>
      </c>
      <c r="AS25" t="s">
        <v>547</v>
      </c>
    </row>
    <row r="26" spans="1:45" x14ac:dyDescent="0.35">
      <c r="A26" t="s">
        <v>429</v>
      </c>
      <c r="B26">
        <v>0</v>
      </c>
      <c r="C26">
        <v>5</v>
      </c>
      <c r="D26">
        <v>15</v>
      </c>
      <c r="E26">
        <v>30</v>
      </c>
      <c r="F26">
        <v>0</v>
      </c>
      <c r="G26">
        <v>15</v>
      </c>
      <c r="H26">
        <v>50</v>
      </c>
      <c r="I26">
        <v>0</v>
      </c>
      <c r="J26">
        <v>200</v>
      </c>
      <c r="K26">
        <v>600</v>
      </c>
      <c r="L26">
        <v>0</v>
      </c>
      <c r="M26">
        <v>600</v>
      </c>
      <c r="N26">
        <v>2000</v>
      </c>
      <c r="O26">
        <v>0</v>
      </c>
      <c r="P26">
        <v>2000</v>
      </c>
      <c r="Q26">
        <v>6000</v>
      </c>
      <c r="R26">
        <v>0</v>
      </c>
      <c r="S26">
        <v>10</v>
      </c>
      <c r="T26">
        <v>20</v>
      </c>
      <c r="U26">
        <v>30</v>
      </c>
      <c r="V26">
        <v>0</v>
      </c>
      <c r="W26">
        <v>10</v>
      </c>
      <c r="X26">
        <v>20</v>
      </c>
      <c r="Y26">
        <v>30</v>
      </c>
      <c r="Z26">
        <v>0</v>
      </c>
      <c r="AA26">
        <v>5</v>
      </c>
      <c r="AB26">
        <v>15</v>
      </c>
      <c r="AC26">
        <v>30</v>
      </c>
      <c r="AD26">
        <v>100</v>
      </c>
      <c r="AE26">
        <v>0</v>
      </c>
      <c r="AF26">
        <v>5</v>
      </c>
      <c r="AG26">
        <v>15</v>
      </c>
      <c r="AH26">
        <v>30</v>
      </c>
      <c r="AI26">
        <v>100</v>
      </c>
      <c r="AJ26">
        <v>0</v>
      </c>
      <c r="AK26">
        <v>10</v>
      </c>
      <c r="AL26">
        <v>50</v>
      </c>
      <c r="AM26">
        <v>100</v>
      </c>
      <c r="AN26">
        <v>500</v>
      </c>
      <c r="AO26">
        <v>0</v>
      </c>
      <c r="AP26">
        <v>10</v>
      </c>
      <c r="AQ26">
        <v>50</v>
      </c>
      <c r="AR26">
        <v>100</v>
      </c>
      <c r="AS26">
        <v>500</v>
      </c>
    </row>
    <row r="27" spans="1:45" x14ac:dyDescent="0.35">
      <c r="A27" t="s">
        <v>430</v>
      </c>
      <c r="B27">
        <v>5</v>
      </c>
      <c r="C27">
        <v>15</v>
      </c>
      <c r="D27">
        <v>30</v>
      </c>
      <c r="F27">
        <v>15</v>
      </c>
      <c r="G27">
        <v>50</v>
      </c>
      <c r="I27">
        <v>200</v>
      </c>
      <c r="J27">
        <v>600</v>
      </c>
      <c r="L27">
        <v>600</v>
      </c>
      <c r="M27">
        <v>2000</v>
      </c>
      <c r="O27">
        <v>2000</v>
      </c>
      <c r="P27">
        <v>6000</v>
      </c>
      <c r="R27">
        <v>10</v>
      </c>
      <c r="S27">
        <v>20</v>
      </c>
      <c r="T27">
        <v>30</v>
      </c>
      <c r="V27">
        <v>10</v>
      </c>
      <c r="W27">
        <v>20</v>
      </c>
      <c r="X27">
        <v>30</v>
      </c>
      <c r="Z27">
        <v>5</v>
      </c>
      <c r="AA27">
        <v>15</v>
      </c>
      <c r="AB27">
        <v>30</v>
      </c>
      <c r="AC27">
        <v>100</v>
      </c>
      <c r="AE27">
        <v>5</v>
      </c>
      <c r="AF27">
        <v>15</v>
      </c>
      <c r="AG27">
        <v>30</v>
      </c>
      <c r="AH27">
        <v>100</v>
      </c>
      <c r="AJ27">
        <v>10</v>
      </c>
      <c r="AK27">
        <v>50</v>
      </c>
      <c r="AL27">
        <v>100</v>
      </c>
      <c r="AM27">
        <v>500</v>
      </c>
      <c r="AO27">
        <v>10</v>
      </c>
      <c r="AP27">
        <v>50</v>
      </c>
      <c r="AQ27">
        <v>100</v>
      </c>
      <c r="AR27">
        <v>500</v>
      </c>
    </row>
    <row r="28" spans="1:45" x14ac:dyDescent="0.35">
      <c r="A28" t="s">
        <v>455</v>
      </c>
      <c r="B28">
        <f>VLOOKUP(B24&amp;B25,'Tarifas 3RTO'!$A$4:$J$47,COLUMN('Tarifas 3RTO'!$H$4),0)</f>
        <v>2.91</v>
      </c>
      <c r="C28">
        <f>VLOOKUP(C24&amp;C25,'Tarifas 3RTO'!$A$4:$J$47,COLUMN('Tarifas 3RTO'!$H$4),0)</f>
        <v>1.1299999999999999</v>
      </c>
      <c r="D28">
        <f>VLOOKUP(D24&amp;D25,'Tarifas 3RTO'!$A$4:$J$47,COLUMN('Tarifas 3RTO'!$H$4),0)</f>
        <v>7.86</v>
      </c>
      <c r="E28">
        <f>VLOOKUP(E24&amp;E25,'Tarifas 3RTO'!$A$4:$J$47,COLUMN('Tarifas 3RTO'!$H$4),0)</f>
        <v>16.600000000000001</v>
      </c>
      <c r="F28">
        <f>VLOOKUP(F24&amp;F25,'Tarifas 3RTO'!$A$4:$J$47,COLUMN('Tarifas 3RTO'!$H$4),0)</f>
        <v>2.91</v>
      </c>
      <c r="G28">
        <f>VLOOKUP(G24&amp;G25,'Tarifas 3RTO'!$A$4:$J$47,COLUMN('Tarifas 3RTO'!$H$4),0)</f>
        <v>16.22</v>
      </c>
      <c r="H28">
        <f>VLOOKUP(H24&amp;H25,'Tarifas 3RTO'!$A$4:$J$47,COLUMN('Tarifas 3RTO'!$H$4),0)</f>
        <v>32.99</v>
      </c>
      <c r="I28">
        <f>VLOOKUP(I24&amp;I25,'Tarifas 3RTO'!$A$4:$J$47,COLUMN('Tarifas 3RTO'!$H$4),0)</f>
        <v>43.45</v>
      </c>
      <c r="J28">
        <f>VLOOKUP(J24&amp;J25,'Tarifas 3RTO'!$A$4:$J$47,COLUMN('Tarifas 3RTO'!$H$4),0)</f>
        <v>197.91</v>
      </c>
      <c r="K28">
        <f>VLOOKUP(K24&amp;K25,'Tarifas 3RTO'!$A$4:$J$47,COLUMN('Tarifas 3RTO'!$H$4),0)</f>
        <v>402.5</v>
      </c>
      <c r="L28">
        <f>VLOOKUP(L24&amp;L25,'Tarifas 3RTO'!$A$4:$J$47,COLUMN('Tarifas 3RTO'!$H$4),0)</f>
        <v>91.24</v>
      </c>
      <c r="M28">
        <f>VLOOKUP(M24&amp;M25,'Tarifas 3RTO'!$A$4:$J$47,COLUMN('Tarifas 3RTO'!$H$4),0)</f>
        <v>633.30999999999995</v>
      </c>
      <c r="N28">
        <f>VLOOKUP(N24&amp;N25,'Tarifas 3RTO'!$A$4:$J$47,COLUMN('Tarifas 3RTO'!$H$4),0)</f>
        <v>1159.21</v>
      </c>
      <c r="O28">
        <f>VLOOKUP(O24&amp;O25,'Tarifas 3RTO'!$A$4:$J$47,COLUMN('Tarifas 3RTO'!$H$4),0)</f>
        <v>291.98</v>
      </c>
      <c r="P28">
        <f>VLOOKUP(P24&amp;P25,'Tarifas 3RTO'!$A$4:$J$47,COLUMN('Tarifas 3RTO'!$H$4),0)</f>
        <v>2058.27</v>
      </c>
      <c r="Q28">
        <f>VLOOKUP(Q24&amp;Q25,'Tarifas 3RTO'!$A$4:$J$47,COLUMN('Tarifas 3RTO'!$H$4),0)</f>
        <v>3477.63</v>
      </c>
      <c r="R28">
        <f>VLOOKUP(R24&amp;R25,'Tarifas 3RTO'!$A$4:$J$47,COLUMN('Tarifas 3RTO'!$H$4),0)</f>
        <v>0.71</v>
      </c>
      <c r="S28">
        <f>VLOOKUP(S24&amp;S25,'Tarifas 3RTO'!$A$4:$J$47,COLUMN('Tarifas 3RTO'!$H$4),0)</f>
        <v>1.1299999999999999</v>
      </c>
      <c r="T28">
        <f>VLOOKUP(T24&amp;T25,'Tarifas 3RTO'!$A$4:$J$47,COLUMN('Tarifas 3RTO'!$H$4),0)</f>
        <v>2.94</v>
      </c>
      <c r="U28">
        <f>VLOOKUP(U24&amp;U25,'Tarifas 3RTO'!$A$4:$J$47,COLUMN('Tarifas 3RTO'!$H$4),0)</f>
        <v>9.9600000000000009</v>
      </c>
      <c r="V28">
        <f>VLOOKUP(V24&amp;V25,'Tarifas 3RTO'!$A$4:$J$47,COLUMN('Tarifas 3RTO'!$H$4),0)</f>
        <v>0.08</v>
      </c>
      <c r="W28">
        <f>VLOOKUP(W24&amp;W25,'Tarifas 3RTO'!$A$4:$J$47,COLUMN('Tarifas 3RTO'!$H$4),0)</f>
        <v>0.13</v>
      </c>
      <c r="X28">
        <f>VLOOKUP(X24&amp;X25,'Tarifas 3RTO'!$A$4:$J$47,COLUMN('Tarifas 3RTO'!$H$4),0)</f>
        <v>0.34</v>
      </c>
      <c r="Y28">
        <f>VLOOKUP(Y24&amp;Y25,'Tarifas 3RTO'!$A$4:$J$47,COLUMN('Tarifas 3RTO'!$H$4),0)</f>
        <v>8.3000000000000007</v>
      </c>
      <c r="Z28">
        <f>VLOOKUP(Z24&amp;Z25,'Tarifas 3RTO'!$A$4:$J$47,COLUMN('Tarifas 3RTO'!$H$4),0)</f>
        <v>4.42</v>
      </c>
      <c r="AA28">
        <f>VLOOKUP(AA24&amp;AA25,'Tarifas 3RTO'!$A$4:$J$47,COLUMN('Tarifas 3RTO'!$H$4),0)</f>
        <v>2.21</v>
      </c>
      <c r="AB28">
        <f>VLOOKUP(AB24&amp;AB25,'Tarifas 3RTO'!$A$4:$J$47,COLUMN('Tarifas 3RTO'!$H$4),0)</f>
        <v>11.05</v>
      </c>
      <c r="AC28">
        <f>VLOOKUP(AC24&amp;AC25,'Tarifas 3RTO'!$A$4:$J$47,COLUMN('Tarifas 3RTO'!$H$4),0)</f>
        <v>15.47</v>
      </c>
      <c r="AD28">
        <f>VLOOKUP(AD24&amp;AD25,'Tarifas 3RTO'!$A$4:$J$47,COLUMN('Tarifas 3RTO'!$H$4),0)</f>
        <v>22.11</v>
      </c>
      <c r="AE28">
        <f>VLOOKUP(AE24&amp;AE25,'Tarifas 3RTO'!$A$4:$J$47,COLUMN('Tarifas 3RTO'!$H$4),0)</f>
        <v>2.21</v>
      </c>
      <c r="AF28">
        <f>VLOOKUP(AF24&amp;AF25,'Tarifas 3RTO'!$A$4:$J$47,COLUMN('Tarifas 3RTO'!$H$4),0)</f>
        <v>1.1100000000000001</v>
      </c>
      <c r="AG28">
        <f>VLOOKUP(AG24&amp;AG25,'Tarifas 3RTO'!$A$4:$J$47,COLUMN('Tarifas 3RTO'!$H$4),0)</f>
        <v>5.53</v>
      </c>
      <c r="AH28">
        <f>VLOOKUP(AH24&amp;AH25,'Tarifas 3RTO'!$A$4:$J$47,COLUMN('Tarifas 3RTO'!$H$4),0)</f>
        <v>7.74</v>
      </c>
      <c r="AI28">
        <f>VLOOKUP(AI24&amp;AI25,'Tarifas 3RTO'!$A$4:$J$47,COLUMN('Tarifas 3RTO'!$H$4),0)</f>
        <v>11.05</v>
      </c>
      <c r="AJ28">
        <f>VLOOKUP(AJ24&amp;AJ25,'Tarifas 3RTO'!$A$4:$J$47,COLUMN('Tarifas 3RTO'!$H$4),0)</f>
        <v>1.84</v>
      </c>
      <c r="AK28">
        <f>VLOOKUP(AK24&amp;AK25,'Tarifas 3RTO'!$A$4:$J$47,COLUMN('Tarifas 3RTO'!$H$4),0)</f>
        <v>12.25</v>
      </c>
      <c r="AL28">
        <f>VLOOKUP(AL24&amp;AL25,'Tarifas 3RTO'!$A$4:$J$47,COLUMN('Tarifas 3RTO'!$H$4),0)</f>
        <v>16.63</v>
      </c>
      <c r="AM28">
        <f>VLOOKUP(AM24&amp;AM25,'Tarifas 3RTO'!$A$4:$J$47,COLUMN('Tarifas 3RTO'!$H$4),0)</f>
        <v>15.8</v>
      </c>
      <c r="AN28">
        <f>VLOOKUP(AN24&amp;AN25,'Tarifas 3RTO'!$A$4:$J$47,COLUMN('Tarifas 3RTO'!$H$4),0)</f>
        <v>16.510000000000002</v>
      </c>
      <c r="AO28">
        <f>VLOOKUP(AO24&amp;AO25,'Tarifas 3RTO'!$A$4:$J$47,COLUMN('Tarifas 3RTO'!$H$4),0)</f>
        <v>2.35</v>
      </c>
      <c r="AP28">
        <f>VLOOKUP(AP24&amp;AP25,'Tarifas 3RTO'!$A$4:$J$47,COLUMN('Tarifas 3RTO'!$H$4),0)</f>
        <v>12.53</v>
      </c>
      <c r="AQ28">
        <f>VLOOKUP(AQ24&amp;AQ25,'Tarifas 3RTO'!$A$4:$J$47,COLUMN('Tarifas 3RTO'!$H$4),0)</f>
        <v>12.53</v>
      </c>
      <c r="AR28">
        <f>VLOOKUP(AR24&amp;AR25,'Tarifas 3RTO'!$A$4:$J$47,COLUMN('Tarifas 3RTO'!$H$4),0)</f>
        <v>18.010000000000002</v>
      </c>
      <c r="AS28">
        <f>VLOOKUP(AS24&amp;AS25,'Tarifas 3RTO'!$A$4:$J$47,COLUMN('Tarifas 3RTO'!$H$4),0)</f>
        <v>18.79</v>
      </c>
    </row>
    <row r="29" spans="1:45" x14ac:dyDescent="0.35">
      <c r="A29">
        <f>$B$4</f>
        <v>10</v>
      </c>
      <c r="B29">
        <f>IF($A29&gt;B27,B27*B28,($A29-B26)*B28)</f>
        <v>14.55</v>
      </c>
      <c r="C29">
        <f t="shared" ref="C29:AR29" si="12">IF($A29&gt;C27,C27*C28,($A29-C26)*C28)</f>
        <v>5.6499999999999995</v>
      </c>
      <c r="D29">
        <f t="shared" si="12"/>
        <v>-39.300000000000004</v>
      </c>
      <c r="E29">
        <f>($A29-E26)*E28</f>
        <v>-332</v>
      </c>
      <c r="F29">
        <f t="shared" si="12"/>
        <v>29.1</v>
      </c>
      <c r="G29">
        <f t="shared" si="12"/>
        <v>-81.099999999999994</v>
      </c>
      <c r="H29">
        <f>($A29-H26)*H28</f>
        <v>-1319.6000000000001</v>
      </c>
      <c r="I29">
        <f t="shared" si="12"/>
        <v>434.5</v>
      </c>
      <c r="J29">
        <f t="shared" si="12"/>
        <v>-37602.9</v>
      </c>
      <c r="K29">
        <f>($A29-K26)*K28</f>
        <v>-237475</v>
      </c>
      <c r="L29">
        <f t="shared" si="12"/>
        <v>912.4</v>
      </c>
      <c r="M29">
        <f t="shared" si="12"/>
        <v>-373652.89999999997</v>
      </c>
      <c r="N29">
        <f>($A29-N26)*N28</f>
        <v>-2306827.9</v>
      </c>
      <c r="O29">
        <f t="shared" si="12"/>
        <v>2919.8</v>
      </c>
      <c r="P29">
        <f t="shared" si="12"/>
        <v>-4095957.3</v>
      </c>
      <c r="Q29">
        <f>($A29-Q26)*Q28</f>
        <v>-20831003.699999999</v>
      </c>
      <c r="R29">
        <f t="shared" si="12"/>
        <v>7.1</v>
      </c>
      <c r="S29">
        <f t="shared" si="12"/>
        <v>0</v>
      </c>
      <c r="T29">
        <f t="shared" si="12"/>
        <v>-29.4</v>
      </c>
      <c r="U29">
        <f>($A29-U26)*U28</f>
        <v>-199.20000000000002</v>
      </c>
      <c r="V29">
        <f t="shared" si="12"/>
        <v>0.8</v>
      </c>
      <c r="W29">
        <f t="shared" si="12"/>
        <v>0</v>
      </c>
      <c r="X29">
        <f t="shared" si="12"/>
        <v>-3.4000000000000004</v>
      </c>
      <c r="Y29">
        <f>($A29-Y26)*Y28</f>
        <v>-166</v>
      </c>
      <c r="Z29">
        <f t="shared" si="12"/>
        <v>22.1</v>
      </c>
      <c r="AA29">
        <f t="shared" si="12"/>
        <v>11.05</v>
      </c>
      <c r="AB29">
        <f t="shared" si="12"/>
        <v>-55.25</v>
      </c>
      <c r="AC29">
        <f t="shared" si="12"/>
        <v>-309.40000000000003</v>
      </c>
      <c r="AD29">
        <f>($A29-AD26)*AD28</f>
        <v>-1989.8999999999999</v>
      </c>
      <c r="AE29">
        <f t="shared" si="12"/>
        <v>11.05</v>
      </c>
      <c r="AF29">
        <f t="shared" si="12"/>
        <v>5.5500000000000007</v>
      </c>
      <c r="AG29">
        <f t="shared" si="12"/>
        <v>-27.650000000000002</v>
      </c>
      <c r="AH29">
        <f t="shared" si="12"/>
        <v>-154.80000000000001</v>
      </c>
      <c r="AI29">
        <f>($A29-AI26)*AI28</f>
        <v>-994.50000000000011</v>
      </c>
      <c r="AJ29">
        <f t="shared" si="12"/>
        <v>18.400000000000002</v>
      </c>
      <c r="AK29">
        <f t="shared" si="12"/>
        <v>0</v>
      </c>
      <c r="AL29">
        <f t="shared" si="12"/>
        <v>-665.19999999999993</v>
      </c>
      <c r="AM29">
        <f t="shared" si="12"/>
        <v>-1422</v>
      </c>
      <c r="AN29">
        <f>($A29-AN26)*AN28</f>
        <v>-8089.9000000000005</v>
      </c>
      <c r="AO29">
        <f t="shared" si="12"/>
        <v>23.5</v>
      </c>
      <c r="AP29">
        <f t="shared" si="12"/>
        <v>0</v>
      </c>
      <c r="AQ29">
        <f t="shared" si="12"/>
        <v>-501.2</v>
      </c>
      <c r="AR29">
        <f t="shared" si="12"/>
        <v>-1620.9</v>
      </c>
      <c r="AS29">
        <f>($A29-AS26)*AS28</f>
        <v>-9207.1</v>
      </c>
    </row>
    <row r="31" spans="1:45" x14ac:dyDescent="0.35">
      <c r="A31" t="s">
        <v>552</v>
      </c>
    </row>
    <row r="32" spans="1:45" x14ac:dyDescent="0.35">
      <c r="A32" t="s">
        <v>432</v>
      </c>
      <c r="B32" t="s">
        <v>515</v>
      </c>
      <c r="C32" t="s">
        <v>515</v>
      </c>
      <c r="D32" t="s">
        <v>515</v>
      </c>
      <c r="E32" t="s">
        <v>515</v>
      </c>
      <c r="F32" t="s">
        <v>524</v>
      </c>
      <c r="G32" t="s">
        <v>524</v>
      </c>
      <c r="H32" t="s">
        <v>524</v>
      </c>
      <c r="I32" t="s">
        <v>528</v>
      </c>
      <c r="J32" t="s">
        <v>528</v>
      </c>
      <c r="K32" t="s">
        <v>528</v>
      </c>
      <c r="L32" t="s">
        <v>532</v>
      </c>
      <c r="M32" t="s">
        <v>532</v>
      </c>
      <c r="N32" t="s">
        <v>532</v>
      </c>
      <c r="O32" t="s">
        <v>536</v>
      </c>
      <c r="P32" t="s">
        <v>536</v>
      </c>
      <c r="Q32" t="s">
        <v>536</v>
      </c>
      <c r="R32" t="s">
        <v>417</v>
      </c>
      <c r="S32" t="s">
        <v>417</v>
      </c>
      <c r="T32" t="s">
        <v>417</v>
      </c>
      <c r="U32" t="s">
        <v>417</v>
      </c>
      <c r="V32" t="s">
        <v>465</v>
      </c>
      <c r="W32" t="s">
        <v>465</v>
      </c>
      <c r="X32" t="s">
        <v>465</v>
      </c>
      <c r="Y32" t="s">
        <v>465</v>
      </c>
      <c r="Z32" t="s">
        <v>458</v>
      </c>
      <c r="AA32" t="s">
        <v>458</v>
      </c>
      <c r="AB32" t="s">
        <v>458</v>
      </c>
      <c r="AC32" t="s">
        <v>458</v>
      </c>
      <c r="AD32" t="s">
        <v>458</v>
      </c>
      <c r="AE32" t="s">
        <v>468</v>
      </c>
      <c r="AF32" t="s">
        <v>468</v>
      </c>
      <c r="AG32" t="s">
        <v>468</v>
      </c>
      <c r="AH32" t="s">
        <v>468</v>
      </c>
      <c r="AI32" t="s">
        <v>468</v>
      </c>
      <c r="AJ32" t="s">
        <v>459</v>
      </c>
      <c r="AK32" t="s">
        <v>459</v>
      </c>
      <c r="AL32" t="s">
        <v>459</v>
      </c>
      <c r="AM32" t="s">
        <v>459</v>
      </c>
      <c r="AN32" t="s">
        <v>459</v>
      </c>
      <c r="AO32" t="s">
        <v>460</v>
      </c>
      <c r="AP32" t="s">
        <v>460</v>
      </c>
      <c r="AQ32" t="s">
        <v>460</v>
      </c>
      <c r="AR32" t="s">
        <v>460</v>
      </c>
      <c r="AS32" t="s">
        <v>460</v>
      </c>
    </row>
    <row r="33" spans="1:45" x14ac:dyDescent="0.35">
      <c r="A33" t="s">
        <v>431</v>
      </c>
      <c r="B33" t="s">
        <v>516</v>
      </c>
      <c r="C33" t="s">
        <v>517</v>
      </c>
      <c r="D33" t="s">
        <v>518</v>
      </c>
      <c r="E33" t="s">
        <v>519</v>
      </c>
      <c r="F33" t="s">
        <v>525</v>
      </c>
      <c r="G33" t="s">
        <v>526</v>
      </c>
      <c r="H33" t="s">
        <v>527</v>
      </c>
      <c r="I33" t="s">
        <v>529</v>
      </c>
      <c r="J33" t="s">
        <v>530</v>
      </c>
      <c r="K33" t="s">
        <v>531</v>
      </c>
      <c r="L33" t="s">
        <v>533</v>
      </c>
      <c r="M33" t="s">
        <v>534</v>
      </c>
      <c r="N33" t="s">
        <v>535</v>
      </c>
      <c r="O33" t="s">
        <v>537</v>
      </c>
      <c r="P33" t="s">
        <v>538</v>
      </c>
      <c r="Q33" t="s">
        <v>539</v>
      </c>
      <c r="R33" t="s">
        <v>418</v>
      </c>
      <c r="S33" t="s">
        <v>540</v>
      </c>
      <c r="T33" t="s">
        <v>541</v>
      </c>
      <c r="U33" t="s">
        <v>519</v>
      </c>
      <c r="V33" t="s">
        <v>418</v>
      </c>
      <c r="W33" t="s">
        <v>540</v>
      </c>
      <c r="X33" t="s">
        <v>541</v>
      </c>
      <c r="Y33" t="s">
        <v>519</v>
      </c>
      <c r="Z33" t="s">
        <v>516</v>
      </c>
      <c r="AA33" t="s">
        <v>517</v>
      </c>
      <c r="AB33" t="s">
        <v>518</v>
      </c>
      <c r="AC33" t="s">
        <v>542</v>
      </c>
      <c r="AD33" t="s">
        <v>543</v>
      </c>
      <c r="AE33" t="s">
        <v>516</v>
      </c>
      <c r="AF33" t="s">
        <v>517</v>
      </c>
      <c r="AG33" t="s">
        <v>518</v>
      </c>
      <c r="AH33" t="s">
        <v>542</v>
      </c>
      <c r="AI33" t="s">
        <v>543</v>
      </c>
      <c r="AJ33" t="s">
        <v>418</v>
      </c>
      <c r="AK33" t="s">
        <v>544</v>
      </c>
      <c r="AL33" t="s">
        <v>545</v>
      </c>
      <c r="AM33" t="s">
        <v>546</v>
      </c>
      <c r="AN33" t="s">
        <v>547</v>
      </c>
      <c r="AO33" t="s">
        <v>418</v>
      </c>
      <c r="AP33" t="s">
        <v>544</v>
      </c>
      <c r="AQ33" t="s">
        <v>545</v>
      </c>
      <c r="AR33" t="s">
        <v>546</v>
      </c>
      <c r="AS33" t="s">
        <v>547</v>
      </c>
    </row>
    <row r="34" spans="1:45" x14ac:dyDescent="0.35">
      <c r="A34" t="s">
        <v>429</v>
      </c>
      <c r="B34">
        <v>0</v>
      </c>
      <c r="C34">
        <v>5</v>
      </c>
      <c r="D34">
        <v>15</v>
      </c>
      <c r="E34">
        <v>30</v>
      </c>
      <c r="F34">
        <v>0</v>
      </c>
      <c r="G34">
        <v>15</v>
      </c>
      <c r="H34">
        <v>50</v>
      </c>
      <c r="I34">
        <v>0</v>
      </c>
      <c r="J34">
        <v>200</v>
      </c>
      <c r="K34">
        <v>600</v>
      </c>
      <c r="L34">
        <v>0</v>
      </c>
      <c r="M34">
        <v>600</v>
      </c>
      <c r="N34">
        <v>2000</v>
      </c>
      <c r="O34">
        <v>0</v>
      </c>
      <c r="P34">
        <v>2000</v>
      </c>
      <c r="Q34">
        <v>6000</v>
      </c>
      <c r="R34">
        <v>0</v>
      </c>
      <c r="S34">
        <v>10</v>
      </c>
      <c r="T34">
        <v>20</v>
      </c>
      <c r="U34">
        <v>30</v>
      </c>
      <c r="V34">
        <v>0</v>
      </c>
      <c r="W34">
        <v>10</v>
      </c>
      <c r="X34">
        <v>20</v>
      </c>
      <c r="Y34">
        <v>30</v>
      </c>
      <c r="Z34">
        <v>0</v>
      </c>
      <c r="AA34">
        <v>5</v>
      </c>
      <c r="AB34">
        <v>15</v>
      </c>
      <c r="AC34">
        <v>30</v>
      </c>
      <c r="AD34">
        <v>100</v>
      </c>
      <c r="AE34">
        <v>0</v>
      </c>
      <c r="AF34">
        <v>5</v>
      </c>
      <c r="AG34">
        <v>15</v>
      </c>
      <c r="AH34">
        <v>30</v>
      </c>
      <c r="AI34">
        <v>100</v>
      </c>
      <c r="AJ34">
        <v>0</v>
      </c>
      <c r="AK34">
        <v>10</v>
      </c>
      <c r="AL34">
        <v>50</v>
      </c>
      <c r="AM34">
        <v>100</v>
      </c>
      <c r="AN34">
        <v>500</v>
      </c>
      <c r="AO34">
        <v>0</v>
      </c>
      <c r="AP34">
        <v>10</v>
      </c>
      <c r="AQ34">
        <v>50</v>
      </c>
      <c r="AR34">
        <v>100</v>
      </c>
      <c r="AS34">
        <v>500</v>
      </c>
    </row>
    <row r="35" spans="1:45" x14ac:dyDescent="0.35">
      <c r="A35" t="s">
        <v>430</v>
      </c>
      <c r="B35">
        <v>5</v>
      </c>
      <c r="C35">
        <v>15</v>
      </c>
      <c r="D35">
        <v>30</v>
      </c>
      <c r="F35">
        <v>15</v>
      </c>
      <c r="G35">
        <v>50</v>
      </c>
      <c r="I35">
        <v>200</v>
      </c>
      <c r="J35">
        <v>600</v>
      </c>
      <c r="L35">
        <v>600</v>
      </c>
      <c r="M35">
        <v>2000</v>
      </c>
      <c r="O35">
        <v>2000</v>
      </c>
      <c r="P35">
        <v>6000</v>
      </c>
      <c r="R35">
        <v>10</v>
      </c>
      <c r="S35">
        <v>20</v>
      </c>
      <c r="T35">
        <v>30</v>
      </c>
      <c r="V35">
        <v>10</v>
      </c>
      <c r="W35">
        <v>20</v>
      </c>
      <c r="X35">
        <v>30</v>
      </c>
      <c r="Z35">
        <v>5</v>
      </c>
      <c r="AA35">
        <v>15</v>
      </c>
      <c r="AB35">
        <v>30</v>
      </c>
      <c r="AC35">
        <v>100</v>
      </c>
      <c r="AE35">
        <v>5</v>
      </c>
      <c r="AF35">
        <v>15</v>
      </c>
      <c r="AG35">
        <v>30</v>
      </c>
      <c r="AH35">
        <v>100</v>
      </c>
      <c r="AJ35">
        <v>10</v>
      </c>
      <c r="AK35">
        <v>50</v>
      </c>
      <c r="AL35">
        <v>100</v>
      </c>
      <c r="AM35">
        <v>500</v>
      </c>
      <c r="AO35">
        <v>10</v>
      </c>
      <c r="AP35">
        <v>50</v>
      </c>
      <c r="AQ35">
        <v>100</v>
      </c>
      <c r="AR35">
        <v>500</v>
      </c>
    </row>
    <row r="36" spans="1:45" x14ac:dyDescent="0.35">
      <c r="A36" t="s">
        <v>455</v>
      </c>
      <c r="B36">
        <f>VLOOKUP(B32&amp;B33,'Tarifas 3RTO'!$A$4:$J$47,COLUMN('Tarifas 3RTO'!$G$4),0)</f>
        <v>6.22</v>
      </c>
      <c r="C36">
        <f>VLOOKUP(C32&amp;C33,'Tarifas 3RTO'!$A$4:$J$47,COLUMN('Tarifas 3RTO'!$G$4),0)</f>
        <v>6.22</v>
      </c>
      <c r="D36">
        <f>VLOOKUP(D32&amp;D33,'Tarifas 3RTO'!$A$4:$J$47,COLUMN('Tarifas 3RTO'!$G$4),0)</f>
        <v>26.97</v>
      </c>
      <c r="E36">
        <f>VLOOKUP(E32&amp;E33,'Tarifas 3RTO'!$A$4:$J$47,COLUMN('Tarifas 3RTO'!$G$4),0)</f>
        <v>56.1</v>
      </c>
      <c r="F36">
        <f>VLOOKUP(F32&amp;F33,'Tarifas 3RTO'!$A$4:$J$47,COLUMN('Tarifas 3RTO'!$G$4),0)</f>
        <v>6.22</v>
      </c>
      <c r="G36">
        <f>VLOOKUP(G32&amp;G33,'Tarifas 3RTO'!$A$4:$J$47,COLUMN('Tarifas 3RTO'!$G$4),0)</f>
        <v>6.84</v>
      </c>
      <c r="H36">
        <f>VLOOKUP(H32&amp;H33,'Tarifas 3RTO'!$A$4:$J$47,COLUMN('Tarifas 3RTO'!$G$4),0)</f>
        <v>10.26</v>
      </c>
      <c r="I36">
        <f>VLOOKUP(I32&amp;I33,'Tarifas 3RTO'!$A$4:$J$47,COLUMN('Tarifas 3RTO'!$G$4),0)</f>
        <v>92.87</v>
      </c>
      <c r="J36">
        <f>VLOOKUP(J32&amp;J33,'Tarifas 3RTO'!$A$4:$J$47,COLUMN('Tarifas 3RTO'!$G$4),0)</f>
        <v>83.47</v>
      </c>
      <c r="K36">
        <f>VLOOKUP(K32&amp;K33,'Tarifas 3RTO'!$A$4:$J$47,COLUMN('Tarifas 3RTO'!$G$4),0)</f>
        <v>125.21</v>
      </c>
      <c r="L36">
        <f>VLOOKUP(L32&amp;L33,'Tarifas 3RTO'!$A$4:$J$47,COLUMN('Tarifas 3RTO'!$G$4),0)</f>
        <v>195.03</v>
      </c>
      <c r="M36">
        <f>VLOOKUP(M32&amp;M33,'Tarifas 3RTO'!$A$4:$J$47,COLUMN('Tarifas 3RTO'!$G$4),0)</f>
        <v>267.11</v>
      </c>
      <c r="N36">
        <f>VLOOKUP(N32&amp;N33,'Tarifas 3RTO'!$A$4:$J$47,COLUMN('Tarifas 3RTO'!$G$4),0)</f>
        <v>360.6</v>
      </c>
      <c r="O36">
        <f>VLOOKUP(O32&amp;O33,'Tarifas 3RTO'!$A$4:$J$47,COLUMN('Tarifas 3RTO'!$G$4),0)</f>
        <v>624.1</v>
      </c>
      <c r="P36">
        <f>VLOOKUP(P32&amp;P33,'Tarifas 3RTO'!$A$4:$J$47,COLUMN('Tarifas 3RTO'!$G$4),0)</f>
        <v>868.11</v>
      </c>
      <c r="Q36">
        <f>VLOOKUP(Q32&amp;Q33,'Tarifas 3RTO'!$A$4:$J$47,COLUMN('Tarifas 3RTO'!$G$4),0)</f>
        <v>1081.8</v>
      </c>
      <c r="R36">
        <f>VLOOKUP(R32&amp;R33,'Tarifas 3RTO'!$A$4:$J$47,COLUMN('Tarifas 3RTO'!$G$4),0)</f>
        <v>1.94</v>
      </c>
      <c r="S36">
        <f>VLOOKUP(S32&amp;S33,'Tarifas 3RTO'!$A$4:$J$47,COLUMN('Tarifas 3RTO'!$G$4),0)</f>
        <v>3.11</v>
      </c>
      <c r="T36">
        <f>VLOOKUP(T32&amp;T33,'Tarifas 3RTO'!$A$4:$J$47,COLUMN('Tarifas 3RTO'!$G$4),0)</f>
        <v>12.44</v>
      </c>
      <c r="U36">
        <f>VLOOKUP(U32&amp;U33,'Tarifas 3RTO'!$A$4:$J$47,COLUMN('Tarifas 3RTO'!$G$4),0)</f>
        <v>33.659999999999997</v>
      </c>
      <c r="V36">
        <f>VLOOKUP(V32&amp;V33,'Tarifas 3RTO'!$A$4:$J$47,COLUMN('Tarifas 3RTO'!$G$4),0)</f>
        <v>0.23</v>
      </c>
      <c r="W36">
        <f>VLOOKUP(W32&amp;W33,'Tarifas 3RTO'!$A$4:$J$47,COLUMN('Tarifas 3RTO'!$G$4),0)</f>
        <v>0.36</v>
      </c>
      <c r="X36">
        <f>VLOOKUP(X32&amp;X33,'Tarifas 3RTO'!$A$4:$J$47,COLUMN('Tarifas 3RTO'!$G$4),0)</f>
        <v>1.45</v>
      </c>
      <c r="Y36">
        <f>VLOOKUP(Y32&amp;Y33,'Tarifas 3RTO'!$A$4:$J$47,COLUMN('Tarifas 3RTO'!$G$4),0)</f>
        <v>28.05</v>
      </c>
      <c r="Z36">
        <f>VLOOKUP(Z32&amp;Z33,'Tarifas 3RTO'!$A$4:$J$47,COLUMN('Tarifas 3RTO'!$G$4),0)</f>
        <v>12.14</v>
      </c>
      <c r="AA36">
        <f>VLOOKUP(AA32&amp;AA33,'Tarifas 3RTO'!$A$4:$J$47,COLUMN('Tarifas 3RTO'!$G$4),0)</f>
        <v>12.14</v>
      </c>
      <c r="AB36">
        <f>VLOOKUP(AB32&amp;AB33,'Tarifas 3RTO'!$A$4:$J$47,COLUMN('Tarifas 3RTO'!$G$4),0)</f>
        <v>30.36</v>
      </c>
      <c r="AC36">
        <f>VLOOKUP(AC32&amp;AC33,'Tarifas 3RTO'!$A$4:$J$47,COLUMN('Tarifas 3RTO'!$G$4),0)</f>
        <v>72.86</v>
      </c>
      <c r="AD36">
        <f>VLOOKUP(AD32&amp;AD33,'Tarifas 3RTO'!$A$4:$J$47,COLUMN('Tarifas 3RTO'!$G$4),0)</f>
        <v>121.43</v>
      </c>
      <c r="AE36">
        <f>VLOOKUP(AE32&amp;AE33,'Tarifas 3RTO'!$A$4:$J$47,COLUMN('Tarifas 3RTO'!$G$4),0)</f>
        <v>6.07</v>
      </c>
      <c r="AF36">
        <f>VLOOKUP(AF32&amp;AF33,'Tarifas 3RTO'!$A$4:$J$47,COLUMN('Tarifas 3RTO'!$G$4),0)</f>
        <v>6.07</v>
      </c>
      <c r="AG36">
        <f>VLOOKUP(AG32&amp;AG33,'Tarifas 3RTO'!$A$4:$J$47,COLUMN('Tarifas 3RTO'!$G$4),0)</f>
        <v>15.18</v>
      </c>
      <c r="AH36">
        <f>VLOOKUP(AH32&amp;AH33,'Tarifas 3RTO'!$A$4:$J$47,COLUMN('Tarifas 3RTO'!$G$4),0)</f>
        <v>36.43</v>
      </c>
      <c r="AI36">
        <f>VLOOKUP(AI32&amp;AI33,'Tarifas 3RTO'!$A$4:$J$47,COLUMN('Tarifas 3RTO'!$G$4),0)</f>
        <v>60.71</v>
      </c>
      <c r="AJ36">
        <f>VLOOKUP(AJ32&amp;AJ33,'Tarifas 3RTO'!$A$4:$J$47,COLUMN('Tarifas 3RTO'!$G$4),0)</f>
        <v>10.119999999999999</v>
      </c>
      <c r="AK36">
        <f>VLOOKUP(AK32&amp;AK33,'Tarifas 3RTO'!$A$4:$J$47,COLUMN('Tarifas 3RTO'!$G$4),0)</f>
        <v>38.46</v>
      </c>
      <c r="AL36">
        <f>VLOOKUP(AL32&amp;AL33,'Tarifas 3RTO'!$A$4:$J$47,COLUMN('Tarifas 3RTO'!$G$4),0)</f>
        <v>73.069999999999993</v>
      </c>
      <c r="AM36">
        <f>VLOOKUP(AM32&amp;AM33,'Tarifas 3RTO'!$A$4:$J$47,COLUMN('Tarifas 3RTO'!$G$4),0)</f>
        <v>86.77</v>
      </c>
      <c r="AN36">
        <f>VLOOKUP(AN32&amp;AN33,'Tarifas 3RTO'!$A$4:$J$47,COLUMN('Tarifas 3RTO'!$G$4),0)</f>
        <v>90.68</v>
      </c>
      <c r="AO36">
        <f>VLOOKUP(AO32&amp;AO33,'Tarifas 3RTO'!$A$4:$J$47,COLUMN('Tarifas 3RTO'!$G$4),0)</f>
        <v>17.2</v>
      </c>
      <c r="AP36">
        <f>VLOOKUP(AP32&amp;AP33,'Tarifas 3RTO'!$A$4:$J$47,COLUMN('Tarifas 3RTO'!$G$4),0)</f>
        <v>21.51</v>
      </c>
      <c r="AQ36">
        <f>VLOOKUP(AQ32&amp;AQ33,'Tarifas 3RTO'!$A$4:$J$47,COLUMN('Tarifas 3RTO'!$G$4),0)</f>
        <v>86.02</v>
      </c>
      <c r="AR36">
        <f>VLOOKUP(AR32&amp;AR33,'Tarifas 3RTO'!$A$4:$J$47,COLUMN('Tarifas 3RTO'!$G$4),0)</f>
        <v>98.92</v>
      </c>
      <c r="AS36">
        <f>VLOOKUP(AS32&amp;AS33,'Tarifas 3RTO'!$A$4:$J$47,COLUMN('Tarifas 3RTO'!$G$4),0)</f>
        <v>103.22</v>
      </c>
    </row>
    <row r="37" spans="1:45" x14ac:dyDescent="0.35">
      <c r="A37">
        <f>$B$4</f>
        <v>10</v>
      </c>
      <c r="B37">
        <f>IF(OR($A37&gt;B35,$A37&lt;B34),0,B36)</f>
        <v>0</v>
      </c>
      <c r="C37">
        <f>IF(OR($A37&gt;C35,$A37&lt;=C34),0,C36)</f>
        <v>6.22</v>
      </c>
      <c r="D37">
        <f t="shared" ref="D37" si="13">IF(OR($A37&gt;D35,$A37&lt;=D34),0,D36)</f>
        <v>0</v>
      </c>
      <c r="E37">
        <f t="shared" ref="E37" si="14">IF(OR($A37&gt;E35,$A37&lt;=E34),0,E36)</f>
        <v>0</v>
      </c>
      <c r="F37">
        <f t="shared" ref="F37" si="15">IF(OR($A37&gt;F35,$A37&lt;=F34),0,F36)</f>
        <v>6.22</v>
      </c>
      <c r="G37">
        <f t="shared" ref="G37" si="16">IF(OR($A37&gt;G35,$A37&lt;=G34),0,G36)</f>
        <v>0</v>
      </c>
      <c r="H37">
        <f t="shared" ref="H37" si="17">IF(OR($A37&gt;H35,$A37&lt;=H34),0,H36)</f>
        <v>0</v>
      </c>
      <c r="I37">
        <f t="shared" ref="I37" si="18">IF(OR($A37&gt;I35,$A37&lt;=I34),0,I36)</f>
        <v>92.87</v>
      </c>
      <c r="J37">
        <f t="shared" ref="J37" si="19">IF(OR($A37&gt;J35,$A37&lt;=J34),0,J36)</f>
        <v>0</v>
      </c>
      <c r="K37">
        <f t="shared" ref="K37" si="20">IF(OR($A37&gt;K35,$A37&lt;=K34),0,K36)</f>
        <v>0</v>
      </c>
      <c r="L37">
        <f t="shared" ref="L37" si="21">IF(OR($A37&gt;L35,$A37&lt;=L34),0,L36)</f>
        <v>195.03</v>
      </c>
      <c r="M37">
        <f t="shared" ref="M37" si="22">IF(OR($A37&gt;M35,$A37&lt;=M34),0,M36)</f>
        <v>0</v>
      </c>
      <c r="N37">
        <f t="shared" ref="N37" si="23">IF(OR($A37&gt;N35,$A37&lt;=N34),0,N36)</f>
        <v>0</v>
      </c>
      <c r="O37">
        <f t="shared" ref="O37" si="24">IF(OR($A37&gt;O35,$A37&lt;=O34),0,O36)</f>
        <v>624.1</v>
      </c>
      <c r="P37">
        <f t="shared" ref="P37" si="25">IF(OR($A37&gt;P35,$A37&lt;=P34),0,P36)</f>
        <v>0</v>
      </c>
      <c r="Q37">
        <f t="shared" ref="Q37" si="26">IF(OR($A37&gt;Q35,$A37&lt;=Q34),0,Q36)</f>
        <v>0</v>
      </c>
      <c r="R37">
        <f t="shared" ref="R37" si="27">IF(OR($A37&gt;R35,$A37&lt;=R34),0,R36)</f>
        <v>1.94</v>
      </c>
      <c r="S37">
        <f t="shared" ref="S37" si="28">IF(OR($A37&gt;S35,$A37&lt;=S34),0,S36)</f>
        <v>0</v>
      </c>
      <c r="T37">
        <f t="shared" ref="T37" si="29">IF(OR($A37&gt;T35,$A37&lt;=T34),0,T36)</f>
        <v>0</v>
      </c>
      <c r="U37">
        <f t="shared" ref="U37" si="30">IF(OR($A37&gt;U35,$A37&lt;=U34),0,U36)</f>
        <v>0</v>
      </c>
      <c r="V37">
        <f t="shared" ref="V37" si="31">IF(OR($A37&gt;V35,$A37&lt;=V34),0,V36)</f>
        <v>0.23</v>
      </c>
      <c r="W37">
        <f t="shared" ref="W37" si="32">IF(OR($A37&gt;W35,$A37&lt;=W34),0,W36)</f>
        <v>0</v>
      </c>
      <c r="X37">
        <f t="shared" ref="X37" si="33">IF(OR($A37&gt;X35,$A37&lt;=X34),0,X36)</f>
        <v>0</v>
      </c>
      <c r="Y37">
        <f t="shared" ref="Y37" si="34">IF(OR($A37&gt;Y35,$A37&lt;=Y34),0,Y36)</f>
        <v>0</v>
      </c>
      <c r="Z37">
        <f t="shared" ref="Z37" si="35">IF(OR($A37&gt;Z35,$A37&lt;=Z34),0,Z36)</f>
        <v>0</v>
      </c>
      <c r="AA37">
        <f t="shared" ref="AA37" si="36">IF(OR($A37&gt;AA35,$A37&lt;=AA34),0,AA36)</f>
        <v>12.14</v>
      </c>
      <c r="AB37">
        <f t="shared" ref="AB37" si="37">IF(OR($A37&gt;AB35,$A37&lt;=AB34),0,AB36)</f>
        <v>0</v>
      </c>
      <c r="AC37">
        <f t="shared" ref="AC37" si="38">IF(OR($A37&gt;AC35,$A37&lt;=AC34),0,AC36)</f>
        <v>0</v>
      </c>
      <c r="AD37">
        <f t="shared" ref="AD37" si="39">IF(OR($A37&gt;AD35,$A37&lt;=AD34),0,AD36)</f>
        <v>0</v>
      </c>
      <c r="AE37">
        <f t="shared" ref="AE37" si="40">IF(OR($A37&gt;AE35,$A37&lt;=AE34),0,AE36)</f>
        <v>0</v>
      </c>
      <c r="AF37">
        <f t="shared" ref="AF37" si="41">IF(OR($A37&gt;AF35,$A37&lt;=AF34),0,AF36)</f>
        <v>6.07</v>
      </c>
      <c r="AG37">
        <f t="shared" ref="AG37" si="42">IF(OR($A37&gt;AG35,$A37&lt;=AG34),0,AG36)</f>
        <v>0</v>
      </c>
      <c r="AH37">
        <f t="shared" ref="AH37" si="43">IF(OR($A37&gt;AH35,$A37&lt;=AH34),0,AH36)</f>
        <v>0</v>
      </c>
      <c r="AI37">
        <f t="shared" ref="AI37" si="44">IF(OR($A37&gt;AI35,$A37&lt;=AI34),0,AI36)</f>
        <v>0</v>
      </c>
      <c r="AJ37">
        <f t="shared" ref="AJ37" si="45">IF(OR($A37&gt;AJ35,$A37&lt;=AJ34),0,AJ36)</f>
        <v>10.119999999999999</v>
      </c>
      <c r="AK37">
        <f t="shared" ref="AK37" si="46">IF(OR($A37&gt;AK35,$A37&lt;=AK34),0,AK36)</f>
        <v>0</v>
      </c>
      <c r="AL37">
        <f t="shared" ref="AL37" si="47">IF(OR($A37&gt;AL35,$A37&lt;=AL34),0,AL36)</f>
        <v>0</v>
      </c>
      <c r="AM37">
        <f t="shared" ref="AM37" si="48">IF(OR($A37&gt;AM35,$A37&lt;=AM34),0,AM36)</f>
        <v>0</v>
      </c>
      <c r="AN37">
        <f t="shared" ref="AN37" si="49">IF(OR($A37&gt;AN35,$A37&lt;=AN34),0,AN36)</f>
        <v>0</v>
      </c>
      <c r="AO37">
        <f t="shared" ref="AO37" si="50">IF(OR($A37&gt;AO35,$A37&lt;=AO34),0,AO36)</f>
        <v>17.2</v>
      </c>
      <c r="AP37">
        <f t="shared" ref="AP37" si="51">IF(OR($A37&gt;AP35,$A37&lt;=AP34),0,AP36)</f>
        <v>0</v>
      </c>
      <c r="AQ37">
        <f t="shared" ref="AQ37" si="52">IF(OR($A37&gt;AQ35,$A37&lt;=AQ34),0,AQ36)</f>
        <v>0</v>
      </c>
      <c r="AR37">
        <f t="shared" ref="AR37" si="53">IF(OR($A37&gt;AR35,$A37&lt;=AR34),0,AR36)</f>
        <v>0</v>
      </c>
      <c r="AS37">
        <f t="shared" ref="AS37" si="54">IF(OR($A37&gt;AS35,$A37&lt;=AS34),0,AS36)</f>
        <v>0</v>
      </c>
    </row>
    <row r="39" spans="1:45" x14ac:dyDescent="0.35">
      <c r="A39" t="s">
        <v>553</v>
      </c>
    </row>
    <row r="40" spans="1:45" x14ac:dyDescent="0.35">
      <c r="A40" t="s">
        <v>432</v>
      </c>
      <c r="B40" t="s">
        <v>515</v>
      </c>
      <c r="C40" t="s">
        <v>515</v>
      </c>
      <c r="D40" t="s">
        <v>515</v>
      </c>
      <c r="E40" t="s">
        <v>515</v>
      </c>
      <c r="F40" t="s">
        <v>524</v>
      </c>
      <c r="G40" t="s">
        <v>524</v>
      </c>
      <c r="H40" t="s">
        <v>524</v>
      </c>
      <c r="I40" t="s">
        <v>528</v>
      </c>
      <c r="J40" t="s">
        <v>528</v>
      </c>
      <c r="K40" t="s">
        <v>528</v>
      </c>
      <c r="L40" t="s">
        <v>532</v>
      </c>
      <c r="M40" t="s">
        <v>532</v>
      </c>
      <c r="N40" t="s">
        <v>532</v>
      </c>
      <c r="O40" t="s">
        <v>536</v>
      </c>
      <c r="P40" t="s">
        <v>536</v>
      </c>
      <c r="Q40" t="s">
        <v>536</v>
      </c>
      <c r="R40" t="s">
        <v>417</v>
      </c>
      <c r="S40" t="s">
        <v>417</v>
      </c>
      <c r="T40" t="s">
        <v>417</v>
      </c>
      <c r="U40" t="s">
        <v>417</v>
      </c>
      <c r="V40" t="s">
        <v>465</v>
      </c>
      <c r="W40" t="s">
        <v>465</v>
      </c>
      <c r="X40" t="s">
        <v>465</v>
      </c>
      <c r="Y40" t="s">
        <v>465</v>
      </c>
      <c r="Z40" t="s">
        <v>458</v>
      </c>
      <c r="AA40" t="s">
        <v>458</v>
      </c>
      <c r="AB40" t="s">
        <v>458</v>
      </c>
      <c r="AC40" t="s">
        <v>458</v>
      </c>
      <c r="AD40" t="s">
        <v>458</v>
      </c>
      <c r="AE40" t="s">
        <v>468</v>
      </c>
      <c r="AF40" t="s">
        <v>468</v>
      </c>
      <c r="AG40" t="s">
        <v>468</v>
      </c>
      <c r="AH40" t="s">
        <v>468</v>
      </c>
      <c r="AI40" t="s">
        <v>468</v>
      </c>
      <c r="AJ40" t="s">
        <v>459</v>
      </c>
      <c r="AK40" t="s">
        <v>459</v>
      </c>
      <c r="AL40" t="s">
        <v>459</v>
      </c>
      <c r="AM40" t="s">
        <v>459</v>
      </c>
      <c r="AN40" t="s">
        <v>459</v>
      </c>
      <c r="AO40" t="s">
        <v>460</v>
      </c>
      <c r="AP40" t="s">
        <v>460</v>
      </c>
      <c r="AQ40" t="s">
        <v>460</v>
      </c>
      <c r="AR40" t="s">
        <v>460</v>
      </c>
      <c r="AS40" t="s">
        <v>460</v>
      </c>
    </row>
    <row r="41" spans="1:45" x14ac:dyDescent="0.35">
      <c r="A41" t="s">
        <v>431</v>
      </c>
      <c r="B41" t="s">
        <v>516</v>
      </c>
      <c r="C41" t="s">
        <v>517</v>
      </c>
      <c r="D41" t="s">
        <v>518</v>
      </c>
      <c r="E41" t="s">
        <v>519</v>
      </c>
      <c r="F41" t="s">
        <v>525</v>
      </c>
      <c r="G41" t="s">
        <v>526</v>
      </c>
      <c r="H41" t="s">
        <v>527</v>
      </c>
      <c r="I41" t="s">
        <v>529</v>
      </c>
      <c r="J41" t="s">
        <v>530</v>
      </c>
      <c r="K41" t="s">
        <v>531</v>
      </c>
      <c r="L41" t="s">
        <v>533</v>
      </c>
      <c r="M41" t="s">
        <v>534</v>
      </c>
      <c r="N41" t="s">
        <v>535</v>
      </c>
      <c r="O41" t="s">
        <v>537</v>
      </c>
      <c r="P41" t="s">
        <v>538</v>
      </c>
      <c r="Q41" t="s">
        <v>539</v>
      </c>
      <c r="R41" t="s">
        <v>418</v>
      </c>
      <c r="S41" t="s">
        <v>540</v>
      </c>
      <c r="T41" t="s">
        <v>541</v>
      </c>
      <c r="U41" t="s">
        <v>519</v>
      </c>
      <c r="V41" t="s">
        <v>418</v>
      </c>
      <c r="W41" t="s">
        <v>540</v>
      </c>
      <c r="X41" t="s">
        <v>541</v>
      </c>
      <c r="Y41" t="s">
        <v>519</v>
      </c>
      <c r="Z41" t="s">
        <v>516</v>
      </c>
      <c r="AA41" t="s">
        <v>517</v>
      </c>
      <c r="AB41" t="s">
        <v>518</v>
      </c>
      <c r="AC41" t="s">
        <v>542</v>
      </c>
      <c r="AD41" t="s">
        <v>543</v>
      </c>
      <c r="AE41" t="s">
        <v>516</v>
      </c>
      <c r="AF41" t="s">
        <v>517</v>
      </c>
      <c r="AG41" t="s">
        <v>518</v>
      </c>
      <c r="AH41" t="s">
        <v>542</v>
      </c>
      <c r="AI41" t="s">
        <v>543</v>
      </c>
      <c r="AJ41" t="s">
        <v>418</v>
      </c>
      <c r="AK41" t="s">
        <v>544</v>
      </c>
      <c r="AL41" t="s">
        <v>545</v>
      </c>
      <c r="AM41" t="s">
        <v>546</v>
      </c>
      <c r="AN41" t="s">
        <v>547</v>
      </c>
      <c r="AO41" t="s">
        <v>418</v>
      </c>
      <c r="AP41" t="s">
        <v>544</v>
      </c>
      <c r="AQ41" t="s">
        <v>545</v>
      </c>
      <c r="AR41" t="s">
        <v>546</v>
      </c>
      <c r="AS41" t="s">
        <v>547</v>
      </c>
    </row>
    <row r="42" spans="1:45" x14ac:dyDescent="0.35">
      <c r="A42" t="s">
        <v>429</v>
      </c>
      <c r="B42">
        <v>0</v>
      </c>
      <c r="C42">
        <v>5</v>
      </c>
      <c r="D42">
        <v>15</v>
      </c>
      <c r="E42">
        <v>30</v>
      </c>
      <c r="F42">
        <v>0</v>
      </c>
      <c r="G42">
        <v>15</v>
      </c>
      <c r="H42">
        <v>50</v>
      </c>
      <c r="I42">
        <v>0</v>
      </c>
      <c r="J42">
        <v>200</v>
      </c>
      <c r="K42">
        <v>600</v>
      </c>
      <c r="L42">
        <v>0</v>
      </c>
      <c r="M42">
        <v>600</v>
      </c>
      <c r="N42">
        <v>2000</v>
      </c>
      <c r="O42">
        <v>0</v>
      </c>
      <c r="P42">
        <v>2000</v>
      </c>
      <c r="Q42">
        <v>6000</v>
      </c>
      <c r="R42">
        <v>0</v>
      </c>
      <c r="S42">
        <v>10</v>
      </c>
      <c r="T42">
        <v>20</v>
      </c>
      <c r="U42">
        <v>30</v>
      </c>
      <c r="V42">
        <v>0</v>
      </c>
      <c r="W42">
        <v>10</v>
      </c>
      <c r="X42">
        <v>20</v>
      </c>
      <c r="Y42">
        <v>30</v>
      </c>
      <c r="Z42">
        <v>0</v>
      </c>
      <c r="AA42">
        <v>5</v>
      </c>
      <c r="AB42">
        <v>15</v>
      </c>
      <c r="AC42">
        <v>30</v>
      </c>
      <c r="AD42">
        <v>100</v>
      </c>
      <c r="AE42">
        <v>0</v>
      </c>
      <c r="AF42">
        <v>5</v>
      </c>
      <c r="AG42">
        <v>15</v>
      </c>
      <c r="AH42">
        <v>30</v>
      </c>
      <c r="AI42">
        <v>100</v>
      </c>
      <c r="AJ42">
        <v>0</v>
      </c>
      <c r="AK42">
        <v>10</v>
      </c>
      <c r="AL42">
        <v>50</v>
      </c>
      <c r="AM42">
        <v>100</v>
      </c>
      <c r="AN42">
        <v>500</v>
      </c>
      <c r="AO42">
        <v>0</v>
      </c>
      <c r="AP42">
        <v>10</v>
      </c>
      <c r="AQ42">
        <v>50</v>
      </c>
      <c r="AR42">
        <v>100</v>
      </c>
      <c r="AS42">
        <v>500</v>
      </c>
    </row>
    <row r="43" spans="1:45" x14ac:dyDescent="0.35">
      <c r="A43" t="s">
        <v>430</v>
      </c>
      <c r="B43">
        <v>5</v>
      </c>
      <c r="C43">
        <v>15</v>
      </c>
      <c r="D43">
        <v>30</v>
      </c>
      <c r="F43">
        <v>15</v>
      </c>
      <c r="G43">
        <v>50</v>
      </c>
      <c r="I43">
        <v>200</v>
      </c>
      <c r="J43">
        <v>600</v>
      </c>
      <c r="L43">
        <v>600</v>
      </c>
      <c r="M43">
        <v>2000</v>
      </c>
      <c r="O43">
        <v>2000</v>
      </c>
      <c r="P43">
        <v>6000</v>
      </c>
      <c r="R43">
        <v>10</v>
      </c>
      <c r="S43">
        <v>20</v>
      </c>
      <c r="T43">
        <v>30</v>
      </c>
      <c r="V43">
        <v>10</v>
      </c>
      <c r="W43">
        <v>20</v>
      </c>
      <c r="X43">
        <v>30</v>
      </c>
      <c r="Z43">
        <v>5</v>
      </c>
      <c r="AA43">
        <v>15</v>
      </c>
      <c r="AB43">
        <v>30</v>
      </c>
      <c r="AC43">
        <v>100</v>
      </c>
      <c r="AE43">
        <v>5</v>
      </c>
      <c r="AF43">
        <v>15</v>
      </c>
      <c r="AG43">
        <v>30</v>
      </c>
      <c r="AH43">
        <v>100</v>
      </c>
      <c r="AJ43">
        <v>10</v>
      </c>
      <c r="AK43">
        <v>50</v>
      </c>
      <c r="AL43">
        <v>100</v>
      </c>
      <c r="AM43">
        <v>500</v>
      </c>
      <c r="AO43">
        <v>10</v>
      </c>
      <c r="AP43">
        <v>50</v>
      </c>
      <c r="AQ43">
        <v>100</v>
      </c>
      <c r="AR43">
        <v>500</v>
      </c>
    </row>
    <row r="44" spans="1:45" x14ac:dyDescent="0.35">
      <c r="A44" t="s">
        <v>455</v>
      </c>
      <c r="B44">
        <f>VLOOKUP(B40&amp;B41,'Tarifas 3RTO'!$A$4:$J$47,COLUMN('Tarifas 3RTO'!$I$4),0)</f>
        <v>1.62</v>
      </c>
      <c r="C44">
        <f>VLOOKUP(C40&amp;C41,'Tarifas 3RTO'!$A$4:$J$47,COLUMN('Tarifas 3RTO'!$I$4),0)</f>
        <v>0.63</v>
      </c>
      <c r="D44">
        <f>VLOOKUP(D40&amp;D41,'Tarifas 3RTO'!$A$4:$J$47,COLUMN('Tarifas 3RTO'!$I$4),0)</f>
        <v>4.37</v>
      </c>
      <c r="E44">
        <f>VLOOKUP(E40&amp;E41,'Tarifas 3RTO'!$A$4:$J$47,COLUMN('Tarifas 3RTO'!$I$4),0)</f>
        <v>9.24</v>
      </c>
      <c r="F44">
        <f>VLOOKUP(F40&amp;F41,'Tarifas 3RTO'!$A$4:$J$47,COLUMN('Tarifas 3RTO'!$I$4),0)</f>
        <v>1.62</v>
      </c>
      <c r="G44">
        <f>VLOOKUP(G40&amp;G41,'Tarifas 3RTO'!$A$4:$J$47,COLUMN('Tarifas 3RTO'!$I$4),0)</f>
        <v>9.06</v>
      </c>
      <c r="H44">
        <f>VLOOKUP(H40&amp;H41,'Tarifas 3RTO'!$A$4:$J$47,COLUMN('Tarifas 3RTO'!$I$4),0)</f>
        <v>18.420000000000002</v>
      </c>
      <c r="I44">
        <f>VLOOKUP(I40&amp;I41,'Tarifas 3RTO'!$A$4:$J$47,COLUMN('Tarifas 3RTO'!$I$4),0)</f>
        <v>24.19</v>
      </c>
      <c r="J44">
        <f>VLOOKUP(J40&amp;J41,'Tarifas 3RTO'!$A$4:$J$47,COLUMN('Tarifas 3RTO'!$I$4),0)</f>
        <v>110.49</v>
      </c>
      <c r="K44">
        <f>VLOOKUP(K40&amp;K41,'Tarifas 3RTO'!$A$4:$J$47,COLUMN('Tarifas 3RTO'!$I$4),0)</f>
        <v>224.71</v>
      </c>
      <c r="L44">
        <f>VLOOKUP(L40&amp;L41,'Tarifas 3RTO'!$A$4:$J$47,COLUMN('Tarifas 3RTO'!$I$4),0)</f>
        <v>50.8</v>
      </c>
      <c r="M44">
        <f>VLOOKUP(M40&amp;M41,'Tarifas 3RTO'!$A$4:$J$47,COLUMN('Tarifas 3RTO'!$I$4),0)</f>
        <v>353.57</v>
      </c>
      <c r="N44">
        <f>VLOOKUP(N40&amp;N41,'Tarifas 3RTO'!$A$4:$J$47,COLUMN('Tarifas 3RTO'!$I$4),0)</f>
        <v>647.16999999999996</v>
      </c>
      <c r="O44">
        <f>VLOOKUP(O40&amp;O41,'Tarifas 3RTO'!$A$4:$J$47,COLUMN('Tarifas 3RTO'!$I$4),0)</f>
        <v>162.55000000000001</v>
      </c>
      <c r="P44">
        <f>VLOOKUP(P40&amp;P41,'Tarifas 3RTO'!$A$4:$J$47,COLUMN('Tarifas 3RTO'!$I$4),0)</f>
        <v>1149.0899999999999</v>
      </c>
      <c r="Q44">
        <f>VLOOKUP(Q40&amp;Q41,'Tarifas 3RTO'!$A$4:$J$47,COLUMN('Tarifas 3RTO'!$I$4),0)</f>
        <v>1941.5</v>
      </c>
      <c r="R44">
        <f>VLOOKUP(R40&amp;R41,'Tarifas 3RTO'!$A$4:$J$47,COLUMN('Tarifas 3RTO'!$I$4),0)</f>
        <v>0.39</v>
      </c>
      <c r="S44">
        <f>VLOOKUP(S40&amp;S41,'Tarifas 3RTO'!$A$4:$J$47,COLUMN('Tarifas 3RTO'!$I$4),0)</f>
        <v>0.63</v>
      </c>
      <c r="T44">
        <f>VLOOKUP(T40&amp;T41,'Tarifas 3RTO'!$A$4:$J$47,COLUMN('Tarifas 3RTO'!$I$4),0)</f>
        <v>1.64</v>
      </c>
      <c r="U44">
        <f>VLOOKUP(U40&amp;U41,'Tarifas 3RTO'!$A$4:$J$47,COLUMN('Tarifas 3RTO'!$I$4),0)</f>
        <v>5.54</v>
      </c>
      <c r="V44">
        <f>VLOOKUP(V40&amp;V41,'Tarifas 3RTO'!$A$4:$J$47,COLUMN('Tarifas 3RTO'!$I$4),0)</f>
        <v>0.05</v>
      </c>
      <c r="W44">
        <f>VLOOKUP(W40&amp;W41,'Tarifas 3RTO'!$A$4:$J$47,COLUMN('Tarifas 3RTO'!$I$4),0)</f>
        <v>7.0000000000000007E-2</v>
      </c>
      <c r="X44">
        <f>VLOOKUP(X40&amp;X41,'Tarifas 3RTO'!$A$4:$J$47,COLUMN('Tarifas 3RTO'!$I$4),0)</f>
        <v>0.19</v>
      </c>
      <c r="Y44">
        <f>VLOOKUP(Y40&amp;Y41,'Tarifas 3RTO'!$A$4:$J$47,COLUMN('Tarifas 3RTO'!$I$4),0)</f>
        <v>4.62</v>
      </c>
      <c r="Z44">
        <f>VLOOKUP(Z40&amp;Z41,'Tarifas 3RTO'!$A$4:$J$47,COLUMN('Tarifas 3RTO'!$I$4),0)</f>
        <v>2.46</v>
      </c>
      <c r="AA44">
        <f>VLOOKUP(AA40&amp;AA41,'Tarifas 3RTO'!$A$4:$J$47,COLUMN('Tarifas 3RTO'!$I$4),0)</f>
        <v>1.23</v>
      </c>
      <c r="AB44">
        <f>VLOOKUP(AB40&amp;AB41,'Tarifas 3RTO'!$A$4:$J$47,COLUMN('Tarifas 3RTO'!$I$4),0)</f>
        <v>6.15</v>
      </c>
      <c r="AC44">
        <f>VLOOKUP(AC40&amp;AC41,'Tarifas 3RTO'!$A$4:$J$47,COLUMN('Tarifas 3RTO'!$I$4),0)</f>
        <v>8.61</v>
      </c>
      <c r="AD44">
        <f>VLOOKUP(AD40&amp;AD41,'Tarifas 3RTO'!$A$4:$J$47,COLUMN('Tarifas 3RTO'!$I$4),0)</f>
        <v>12.3</v>
      </c>
      <c r="AE44">
        <f>VLOOKUP(AE40&amp;AE41,'Tarifas 3RTO'!$A$4:$J$47,COLUMN('Tarifas 3RTO'!$I$4),0)</f>
        <v>1.23</v>
      </c>
      <c r="AF44">
        <f>VLOOKUP(AF40&amp;AF41,'Tarifas 3RTO'!$A$4:$J$47,COLUMN('Tarifas 3RTO'!$I$4),0)</f>
        <v>0.62</v>
      </c>
      <c r="AG44">
        <f>VLOOKUP(AG40&amp;AG41,'Tarifas 3RTO'!$A$4:$J$47,COLUMN('Tarifas 3RTO'!$I$4),0)</f>
        <v>3.08</v>
      </c>
      <c r="AH44">
        <f>VLOOKUP(AH40&amp;AH41,'Tarifas 3RTO'!$A$4:$J$47,COLUMN('Tarifas 3RTO'!$I$4),0)</f>
        <v>4.3099999999999996</v>
      </c>
      <c r="AI44">
        <f>VLOOKUP(AI40&amp;AI41,'Tarifas 3RTO'!$A$4:$J$47,COLUMN('Tarifas 3RTO'!$I$4),0)</f>
        <v>6.15</v>
      </c>
      <c r="AJ44">
        <f>VLOOKUP(AJ40&amp;AJ41,'Tarifas 3RTO'!$A$4:$J$47,COLUMN('Tarifas 3RTO'!$I$4),0)</f>
        <v>1.03</v>
      </c>
      <c r="AK44">
        <f>VLOOKUP(AK40&amp;AK41,'Tarifas 3RTO'!$A$4:$J$47,COLUMN('Tarifas 3RTO'!$I$4),0)</f>
        <v>6.82</v>
      </c>
      <c r="AL44">
        <f>VLOOKUP(AL40&amp;AL41,'Tarifas 3RTO'!$A$4:$J$47,COLUMN('Tarifas 3RTO'!$I$4),0)</f>
        <v>9.25</v>
      </c>
      <c r="AM44">
        <f>VLOOKUP(AM40&amp;AM41,'Tarifas 3RTO'!$A$4:$J$47,COLUMN('Tarifas 3RTO'!$I$4),0)</f>
        <v>8.7899999999999991</v>
      </c>
      <c r="AN44">
        <f>VLOOKUP(AN40&amp;AN41,'Tarifas 3RTO'!$A$4:$J$47,COLUMN('Tarifas 3RTO'!$I$4),0)</f>
        <v>9.19</v>
      </c>
      <c r="AO44">
        <f>VLOOKUP(AO40&amp;AO41,'Tarifas 3RTO'!$A$4:$J$47,COLUMN('Tarifas 3RTO'!$I$4),0)</f>
        <v>1.31</v>
      </c>
      <c r="AP44">
        <f>VLOOKUP(AP40&amp;AP41,'Tarifas 3RTO'!$A$4:$J$47,COLUMN('Tarifas 3RTO'!$I$4),0)</f>
        <v>6.97</v>
      </c>
      <c r="AQ44">
        <f>VLOOKUP(AQ40&amp;AQ41,'Tarifas 3RTO'!$A$4:$J$47,COLUMN('Tarifas 3RTO'!$I$4),0)</f>
        <v>6.97</v>
      </c>
      <c r="AR44">
        <f>VLOOKUP(AR40&amp;AR41,'Tarifas 3RTO'!$A$4:$J$47,COLUMN('Tarifas 3RTO'!$I$4),0)</f>
        <v>10.02</v>
      </c>
      <c r="AS44">
        <f>VLOOKUP(AS40&amp;AS41,'Tarifas 3RTO'!$A$4:$J$47,COLUMN('Tarifas 3RTO'!$I$4),0)</f>
        <v>10.46</v>
      </c>
    </row>
    <row r="45" spans="1:45" x14ac:dyDescent="0.35">
      <c r="A45">
        <f>$B$4</f>
        <v>10</v>
      </c>
      <c r="B45">
        <f>IF($A45&gt;B43,B43*B44,($A45-B42)*B44)</f>
        <v>8.1000000000000014</v>
      </c>
      <c r="C45">
        <f t="shared" ref="C45" si="55">IF($A45&gt;C43,C43*C44,($A45-C42)*C44)</f>
        <v>3.15</v>
      </c>
      <c r="D45">
        <f>IF($A45&gt;D43,D43*D44,($A45-D42)*D44)</f>
        <v>-21.85</v>
      </c>
      <c r="E45">
        <f>($A45-E42)*E44</f>
        <v>-184.8</v>
      </c>
      <c r="F45">
        <f t="shared" ref="F45" si="56">IF($A45&gt;F43,F43*F44,($A45-F42)*F44)</f>
        <v>16.200000000000003</v>
      </c>
      <c r="G45">
        <f t="shared" ref="G45" si="57">IF($A45&gt;G43,G43*G44,($A45-G42)*G44)</f>
        <v>-45.300000000000004</v>
      </c>
      <c r="H45">
        <f>($A45-H42)*H44</f>
        <v>-736.80000000000007</v>
      </c>
      <c r="I45">
        <f t="shared" ref="I45" si="58">IF($A45&gt;I43,I43*I44,($A45-I42)*I44)</f>
        <v>241.9</v>
      </c>
      <c r="J45">
        <f t="shared" ref="J45" si="59">IF($A45&gt;J43,J43*J44,($A45-J42)*J44)</f>
        <v>-20993.1</v>
      </c>
      <c r="K45">
        <f>($A45-K42)*K44</f>
        <v>-132578.9</v>
      </c>
      <c r="L45">
        <f t="shared" ref="L45" si="60">IF($A45&gt;L43,L43*L44,($A45-L42)*L44)</f>
        <v>508</v>
      </c>
      <c r="M45">
        <f t="shared" ref="M45" si="61">IF($A45&gt;M43,M43*M44,($A45-M42)*M44)</f>
        <v>-208606.3</v>
      </c>
      <c r="N45">
        <f>($A45-N42)*N44</f>
        <v>-1287868.2999999998</v>
      </c>
      <c r="O45">
        <f t="shared" ref="O45" si="62">IF($A45&gt;O43,O43*O44,($A45-O42)*O44)</f>
        <v>1625.5</v>
      </c>
      <c r="P45">
        <f t="shared" ref="P45" si="63">IF($A45&gt;P43,P43*P44,($A45-P42)*P44)</f>
        <v>-2286689.0999999996</v>
      </c>
      <c r="Q45">
        <f>($A45-Q42)*Q44</f>
        <v>-11629585</v>
      </c>
      <c r="R45">
        <f t="shared" ref="R45" si="64">IF($A45&gt;R43,R43*R44,($A45-R42)*R44)</f>
        <v>3.9000000000000004</v>
      </c>
      <c r="S45">
        <f t="shared" ref="S45" si="65">IF($A45&gt;S43,S43*S44,($A45-S42)*S44)</f>
        <v>0</v>
      </c>
      <c r="T45">
        <f t="shared" ref="T45" si="66">IF($A45&gt;T43,T43*T44,($A45-T42)*T44)</f>
        <v>-16.399999999999999</v>
      </c>
      <c r="U45">
        <f>($A45-U42)*U44</f>
        <v>-110.8</v>
      </c>
      <c r="V45">
        <f t="shared" ref="V45" si="67">IF($A45&gt;V43,V43*V44,($A45-V42)*V44)</f>
        <v>0.5</v>
      </c>
      <c r="W45">
        <f t="shared" ref="W45" si="68">IF($A45&gt;W43,W43*W44,($A45-W42)*W44)</f>
        <v>0</v>
      </c>
      <c r="X45">
        <f t="shared" ref="X45" si="69">IF($A45&gt;X43,X43*X44,($A45-X42)*X44)</f>
        <v>-1.9</v>
      </c>
      <c r="Y45">
        <f>($A45-Y42)*Y44</f>
        <v>-92.4</v>
      </c>
      <c r="Z45">
        <f t="shared" ref="Z45" si="70">IF($A45&gt;Z43,Z43*Z44,($A45-Z42)*Z44)</f>
        <v>12.3</v>
      </c>
      <c r="AA45">
        <f t="shared" ref="AA45" si="71">IF($A45&gt;AA43,AA43*AA44,($A45-AA42)*AA44)</f>
        <v>6.15</v>
      </c>
      <c r="AB45">
        <f t="shared" ref="AB45" si="72">IF($A45&gt;AB43,AB43*AB44,($A45-AB42)*AB44)</f>
        <v>-30.75</v>
      </c>
      <c r="AC45">
        <f t="shared" ref="AC45" si="73">IF($A45&gt;AC43,AC43*AC44,($A45-AC42)*AC44)</f>
        <v>-172.2</v>
      </c>
      <c r="AD45">
        <f>($A45-AD42)*AD44</f>
        <v>-1107</v>
      </c>
      <c r="AE45">
        <f t="shared" ref="AE45" si="74">IF($A45&gt;AE43,AE43*AE44,($A45-AE42)*AE44)</f>
        <v>6.15</v>
      </c>
      <c r="AF45">
        <f t="shared" ref="AF45" si="75">IF($A45&gt;AF43,AF43*AF44,($A45-AF42)*AF44)</f>
        <v>3.1</v>
      </c>
      <c r="AG45">
        <f t="shared" ref="AG45" si="76">IF($A45&gt;AG43,AG43*AG44,($A45-AG42)*AG44)</f>
        <v>-15.4</v>
      </c>
      <c r="AH45">
        <f t="shared" ref="AH45" si="77">IF($A45&gt;AH43,AH43*AH44,($A45-AH42)*AH44)</f>
        <v>-86.199999999999989</v>
      </c>
      <c r="AI45">
        <f>($A45-AI42)*AI44</f>
        <v>-553.5</v>
      </c>
      <c r="AJ45">
        <f t="shared" ref="AJ45" si="78">IF($A45&gt;AJ43,AJ43*AJ44,($A45-AJ42)*AJ44)</f>
        <v>10.3</v>
      </c>
      <c r="AK45">
        <f t="shared" ref="AK45" si="79">IF($A45&gt;AK43,AK43*AK44,($A45-AK42)*AK44)</f>
        <v>0</v>
      </c>
      <c r="AL45">
        <f t="shared" ref="AL45" si="80">IF($A45&gt;AL43,AL43*AL44,($A45-AL42)*AL44)</f>
        <v>-370</v>
      </c>
      <c r="AM45">
        <f t="shared" ref="AM45" si="81">IF($A45&gt;AM43,AM43*AM44,($A45-AM42)*AM44)</f>
        <v>-791.09999999999991</v>
      </c>
      <c r="AN45">
        <f>($A45-AN42)*AN44</f>
        <v>-4503.0999999999995</v>
      </c>
      <c r="AO45">
        <f t="shared" ref="AO45" si="82">IF($A45&gt;AO43,AO43*AO44,($A45-AO42)*AO44)</f>
        <v>13.100000000000001</v>
      </c>
      <c r="AP45">
        <f t="shared" ref="AP45" si="83">IF($A45&gt;AP43,AP43*AP44,($A45-AP42)*AP44)</f>
        <v>0</v>
      </c>
      <c r="AQ45">
        <f t="shared" ref="AQ45" si="84">IF($A45&gt;AQ43,AQ43*AQ44,($A45-AQ42)*AQ44)</f>
        <v>-278.8</v>
      </c>
      <c r="AR45">
        <f t="shared" ref="AR45" si="85">IF($A45&gt;AR43,AR43*AR44,($A45-AR42)*AR44)</f>
        <v>-901.8</v>
      </c>
      <c r="AS45">
        <f>($A45-AS42)*AS44</f>
        <v>-5125.4000000000005</v>
      </c>
    </row>
    <row r="48" spans="1:45" x14ac:dyDescent="0.35">
      <c r="A48" t="s">
        <v>554</v>
      </c>
    </row>
    <row r="49" spans="1:45" x14ac:dyDescent="0.35">
      <c r="A49" t="s">
        <v>432</v>
      </c>
      <c r="B49" t="s">
        <v>515</v>
      </c>
      <c r="C49" t="s">
        <v>515</v>
      </c>
      <c r="D49" t="s">
        <v>515</v>
      </c>
      <c r="E49" t="s">
        <v>515</v>
      </c>
      <c r="F49" t="s">
        <v>524</v>
      </c>
      <c r="G49" t="s">
        <v>524</v>
      </c>
      <c r="H49" t="s">
        <v>524</v>
      </c>
      <c r="I49" t="s">
        <v>528</v>
      </c>
      <c r="J49" t="s">
        <v>528</v>
      </c>
      <c r="K49" t="s">
        <v>528</v>
      </c>
      <c r="L49" t="s">
        <v>532</v>
      </c>
      <c r="M49" t="s">
        <v>532</v>
      </c>
      <c r="N49" t="s">
        <v>532</v>
      </c>
      <c r="O49" t="s">
        <v>536</v>
      </c>
      <c r="P49" t="s">
        <v>536</v>
      </c>
      <c r="Q49" t="s">
        <v>536</v>
      </c>
      <c r="R49" t="s">
        <v>417</v>
      </c>
      <c r="S49" t="s">
        <v>417</v>
      </c>
      <c r="T49" t="s">
        <v>417</v>
      </c>
      <c r="U49" t="s">
        <v>417</v>
      </c>
      <c r="V49" t="s">
        <v>465</v>
      </c>
      <c r="W49" t="s">
        <v>465</v>
      </c>
      <c r="X49" t="s">
        <v>465</v>
      </c>
      <c r="Y49" t="s">
        <v>465</v>
      </c>
      <c r="Z49" t="s">
        <v>458</v>
      </c>
      <c r="AA49" t="s">
        <v>458</v>
      </c>
      <c r="AB49" t="s">
        <v>458</v>
      </c>
      <c r="AC49" t="s">
        <v>458</v>
      </c>
      <c r="AD49" t="s">
        <v>458</v>
      </c>
      <c r="AE49" t="s">
        <v>468</v>
      </c>
      <c r="AF49" t="s">
        <v>468</v>
      </c>
      <c r="AG49" t="s">
        <v>468</v>
      </c>
      <c r="AH49" t="s">
        <v>468</v>
      </c>
      <c r="AI49" t="s">
        <v>468</v>
      </c>
      <c r="AJ49" t="s">
        <v>459</v>
      </c>
      <c r="AK49" t="s">
        <v>459</v>
      </c>
      <c r="AL49" t="s">
        <v>459</v>
      </c>
      <c r="AM49" t="s">
        <v>459</v>
      </c>
      <c r="AN49" t="s">
        <v>459</v>
      </c>
      <c r="AO49" t="s">
        <v>460</v>
      </c>
      <c r="AP49" t="s">
        <v>460</v>
      </c>
      <c r="AQ49" t="s">
        <v>460</v>
      </c>
      <c r="AR49" t="s">
        <v>460</v>
      </c>
      <c r="AS49" t="s">
        <v>460</v>
      </c>
    </row>
    <row r="50" spans="1:45" x14ac:dyDescent="0.35">
      <c r="A50" t="s">
        <v>431</v>
      </c>
      <c r="B50" t="s">
        <v>516</v>
      </c>
      <c r="C50" t="s">
        <v>517</v>
      </c>
      <c r="D50" t="s">
        <v>518</v>
      </c>
      <c r="E50" t="s">
        <v>519</v>
      </c>
      <c r="F50" t="s">
        <v>525</v>
      </c>
      <c r="G50" t="s">
        <v>526</v>
      </c>
      <c r="H50" t="s">
        <v>527</v>
      </c>
      <c r="I50" t="s">
        <v>529</v>
      </c>
      <c r="J50" t="s">
        <v>530</v>
      </c>
      <c r="K50" t="s">
        <v>531</v>
      </c>
      <c r="L50" t="s">
        <v>533</v>
      </c>
      <c r="M50" t="s">
        <v>534</v>
      </c>
      <c r="N50" t="s">
        <v>535</v>
      </c>
      <c r="O50" t="s">
        <v>537</v>
      </c>
      <c r="P50" t="s">
        <v>538</v>
      </c>
      <c r="Q50" t="s">
        <v>539</v>
      </c>
      <c r="R50" t="s">
        <v>418</v>
      </c>
      <c r="S50" t="s">
        <v>540</v>
      </c>
      <c r="T50" t="s">
        <v>541</v>
      </c>
      <c r="U50" t="s">
        <v>519</v>
      </c>
      <c r="V50" t="s">
        <v>418</v>
      </c>
      <c r="W50" t="s">
        <v>540</v>
      </c>
      <c r="X50" t="s">
        <v>541</v>
      </c>
      <c r="Y50" t="s">
        <v>519</v>
      </c>
      <c r="Z50" t="s">
        <v>516</v>
      </c>
      <c r="AA50" t="s">
        <v>517</v>
      </c>
      <c r="AB50" t="s">
        <v>518</v>
      </c>
      <c r="AC50" t="s">
        <v>542</v>
      </c>
      <c r="AD50" t="s">
        <v>543</v>
      </c>
      <c r="AE50" t="s">
        <v>516</v>
      </c>
      <c r="AF50" t="s">
        <v>517</v>
      </c>
      <c r="AG50" t="s">
        <v>518</v>
      </c>
      <c r="AH50" t="s">
        <v>542</v>
      </c>
      <c r="AI50" t="s">
        <v>543</v>
      </c>
      <c r="AJ50" t="s">
        <v>418</v>
      </c>
      <c r="AK50" t="s">
        <v>544</v>
      </c>
      <c r="AL50" t="s">
        <v>545</v>
      </c>
      <c r="AM50" t="s">
        <v>546</v>
      </c>
      <c r="AN50" t="s">
        <v>547</v>
      </c>
      <c r="AO50" t="s">
        <v>418</v>
      </c>
      <c r="AP50" t="s">
        <v>544</v>
      </c>
      <c r="AQ50" t="s">
        <v>545</v>
      </c>
      <c r="AR50" t="s">
        <v>546</v>
      </c>
      <c r="AS50" t="s">
        <v>547</v>
      </c>
    </row>
    <row r="51" spans="1:45" x14ac:dyDescent="0.35">
      <c r="A51" t="s">
        <v>429</v>
      </c>
      <c r="B51">
        <v>0</v>
      </c>
      <c r="C51">
        <v>5</v>
      </c>
      <c r="D51">
        <v>15</v>
      </c>
      <c r="E51">
        <v>30</v>
      </c>
      <c r="F51">
        <v>0</v>
      </c>
      <c r="G51">
        <v>15</v>
      </c>
      <c r="H51">
        <v>50</v>
      </c>
      <c r="I51">
        <v>0</v>
      </c>
      <c r="J51">
        <v>200</v>
      </c>
      <c r="K51">
        <v>600</v>
      </c>
      <c r="L51">
        <v>0</v>
      </c>
      <c r="M51">
        <v>600</v>
      </c>
      <c r="N51">
        <v>2000</v>
      </c>
      <c r="O51">
        <v>0</v>
      </c>
      <c r="P51">
        <v>2000</v>
      </c>
      <c r="Q51">
        <v>6000</v>
      </c>
      <c r="R51">
        <v>0</v>
      </c>
      <c r="S51">
        <v>10</v>
      </c>
      <c r="T51">
        <v>20</v>
      </c>
      <c r="U51">
        <v>30</v>
      </c>
      <c r="V51">
        <v>0</v>
      </c>
      <c r="W51">
        <v>10</v>
      </c>
      <c r="X51">
        <v>20</v>
      </c>
      <c r="Y51">
        <v>30</v>
      </c>
      <c r="Z51">
        <v>0</v>
      </c>
      <c r="AA51">
        <v>5</v>
      </c>
      <c r="AB51">
        <v>15</v>
      </c>
      <c r="AC51">
        <v>30</v>
      </c>
      <c r="AD51">
        <v>100</v>
      </c>
      <c r="AE51">
        <v>0</v>
      </c>
      <c r="AF51">
        <v>5</v>
      </c>
      <c r="AG51">
        <v>15</v>
      </c>
      <c r="AH51">
        <v>30</v>
      </c>
      <c r="AI51">
        <v>100</v>
      </c>
      <c r="AJ51">
        <v>0</v>
      </c>
      <c r="AK51">
        <v>10</v>
      </c>
      <c r="AL51">
        <v>50</v>
      </c>
      <c r="AM51">
        <v>100</v>
      </c>
      <c r="AN51">
        <v>500</v>
      </c>
      <c r="AO51">
        <v>0</v>
      </c>
      <c r="AP51">
        <v>10</v>
      </c>
      <c r="AQ51">
        <v>50</v>
      </c>
      <c r="AR51">
        <v>100</v>
      </c>
      <c r="AS51">
        <v>500</v>
      </c>
    </row>
    <row r="52" spans="1:45" x14ac:dyDescent="0.35">
      <c r="A52" t="s">
        <v>430</v>
      </c>
      <c r="B52">
        <v>5</v>
      </c>
      <c r="C52">
        <v>15</v>
      </c>
      <c r="D52">
        <v>30</v>
      </c>
      <c r="F52">
        <v>15</v>
      </c>
      <c r="G52">
        <v>50</v>
      </c>
      <c r="I52">
        <v>200</v>
      </c>
      <c r="J52">
        <v>600</v>
      </c>
      <c r="L52">
        <v>600</v>
      </c>
      <c r="M52">
        <v>2000</v>
      </c>
      <c r="O52">
        <v>2000</v>
      </c>
      <c r="P52">
        <v>6000</v>
      </c>
      <c r="R52">
        <v>10</v>
      </c>
      <c r="S52">
        <v>20</v>
      </c>
      <c r="T52">
        <v>30</v>
      </c>
      <c r="V52">
        <v>10</v>
      </c>
      <c r="W52">
        <v>20</v>
      </c>
      <c r="X52">
        <v>30</v>
      </c>
      <c r="Z52">
        <v>5</v>
      </c>
      <c r="AA52">
        <v>15</v>
      </c>
      <c r="AB52">
        <v>30</v>
      </c>
      <c r="AC52">
        <v>100</v>
      </c>
      <c r="AE52">
        <v>5</v>
      </c>
      <c r="AF52">
        <v>15</v>
      </c>
      <c r="AG52">
        <v>30</v>
      </c>
      <c r="AH52">
        <v>100</v>
      </c>
      <c r="AJ52">
        <v>10</v>
      </c>
      <c r="AK52">
        <v>50</v>
      </c>
      <c r="AL52">
        <v>100</v>
      </c>
      <c r="AM52">
        <v>500</v>
      </c>
      <c r="AO52">
        <v>10</v>
      </c>
      <c r="AP52">
        <v>50</v>
      </c>
      <c r="AQ52">
        <v>100</v>
      </c>
      <c r="AR52">
        <v>500</v>
      </c>
    </row>
    <row r="53" spans="1:45" x14ac:dyDescent="0.35">
      <c r="A53" t="s">
        <v>455</v>
      </c>
      <c r="B53">
        <f>VLOOKUP(B49&amp;B50,'Tarifas 3RTO'!$A$4:$J$47,COLUMN('Tarifas 3RTO'!$J$4),0)</f>
        <v>1.46</v>
      </c>
      <c r="C53">
        <f>VLOOKUP(C49&amp;C50,'Tarifas 3RTO'!$A$4:$J$47,COLUMN('Tarifas 3RTO'!$J$4),0)</f>
        <v>0.56999999999999995</v>
      </c>
      <c r="D53">
        <f>VLOOKUP(D49&amp;D50,'Tarifas 3RTO'!$A$4:$J$47,COLUMN('Tarifas 3RTO'!$J$4),0)</f>
        <v>3.93</v>
      </c>
      <c r="E53">
        <f>VLOOKUP(E49&amp;E50,'Tarifas 3RTO'!$A$4:$J$47,COLUMN('Tarifas 3RTO'!$J$4),0)</f>
        <v>8.31</v>
      </c>
      <c r="F53">
        <f>VLOOKUP(F49&amp;F50,'Tarifas 3RTO'!$A$4:$J$47,COLUMN('Tarifas 3RTO'!$J$4),0)</f>
        <v>1.46</v>
      </c>
      <c r="G53">
        <f>VLOOKUP(G49&amp;G50,'Tarifas 3RTO'!$A$4:$J$47,COLUMN('Tarifas 3RTO'!$J$4),0)</f>
        <v>5.18</v>
      </c>
      <c r="H53">
        <f>VLOOKUP(H49&amp;H50,'Tarifas 3RTO'!$A$4:$J$47,COLUMN('Tarifas 3RTO'!$J$4),0)</f>
        <v>10.53</v>
      </c>
      <c r="I53">
        <f>VLOOKUP(I49&amp;I50,'Tarifas 3RTO'!$A$4:$J$47,COLUMN('Tarifas 3RTO'!$J$4),0)</f>
        <v>21.8</v>
      </c>
      <c r="J53">
        <f>VLOOKUP(J49&amp;J50,'Tarifas 3RTO'!$A$4:$J$47,COLUMN('Tarifas 3RTO'!$J$4),0)</f>
        <v>63.14</v>
      </c>
      <c r="K53">
        <f>VLOOKUP(K49&amp;K50,'Tarifas 3RTO'!$A$4:$J$47,COLUMN('Tarifas 3RTO'!$J$4),0)</f>
        <v>128.41</v>
      </c>
      <c r="L53">
        <f>VLOOKUP(L49&amp;L50,'Tarifas 3RTO'!$A$4:$J$47,COLUMN('Tarifas 3RTO'!$J$4),0)</f>
        <v>45.78</v>
      </c>
      <c r="M53">
        <f>VLOOKUP(M49&amp;M50,'Tarifas 3RTO'!$A$4:$J$47,COLUMN('Tarifas 3RTO'!$J$4),0)</f>
        <v>202.04</v>
      </c>
      <c r="N53">
        <f>VLOOKUP(N49&amp;N50,'Tarifas 3RTO'!$A$4:$J$47,COLUMN('Tarifas 3RTO'!$J$4),0)</f>
        <v>369.81</v>
      </c>
      <c r="O53">
        <f>VLOOKUP(O49&amp;O50,'Tarifas 3RTO'!$A$4:$J$47,COLUMN('Tarifas 3RTO'!$J$4),0)</f>
        <v>146.49</v>
      </c>
      <c r="P53">
        <f>VLOOKUP(P49&amp;P50,'Tarifas 3RTO'!$A$4:$J$47,COLUMN('Tarifas 3RTO'!$J$4),0)</f>
        <v>656.63</v>
      </c>
      <c r="Q53">
        <f>VLOOKUP(Q49&amp;Q50,'Tarifas 3RTO'!$A$4:$J$47,COLUMN('Tarifas 3RTO'!$J$4),0)</f>
        <v>1109.43</v>
      </c>
      <c r="R53">
        <f>VLOOKUP(R49&amp;R50,'Tarifas 3RTO'!$A$4:$J$47,COLUMN('Tarifas 3RTO'!$J$4),0)</f>
        <v>0.23</v>
      </c>
      <c r="S53">
        <f>VLOOKUP(S49&amp;S50,'Tarifas 3RTO'!$A$4:$J$47,COLUMN('Tarifas 3RTO'!$J$4),0)</f>
        <v>0.36</v>
      </c>
      <c r="T53">
        <f>VLOOKUP(T49&amp;T50,'Tarifas 3RTO'!$A$4:$J$47,COLUMN('Tarifas 3RTO'!$J$4),0)</f>
        <v>0.94</v>
      </c>
      <c r="U53">
        <f>VLOOKUP(U49&amp;U50,'Tarifas 3RTO'!$A$4:$J$47,COLUMN('Tarifas 3RTO'!$J$4),0)</f>
        <v>4.99</v>
      </c>
      <c r="V53">
        <f>VLOOKUP(V49&amp;V50,'Tarifas 3RTO'!$A$4:$J$47,COLUMN('Tarifas 3RTO'!$J$4),0)</f>
        <v>0.03</v>
      </c>
      <c r="W53">
        <f>VLOOKUP(W49&amp;W50,'Tarifas 3RTO'!$A$4:$J$47,COLUMN('Tarifas 3RTO'!$J$4),0)</f>
        <v>0.04</v>
      </c>
      <c r="X53">
        <f>VLOOKUP(X49&amp;X50,'Tarifas 3RTO'!$A$4:$J$47,COLUMN('Tarifas 3RTO'!$J$4),0)</f>
        <v>0.11</v>
      </c>
      <c r="Y53">
        <f>VLOOKUP(Y49&amp;Y50,'Tarifas 3RTO'!$A$4:$J$47,COLUMN('Tarifas 3RTO'!$J$4),0)</f>
        <v>4.16</v>
      </c>
      <c r="Z53">
        <f>VLOOKUP(Z49&amp;Z50,'Tarifas 3RTO'!$A$4:$J$47,COLUMN('Tarifas 3RTO'!$J$4),0)</f>
        <v>2.13</v>
      </c>
      <c r="AA53">
        <f>VLOOKUP(AA49&amp;AA50,'Tarifas 3RTO'!$A$4:$J$47,COLUMN('Tarifas 3RTO'!$J$4),0)</f>
        <v>1.06</v>
      </c>
      <c r="AB53">
        <f>VLOOKUP(AB49&amp;AB50,'Tarifas 3RTO'!$A$4:$J$47,COLUMN('Tarifas 3RTO'!$J$4),0)</f>
        <v>5.67</v>
      </c>
      <c r="AC53">
        <f>VLOOKUP(AC49&amp;AC50,'Tarifas 3RTO'!$A$4:$J$47,COLUMN('Tarifas 3RTO'!$J$4),0)</f>
        <v>10.64</v>
      </c>
      <c r="AD53">
        <f>VLOOKUP(AD49&amp;AD50,'Tarifas 3RTO'!$A$4:$J$47,COLUMN('Tarifas 3RTO'!$J$4),0)</f>
        <v>10.64</v>
      </c>
      <c r="AE53">
        <f>VLOOKUP(AE49&amp;AE50,'Tarifas 3RTO'!$A$4:$J$47,COLUMN('Tarifas 3RTO'!$J$4),0)</f>
        <v>1.06</v>
      </c>
      <c r="AF53">
        <f>VLOOKUP(AF49&amp;AF50,'Tarifas 3RTO'!$A$4:$J$47,COLUMN('Tarifas 3RTO'!$J$4),0)</f>
        <v>0.53</v>
      </c>
      <c r="AG53">
        <f>VLOOKUP(AG49&amp;AG50,'Tarifas 3RTO'!$A$4:$J$47,COLUMN('Tarifas 3RTO'!$J$4),0)</f>
        <v>2.84</v>
      </c>
      <c r="AH53">
        <f>VLOOKUP(AH49&amp;AH50,'Tarifas 3RTO'!$A$4:$J$47,COLUMN('Tarifas 3RTO'!$J$4),0)</f>
        <v>5.32</v>
      </c>
      <c r="AI53">
        <f>VLOOKUP(AI49&amp;AI50,'Tarifas 3RTO'!$A$4:$J$47,COLUMN('Tarifas 3RTO'!$J$4),0)</f>
        <v>5.32</v>
      </c>
      <c r="AJ53">
        <f>VLOOKUP(AJ49&amp;AJ50,'Tarifas 3RTO'!$A$4:$J$47,COLUMN('Tarifas 3RTO'!$J$4),0)</f>
        <v>0.59</v>
      </c>
      <c r="AK53">
        <f>VLOOKUP(AK49&amp;AK50,'Tarifas 3RTO'!$A$4:$J$47,COLUMN('Tarifas 3RTO'!$J$4),0)</f>
        <v>3.93</v>
      </c>
      <c r="AL53">
        <f>VLOOKUP(AL49&amp;AL50,'Tarifas 3RTO'!$A$4:$J$47,COLUMN('Tarifas 3RTO'!$J$4),0)</f>
        <v>5.33</v>
      </c>
      <c r="AM53">
        <f>VLOOKUP(AM49&amp;AM50,'Tarifas 3RTO'!$A$4:$J$47,COLUMN('Tarifas 3RTO'!$J$4),0)</f>
        <v>5.07</v>
      </c>
      <c r="AN53">
        <f>VLOOKUP(AN49&amp;AN50,'Tarifas 3RTO'!$A$4:$J$47,COLUMN('Tarifas 3RTO'!$J$4),0)</f>
        <v>5.3</v>
      </c>
      <c r="AO53">
        <f>VLOOKUP(AO49&amp;AO50,'Tarifas 3RTO'!$A$4:$J$47,COLUMN('Tarifas 3RTO'!$J$4),0)</f>
        <v>1</v>
      </c>
      <c r="AP53">
        <f>VLOOKUP(AP49&amp;AP50,'Tarifas 3RTO'!$A$4:$J$47,COLUMN('Tarifas 3RTO'!$J$4),0)</f>
        <v>5.0199999999999996</v>
      </c>
      <c r="AQ53">
        <f>VLOOKUP(AQ49&amp;AQ50,'Tarifas 3RTO'!$A$4:$J$47,COLUMN('Tarifas 3RTO'!$J$4),0)</f>
        <v>5.0199999999999996</v>
      </c>
      <c r="AR53">
        <f>VLOOKUP(AR49&amp;AR50,'Tarifas 3RTO'!$A$4:$J$47,COLUMN('Tarifas 3RTO'!$J$4),0)</f>
        <v>5.78</v>
      </c>
      <c r="AS53">
        <f>VLOOKUP(AS49&amp;AS50,'Tarifas 3RTO'!$A$4:$J$47,COLUMN('Tarifas 3RTO'!$J$4),0)</f>
        <v>6.03</v>
      </c>
    </row>
    <row r="54" spans="1:45" x14ac:dyDescent="0.35">
      <c r="A54">
        <f>$B$4</f>
        <v>10</v>
      </c>
      <c r="B54">
        <f>IF($A54&gt;B52,B52*B53,($A54-B51)*B53)</f>
        <v>7.3</v>
      </c>
      <c r="C54">
        <f t="shared" ref="C54" si="86">IF($A54&gt;C52,C52*C53,($A54-C51)*C53)</f>
        <v>2.8499999999999996</v>
      </c>
      <c r="D54">
        <f>IF($A54&gt;D52,D52*D53,($A54-D51)*D53)</f>
        <v>-19.650000000000002</v>
      </c>
      <c r="E54">
        <f>($A54-E51)*E53</f>
        <v>-166.20000000000002</v>
      </c>
      <c r="F54">
        <f t="shared" ref="F54" si="87">IF($A54&gt;F52,F52*F53,($A54-F51)*F53)</f>
        <v>14.6</v>
      </c>
      <c r="G54">
        <f t="shared" ref="G54" si="88">IF($A54&gt;G52,G52*G53,($A54-G51)*G53)</f>
        <v>-25.9</v>
      </c>
      <c r="H54">
        <f>($A54-H51)*H53</f>
        <v>-421.2</v>
      </c>
      <c r="I54">
        <f t="shared" ref="I54" si="89">IF($A54&gt;I52,I52*I53,($A54-I51)*I53)</f>
        <v>218</v>
      </c>
      <c r="J54">
        <f t="shared" ref="J54" si="90">IF($A54&gt;J52,J52*J53,($A54-J51)*J53)</f>
        <v>-11996.6</v>
      </c>
      <c r="K54">
        <f>($A54-K51)*K53</f>
        <v>-75761.899999999994</v>
      </c>
      <c r="L54">
        <f t="shared" ref="L54" si="91">IF($A54&gt;L52,L52*L53,($A54-L51)*L53)</f>
        <v>457.8</v>
      </c>
      <c r="M54">
        <f t="shared" ref="M54" si="92">IF($A54&gt;M52,M52*M53,($A54-M51)*M53)</f>
        <v>-119203.59999999999</v>
      </c>
      <c r="N54">
        <f>($A54-N51)*N53</f>
        <v>-735921.9</v>
      </c>
      <c r="O54">
        <f t="shared" ref="O54" si="93">IF($A54&gt;O52,O52*O53,($A54-O51)*O53)</f>
        <v>1464.9</v>
      </c>
      <c r="P54">
        <f t="shared" ref="P54" si="94">IF($A54&gt;P52,P52*P53,($A54-P51)*P53)</f>
        <v>-1306693.7</v>
      </c>
      <c r="Q54">
        <f>($A54-Q51)*Q53</f>
        <v>-6645485.7000000002</v>
      </c>
      <c r="R54">
        <f t="shared" ref="R54" si="95">IF($A54&gt;R52,R52*R53,($A54-R51)*R53)</f>
        <v>2.3000000000000003</v>
      </c>
      <c r="S54">
        <f t="shared" ref="S54" si="96">IF($A54&gt;S52,S52*S53,($A54-S51)*S53)</f>
        <v>0</v>
      </c>
      <c r="T54">
        <f t="shared" ref="T54" si="97">IF($A54&gt;T52,T52*T53,($A54-T51)*T53)</f>
        <v>-9.3999999999999986</v>
      </c>
      <c r="U54">
        <f>($A54-U51)*U53</f>
        <v>-99.800000000000011</v>
      </c>
      <c r="V54">
        <f t="shared" ref="V54" si="98">IF($A54&gt;V52,V52*V53,($A54-V51)*V53)</f>
        <v>0.3</v>
      </c>
      <c r="W54">
        <f t="shared" ref="W54" si="99">IF($A54&gt;W52,W52*W53,($A54-W51)*W53)</f>
        <v>0</v>
      </c>
      <c r="X54">
        <f t="shared" ref="X54" si="100">IF($A54&gt;X52,X52*X53,($A54-X51)*X53)</f>
        <v>-1.1000000000000001</v>
      </c>
      <c r="Y54">
        <f>($A54-Y51)*Y53</f>
        <v>-83.2</v>
      </c>
      <c r="Z54">
        <f t="shared" ref="Z54" si="101">IF($A54&gt;Z52,Z52*Z53,($A54-Z51)*Z53)</f>
        <v>10.649999999999999</v>
      </c>
      <c r="AA54">
        <f t="shared" ref="AA54" si="102">IF($A54&gt;AA52,AA52*AA53,($A54-AA51)*AA53)</f>
        <v>5.3000000000000007</v>
      </c>
      <c r="AB54">
        <f t="shared" ref="AB54" si="103">IF($A54&gt;AB52,AB52*AB53,($A54-AB51)*AB53)</f>
        <v>-28.35</v>
      </c>
      <c r="AC54">
        <f t="shared" ref="AC54" si="104">IF($A54&gt;AC52,AC52*AC53,($A54-AC51)*AC53)</f>
        <v>-212.8</v>
      </c>
      <c r="AD54">
        <f>($A54-AD51)*AD53</f>
        <v>-957.6</v>
      </c>
      <c r="AE54">
        <f t="shared" ref="AE54" si="105">IF($A54&gt;AE52,AE52*AE53,($A54-AE51)*AE53)</f>
        <v>5.3000000000000007</v>
      </c>
      <c r="AF54">
        <f t="shared" ref="AF54" si="106">IF($A54&gt;AF52,AF52*AF53,($A54-AF51)*AF53)</f>
        <v>2.6500000000000004</v>
      </c>
      <c r="AG54">
        <f t="shared" ref="AG54" si="107">IF($A54&gt;AG52,AG52*AG53,($A54-AG51)*AG53)</f>
        <v>-14.2</v>
      </c>
      <c r="AH54">
        <f t="shared" ref="AH54" si="108">IF($A54&gt;AH52,AH52*AH53,($A54-AH51)*AH53)</f>
        <v>-106.4</v>
      </c>
      <c r="AI54">
        <f>($A54-AI51)*AI53</f>
        <v>-478.8</v>
      </c>
      <c r="AJ54">
        <f t="shared" ref="AJ54" si="109">IF($A54&gt;AJ52,AJ52*AJ53,($A54-AJ51)*AJ53)</f>
        <v>5.8999999999999995</v>
      </c>
      <c r="AK54">
        <f t="shared" ref="AK54" si="110">IF($A54&gt;AK52,AK52*AK53,($A54-AK51)*AK53)</f>
        <v>0</v>
      </c>
      <c r="AL54">
        <f t="shared" ref="AL54" si="111">IF($A54&gt;AL52,AL52*AL53,($A54-AL51)*AL53)</f>
        <v>-213.2</v>
      </c>
      <c r="AM54">
        <f t="shared" ref="AM54" si="112">IF($A54&gt;AM52,AM52*AM53,($A54-AM51)*AM53)</f>
        <v>-456.3</v>
      </c>
      <c r="AN54">
        <f>($A54-AN51)*AN53</f>
        <v>-2597</v>
      </c>
      <c r="AO54">
        <f t="shared" ref="AO54" si="113">IF($A54&gt;AO52,AO52*AO53,($A54-AO51)*AO53)</f>
        <v>10</v>
      </c>
      <c r="AP54">
        <f t="shared" ref="AP54" si="114">IF($A54&gt;AP52,AP52*AP53,($A54-AP51)*AP53)</f>
        <v>0</v>
      </c>
      <c r="AQ54">
        <f t="shared" ref="AQ54" si="115">IF($A54&gt;AQ52,AQ52*AQ53,($A54-AQ51)*AQ53)</f>
        <v>-200.79999999999998</v>
      </c>
      <c r="AR54">
        <f t="shared" ref="AR54" si="116">IF($A54&gt;AR52,AR52*AR53,($A54-AR51)*AR53)</f>
        <v>-520.20000000000005</v>
      </c>
      <c r="AS54">
        <f>($A54-AS51)*AS53</f>
        <v>-2954.7000000000003</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510D-2A03-46E7-A954-9B2F54B49C49}">
  <dimension ref="A1:H11"/>
  <sheetViews>
    <sheetView showGridLines="0"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ColWidth="0" defaultRowHeight="14.5" zeroHeight="1" x14ac:dyDescent="0.35"/>
  <cols>
    <col min="1" max="1" width="2.54296875" customWidth="1"/>
    <col min="2" max="2" width="45.81640625" customWidth="1"/>
    <col min="3" max="3" width="21.1796875" customWidth="1"/>
    <col min="4" max="4" width="61.453125" customWidth="1"/>
    <col min="5" max="5" width="35.6328125" customWidth="1"/>
    <col min="6" max="6" width="8.7265625" hidden="1" customWidth="1"/>
    <col min="7" max="7" width="27" hidden="1" customWidth="1"/>
    <col min="8" max="8" width="10.453125" hidden="1" customWidth="1"/>
    <col min="9" max="16384" width="8.7265625" hidden="1"/>
  </cols>
  <sheetData>
    <row r="1" spans="2:5" x14ac:dyDescent="0.35">
      <c r="B1" s="22" t="s">
        <v>565</v>
      </c>
    </row>
    <row r="2" spans="2:5" x14ac:dyDescent="0.35">
      <c r="B2" s="20" t="s">
        <v>388</v>
      </c>
      <c r="C2" s="8" t="str">
        <f>Simulador!C3</f>
        <v>SANTO ANASTACIO</v>
      </c>
    </row>
    <row r="3" spans="2:5" x14ac:dyDescent="0.35">
      <c r="B3" s="20" t="s">
        <v>432</v>
      </c>
      <c r="C3" s="8" t="str">
        <f>Simulador!C5</f>
        <v>Residencial</v>
      </c>
    </row>
    <row r="4" spans="2:5" x14ac:dyDescent="0.35">
      <c r="B4" s="20" t="s">
        <v>562</v>
      </c>
      <c r="C4" s="8">
        <f>Simulador!C7</f>
        <v>10</v>
      </c>
    </row>
    <row r="5" spans="2:5" x14ac:dyDescent="0.35"/>
    <row r="6" spans="2:5" x14ac:dyDescent="0.35">
      <c r="B6" s="21" t="s">
        <v>560</v>
      </c>
      <c r="C6" s="21" t="s">
        <v>488</v>
      </c>
      <c r="D6" s="21" t="s">
        <v>561</v>
      </c>
      <c r="E6" s="21" t="s">
        <v>454</v>
      </c>
    </row>
    <row r="7" spans="2:5" ht="209.5" customHeight="1" x14ac:dyDescent="0.35">
      <c r="B7" s="9" t="str">
        <f>"Até "&amp;Auxiliar!I30</f>
        <v>Até 09 de maio de 2021</v>
      </c>
      <c r="C7" s="11">
        <f>'Fatura 2020'!B5</f>
        <v>48.78</v>
      </c>
      <c r="D7" s="10" t="str">
        <f>Auxiliar!R21</f>
        <v>Ligação usada exclusivamente para moradia, atendendo uma ou mais economias*</v>
      </c>
      <c r="E7" s="10" t="str">
        <f>Auxiliar!BD5</f>
        <v/>
      </c>
    </row>
    <row r="8" spans="2:5" ht="209.5" customHeight="1" x14ac:dyDescent="0.35">
      <c r="B8" s="10" t="str">
        <f>Auxiliar!J30</f>
        <v>Entre 10 de maio de 2021 a 09 de maio de 2022</v>
      </c>
      <c r="C8" s="11">
        <f>'Fatura 2021'!B5</f>
        <v>52.260000000000005</v>
      </c>
      <c r="D8" s="10" t="str">
        <f>Auxiliar!S21</f>
        <v>Ligação usada exclusivamente para moradia, atendendo uma ou mais economias*</v>
      </c>
      <c r="E8" s="10" t="str">
        <f>Auxiliar!BD6</f>
        <v>A partir de 01 de outubro de 2021, se o domicílio tiver renda mensal per capita inferior a R$ 89, será reclassificado como Residencial Vulnerável.</v>
      </c>
    </row>
    <row r="9" spans="2:5" ht="209.5" customHeight="1" x14ac:dyDescent="0.35">
      <c r="B9" s="9" t="str">
        <f>Auxiliar!K30</f>
        <v>Entre 10 de maio de 2022 a 09 de maio de 2023</v>
      </c>
      <c r="C9" s="10" t="s">
        <v>514</v>
      </c>
      <c r="D9" s="10" t="str">
        <f>Auxiliar!T21</f>
        <v>Ligação usada exclusivamente para moradia, atendendo apenas uma economia*</v>
      </c>
      <c r="E9" s="10" t="str">
        <f>Auxiliar!BD7</f>
        <v>A partir de 10 de maio de 2022, se o domicílio tiver renda mensal per capita inferior a R$ 178, será reclassificado como Residencial Vulnerável. Ligações com mais de uma economia (prédios e condomínios) serão reclassificadas como Residencial Coletivo, exceto se tiver passado por processo de individualização da medição com autorização da Sabesp.</v>
      </c>
    </row>
    <row r="10" spans="2:5" ht="209.5" customHeight="1" x14ac:dyDescent="0.35">
      <c r="B10" s="9" t="str">
        <f>Auxiliar!L30</f>
        <v>Entre 10 de maio de 2023 a 09 de maio de 2024</v>
      </c>
      <c r="C10" s="10" t="s">
        <v>514</v>
      </c>
      <c r="D10" s="10" t="str">
        <f>Auxiliar!U21</f>
        <v>Ligação usada exclusivamente para moradia, atendendo apenas uma economia*</v>
      </c>
      <c r="E10" s="10" t="str">
        <f>Auxiliar!BD8</f>
        <v>A partir de 10 de maio de 2023, se o domicílio tiver renda mensal per capita inferior a meio salário mínimo, será reclassificado como Residencial Social.</v>
      </c>
    </row>
    <row r="11" spans="2:5" ht="209.5" customHeight="1" x14ac:dyDescent="0.35">
      <c r="B11" s="9" t="str">
        <f>Auxiliar!M30</f>
        <v>A partir de 10 de maio de 2024</v>
      </c>
      <c r="C11" s="10" t="s">
        <v>514</v>
      </c>
      <c r="D11" s="10" t="str">
        <f>Auxiliar!V21</f>
        <v>Ligação usada exclusivamente para moradia, atendendo apenas uma economia*</v>
      </c>
      <c r="E11" s="10" t="str">
        <f>Auxiliar!BD9</f>
        <v/>
      </c>
    </row>
  </sheetData>
  <hyperlinks>
    <hyperlink ref="B1" location="Simulador!A1" display="Voltar" xr:uid="{E6E1455E-4B13-4734-9F98-EA3073962391}"/>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1A2A0-788E-44E1-B00F-B3515F7F9164}">
  <dimension ref="A1:AH16"/>
  <sheetViews>
    <sheetView showGridLines="0" workbookViewId="0">
      <pane xSplit="2" ySplit="2" topLeftCell="R3" activePane="bottomRight" state="frozen"/>
      <selection pane="topRight" activeCell="C1" sqref="C1"/>
      <selection pane="bottomLeft" activeCell="A3" sqref="A3"/>
      <selection pane="bottomRight" activeCell="B1" sqref="B1"/>
    </sheetView>
  </sheetViews>
  <sheetFormatPr defaultColWidth="0" defaultRowHeight="14" zeroHeight="1" x14ac:dyDescent="0.3"/>
  <cols>
    <col min="1" max="1" width="3.1796875" style="3" customWidth="1"/>
    <col min="2" max="2" width="20" style="3" customWidth="1"/>
    <col min="3" max="9" width="8.7265625" style="3" customWidth="1"/>
    <col min="10" max="10" width="3.1796875" style="3" customWidth="1"/>
    <col min="11" max="17" width="8.7265625" style="3" customWidth="1"/>
    <col min="18" max="18" width="3.1796875" style="3" customWidth="1"/>
    <col min="19" max="25" width="8.7265625" style="3" customWidth="1"/>
    <col min="26" max="26" width="3.1796875" style="3" customWidth="1"/>
    <col min="27" max="34" width="8.7265625" style="3" customWidth="1"/>
    <col min="35" max="16384" width="8.7265625" style="3" hidden="1"/>
  </cols>
  <sheetData>
    <row r="1" spans="2:33" ht="14.5" x14ac:dyDescent="0.35">
      <c r="B1" s="22" t="s">
        <v>565</v>
      </c>
    </row>
    <row r="2" spans="2:33" ht="24" customHeight="1" x14ac:dyDescent="0.3">
      <c r="B2" s="6" t="s">
        <v>432</v>
      </c>
      <c r="C2" s="52" t="s">
        <v>469</v>
      </c>
      <c r="D2" s="52"/>
      <c r="E2" s="52"/>
      <c r="F2" s="52"/>
      <c r="G2" s="52"/>
      <c r="H2" s="52"/>
      <c r="I2" s="52"/>
      <c r="K2" s="52" t="s">
        <v>470</v>
      </c>
      <c r="L2" s="52"/>
      <c r="M2" s="52"/>
      <c r="N2" s="52"/>
      <c r="O2" s="52"/>
      <c r="P2" s="52"/>
      <c r="Q2" s="52"/>
      <c r="S2" s="52" t="s">
        <v>471</v>
      </c>
      <c r="T2" s="52"/>
      <c r="U2" s="52"/>
      <c r="V2" s="52"/>
      <c r="W2" s="52"/>
      <c r="X2" s="52"/>
      <c r="Y2" s="52"/>
      <c r="AA2" s="52" t="s">
        <v>472</v>
      </c>
      <c r="AB2" s="52"/>
      <c r="AC2" s="52"/>
      <c r="AD2" s="52"/>
      <c r="AE2" s="52"/>
      <c r="AF2" s="52"/>
      <c r="AG2" s="52"/>
    </row>
    <row r="3" spans="2:33" ht="19.5" customHeight="1" x14ac:dyDescent="0.3">
      <c r="B3" s="4" t="s">
        <v>456</v>
      </c>
      <c r="C3" s="53" t="s">
        <v>461</v>
      </c>
      <c r="D3" s="53"/>
      <c r="E3" s="53"/>
      <c r="F3" s="53"/>
      <c r="G3" s="53"/>
      <c r="H3" s="53"/>
      <c r="I3" s="53"/>
      <c r="K3" s="53" t="s">
        <v>461</v>
      </c>
      <c r="L3" s="53"/>
      <c r="M3" s="53"/>
      <c r="N3" s="53"/>
      <c r="O3" s="53"/>
      <c r="P3" s="53"/>
      <c r="Q3" s="53"/>
      <c r="S3" s="53" t="s">
        <v>479</v>
      </c>
      <c r="T3" s="53"/>
      <c r="U3" s="53"/>
      <c r="V3" s="53"/>
      <c r="W3" s="53"/>
      <c r="X3" s="53"/>
      <c r="Y3" s="53"/>
      <c r="AA3" s="53" t="s">
        <v>479</v>
      </c>
      <c r="AB3" s="53"/>
      <c r="AC3" s="53"/>
      <c r="AD3" s="53"/>
      <c r="AE3" s="53"/>
      <c r="AF3" s="53"/>
      <c r="AG3" s="53"/>
    </row>
    <row r="4" spans="2:33" ht="19.5" customHeight="1" x14ac:dyDescent="0.3">
      <c r="B4" s="4" t="s">
        <v>466</v>
      </c>
      <c r="C4" s="53" t="s">
        <v>473</v>
      </c>
      <c r="D4" s="53"/>
      <c r="E4" s="53"/>
      <c r="F4" s="53"/>
      <c r="G4" s="53"/>
      <c r="H4" s="53"/>
      <c r="I4" s="53"/>
      <c r="K4" s="53" t="s">
        <v>473</v>
      </c>
      <c r="L4" s="53"/>
      <c r="M4" s="53"/>
      <c r="N4" s="53"/>
      <c r="O4" s="53"/>
      <c r="P4" s="53"/>
      <c r="Q4" s="53"/>
      <c r="S4" s="53" t="s">
        <v>480</v>
      </c>
      <c r="T4" s="53"/>
      <c r="U4" s="53"/>
      <c r="V4" s="53"/>
      <c r="W4" s="53"/>
      <c r="X4" s="53"/>
      <c r="Y4" s="53"/>
      <c r="AA4" s="53" t="s">
        <v>480</v>
      </c>
      <c r="AB4" s="53"/>
      <c r="AC4" s="53"/>
      <c r="AD4" s="53"/>
      <c r="AE4" s="53"/>
      <c r="AF4" s="53"/>
      <c r="AG4" s="53"/>
    </row>
    <row r="5" spans="2:33" ht="178.5" customHeight="1" x14ac:dyDescent="0.3">
      <c r="B5" s="4" t="s">
        <v>417</v>
      </c>
      <c r="C5" s="53" t="s">
        <v>478</v>
      </c>
      <c r="D5" s="53"/>
      <c r="E5" s="53"/>
      <c r="F5" s="53"/>
      <c r="G5" s="53"/>
      <c r="H5" s="53"/>
      <c r="I5" s="53"/>
      <c r="K5" s="53" t="s">
        <v>478</v>
      </c>
      <c r="L5" s="53"/>
      <c r="M5" s="53"/>
      <c r="N5" s="53"/>
      <c r="O5" s="53"/>
      <c r="P5" s="53"/>
      <c r="Q5" s="53"/>
      <c r="S5" s="53" t="s">
        <v>481</v>
      </c>
      <c r="T5" s="53"/>
      <c r="U5" s="53"/>
      <c r="V5" s="53"/>
      <c r="W5" s="53"/>
      <c r="X5" s="53"/>
      <c r="Y5" s="53"/>
      <c r="AA5" s="53" t="s">
        <v>482</v>
      </c>
      <c r="AB5" s="53"/>
      <c r="AC5" s="53"/>
      <c r="AD5" s="53"/>
      <c r="AE5" s="53"/>
      <c r="AF5" s="53"/>
      <c r="AG5" s="53"/>
    </row>
    <row r="6" spans="2:33" ht="19.5" customHeight="1" x14ac:dyDescent="0.3">
      <c r="B6" s="4" t="s">
        <v>423</v>
      </c>
      <c r="C6" s="53" t="s">
        <v>477</v>
      </c>
      <c r="D6" s="53"/>
      <c r="E6" s="53"/>
      <c r="F6" s="53"/>
      <c r="G6" s="53"/>
      <c r="H6" s="53"/>
      <c r="I6" s="53"/>
      <c r="K6" s="53" t="s">
        <v>473</v>
      </c>
      <c r="L6" s="53"/>
      <c r="M6" s="53"/>
      <c r="N6" s="53"/>
      <c r="O6" s="53"/>
      <c r="P6" s="53"/>
      <c r="Q6" s="53"/>
      <c r="S6" s="53" t="s">
        <v>473</v>
      </c>
      <c r="T6" s="53"/>
      <c r="U6" s="53"/>
      <c r="V6" s="53"/>
      <c r="W6" s="53"/>
      <c r="X6" s="53"/>
      <c r="Y6" s="53"/>
      <c r="AA6" s="53" t="s">
        <v>473</v>
      </c>
      <c r="AB6" s="53"/>
      <c r="AC6" s="53"/>
      <c r="AD6" s="53"/>
      <c r="AE6" s="53"/>
      <c r="AF6" s="53"/>
      <c r="AG6" s="53"/>
    </row>
    <row r="7" spans="2:33" ht="88.5" customHeight="1" x14ac:dyDescent="0.3">
      <c r="B7" s="4" t="s">
        <v>465</v>
      </c>
      <c r="C7" s="53" t="s">
        <v>473</v>
      </c>
      <c r="D7" s="53"/>
      <c r="E7" s="53"/>
      <c r="F7" s="53"/>
      <c r="G7" s="53"/>
      <c r="H7" s="53"/>
      <c r="I7" s="53"/>
      <c r="K7" s="53" t="s">
        <v>483</v>
      </c>
      <c r="L7" s="53"/>
      <c r="M7" s="53"/>
      <c r="N7" s="53"/>
      <c r="O7" s="53"/>
      <c r="P7" s="53"/>
      <c r="Q7" s="53"/>
      <c r="S7" s="53" t="s">
        <v>484</v>
      </c>
      <c r="T7" s="53"/>
      <c r="U7" s="53"/>
      <c r="V7" s="53"/>
      <c r="W7" s="53"/>
      <c r="X7" s="53"/>
      <c r="Y7" s="53"/>
      <c r="AA7" s="53" t="s">
        <v>484</v>
      </c>
      <c r="AB7" s="53"/>
      <c r="AC7" s="53"/>
      <c r="AD7" s="53"/>
      <c r="AE7" s="53"/>
      <c r="AF7" s="53"/>
      <c r="AG7" s="53"/>
    </row>
    <row r="8" spans="2:33" ht="35.5" customHeight="1" x14ac:dyDescent="0.3">
      <c r="B8" s="4" t="s">
        <v>458</v>
      </c>
      <c r="C8" s="53" t="s">
        <v>464</v>
      </c>
      <c r="D8" s="53"/>
      <c r="E8" s="53"/>
      <c r="F8" s="53"/>
      <c r="G8" s="53"/>
      <c r="H8" s="53"/>
      <c r="I8" s="53"/>
      <c r="K8" s="53" t="s">
        <v>485</v>
      </c>
      <c r="L8" s="53"/>
      <c r="M8" s="53"/>
      <c r="N8" s="53"/>
      <c r="O8" s="53"/>
      <c r="P8" s="53"/>
      <c r="Q8" s="53"/>
      <c r="S8" s="53" t="s">
        <v>485</v>
      </c>
      <c r="T8" s="53"/>
      <c r="U8" s="53"/>
      <c r="V8" s="53"/>
      <c r="W8" s="53"/>
      <c r="X8" s="53"/>
      <c r="Y8" s="53"/>
      <c r="AA8" s="53" t="s">
        <v>485</v>
      </c>
      <c r="AB8" s="53"/>
      <c r="AC8" s="53"/>
      <c r="AD8" s="53"/>
      <c r="AE8" s="53"/>
      <c r="AF8" s="53"/>
      <c r="AG8" s="53"/>
    </row>
    <row r="9" spans="2:33" ht="34.5" customHeight="1" x14ac:dyDescent="0.3">
      <c r="B9" s="4" t="s">
        <v>467</v>
      </c>
      <c r="C9" s="53" t="s">
        <v>473</v>
      </c>
      <c r="D9" s="53"/>
      <c r="E9" s="53"/>
      <c r="F9" s="53"/>
      <c r="G9" s="53"/>
      <c r="H9" s="53"/>
      <c r="I9" s="53"/>
      <c r="K9" s="53" t="s">
        <v>486</v>
      </c>
      <c r="L9" s="53"/>
      <c r="M9" s="53"/>
      <c r="N9" s="53"/>
      <c r="O9" s="53"/>
      <c r="P9" s="53"/>
      <c r="Q9" s="53"/>
      <c r="S9" s="53" t="s">
        <v>486</v>
      </c>
      <c r="T9" s="53"/>
      <c r="U9" s="53"/>
      <c r="V9" s="53"/>
      <c r="W9" s="53"/>
      <c r="X9" s="53"/>
      <c r="Y9" s="53"/>
      <c r="AA9" s="53" t="s">
        <v>486</v>
      </c>
      <c r="AB9" s="53"/>
      <c r="AC9" s="53"/>
      <c r="AD9" s="53"/>
      <c r="AE9" s="53"/>
      <c r="AF9" s="53"/>
      <c r="AG9" s="53"/>
    </row>
    <row r="10" spans="2:33" ht="135" customHeight="1" x14ac:dyDescent="0.3">
      <c r="B10" s="5" t="s">
        <v>468</v>
      </c>
      <c r="C10" s="53" t="s">
        <v>476</v>
      </c>
      <c r="D10" s="53"/>
      <c r="E10" s="53"/>
      <c r="F10" s="53"/>
      <c r="G10" s="53"/>
      <c r="H10" s="53"/>
      <c r="I10" s="53"/>
      <c r="K10" s="53" t="s">
        <v>476</v>
      </c>
      <c r="L10" s="53"/>
      <c r="M10" s="53"/>
      <c r="N10" s="53"/>
      <c r="O10" s="53"/>
      <c r="P10" s="53"/>
      <c r="Q10" s="53"/>
      <c r="S10" s="53" t="s">
        <v>476</v>
      </c>
      <c r="T10" s="53"/>
      <c r="U10" s="53"/>
      <c r="V10" s="53"/>
      <c r="W10" s="53"/>
      <c r="X10" s="53"/>
      <c r="Y10" s="53"/>
      <c r="AA10" s="53" t="s">
        <v>476</v>
      </c>
      <c r="AB10" s="53"/>
      <c r="AC10" s="53"/>
      <c r="AD10" s="53"/>
      <c r="AE10" s="53"/>
      <c r="AF10" s="53"/>
      <c r="AG10" s="53"/>
    </row>
    <row r="11" spans="2:33" ht="31" customHeight="1" x14ac:dyDescent="0.3">
      <c r="B11" s="4" t="s">
        <v>459</v>
      </c>
      <c r="C11" s="53" t="s">
        <v>474</v>
      </c>
      <c r="D11" s="53"/>
      <c r="E11" s="53"/>
      <c r="F11" s="53"/>
      <c r="G11" s="53"/>
      <c r="H11" s="53"/>
      <c r="I11" s="53"/>
      <c r="K11" s="53" t="s">
        <v>474</v>
      </c>
      <c r="L11" s="53"/>
      <c r="M11" s="53"/>
      <c r="N11" s="53"/>
      <c r="O11" s="53"/>
      <c r="P11" s="53"/>
      <c r="Q11" s="53"/>
      <c r="S11" s="53" t="s">
        <v>474</v>
      </c>
      <c r="T11" s="53"/>
      <c r="U11" s="53"/>
      <c r="V11" s="53"/>
      <c r="W11" s="53"/>
      <c r="X11" s="53"/>
      <c r="Y11" s="53"/>
      <c r="AA11" s="53" t="s">
        <v>474</v>
      </c>
      <c r="AB11" s="53"/>
      <c r="AC11" s="53"/>
      <c r="AD11" s="53"/>
      <c r="AE11" s="53"/>
      <c r="AF11" s="53"/>
      <c r="AG11" s="53"/>
    </row>
    <row r="12" spans="2:33" ht="38" customHeight="1" x14ac:dyDescent="0.3">
      <c r="B12" s="4" t="s">
        <v>460</v>
      </c>
      <c r="C12" s="53" t="s">
        <v>475</v>
      </c>
      <c r="D12" s="53"/>
      <c r="E12" s="53"/>
      <c r="F12" s="53"/>
      <c r="G12" s="53"/>
      <c r="H12" s="53"/>
      <c r="I12" s="53"/>
      <c r="K12" s="53" t="s">
        <v>475</v>
      </c>
      <c r="L12" s="53"/>
      <c r="M12" s="53"/>
      <c r="N12" s="53"/>
      <c r="O12" s="53"/>
      <c r="P12" s="53"/>
      <c r="Q12" s="53"/>
      <c r="S12" s="53" t="s">
        <v>475</v>
      </c>
      <c r="T12" s="53"/>
      <c r="U12" s="53"/>
      <c r="V12" s="53"/>
      <c r="W12" s="53"/>
      <c r="X12" s="53"/>
      <c r="Y12" s="53"/>
      <c r="AA12" s="53" t="s">
        <v>475</v>
      </c>
      <c r="AB12" s="53"/>
      <c r="AC12" s="53"/>
      <c r="AD12" s="53"/>
      <c r="AE12" s="53"/>
      <c r="AF12" s="53"/>
      <c r="AG12" s="53"/>
    </row>
    <row r="13" spans="2:33" x14ac:dyDescent="0.3"/>
    <row r="14" spans="2:33" x14ac:dyDescent="0.3"/>
    <row r="15" spans="2:33" ht="74" customHeight="1" x14ac:dyDescent="0.3">
      <c r="B15" s="7" t="s">
        <v>463</v>
      </c>
      <c r="C15" s="53" t="s">
        <v>462</v>
      </c>
      <c r="D15" s="53"/>
      <c r="E15" s="53"/>
      <c r="F15" s="53"/>
      <c r="G15" s="53"/>
      <c r="H15" s="53"/>
      <c r="I15" s="53"/>
    </row>
    <row r="16" spans="2:33" x14ac:dyDescent="0.3"/>
  </sheetData>
  <mergeCells count="45">
    <mergeCell ref="AA10:AG10"/>
    <mergeCell ref="AA11:AG11"/>
    <mergeCell ref="AA12:AG12"/>
    <mergeCell ref="AA5:AG5"/>
    <mergeCell ref="AA6:AG6"/>
    <mergeCell ref="AA7:AG7"/>
    <mergeCell ref="AA8:AG8"/>
    <mergeCell ref="AA9:AG9"/>
    <mergeCell ref="S10:Y10"/>
    <mergeCell ref="S11:Y11"/>
    <mergeCell ref="S12:Y12"/>
    <mergeCell ref="K5:Q5"/>
    <mergeCell ref="K6:Q6"/>
    <mergeCell ref="K7:Q7"/>
    <mergeCell ref="S5:Y5"/>
    <mergeCell ref="S6:Y6"/>
    <mergeCell ref="S7:Y7"/>
    <mergeCell ref="S8:Y8"/>
    <mergeCell ref="S9:Y9"/>
    <mergeCell ref="K8:Q8"/>
    <mergeCell ref="K9:Q9"/>
    <mergeCell ref="K10:Q10"/>
    <mergeCell ref="K11:Q11"/>
    <mergeCell ref="K12:Q12"/>
    <mergeCell ref="C7:I7"/>
    <mergeCell ref="C15:I15"/>
    <mergeCell ref="C3:I3"/>
    <mergeCell ref="C5:I5"/>
    <mergeCell ref="C6:I6"/>
    <mergeCell ref="C8:I8"/>
    <mergeCell ref="C10:I10"/>
    <mergeCell ref="C11:I11"/>
    <mergeCell ref="C12:I12"/>
    <mergeCell ref="C9:I9"/>
    <mergeCell ref="C2:I2"/>
    <mergeCell ref="K2:Q2"/>
    <mergeCell ref="S2:Y2"/>
    <mergeCell ref="AA2:AG2"/>
    <mergeCell ref="C4:I4"/>
    <mergeCell ref="K3:Q3"/>
    <mergeCell ref="K4:Q4"/>
    <mergeCell ref="AA3:AG3"/>
    <mergeCell ref="AA4:AG4"/>
    <mergeCell ref="S3:Y3"/>
    <mergeCell ref="S4:Y4"/>
  </mergeCells>
  <hyperlinks>
    <hyperlink ref="B1" location="Simulador!A1" display="Voltar" xr:uid="{FD86237F-AA9D-4D9A-8727-3DDB7C451A34}"/>
  </hyperlinks>
  <pageMargins left="0.511811024" right="0.511811024" top="0.78740157499999996" bottom="0.78740157499999996" header="0.31496062000000002" footer="0.31496062000000002"/>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4B4E-865F-406E-B06D-D9CE902425BE}">
  <sheetPr>
    <tabColor theme="7" tint="0.79998168889431442"/>
  </sheetPr>
  <dimension ref="A1:BD377"/>
  <sheetViews>
    <sheetView topLeftCell="C1" workbookViewId="0">
      <selection activeCell="L19" sqref="L19"/>
    </sheetView>
  </sheetViews>
  <sheetFormatPr defaultRowHeight="14.5" x14ac:dyDescent="0.35"/>
  <cols>
    <col min="1" max="1" width="26.90625" bestFit="1" customWidth="1"/>
    <col min="7" max="7" width="20.453125" bestFit="1" customWidth="1"/>
  </cols>
  <sheetData>
    <row r="1" spans="1:56" x14ac:dyDescent="0.35">
      <c r="A1" s="1" t="s">
        <v>388</v>
      </c>
      <c r="B1" s="1" t="s">
        <v>389</v>
      </c>
      <c r="C1" s="1" t="s">
        <v>390</v>
      </c>
    </row>
    <row r="2" spans="1:56" x14ac:dyDescent="0.35">
      <c r="A2" t="s">
        <v>0</v>
      </c>
      <c r="B2" t="s">
        <v>1</v>
      </c>
      <c r="C2">
        <v>5</v>
      </c>
      <c r="H2" t="s">
        <v>390</v>
      </c>
      <c r="I2" t="s">
        <v>391</v>
      </c>
      <c r="J2" t="s">
        <v>435</v>
      </c>
      <c r="K2" t="s">
        <v>436</v>
      </c>
      <c r="M2" t="s">
        <v>448</v>
      </c>
      <c r="P2" t="s">
        <v>417</v>
      </c>
      <c r="V2" t="s">
        <v>457</v>
      </c>
      <c r="AT2">
        <v>1</v>
      </c>
      <c r="AU2">
        <v>2</v>
      </c>
      <c r="AV2">
        <v>3</v>
      </c>
      <c r="AW2">
        <v>4</v>
      </c>
      <c r="AX2">
        <v>5</v>
      </c>
      <c r="AY2">
        <v>6</v>
      </c>
      <c r="AZ2">
        <v>7</v>
      </c>
      <c r="BA2">
        <v>8</v>
      </c>
      <c r="BB2">
        <v>9</v>
      </c>
      <c r="BC2">
        <v>10</v>
      </c>
      <c r="BD2">
        <f>Q21</f>
        <v>1</v>
      </c>
    </row>
    <row r="3" spans="1:56" x14ac:dyDescent="0.35">
      <c r="A3" t="s">
        <v>2</v>
      </c>
      <c r="B3" t="s">
        <v>3</v>
      </c>
      <c r="C3">
        <v>5</v>
      </c>
      <c r="H3" t="s">
        <v>392</v>
      </c>
      <c r="I3">
        <v>1</v>
      </c>
      <c r="J3" t="s">
        <v>394</v>
      </c>
      <c r="K3" t="s">
        <v>441</v>
      </c>
      <c r="P3" t="s">
        <v>423</v>
      </c>
      <c r="AT3" t="s">
        <v>456</v>
      </c>
      <c r="AU3" t="s">
        <v>466</v>
      </c>
      <c r="AV3" t="s">
        <v>417</v>
      </c>
      <c r="AW3" t="s">
        <v>423</v>
      </c>
      <c r="AX3" t="s">
        <v>465</v>
      </c>
      <c r="AY3" t="s">
        <v>458</v>
      </c>
      <c r="AZ3" t="s">
        <v>467</v>
      </c>
      <c r="BA3" t="s">
        <v>468</v>
      </c>
      <c r="BB3" t="s">
        <v>459</v>
      </c>
      <c r="BC3" t="s">
        <v>460</v>
      </c>
      <c r="BD3" t="str">
        <f>P21</f>
        <v>Residencial</v>
      </c>
    </row>
    <row r="4" spans="1:56" x14ac:dyDescent="0.35">
      <c r="A4" t="s">
        <v>4</v>
      </c>
      <c r="B4" t="s">
        <v>5</v>
      </c>
      <c r="C4">
        <v>8</v>
      </c>
      <c r="H4" t="s">
        <v>393</v>
      </c>
      <c r="I4">
        <v>2</v>
      </c>
      <c r="J4" t="s">
        <v>395</v>
      </c>
      <c r="K4" t="s">
        <v>441</v>
      </c>
      <c r="P4" t="s">
        <v>424</v>
      </c>
      <c r="V4" t="s">
        <v>456</v>
      </c>
      <c r="W4" t="s">
        <v>487</v>
      </c>
      <c r="X4" t="s">
        <v>489</v>
      </c>
      <c r="Y4" t="s">
        <v>187</v>
      </c>
      <c r="AB4" t="s">
        <v>281</v>
      </c>
      <c r="AC4" t="s">
        <v>413</v>
      </c>
      <c r="AF4" t="s">
        <v>458</v>
      </c>
      <c r="AG4" t="s">
        <v>487</v>
      </c>
      <c r="AH4" t="s">
        <v>0</v>
      </c>
      <c r="AI4" t="s">
        <v>264</v>
      </c>
      <c r="AJ4" t="s">
        <v>281</v>
      </c>
      <c r="AK4" t="s">
        <v>413</v>
      </c>
      <c r="AM4" t="s">
        <v>459</v>
      </c>
      <c r="AN4" t="s">
        <v>487</v>
      </c>
      <c r="AO4" t="s">
        <v>138</v>
      </c>
      <c r="AP4" t="s">
        <v>309</v>
      </c>
      <c r="AQ4" t="s">
        <v>413</v>
      </c>
      <c r="AX4" t="str">
        <f>""</f>
        <v/>
      </c>
    </row>
    <row r="5" spans="1:56" x14ac:dyDescent="0.35">
      <c r="A5" t="s">
        <v>6</v>
      </c>
      <c r="B5" t="s">
        <v>5</v>
      </c>
      <c r="C5">
        <v>5</v>
      </c>
      <c r="H5" t="s">
        <v>396</v>
      </c>
      <c r="I5">
        <v>3</v>
      </c>
      <c r="J5" t="s">
        <v>397</v>
      </c>
      <c r="K5" t="s">
        <v>441</v>
      </c>
      <c r="P5" t="s">
        <v>426</v>
      </c>
      <c r="V5">
        <v>2020</v>
      </c>
      <c r="W5" t="str">
        <f>""</f>
        <v/>
      </c>
      <c r="X5" t="str">
        <f>""</f>
        <v/>
      </c>
      <c r="Y5" t="s">
        <v>492</v>
      </c>
      <c r="Z5" t="str">
        <f>""</f>
        <v/>
      </c>
      <c r="AA5" t="str">
        <f>""</f>
        <v/>
      </c>
      <c r="AB5" t="s">
        <v>492</v>
      </c>
      <c r="AC5" t="s">
        <v>493</v>
      </c>
      <c r="AD5" t="str">
        <f>IF($I$22=$I$11,Y5,IF($G$22=$AB$4,AB5,IF($G$22=$AC$4,AC5,W5)))</f>
        <v/>
      </c>
      <c r="AF5">
        <v>2020</v>
      </c>
      <c r="AG5" t="str">
        <f>""</f>
        <v/>
      </c>
      <c r="AH5" t="s">
        <v>505</v>
      </c>
      <c r="AI5" t="s">
        <v>505</v>
      </c>
      <c r="AJ5" t="s">
        <v>505</v>
      </c>
      <c r="AK5" t="s">
        <v>493</v>
      </c>
      <c r="AL5" t="str">
        <f>IF($G$22=$AH$4,AH5,IF($G$22=$AI$4,AI5,IF($G$22=$AJ$4,AJ5,IF($G$22=$AK$4,AK5,AG5))))</f>
        <v/>
      </c>
      <c r="AM5">
        <v>2020</v>
      </c>
      <c r="AN5" t="str">
        <f>""</f>
        <v/>
      </c>
      <c r="AO5" t="s">
        <v>506</v>
      </c>
      <c r="AP5" t="s">
        <v>506</v>
      </c>
      <c r="AQ5" t="s">
        <v>506</v>
      </c>
      <c r="AR5" t="str">
        <f>IF(OR($G$22=AO4,$G$22=AP4,$G$22=AQ4),AO5,"")</f>
        <v/>
      </c>
      <c r="AT5" t="str">
        <f>AD5</f>
        <v/>
      </c>
      <c r="AU5" t="str">
        <f>""</f>
        <v/>
      </c>
      <c r="AV5" t="str">
        <f>""</f>
        <v/>
      </c>
      <c r="AW5" t="str">
        <f>""</f>
        <v/>
      </c>
      <c r="AX5" t="str">
        <f>""</f>
        <v/>
      </c>
      <c r="AY5" t="str">
        <f>AL5</f>
        <v/>
      </c>
      <c r="AZ5" t="str">
        <f>""</f>
        <v/>
      </c>
      <c r="BA5" t="str">
        <f>""</f>
        <v/>
      </c>
      <c r="BB5" t="str">
        <f>AR5</f>
        <v/>
      </c>
      <c r="BC5" t="s">
        <v>510</v>
      </c>
      <c r="BD5" t="str">
        <f>HLOOKUP($BD$2,$AT$2:$BC$9,ROW($AT5)-1,0)</f>
        <v/>
      </c>
    </row>
    <row r="6" spans="1:56" x14ac:dyDescent="0.35">
      <c r="A6" t="s">
        <v>7</v>
      </c>
      <c r="B6" t="s">
        <v>8</v>
      </c>
      <c r="C6">
        <v>5</v>
      </c>
      <c r="H6" t="s">
        <v>398</v>
      </c>
      <c r="I6">
        <v>4</v>
      </c>
      <c r="J6" t="s">
        <v>399</v>
      </c>
      <c r="K6" t="s">
        <v>441</v>
      </c>
      <c r="P6" t="s">
        <v>427</v>
      </c>
      <c r="V6">
        <v>2021</v>
      </c>
      <c r="W6" t="s">
        <v>490</v>
      </c>
      <c r="X6" t="str">
        <f>""</f>
        <v/>
      </c>
      <c r="Y6" t="str">
        <f>""</f>
        <v/>
      </c>
      <c r="Z6" t="str">
        <f>""</f>
        <v/>
      </c>
      <c r="AA6" t="str">
        <f>""</f>
        <v/>
      </c>
      <c r="AB6" t="str">
        <f>""</f>
        <v/>
      </c>
      <c r="AC6" t="str">
        <f>""</f>
        <v/>
      </c>
      <c r="AD6" t="str">
        <f t="shared" ref="AD6:AD8" si="0">IF($I$22=$I$11,Y6,IF($G$22=$AB$4,AB6,IF($G$22=$AC$4,AC6,W6)))</f>
        <v>A partir de 01 de outubro de 2021, se o domicílio tiver renda mensal per capita inferior a R$ 89, será reclassificado como Residencial Vulnerável.</v>
      </c>
      <c r="AF6">
        <v>2021</v>
      </c>
      <c r="AG6" t="str">
        <f>""</f>
        <v/>
      </c>
      <c r="AH6" t="str">
        <f>""</f>
        <v/>
      </c>
      <c r="AI6" t="str">
        <f>""</f>
        <v/>
      </c>
      <c r="AJ6" t="str">
        <f>""</f>
        <v/>
      </c>
      <c r="AK6" t="str">
        <f>""</f>
        <v/>
      </c>
      <c r="AL6" t="str">
        <f t="shared" ref="AL6:AL8" si="1">IF($G$22=$AH$4,AH6,IF($G$22=$AI$4,AI6,IF($G$22=$AJ$4,AJ6,IF($G$22=$AK$4,AK6,AG6))))</f>
        <v/>
      </c>
      <c r="AM6">
        <v>2021</v>
      </c>
      <c r="AN6" t="str">
        <f>""</f>
        <v/>
      </c>
      <c r="AR6" t="str">
        <f>""</f>
        <v/>
      </c>
      <c r="AT6" t="str">
        <f t="shared" ref="AT6:AT8" si="2">AD6</f>
        <v>A partir de 01 de outubro de 2021, se o domicílio tiver renda mensal per capita inferior a R$ 89, será reclassificado como Residencial Vulnerável.</v>
      </c>
      <c r="AU6" t="s">
        <v>507</v>
      </c>
      <c r="AV6" t="str">
        <f>""</f>
        <v/>
      </c>
      <c r="AW6" t="s">
        <v>508</v>
      </c>
      <c r="AX6" t="str">
        <f>""</f>
        <v/>
      </c>
      <c r="AY6" t="str">
        <f t="shared" ref="AY6:AY8" si="3">AL6</f>
        <v/>
      </c>
      <c r="AZ6" t="str">
        <f>""</f>
        <v/>
      </c>
      <c r="BA6" t="str">
        <f>""</f>
        <v/>
      </c>
      <c r="BB6" t="str">
        <f t="shared" ref="BB6:BB8" si="4">AR6</f>
        <v/>
      </c>
      <c r="BC6" t="s">
        <v>510</v>
      </c>
      <c r="BD6" t="str">
        <f t="shared" ref="BD6:BD9" si="5">IF(ISERROR(VLOOKUP($I$22,$G$26:$H$28,2,0)),HLOOKUP($BD$2,$AT$2:$BC$9,ROW($AT6)-1,0),"")</f>
        <v>A partir de 01 de outubro de 2021, se o domicílio tiver renda mensal per capita inferior a R$ 89, será reclassificado como Residencial Vulnerável.</v>
      </c>
    </row>
    <row r="7" spans="1:56" x14ac:dyDescent="0.35">
      <c r="A7" t="s">
        <v>9</v>
      </c>
      <c r="B7" t="s">
        <v>10</v>
      </c>
      <c r="C7">
        <v>5</v>
      </c>
      <c r="H7" t="s">
        <v>400</v>
      </c>
      <c r="I7">
        <v>5</v>
      </c>
      <c r="J7" t="s">
        <v>401</v>
      </c>
      <c r="K7" t="s">
        <v>441</v>
      </c>
      <c r="P7" t="s">
        <v>428</v>
      </c>
      <c r="V7">
        <v>2022</v>
      </c>
      <c r="W7" t="s">
        <v>501</v>
      </c>
      <c r="X7" t="str">
        <f>""</f>
        <v/>
      </c>
      <c r="Y7" t="str">
        <f>""</f>
        <v/>
      </c>
      <c r="Z7" t="str">
        <f>""</f>
        <v/>
      </c>
      <c r="AA7" t="str">
        <f>""</f>
        <v/>
      </c>
      <c r="AB7" t="str">
        <f>""</f>
        <v/>
      </c>
      <c r="AC7" t="str">
        <f>""</f>
        <v/>
      </c>
      <c r="AD7" t="str">
        <f t="shared" si="0"/>
        <v>A partir de 10 de maio de 2022, se o domicílio tiver renda mensal per capita inferior a R$ 178, será reclassificado como Residencial Vulnerável. Ligações com mais de uma economia (prédios e condomínios) serão reclassificadas como Residencial Coletivo, exceto se tiver passado por processo de individualização da medição com autorização da Sabesp.</v>
      </c>
      <c r="AF7">
        <v>2022</v>
      </c>
      <c r="AG7" t="s">
        <v>504</v>
      </c>
      <c r="AH7" t="str">
        <f>""</f>
        <v/>
      </c>
      <c r="AI7" t="str">
        <f>""</f>
        <v/>
      </c>
      <c r="AJ7" t="str">
        <f>""</f>
        <v/>
      </c>
      <c r="AK7" t="str">
        <f>""</f>
        <v/>
      </c>
      <c r="AL7" t="str">
        <f t="shared" si="1"/>
        <v>Ligações com mais de uma economia (prédios e condomínios) serão reclassificadas como Comercial Coletivo, exceto se tiver passado por processo de individualização da medição com autorização da Sabesp.</v>
      </c>
      <c r="AM7">
        <v>2022</v>
      </c>
      <c r="AR7" t="str">
        <f>""</f>
        <v/>
      </c>
      <c r="AT7" t="str">
        <f t="shared" si="2"/>
        <v>A partir de 10 de maio de 2022, se o domicílio tiver renda mensal per capita inferior a R$ 178, será reclassificado como Residencial Vulnerável. Ligações com mais de uma economia (prédios e condomínios) serão reclassificadas como Residencial Coletivo, exceto se tiver passado por processo de individualização da medição com autorização da Sabesp.</v>
      </c>
      <c r="AU7" t="s">
        <v>507</v>
      </c>
      <c r="AV7" t="str">
        <f>""</f>
        <v/>
      </c>
      <c r="AW7" t="str">
        <f>""</f>
        <v/>
      </c>
      <c r="AX7" t="str">
        <f>""</f>
        <v/>
      </c>
      <c r="AY7" t="str">
        <f t="shared" si="3"/>
        <v>Ligações com mais de uma economia (prédios e condomínios) serão reclassificadas como Comercial Coletivo, exceto se tiver passado por processo de individualização da medição com autorização da Sabesp.</v>
      </c>
      <c r="AZ7" t="s">
        <v>509</v>
      </c>
      <c r="BA7" t="str">
        <f>""</f>
        <v/>
      </c>
      <c r="BB7" t="str">
        <f t="shared" si="4"/>
        <v/>
      </c>
      <c r="BC7" t="str">
        <f>""</f>
        <v/>
      </c>
      <c r="BD7" t="str">
        <f t="shared" si="5"/>
        <v>A partir de 10 de maio de 2022, se o domicílio tiver renda mensal per capita inferior a R$ 178, será reclassificado como Residencial Vulnerável. Ligações com mais de uma economia (prédios e condomínios) serão reclassificadas como Residencial Coletivo, exceto se tiver passado por processo de individualização da medição com autorização da Sabesp.</v>
      </c>
    </row>
    <row r="8" spans="1:56" x14ac:dyDescent="0.35">
      <c r="A8" t="s">
        <v>11</v>
      </c>
      <c r="B8" t="s">
        <v>10</v>
      </c>
      <c r="C8">
        <v>5</v>
      </c>
      <c r="H8" t="s">
        <v>402</v>
      </c>
      <c r="I8">
        <v>6</v>
      </c>
      <c r="J8" t="s">
        <v>403</v>
      </c>
      <c r="K8" t="s">
        <v>441</v>
      </c>
      <c r="V8">
        <v>2023</v>
      </c>
      <c r="W8" t="s">
        <v>491</v>
      </c>
      <c r="X8" t="str">
        <f>""</f>
        <v/>
      </c>
      <c r="Y8" t="str">
        <f>""</f>
        <v/>
      </c>
      <c r="Z8" t="str">
        <f>""</f>
        <v/>
      </c>
      <c r="AA8" t="str">
        <f>""</f>
        <v/>
      </c>
      <c r="AB8" t="str">
        <f>""</f>
        <v/>
      </c>
      <c r="AC8" t="str">
        <f>""</f>
        <v/>
      </c>
      <c r="AD8" t="str">
        <f t="shared" si="0"/>
        <v>A partir de 10 de maio de 2023, se o domicílio tiver renda mensal per capita inferior a meio salário mínimo, será reclassificado como Residencial Social.</v>
      </c>
      <c r="AF8">
        <v>2023</v>
      </c>
      <c r="AG8" t="str">
        <f>""</f>
        <v/>
      </c>
      <c r="AH8" t="str">
        <f>""</f>
        <v/>
      </c>
      <c r="AI8" t="str">
        <f>""</f>
        <v/>
      </c>
      <c r="AJ8" t="str">
        <f>""</f>
        <v/>
      </c>
      <c r="AK8" t="str">
        <f>""</f>
        <v/>
      </c>
      <c r="AL8" t="str">
        <f t="shared" si="1"/>
        <v/>
      </c>
      <c r="AM8">
        <v>2023</v>
      </c>
      <c r="AN8" t="str">
        <f>""</f>
        <v/>
      </c>
      <c r="AR8" t="str">
        <f>""</f>
        <v/>
      </c>
      <c r="AT8" t="str">
        <f t="shared" si="2"/>
        <v>A partir de 10 de maio de 2023, se o domicílio tiver renda mensal per capita inferior a meio salário mínimo, será reclassificado como Residencial Social.</v>
      </c>
      <c r="AU8" t="s">
        <v>507</v>
      </c>
      <c r="AV8" t="s">
        <v>511</v>
      </c>
      <c r="AW8" t="str">
        <f>""</f>
        <v/>
      </c>
      <c r="AX8" t="str">
        <f>""</f>
        <v/>
      </c>
      <c r="AY8" t="str">
        <f t="shared" si="3"/>
        <v/>
      </c>
      <c r="AZ8" t="str">
        <f>""</f>
        <v/>
      </c>
      <c r="BA8" t="str">
        <f>""</f>
        <v/>
      </c>
      <c r="BB8" t="str">
        <f t="shared" si="4"/>
        <v/>
      </c>
      <c r="BC8" t="str">
        <f>""</f>
        <v/>
      </c>
      <c r="BD8" t="str">
        <f t="shared" si="5"/>
        <v>A partir de 10 de maio de 2023, se o domicílio tiver renda mensal per capita inferior a meio salário mínimo, será reclassificado como Residencial Social.</v>
      </c>
    </row>
    <row r="9" spans="1:56" x14ac:dyDescent="0.35">
      <c r="A9" t="s">
        <v>12</v>
      </c>
      <c r="B9" t="s">
        <v>8</v>
      </c>
      <c r="C9">
        <v>5</v>
      </c>
      <c r="H9" t="s">
        <v>404</v>
      </c>
      <c r="I9">
        <v>8</v>
      </c>
      <c r="J9" t="s">
        <v>412</v>
      </c>
      <c r="K9" t="s">
        <v>449</v>
      </c>
      <c r="L9" s="2">
        <v>44326</v>
      </c>
      <c r="V9">
        <v>2024</v>
      </c>
      <c r="AF9">
        <v>2024</v>
      </c>
      <c r="AG9" t="str">
        <f>""</f>
        <v/>
      </c>
      <c r="AH9" t="str">
        <f>""</f>
        <v/>
      </c>
      <c r="AI9" t="str">
        <f>""</f>
        <v/>
      </c>
      <c r="AJ9" t="str">
        <f>""</f>
        <v/>
      </c>
      <c r="AK9" t="str">
        <f>""</f>
        <v/>
      </c>
      <c r="AM9">
        <v>2024</v>
      </c>
      <c r="AN9" t="str">
        <f>""</f>
        <v/>
      </c>
      <c r="AT9" t="str">
        <f>""</f>
        <v/>
      </c>
      <c r="AU9" t="s">
        <v>507</v>
      </c>
      <c r="AV9" t="str">
        <f>""</f>
        <v/>
      </c>
      <c r="AW9" t="str">
        <f>""</f>
        <v/>
      </c>
      <c r="AX9" t="str">
        <f>""</f>
        <v/>
      </c>
      <c r="AY9" t="str">
        <f>""</f>
        <v/>
      </c>
      <c r="AZ9" t="str">
        <f>""</f>
        <v/>
      </c>
      <c r="BA9" t="str">
        <f>""</f>
        <v/>
      </c>
      <c r="BB9" t="str">
        <f>""</f>
        <v/>
      </c>
      <c r="BC9" t="str">
        <f>""</f>
        <v/>
      </c>
      <c r="BD9" t="str">
        <f t="shared" si="5"/>
        <v/>
      </c>
    </row>
    <row r="10" spans="1:56" x14ac:dyDescent="0.35">
      <c r="A10" t="s">
        <v>13</v>
      </c>
      <c r="B10" t="s">
        <v>1</v>
      </c>
      <c r="C10">
        <v>5</v>
      </c>
      <c r="G10" t="s">
        <v>444</v>
      </c>
      <c r="H10" t="s">
        <v>405</v>
      </c>
      <c r="I10">
        <v>9</v>
      </c>
      <c r="J10" t="s">
        <v>412</v>
      </c>
      <c r="K10" t="s">
        <v>440</v>
      </c>
      <c r="P10" t="s">
        <v>456</v>
      </c>
      <c r="Q10">
        <v>1</v>
      </c>
      <c r="R10" t="str">
        <f>Categorias!C3</f>
        <v>Ligação usada exclusivamente para moradia, atendendo uma ou mais economias*</v>
      </c>
      <c r="S10" t="str">
        <f>Categorias!K3</f>
        <v>Ligação usada exclusivamente para moradia, atendendo uma ou mais economias*</v>
      </c>
      <c r="T10" t="str">
        <f>Categorias!S3</f>
        <v>Ligação usada exclusivamente para moradia, atendendo apenas uma economia*</v>
      </c>
      <c r="U10" t="str">
        <f>Categorias!AA3</f>
        <v>Ligação usada exclusivamente para moradia, atendendo apenas uma economia*</v>
      </c>
      <c r="V10" t="str">
        <f>U10</f>
        <v>Ligação usada exclusivamente para moradia, atendendo apenas uma economia*</v>
      </c>
    </row>
    <row r="11" spans="1:56" x14ac:dyDescent="0.35">
      <c r="A11" t="s">
        <v>14</v>
      </c>
      <c r="B11" t="s">
        <v>5</v>
      </c>
      <c r="C11">
        <v>5</v>
      </c>
      <c r="G11" t="s">
        <v>443</v>
      </c>
      <c r="H11" t="s">
        <v>406</v>
      </c>
      <c r="I11">
        <v>10</v>
      </c>
      <c r="J11" t="s">
        <v>412</v>
      </c>
      <c r="K11" t="s">
        <v>442</v>
      </c>
      <c r="L11" s="2">
        <v>44222</v>
      </c>
      <c r="P11" t="s">
        <v>466</v>
      </c>
      <c r="Q11">
        <v>2</v>
      </c>
      <c r="R11" t="str">
        <f>Categorias!C4</f>
        <v>Não existe</v>
      </c>
      <c r="S11" t="str">
        <f>Categorias!K4</f>
        <v>Não existe</v>
      </c>
      <c r="T11" t="str">
        <f>Categorias!S4</f>
        <v>Ligação usada exclusivamente para moradia, atendendo mais de uma economia*</v>
      </c>
      <c r="U11" t="str">
        <f>Categorias!AA4</f>
        <v>Ligação usada exclusivamente para moradia, atendendo mais de uma economia*</v>
      </c>
      <c r="V11" t="str">
        <f t="shared" ref="V11:V19" si="6">U11</f>
        <v>Ligação usada exclusivamente para moradia, atendendo mais de uma economia*</v>
      </c>
    </row>
    <row r="12" spans="1:56" x14ac:dyDescent="0.35">
      <c r="A12" t="s">
        <v>15</v>
      </c>
      <c r="B12" t="s">
        <v>3</v>
      </c>
      <c r="C12">
        <v>5</v>
      </c>
      <c r="G12" t="s">
        <v>444</v>
      </c>
      <c r="H12" t="s">
        <v>407</v>
      </c>
      <c r="I12">
        <v>11</v>
      </c>
      <c r="J12" t="s">
        <v>412</v>
      </c>
      <c r="K12" t="s">
        <v>445</v>
      </c>
      <c r="L12" s="2">
        <v>44453</v>
      </c>
      <c r="P12" t="s">
        <v>417</v>
      </c>
      <c r="Q12">
        <v>3</v>
      </c>
      <c r="R12" t="str">
        <f>Categorias!C5</f>
        <v>Ligação usada exclusivamente para moradia, atendendo uma ou mais economias*, que atenda os seguintes critérios: (i) ter renda familiar de até 3 salários-mínimos, ser morador de habitação unifamiliar subnormal com área útil construída de até 60 m², ser consumidor de energia elétrica com consumo de até 170 kWh/mês;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v>
      </c>
      <c r="S12" t="str">
        <f>Categorias!K5</f>
        <v>Ligação usada exclusivamente para moradia, atendendo uma ou mais economias*, que atenda os seguintes critérios: (i) ter renda familiar de até 3 salários-mínimos, ser morador de habitação unifamiliar subnormal com área útil construída de até 60 m², ser consumidor de energia elétrica com consumo de até 170 kWh/mês;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v>
      </c>
      <c r="T12" t="str">
        <f>Categorias!S5</f>
        <v>Ligação usada exclusivamente para moradia, atendendo uma ou mais economias*, que atenda os seguintes critérios: (i) ter renda familiar de até 3 salários-mínimos, ser morador de habitação unifamiliar subnormal com área útil construída de até 60 m², ser consumidor de energia elétrica com consumo de até 170 kWh/mês;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 ou (iv) usuários da região metropolitana de São Paulo que anteriormente eram classificados como Residencial Favela e que não foram reclassificados como Residencial Vulnerável</v>
      </c>
      <c r="U12" t="str">
        <f>Categorias!AA5</f>
        <v>Ligação usada exclusivamente para moradia, atendendo apenas uma economia*, que atenda os seguintes critérios: (i) estar registrado no CadÚnico com renda mensal per capita entre a segunda faixa do cadastro (atualmente, R$ 178) e ½ salário-mínimo;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v>
      </c>
      <c r="V12" t="str">
        <f t="shared" si="6"/>
        <v>Ligação usada exclusivamente para moradia, atendendo apenas uma economia*, que atenda os seguintes critérios: (i) estar registrado no CadÚnico com renda mensal per capita entre a segunda faixa do cadastro (atualmente, R$ 178) e ½ salário-mínimo; ou (ii) estar desempregado, sendo que o último salário seja, no máximo, de 3 salários-mínimos, desde que tenha consumo máximo de 15 m³/mês, ser titular da conta há mais de 90 dias, não tenha sido demitido por justa causa e não tenha débitos com a Sabesp; ou (iii) morar em habitações coletivas consideradas sociais, como cortiços e as verticalizadas, tais como Unidade Social Verticalizada resultante do processo de urbanização de favelas</v>
      </c>
    </row>
    <row r="13" spans="1:56" x14ac:dyDescent="0.35">
      <c r="A13" t="s">
        <v>16</v>
      </c>
      <c r="B13" t="s">
        <v>10</v>
      </c>
      <c r="C13">
        <v>5</v>
      </c>
      <c r="H13" t="s">
        <v>408</v>
      </c>
      <c r="I13">
        <v>12</v>
      </c>
      <c r="J13" t="s">
        <v>412</v>
      </c>
      <c r="K13" t="s">
        <v>446</v>
      </c>
      <c r="P13" t="s">
        <v>423</v>
      </c>
      <c r="Q13">
        <v>4</v>
      </c>
      <c r="R13" t="str">
        <f>Categorias!C6</f>
        <v>Categoria válida apenas para os municípios da Região Metropolitana de São Paulo</v>
      </c>
      <c r="S13" t="str">
        <f>Categorias!K6</f>
        <v>Não existe</v>
      </c>
      <c r="T13" t="str">
        <f>Categorias!S6</f>
        <v>Não existe</v>
      </c>
      <c r="U13" t="str">
        <f>Categorias!AA6</f>
        <v>Não existe</v>
      </c>
      <c r="V13" t="str">
        <f t="shared" si="6"/>
        <v>Não existe</v>
      </c>
    </row>
    <row r="14" spans="1:56" x14ac:dyDescent="0.35">
      <c r="A14" t="s">
        <v>17</v>
      </c>
      <c r="B14" t="s">
        <v>1</v>
      </c>
      <c r="C14">
        <v>5</v>
      </c>
      <c r="H14" t="s">
        <v>409</v>
      </c>
      <c r="I14">
        <v>13</v>
      </c>
      <c r="J14" t="s">
        <v>412</v>
      </c>
      <c r="K14" t="s">
        <v>447</v>
      </c>
      <c r="L14" s="2">
        <v>44326</v>
      </c>
      <c r="P14" t="s">
        <v>465</v>
      </c>
      <c r="Q14">
        <v>5</v>
      </c>
      <c r="R14" t="str">
        <f>Categorias!C7</f>
        <v>Não existe</v>
      </c>
      <c r="S14" t="str">
        <f>Categorias!K7</f>
        <v>Ligação usada exclusivamente para moradia, atendendo uma ou mais economias*, que atenda os seguintes critérios: (i) usuário da região metropolitana de São Paulo que, anteriormente, era classificado como Residencial Favela; ou (ii) após 30 de setembro de 2021, os usuários que estejam registrados no CadÚnico com renda mensal per capita na primeira faixa do cadastro (atualmente, R$ 89)</v>
      </c>
      <c r="T14" t="str">
        <f>Categorias!S7</f>
        <v>Ligação usada exclusivamente para moradia, atendendo apenas uma economia*, cujo titular esteja registrado no CadÚnico com renda mensal per capita até a segunda faixa do cadastro (atualmente, R$ 178)</v>
      </c>
      <c r="U14" t="str">
        <f>Categorias!AA7</f>
        <v>Ligação usada exclusivamente para moradia, atendendo apenas uma economia*, cujo titular esteja registrado no CadÚnico com renda mensal per capita até a segunda faixa do cadastro (atualmente, R$ 178)</v>
      </c>
      <c r="V14" t="str">
        <f t="shared" si="6"/>
        <v>Ligação usada exclusivamente para moradia, atendendo apenas uma economia*, cujo titular esteja registrado no CadÚnico com renda mensal per capita até a segunda faixa do cadastro (atualmente, R$ 178)</v>
      </c>
    </row>
    <row r="15" spans="1:56" x14ac:dyDescent="0.35">
      <c r="A15" t="s">
        <v>18</v>
      </c>
      <c r="B15" t="s">
        <v>1</v>
      </c>
      <c r="C15">
        <v>5</v>
      </c>
      <c r="H15" t="s">
        <v>410</v>
      </c>
      <c r="I15">
        <v>14</v>
      </c>
      <c r="J15" t="s">
        <v>412</v>
      </c>
      <c r="K15" t="s">
        <v>450</v>
      </c>
      <c r="L15" s="2">
        <v>44455</v>
      </c>
      <c r="P15" t="s">
        <v>458</v>
      </c>
      <c r="Q15">
        <v>6</v>
      </c>
      <c r="R15" t="str">
        <f>Categorias!C8</f>
        <v>Ligação na qual a atividade exercida estiver incluída na classificação de comércio e serviços estabelecida pelo IBGE, atendendo uma ou mais economias*</v>
      </c>
      <c r="S15" t="str">
        <f>Categorias!K8</f>
        <v>Ligação na qual a atividade exercida estiver incluída na classificação de comércio e serviços estabelecida pelo IBGE, atendendo apenas uma economia*</v>
      </c>
      <c r="T15" t="str">
        <f>Categorias!S8</f>
        <v>Ligação na qual a atividade exercida estiver incluída na classificação de comércio e serviços estabelecida pelo IBGE, atendendo apenas uma economia*</v>
      </c>
      <c r="U15" t="str">
        <f>Categorias!AA8</f>
        <v>Ligação na qual a atividade exercida estiver incluída na classificação de comércio e serviços estabelecida pelo IBGE, atendendo apenas uma economia*</v>
      </c>
      <c r="V15" t="str">
        <f t="shared" si="6"/>
        <v>Ligação na qual a atividade exercida estiver incluída na classificação de comércio e serviços estabelecida pelo IBGE, atendendo apenas uma economia*</v>
      </c>
    </row>
    <row r="16" spans="1:56" x14ac:dyDescent="0.35">
      <c r="A16" t="s">
        <v>19</v>
      </c>
      <c r="B16" t="s">
        <v>8</v>
      </c>
      <c r="C16">
        <v>5</v>
      </c>
      <c r="F16" t="s">
        <v>452</v>
      </c>
      <c r="G16" t="s">
        <v>444</v>
      </c>
      <c r="H16" t="s">
        <v>411</v>
      </c>
      <c r="I16">
        <v>15</v>
      </c>
      <c r="J16" t="s">
        <v>412</v>
      </c>
      <c r="K16" t="s">
        <v>451</v>
      </c>
      <c r="P16" t="s">
        <v>467</v>
      </c>
      <c r="Q16">
        <v>7</v>
      </c>
      <c r="R16" t="str">
        <f>Categorias!C9</f>
        <v>Não existe</v>
      </c>
      <c r="S16" t="str">
        <f>Categorias!K9</f>
        <v>Ligação na qual a atividade exercida estiver incluída na classificação de comércio e serviços estabelecida pelo IBGE, atendendo mais de uma economia*</v>
      </c>
      <c r="T16" t="str">
        <f>Categorias!S9</f>
        <v>Ligação na qual a atividade exercida estiver incluída na classificação de comércio e serviços estabelecida pelo IBGE, atendendo mais de uma economia*</v>
      </c>
      <c r="U16" t="str">
        <f>Categorias!AA9</f>
        <v>Ligação na qual a atividade exercida estiver incluída na classificação de comércio e serviços estabelecida pelo IBGE, atendendo mais de uma economia*</v>
      </c>
      <c r="V16" t="str">
        <f t="shared" si="6"/>
        <v>Ligação na qual a atividade exercida estiver incluída na classificação de comércio e serviços estabelecida pelo IBGE, atendendo mais de uma economia*</v>
      </c>
    </row>
    <row r="17" spans="1:22" x14ac:dyDescent="0.35">
      <c r="A17" t="s">
        <v>20</v>
      </c>
      <c r="B17" t="s">
        <v>8</v>
      </c>
      <c r="C17">
        <v>5</v>
      </c>
      <c r="G17" t="s">
        <v>502</v>
      </c>
      <c r="H17" t="s">
        <v>437</v>
      </c>
      <c r="P17" t="s">
        <v>468</v>
      </c>
      <c r="Q17">
        <v>8</v>
      </c>
      <c r="R17" t="str">
        <f>Categorias!C10</f>
        <v>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v>
      </c>
      <c r="S17" t="str">
        <f>Categorias!K10</f>
        <v>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v>
      </c>
      <c r="T17" t="str">
        <f>Categorias!S10</f>
        <v>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v>
      </c>
      <c r="U17" t="str">
        <f>Categorias!AA10</f>
        <v>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v>
      </c>
      <c r="V17" t="str">
        <f t="shared" si="6"/>
        <v>Ligação na qual a atividade exercida seja de: (i) atendimento à criança e ao adolescente, ou; (ii) abrigo para criança e adolescentes, ou; (iii) atendimento à pessoa portadora de deficiência, ou; (iv) atendimento ao idoso, ou; (v) atendimento à pessoa portadora de doenças em geral, incluindo Santas Casas de Misericórdia, casas de saúde, ambulatórios e hospitais assistenciais, ou; (vi) albergues, ou; (vii) comunidades terapêuticas – atendimento ao dependente químico, ou; (viii) casa de apoio e/ou abrigo que oferece ao paciente, portador de doença em geral, continuidade de tratamento, ou; (ix) programas de alimentação cadastrados nos governos federal, estadual ou municipal</v>
      </c>
    </row>
    <row r="18" spans="1:22" x14ac:dyDescent="0.35">
      <c r="A18" t="s">
        <v>21</v>
      </c>
      <c r="B18" t="s">
        <v>10</v>
      </c>
      <c r="C18">
        <v>5</v>
      </c>
      <c r="G18" t="s">
        <v>502</v>
      </c>
      <c r="H18" t="s">
        <v>438</v>
      </c>
      <c r="P18" t="s">
        <v>459</v>
      </c>
      <c r="Q18">
        <v>9</v>
      </c>
      <c r="R18" t="str">
        <f>Categorias!C11</f>
        <v>Ligação na qual a atividade exercida estiver incluída na classificação de indústria estabelecida pelo IBGE</v>
      </c>
      <c r="S18" t="str">
        <f>Categorias!K11</f>
        <v>Ligação na qual a atividade exercida estiver incluída na classificação de indústria estabelecida pelo IBGE</v>
      </c>
      <c r="T18" t="str">
        <f>Categorias!S11</f>
        <v>Ligação na qual a atividade exercida estiver incluída na classificação de indústria estabelecida pelo IBGE</v>
      </c>
      <c r="U18" t="str">
        <f>Categorias!AA11</f>
        <v>Ligação na qual a atividade exercida estiver incluída na classificação de indústria estabelecida pelo IBGE</v>
      </c>
      <c r="V18" t="str">
        <f t="shared" si="6"/>
        <v>Ligação na qual a atividade exercida estiver incluída na classificação de indústria estabelecida pelo IBGE</v>
      </c>
    </row>
    <row r="19" spans="1:22" x14ac:dyDescent="0.35">
      <c r="A19" t="s">
        <v>22</v>
      </c>
      <c r="B19" t="s">
        <v>1</v>
      </c>
      <c r="C19">
        <v>5</v>
      </c>
      <c r="G19" t="s">
        <v>503</v>
      </c>
      <c r="H19" t="s">
        <v>439</v>
      </c>
      <c r="P19" t="s">
        <v>460</v>
      </c>
      <c r="Q19">
        <v>10</v>
      </c>
      <c r="R19" t="str">
        <f>Categorias!C12</f>
        <v>Ligação usada por órgãos dos Poderes Executivo, Legislativo, Judiciário, e, Autarquias e Fundações vinculadas aos Poderes Públicos</v>
      </c>
      <c r="S19" t="str">
        <f>Categorias!K12</f>
        <v>Ligação usada por órgãos dos Poderes Executivo, Legislativo, Judiciário, e, Autarquias e Fundações vinculadas aos Poderes Públicos</v>
      </c>
      <c r="T19" t="str">
        <f>Categorias!S12</f>
        <v>Ligação usada por órgãos dos Poderes Executivo, Legislativo, Judiciário, e, Autarquias e Fundações vinculadas aos Poderes Públicos</v>
      </c>
      <c r="U19" t="str">
        <f>Categorias!AA12</f>
        <v>Ligação usada por órgãos dos Poderes Executivo, Legislativo, Judiciário, e, Autarquias e Fundações vinculadas aos Poderes Públicos</v>
      </c>
      <c r="V19" t="str">
        <f t="shared" si="6"/>
        <v>Ligação usada por órgãos dos Poderes Executivo, Legislativo, Judiciário, e, Autarquias e Fundações vinculadas aos Poderes Públicos</v>
      </c>
    </row>
    <row r="20" spans="1:22" x14ac:dyDescent="0.35">
      <c r="A20" t="s">
        <v>23</v>
      </c>
      <c r="B20" t="s">
        <v>3</v>
      </c>
      <c r="C20">
        <v>5</v>
      </c>
    </row>
    <row r="21" spans="1:22" x14ac:dyDescent="0.35">
      <c r="A21" t="s">
        <v>24</v>
      </c>
      <c r="B21" t="s">
        <v>25</v>
      </c>
      <c r="C21">
        <v>4</v>
      </c>
      <c r="P21" t="str">
        <f>Simulador!C5</f>
        <v>Residencial</v>
      </c>
      <c r="Q21">
        <f>VLOOKUP(P21,P10:Q19,2,0)</f>
        <v>1</v>
      </c>
      <c r="R21" t="str">
        <f>VLOOKUP($Q$21,$Q$10:$U$19,2,0)</f>
        <v>Ligação usada exclusivamente para moradia, atendendo uma ou mais economias*</v>
      </c>
      <c r="S21" t="str">
        <f>IF(ISERROR(VLOOKUP($I$22,$G$26:$H$28,2,0)),VLOOKUP($Q$21,$Q$10:$U$19,3,0),"")</f>
        <v>Ligação usada exclusivamente para moradia, atendendo uma ou mais economias*</v>
      </c>
      <c r="T21" t="str">
        <f>IF(ISERROR(VLOOKUP($I$22,$G$26:$H$28,2,0)),VLOOKUP($Q$21,$Q$10:$U$19,4,0),"")</f>
        <v>Ligação usada exclusivamente para moradia, atendendo apenas uma economia*</v>
      </c>
      <c r="U21" t="str">
        <f>IF(ISERROR(VLOOKUP($I$22,$G$26:$H$28,2,0)),VLOOKUP($Q$21,$Q$10:$U$19,5,0),"")</f>
        <v>Ligação usada exclusivamente para moradia, atendendo apenas uma economia*</v>
      </c>
      <c r="V21" t="str">
        <f>U21</f>
        <v>Ligação usada exclusivamente para moradia, atendendo apenas uma economia*</v>
      </c>
    </row>
    <row r="22" spans="1:22" x14ac:dyDescent="0.35">
      <c r="A22" t="s">
        <v>26</v>
      </c>
      <c r="B22" t="s">
        <v>10</v>
      </c>
      <c r="C22">
        <v>5</v>
      </c>
      <c r="G22" t="str">
        <f>Simulador!C3</f>
        <v>SANTO ANASTACIO</v>
      </c>
      <c r="H22" t="str">
        <f>VLOOKUP($G$22,$A$2:$C$377,2,0)</f>
        <v>RB</v>
      </c>
      <c r="I22">
        <f>VLOOKUP($G$22,$A$2:$C$377,3,0)</f>
        <v>5</v>
      </c>
    </row>
    <row r="23" spans="1:22" x14ac:dyDescent="0.35">
      <c r="A23" t="s">
        <v>27</v>
      </c>
      <c r="B23" t="s">
        <v>8</v>
      </c>
      <c r="C23">
        <v>5</v>
      </c>
    </row>
    <row r="24" spans="1:22" x14ac:dyDescent="0.35">
      <c r="A24" t="s">
        <v>28</v>
      </c>
      <c r="B24" t="s">
        <v>29</v>
      </c>
      <c r="C24">
        <v>6</v>
      </c>
    </row>
    <row r="25" spans="1:22" x14ac:dyDescent="0.35">
      <c r="A25" t="s">
        <v>30</v>
      </c>
      <c r="B25" t="s">
        <v>1</v>
      </c>
      <c r="C25">
        <v>5</v>
      </c>
      <c r="H25" t="s">
        <v>487</v>
      </c>
      <c r="I25" t="str">
        <f>"09 de maio de 2021"</f>
        <v>09 de maio de 2021</v>
      </c>
      <c r="J25" t="s">
        <v>494</v>
      </c>
      <c r="K25" t="s">
        <v>495</v>
      </c>
      <c r="L25" t="s">
        <v>496</v>
      </c>
      <c r="M25" t="s">
        <v>497</v>
      </c>
    </row>
    <row r="26" spans="1:22" x14ac:dyDescent="0.35">
      <c r="A26" t="s">
        <v>31</v>
      </c>
      <c r="B26" t="s">
        <v>10</v>
      </c>
      <c r="C26">
        <v>5</v>
      </c>
      <c r="G26">
        <v>10</v>
      </c>
      <c r="H26" t="s">
        <v>406</v>
      </c>
      <c r="I26" t="str">
        <f>"25 de janeiro de 2022"</f>
        <v>25 de janeiro de 2022</v>
      </c>
    </row>
    <row r="27" spans="1:22" x14ac:dyDescent="0.35">
      <c r="A27" t="s">
        <v>32</v>
      </c>
      <c r="B27" t="s">
        <v>10</v>
      </c>
      <c r="C27">
        <v>5</v>
      </c>
      <c r="G27">
        <v>11</v>
      </c>
      <c r="H27" t="s">
        <v>407</v>
      </c>
      <c r="I27" t="str">
        <f>"13 de setembro de 2021"</f>
        <v>13 de setembro de 2021</v>
      </c>
    </row>
    <row r="28" spans="1:22" x14ac:dyDescent="0.35">
      <c r="A28" t="s">
        <v>33</v>
      </c>
      <c r="B28" t="s">
        <v>34</v>
      </c>
      <c r="C28">
        <v>1</v>
      </c>
      <c r="G28">
        <v>14</v>
      </c>
      <c r="H28" t="s">
        <v>410</v>
      </c>
      <c r="I28" t="str">
        <f>"15 de setembro de 2021"</f>
        <v>15 de setembro de 2021</v>
      </c>
    </row>
    <row r="29" spans="1:22" x14ac:dyDescent="0.35">
      <c r="A29" t="s">
        <v>35</v>
      </c>
      <c r="B29" t="s">
        <v>3</v>
      </c>
      <c r="C29">
        <v>5</v>
      </c>
    </row>
    <row r="30" spans="1:22" x14ac:dyDescent="0.35">
      <c r="A30" t="s">
        <v>36</v>
      </c>
      <c r="B30" t="s">
        <v>1</v>
      </c>
      <c r="C30">
        <v>5</v>
      </c>
      <c r="H30" t="str">
        <f>G22</f>
        <v>SANTO ANASTACIO</v>
      </c>
      <c r="I30" t="str">
        <f>IFERROR(VLOOKUP($I$22,$G$26:$I$28,3,0),I25)</f>
        <v>09 de maio de 2021</v>
      </c>
      <c r="J30" t="str">
        <f>IF(ISERROR(VLOOKUP($I$22,$G$26:$I$28,3,0)),J25,"O município possui regras distintas da SABESP Geral. Verificar site da Arsesp.")</f>
        <v>Entre 10 de maio de 2021 a 09 de maio de 2022</v>
      </c>
      <c r="K30" t="str">
        <f>IF(ISERROR(VLOOKUP($I$22,$G$26:$I$28,3,0)),K25,"")</f>
        <v>Entre 10 de maio de 2022 a 09 de maio de 2023</v>
      </c>
      <c r="L30" t="str">
        <f>IF(ISERROR(VLOOKUP($I$22,$G$26:$I$28,3,0)),L25,"")</f>
        <v>Entre 10 de maio de 2023 a 09 de maio de 2024</v>
      </c>
      <c r="M30" t="str">
        <f>IF(ISERROR(VLOOKUP($I$22,$G$26:$I$28,3,0)),M25,"")</f>
        <v>A partir de 10 de maio de 2024</v>
      </c>
    </row>
    <row r="31" spans="1:22" x14ac:dyDescent="0.35">
      <c r="A31" t="s">
        <v>37</v>
      </c>
      <c r="B31" t="s">
        <v>3</v>
      </c>
      <c r="C31">
        <v>5</v>
      </c>
    </row>
    <row r="32" spans="1:22" x14ac:dyDescent="0.35">
      <c r="A32" t="s">
        <v>38</v>
      </c>
      <c r="B32" t="s">
        <v>3</v>
      </c>
      <c r="C32">
        <v>5</v>
      </c>
    </row>
    <row r="33" spans="1:3" x14ac:dyDescent="0.35">
      <c r="A33" t="s">
        <v>39</v>
      </c>
      <c r="B33" t="s">
        <v>8</v>
      </c>
      <c r="C33">
        <v>5</v>
      </c>
    </row>
    <row r="34" spans="1:3" x14ac:dyDescent="0.35">
      <c r="A34" t="s">
        <v>40</v>
      </c>
      <c r="B34" t="s">
        <v>3</v>
      </c>
      <c r="C34">
        <v>5</v>
      </c>
    </row>
    <row r="35" spans="1:3" x14ac:dyDescent="0.35">
      <c r="A35" t="s">
        <v>41</v>
      </c>
      <c r="B35" t="s">
        <v>29</v>
      </c>
      <c r="C35">
        <v>6</v>
      </c>
    </row>
    <row r="36" spans="1:3" x14ac:dyDescent="0.35">
      <c r="A36" t="s">
        <v>42</v>
      </c>
      <c r="B36" t="s">
        <v>8</v>
      </c>
      <c r="C36">
        <v>5</v>
      </c>
    </row>
    <row r="37" spans="1:3" x14ac:dyDescent="0.35">
      <c r="A37" t="s">
        <v>43</v>
      </c>
      <c r="B37" t="s">
        <v>25</v>
      </c>
      <c r="C37">
        <v>4</v>
      </c>
    </row>
    <row r="38" spans="1:3" x14ac:dyDescent="0.35">
      <c r="A38" t="s">
        <v>44</v>
      </c>
      <c r="B38" t="s">
        <v>25</v>
      </c>
      <c r="C38">
        <v>5</v>
      </c>
    </row>
    <row r="39" spans="1:3" x14ac:dyDescent="0.35">
      <c r="A39" t="s">
        <v>45</v>
      </c>
      <c r="B39" t="s">
        <v>46</v>
      </c>
      <c r="C39">
        <v>1</v>
      </c>
    </row>
    <row r="40" spans="1:3" x14ac:dyDescent="0.35">
      <c r="A40" t="s">
        <v>47</v>
      </c>
      <c r="B40" t="s">
        <v>1</v>
      </c>
      <c r="C40">
        <v>5</v>
      </c>
    </row>
    <row r="41" spans="1:3" x14ac:dyDescent="0.35">
      <c r="A41" t="s">
        <v>48</v>
      </c>
      <c r="B41" t="s">
        <v>3</v>
      </c>
      <c r="C41">
        <v>5</v>
      </c>
    </row>
    <row r="42" spans="1:3" x14ac:dyDescent="0.35">
      <c r="A42" t="s">
        <v>49</v>
      </c>
      <c r="B42" t="s">
        <v>8</v>
      </c>
      <c r="C42">
        <v>5</v>
      </c>
    </row>
    <row r="43" spans="1:3" x14ac:dyDescent="0.35">
      <c r="A43" t="s">
        <v>50</v>
      </c>
      <c r="B43" t="s">
        <v>51</v>
      </c>
      <c r="C43">
        <v>3</v>
      </c>
    </row>
    <row r="44" spans="1:3" x14ac:dyDescent="0.35">
      <c r="A44" t="s">
        <v>52</v>
      </c>
      <c r="B44" t="s">
        <v>34</v>
      </c>
      <c r="C44">
        <v>1</v>
      </c>
    </row>
    <row r="45" spans="1:3" x14ac:dyDescent="0.35">
      <c r="A45" t="s">
        <v>53</v>
      </c>
      <c r="B45" t="s">
        <v>10</v>
      </c>
      <c r="C45">
        <v>5</v>
      </c>
    </row>
    <row r="46" spans="1:3" x14ac:dyDescent="0.35">
      <c r="A46" t="s">
        <v>54</v>
      </c>
      <c r="B46" t="s">
        <v>10</v>
      </c>
      <c r="C46">
        <v>5</v>
      </c>
    </row>
    <row r="47" spans="1:3" x14ac:dyDescent="0.35">
      <c r="A47" t="s">
        <v>55</v>
      </c>
      <c r="B47" t="s">
        <v>10</v>
      </c>
      <c r="C47">
        <v>5</v>
      </c>
    </row>
    <row r="48" spans="1:3" x14ac:dyDescent="0.35">
      <c r="A48" t="s">
        <v>56</v>
      </c>
      <c r="B48" t="s">
        <v>8</v>
      </c>
      <c r="C48">
        <v>5</v>
      </c>
    </row>
    <row r="49" spans="1:3" x14ac:dyDescent="0.35">
      <c r="A49" t="s">
        <v>57</v>
      </c>
      <c r="B49" t="s">
        <v>1</v>
      </c>
      <c r="C49">
        <v>5</v>
      </c>
    </row>
    <row r="50" spans="1:3" x14ac:dyDescent="0.35">
      <c r="A50" t="s">
        <v>58</v>
      </c>
      <c r="B50" t="s">
        <v>10</v>
      </c>
      <c r="C50">
        <v>5</v>
      </c>
    </row>
    <row r="51" spans="1:3" x14ac:dyDescent="0.35">
      <c r="A51" t="s">
        <v>59</v>
      </c>
      <c r="B51" t="s">
        <v>10</v>
      </c>
      <c r="C51">
        <v>5</v>
      </c>
    </row>
    <row r="52" spans="1:3" x14ac:dyDescent="0.35">
      <c r="A52" t="s">
        <v>60</v>
      </c>
      <c r="B52" t="s">
        <v>61</v>
      </c>
      <c r="C52">
        <v>2</v>
      </c>
    </row>
    <row r="53" spans="1:3" x14ac:dyDescent="0.35">
      <c r="A53" t="s">
        <v>62</v>
      </c>
      <c r="B53" t="s">
        <v>3</v>
      </c>
      <c r="C53">
        <v>5</v>
      </c>
    </row>
    <row r="54" spans="1:3" x14ac:dyDescent="0.35">
      <c r="A54" t="s">
        <v>63</v>
      </c>
      <c r="B54" t="s">
        <v>8</v>
      </c>
      <c r="C54">
        <v>5</v>
      </c>
    </row>
    <row r="55" spans="1:3" x14ac:dyDescent="0.35">
      <c r="A55" t="s">
        <v>64</v>
      </c>
      <c r="B55" t="s">
        <v>5</v>
      </c>
      <c r="C55">
        <v>5</v>
      </c>
    </row>
    <row r="56" spans="1:3" x14ac:dyDescent="0.35">
      <c r="A56" t="s">
        <v>65</v>
      </c>
      <c r="B56" t="s">
        <v>66</v>
      </c>
      <c r="C56">
        <v>5</v>
      </c>
    </row>
    <row r="57" spans="1:3" x14ac:dyDescent="0.35">
      <c r="A57" t="s">
        <v>67</v>
      </c>
      <c r="B57" t="s">
        <v>29</v>
      </c>
      <c r="C57">
        <v>6</v>
      </c>
    </row>
    <row r="58" spans="1:3" x14ac:dyDescent="0.35">
      <c r="A58" t="s">
        <v>68</v>
      </c>
      <c r="B58" t="s">
        <v>29</v>
      </c>
      <c r="C58">
        <v>6</v>
      </c>
    </row>
    <row r="59" spans="1:3" x14ac:dyDescent="0.35">
      <c r="A59" t="s">
        <v>69</v>
      </c>
      <c r="B59" t="s">
        <v>1</v>
      </c>
      <c r="C59">
        <v>5</v>
      </c>
    </row>
    <row r="60" spans="1:3" x14ac:dyDescent="0.35">
      <c r="A60" t="s">
        <v>70</v>
      </c>
      <c r="B60" t="s">
        <v>61</v>
      </c>
      <c r="C60">
        <v>1</v>
      </c>
    </row>
    <row r="61" spans="1:3" x14ac:dyDescent="0.35">
      <c r="A61" t="s">
        <v>71</v>
      </c>
      <c r="B61" t="s">
        <v>61</v>
      </c>
      <c r="C61">
        <v>1</v>
      </c>
    </row>
    <row r="62" spans="1:3" x14ac:dyDescent="0.35">
      <c r="A62" t="s">
        <v>72</v>
      </c>
      <c r="B62" t="s">
        <v>25</v>
      </c>
      <c r="C62">
        <v>5</v>
      </c>
    </row>
    <row r="63" spans="1:3" x14ac:dyDescent="0.35">
      <c r="A63" t="s">
        <v>73</v>
      </c>
      <c r="B63" t="s">
        <v>5</v>
      </c>
      <c r="C63">
        <v>5</v>
      </c>
    </row>
    <row r="64" spans="1:3" x14ac:dyDescent="0.35">
      <c r="A64" t="s">
        <v>74</v>
      </c>
      <c r="B64" t="s">
        <v>8</v>
      </c>
      <c r="C64">
        <v>5</v>
      </c>
    </row>
    <row r="65" spans="1:3" x14ac:dyDescent="0.35">
      <c r="A65" t="s">
        <v>75</v>
      </c>
      <c r="B65" t="s">
        <v>66</v>
      </c>
      <c r="C65">
        <v>5</v>
      </c>
    </row>
    <row r="66" spans="1:3" x14ac:dyDescent="0.35">
      <c r="A66" t="s">
        <v>76</v>
      </c>
      <c r="B66" t="s">
        <v>29</v>
      </c>
      <c r="C66">
        <v>6</v>
      </c>
    </row>
    <row r="67" spans="1:3" x14ac:dyDescent="0.35">
      <c r="A67" t="s">
        <v>77</v>
      </c>
      <c r="B67" t="s">
        <v>25</v>
      </c>
      <c r="C67">
        <v>5</v>
      </c>
    </row>
    <row r="68" spans="1:3" x14ac:dyDescent="0.35">
      <c r="A68" t="s">
        <v>78</v>
      </c>
      <c r="B68" t="s">
        <v>29</v>
      </c>
      <c r="C68">
        <v>6</v>
      </c>
    </row>
    <row r="69" spans="1:3" x14ac:dyDescent="0.35">
      <c r="A69" t="s">
        <v>79</v>
      </c>
      <c r="B69" t="s">
        <v>3</v>
      </c>
      <c r="C69">
        <v>5</v>
      </c>
    </row>
    <row r="70" spans="1:3" x14ac:dyDescent="0.35">
      <c r="A70" t="s">
        <v>80</v>
      </c>
      <c r="B70" t="s">
        <v>8</v>
      </c>
      <c r="C70">
        <v>5</v>
      </c>
    </row>
    <row r="71" spans="1:3" x14ac:dyDescent="0.35">
      <c r="A71" t="s">
        <v>81</v>
      </c>
      <c r="B71" t="s">
        <v>10</v>
      </c>
      <c r="C71">
        <v>5</v>
      </c>
    </row>
    <row r="72" spans="1:3" x14ac:dyDescent="0.35">
      <c r="A72" t="s">
        <v>82</v>
      </c>
      <c r="B72" t="s">
        <v>83</v>
      </c>
      <c r="C72">
        <v>3</v>
      </c>
    </row>
    <row r="73" spans="1:3" x14ac:dyDescent="0.35">
      <c r="A73" t="s">
        <v>84</v>
      </c>
      <c r="B73" t="s">
        <v>46</v>
      </c>
      <c r="C73">
        <v>1</v>
      </c>
    </row>
    <row r="74" spans="1:3" x14ac:dyDescent="0.35">
      <c r="A74" t="s">
        <v>85</v>
      </c>
      <c r="B74" t="s">
        <v>3</v>
      </c>
      <c r="C74">
        <v>5</v>
      </c>
    </row>
    <row r="75" spans="1:3" x14ac:dyDescent="0.35">
      <c r="A75" t="s">
        <v>86</v>
      </c>
      <c r="B75" t="s">
        <v>5</v>
      </c>
      <c r="C75">
        <v>5</v>
      </c>
    </row>
    <row r="76" spans="1:3" x14ac:dyDescent="0.35">
      <c r="A76" t="s">
        <v>87</v>
      </c>
      <c r="B76" t="s">
        <v>3</v>
      </c>
      <c r="C76">
        <v>5</v>
      </c>
    </row>
    <row r="77" spans="1:3" x14ac:dyDescent="0.35">
      <c r="A77" t="s">
        <v>88</v>
      </c>
      <c r="B77" t="s">
        <v>10</v>
      </c>
      <c r="C77">
        <v>5</v>
      </c>
    </row>
    <row r="78" spans="1:3" x14ac:dyDescent="0.35">
      <c r="A78" t="s">
        <v>89</v>
      </c>
      <c r="B78" t="s">
        <v>10</v>
      </c>
      <c r="C78">
        <v>5</v>
      </c>
    </row>
    <row r="79" spans="1:3" x14ac:dyDescent="0.35">
      <c r="A79" t="s">
        <v>90</v>
      </c>
      <c r="B79" t="s">
        <v>5</v>
      </c>
      <c r="C79">
        <v>5</v>
      </c>
    </row>
    <row r="80" spans="1:3" x14ac:dyDescent="0.35">
      <c r="A80" t="s">
        <v>91</v>
      </c>
      <c r="B80" t="s">
        <v>10</v>
      </c>
      <c r="C80">
        <v>5</v>
      </c>
    </row>
    <row r="81" spans="1:3" x14ac:dyDescent="0.35">
      <c r="A81" t="s">
        <v>92</v>
      </c>
      <c r="B81" t="s">
        <v>3</v>
      </c>
      <c r="C81">
        <v>5</v>
      </c>
    </row>
    <row r="82" spans="1:3" x14ac:dyDescent="0.35">
      <c r="A82" t="s">
        <v>93</v>
      </c>
      <c r="B82" t="s">
        <v>8</v>
      </c>
      <c r="C82">
        <v>5</v>
      </c>
    </row>
    <row r="83" spans="1:3" x14ac:dyDescent="0.35">
      <c r="A83" t="s">
        <v>94</v>
      </c>
      <c r="B83" t="s">
        <v>46</v>
      </c>
      <c r="C83">
        <v>1</v>
      </c>
    </row>
    <row r="84" spans="1:3" x14ac:dyDescent="0.35">
      <c r="A84" t="s">
        <v>95</v>
      </c>
      <c r="B84" t="s">
        <v>1</v>
      </c>
      <c r="C84">
        <v>5</v>
      </c>
    </row>
    <row r="85" spans="1:3" x14ac:dyDescent="0.35">
      <c r="A85" t="s">
        <v>96</v>
      </c>
      <c r="B85" t="s">
        <v>51</v>
      </c>
      <c r="C85">
        <v>3</v>
      </c>
    </row>
    <row r="86" spans="1:3" x14ac:dyDescent="0.35">
      <c r="A86" t="s">
        <v>97</v>
      </c>
      <c r="B86" t="s">
        <v>98</v>
      </c>
      <c r="C86">
        <v>1</v>
      </c>
    </row>
    <row r="87" spans="1:3" x14ac:dyDescent="0.35">
      <c r="A87" t="s">
        <v>99</v>
      </c>
      <c r="B87" t="s">
        <v>3</v>
      </c>
      <c r="C87">
        <v>5</v>
      </c>
    </row>
    <row r="88" spans="1:3" x14ac:dyDescent="0.35">
      <c r="A88" t="s">
        <v>100</v>
      </c>
      <c r="B88" t="s">
        <v>5</v>
      </c>
      <c r="C88">
        <v>5</v>
      </c>
    </row>
    <row r="89" spans="1:3" x14ac:dyDescent="0.35">
      <c r="A89" t="s">
        <v>101</v>
      </c>
      <c r="B89" t="s">
        <v>3</v>
      </c>
      <c r="C89">
        <v>5</v>
      </c>
    </row>
    <row r="90" spans="1:3" x14ac:dyDescent="0.35">
      <c r="A90" t="s">
        <v>102</v>
      </c>
      <c r="B90" t="s">
        <v>10</v>
      </c>
      <c r="C90">
        <v>5</v>
      </c>
    </row>
    <row r="91" spans="1:3" x14ac:dyDescent="0.35">
      <c r="A91" t="s">
        <v>103</v>
      </c>
      <c r="B91" t="s">
        <v>8</v>
      </c>
      <c r="C91">
        <v>5</v>
      </c>
    </row>
    <row r="92" spans="1:3" x14ac:dyDescent="0.35">
      <c r="A92" t="s">
        <v>104</v>
      </c>
      <c r="B92" t="s">
        <v>1</v>
      </c>
      <c r="C92">
        <v>5</v>
      </c>
    </row>
    <row r="93" spans="1:3" x14ac:dyDescent="0.35">
      <c r="A93" t="s">
        <v>105</v>
      </c>
      <c r="B93" t="s">
        <v>25</v>
      </c>
      <c r="C93">
        <v>5</v>
      </c>
    </row>
    <row r="94" spans="1:3" x14ac:dyDescent="0.35">
      <c r="A94" t="s">
        <v>106</v>
      </c>
      <c r="B94" t="s">
        <v>66</v>
      </c>
      <c r="C94">
        <v>5</v>
      </c>
    </row>
    <row r="95" spans="1:3" x14ac:dyDescent="0.35">
      <c r="A95" t="s">
        <v>107</v>
      </c>
      <c r="B95" t="s">
        <v>98</v>
      </c>
      <c r="C95">
        <v>1</v>
      </c>
    </row>
    <row r="96" spans="1:3" x14ac:dyDescent="0.35">
      <c r="A96" t="s">
        <v>108</v>
      </c>
      <c r="B96" t="s">
        <v>98</v>
      </c>
      <c r="C96">
        <v>1</v>
      </c>
    </row>
    <row r="97" spans="1:3" x14ac:dyDescent="0.35">
      <c r="A97" t="s">
        <v>109</v>
      </c>
      <c r="B97" t="s">
        <v>1</v>
      </c>
      <c r="C97">
        <v>5</v>
      </c>
    </row>
    <row r="98" spans="1:3" x14ac:dyDescent="0.35">
      <c r="A98" t="s">
        <v>110</v>
      </c>
      <c r="B98" t="s">
        <v>5</v>
      </c>
      <c r="C98">
        <v>5</v>
      </c>
    </row>
    <row r="99" spans="1:3" x14ac:dyDescent="0.35">
      <c r="A99" t="s">
        <v>111</v>
      </c>
      <c r="B99" t="s">
        <v>8</v>
      </c>
      <c r="C99">
        <v>5</v>
      </c>
    </row>
    <row r="100" spans="1:3" x14ac:dyDescent="0.35">
      <c r="A100" t="s">
        <v>112</v>
      </c>
      <c r="B100" t="s">
        <v>1</v>
      </c>
      <c r="C100">
        <v>5</v>
      </c>
    </row>
    <row r="101" spans="1:3" x14ac:dyDescent="0.35">
      <c r="A101" t="s">
        <v>113</v>
      </c>
      <c r="B101" t="s">
        <v>3</v>
      </c>
      <c r="C101">
        <v>5</v>
      </c>
    </row>
    <row r="102" spans="1:3" x14ac:dyDescent="0.35">
      <c r="A102" t="s">
        <v>114</v>
      </c>
      <c r="B102" t="s">
        <v>1</v>
      </c>
      <c r="C102">
        <v>5</v>
      </c>
    </row>
    <row r="103" spans="1:3" x14ac:dyDescent="0.35">
      <c r="A103" t="s">
        <v>115</v>
      </c>
      <c r="B103" t="s">
        <v>8</v>
      </c>
      <c r="C103">
        <v>5</v>
      </c>
    </row>
    <row r="104" spans="1:3" x14ac:dyDescent="0.35">
      <c r="A104" t="s">
        <v>116</v>
      </c>
      <c r="B104" t="s">
        <v>3</v>
      </c>
      <c r="C104">
        <v>5</v>
      </c>
    </row>
    <row r="105" spans="1:3" x14ac:dyDescent="0.35">
      <c r="A105" t="s">
        <v>117</v>
      </c>
      <c r="B105" t="s">
        <v>3</v>
      </c>
      <c r="C105">
        <v>5</v>
      </c>
    </row>
    <row r="106" spans="1:3" x14ac:dyDescent="0.35">
      <c r="A106" t="s">
        <v>118</v>
      </c>
      <c r="B106" t="s">
        <v>8</v>
      </c>
      <c r="C106">
        <v>5</v>
      </c>
    </row>
    <row r="107" spans="1:3" x14ac:dyDescent="0.35">
      <c r="A107" t="s">
        <v>119</v>
      </c>
      <c r="B107" t="s">
        <v>34</v>
      </c>
      <c r="C107">
        <v>1</v>
      </c>
    </row>
    <row r="108" spans="1:3" x14ac:dyDescent="0.35">
      <c r="A108" t="s">
        <v>120</v>
      </c>
      <c r="B108" t="s">
        <v>1</v>
      </c>
      <c r="C108">
        <v>5</v>
      </c>
    </row>
    <row r="109" spans="1:3" x14ac:dyDescent="0.35">
      <c r="A109" t="s">
        <v>121</v>
      </c>
      <c r="B109" t="s">
        <v>3</v>
      </c>
      <c r="C109">
        <v>5</v>
      </c>
    </row>
    <row r="110" spans="1:3" x14ac:dyDescent="0.35">
      <c r="A110" t="s">
        <v>122</v>
      </c>
      <c r="B110" t="s">
        <v>1</v>
      </c>
      <c r="C110">
        <v>5</v>
      </c>
    </row>
    <row r="111" spans="1:3" x14ac:dyDescent="0.35">
      <c r="A111" t="s">
        <v>123</v>
      </c>
      <c r="B111" t="s">
        <v>1</v>
      </c>
      <c r="C111">
        <v>5</v>
      </c>
    </row>
    <row r="112" spans="1:3" x14ac:dyDescent="0.35">
      <c r="A112" t="s">
        <v>124</v>
      </c>
      <c r="B112" t="s">
        <v>5</v>
      </c>
      <c r="C112">
        <v>5</v>
      </c>
    </row>
    <row r="113" spans="1:3" x14ac:dyDescent="0.35">
      <c r="A113" t="s">
        <v>125</v>
      </c>
      <c r="B113" t="s">
        <v>61</v>
      </c>
      <c r="C113">
        <v>1</v>
      </c>
    </row>
    <row r="114" spans="1:3" x14ac:dyDescent="0.35">
      <c r="A114" t="s">
        <v>126</v>
      </c>
      <c r="B114" t="s">
        <v>61</v>
      </c>
      <c r="C114">
        <v>1</v>
      </c>
    </row>
    <row r="115" spans="1:3" x14ac:dyDescent="0.35">
      <c r="A115" t="s">
        <v>127</v>
      </c>
      <c r="B115" t="s">
        <v>1</v>
      </c>
      <c r="C115">
        <v>5</v>
      </c>
    </row>
    <row r="116" spans="1:3" x14ac:dyDescent="0.35">
      <c r="A116" t="s">
        <v>128</v>
      </c>
      <c r="B116" t="s">
        <v>8</v>
      </c>
      <c r="C116">
        <v>5</v>
      </c>
    </row>
    <row r="117" spans="1:3" x14ac:dyDescent="0.35">
      <c r="A117" t="s">
        <v>129</v>
      </c>
      <c r="B117" t="s">
        <v>3</v>
      </c>
      <c r="C117">
        <v>5</v>
      </c>
    </row>
    <row r="118" spans="1:3" x14ac:dyDescent="0.35">
      <c r="A118" t="s">
        <v>130</v>
      </c>
      <c r="B118" t="s">
        <v>3</v>
      </c>
      <c r="C118">
        <v>5</v>
      </c>
    </row>
    <row r="119" spans="1:3" x14ac:dyDescent="0.35">
      <c r="A119" t="s">
        <v>131</v>
      </c>
      <c r="B119" t="s">
        <v>3</v>
      </c>
      <c r="C119">
        <v>5</v>
      </c>
    </row>
    <row r="120" spans="1:3" x14ac:dyDescent="0.35">
      <c r="A120" t="s">
        <v>132</v>
      </c>
      <c r="B120" t="s">
        <v>8</v>
      </c>
      <c r="C120">
        <v>5</v>
      </c>
    </row>
    <row r="121" spans="1:3" x14ac:dyDescent="0.35">
      <c r="A121" t="s">
        <v>133</v>
      </c>
      <c r="B121" t="s">
        <v>3</v>
      </c>
      <c r="C121">
        <v>5</v>
      </c>
    </row>
    <row r="122" spans="1:3" x14ac:dyDescent="0.35">
      <c r="A122" t="s">
        <v>134</v>
      </c>
      <c r="B122" t="s">
        <v>29</v>
      </c>
      <c r="C122">
        <v>1</v>
      </c>
    </row>
    <row r="123" spans="1:3" x14ac:dyDescent="0.35">
      <c r="A123" t="s">
        <v>135</v>
      </c>
      <c r="B123" t="s">
        <v>8</v>
      </c>
      <c r="C123">
        <v>5</v>
      </c>
    </row>
    <row r="124" spans="1:3" x14ac:dyDescent="0.35">
      <c r="A124" t="s">
        <v>136</v>
      </c>
      <c r="B124" t="s">
        <v>5</v>
      </c>
      <c r="C124">
        <v>5</v>
      </c>
    </row>
    <row r="125" spans="1:3" x14ac:dyDescent="0.35">
      <c r="A125" t="s">
        <v>137</v>
      </c>
      <c r="B125" t="s">
        <v>51</v>
      </c>
      <c r="C125">
        <v>3</v>
      </c>
    </row>
    <row r="126" spans="1:3" x14ac:dyDescent="0.35">
      <c r="A126" t="s">
        <v>138</v>
      </c>
      <c r="B126" t="s">
        <v>61</v>
      </c>
      <c r="C126">
        <v>9</v>
      </c>
    </row>
    <row r="127" spans="1:3" x14ac:dyDescent="0.35">
      <c r="A127" t="s">
        <v>139</v>
      </c>
      <c r="B127" t="s">
        <v>3</v>
      </c>
      <c r="C127">
        <v>5</v>
      </c>
    </row>
    <row r="128" spans="1:3" x14ac:dyDescent="0.35">
      <c r="A128" t="s">
        <v>140</v>
      </c>
      <c r="B128" t="s">
        <v>66</v>
      </c>
      <c r="C128">
        <v>5</v>
      </c>
    </row>
    <row r="129" spans="1:3" x14ac:dyDescent="0.35">
      <c r="A129" t="s">
        <v>141</v>
      </c>
      <c r="B129" t="s">
        <v>1</v>
      </c>
      <c r="C129">
        <v>5</v>
      </c>
    </row>
    <row r="130" spans="1:3" x14ac:dyDescent="0.35">
      <c r="A130" t="s">
        <v>142</v>
      </c>
      <c r="B130" t="s">
        <v>8</v>
      </c>
      <c r="C130">
        <v>5</v>
      </c>
    </row>
    <row r="131" spans="1:3" x14ac:dyDescent="0.35">
      <c r="A131" t="s">
        <v>143</v>
      </c>
      <c r="B131" t="s">
        <v>3</v>
      </c>
      <c r="C131">
        <v>5</v>
      </c>
    </row>
    <row r="132" spans="1:3" x14ac:dyDescent="0.35">
      <c r="A132" t="s">
        <v>144</v>
      </c>
      <c r="B132" t="s">
        <v>10</v>
      </c>
      <c r="C132">
        <v>5</v>
      </c>
    </row>
    <row r="133" spans="1:3" x14ac:dyDescent="0.35">
      <c r="A133" t="s">
        <v>145</v>
      </c>
      <c r="B133" t="s">
        <v>5</v>
      </c>
      <c r="C133">
        <v>5</v>
      </c>
    </row>
    <row r="134" spans="1:3" x14ac:dyDescent="0.35">
      <c r="A134" t="s">
        <v>146</v>
      </c>
      <c r="B134" t="s">
        <v>5</v>
      </c>
      <c r="C134">
        <v>5</v>
      </c>
    </row>
    <row r="135" spans="1:3" x14ac:dyDescent="0.35">
      <c r="A135" t="s">
        <v>147</v>
      </c>
      <c r="B135" t="s">
        <v>29</v>
      </c>
      <c r="C135">
        <v>6</v>
      </c>
    </row>
    <row r="136" spans="1:3" x14ac:dyDescent="0.35">
      <c r="A136" t="s">
        <v>148</v>
      </c>
      <c r="B136" t="s">
        <v>25</v>
      </c>
      <c r="C136">
        <v>5</v>
      </c>
    </row>
    <row r="137" spans="1:3" x14ac:dyDescent="0.35">
      <c r="A137" t="s">
        <v>149</v>
      </c>
      <c r="B137" t="s">
        <v>25</v>
      </c>
      <c r="C137">
        <v>5</v>
      </c>
    </row>
    <row r="138" spans="1:3" x14ac:dyDescent="0.35">
      <c r="A138" t="s">
        <v>150</v>
      </c>
      <c r="B138" t="s">
        <v>83</v>
      </c>
      <c r="C138">
        <v>3</v>
      </c>
    </row>
    <row r="139" spans="1:3" x14ac:dyDescent="0.35">
      <c r="A139" t="s">
        <v>151</v>
      </c>
      <c r="B139" t="s">
        <v>3</v>
      </c>
      <c r="C139">
        <v>5</v>
      </c>
    </row>
    <row r="140" spans="1:3" x14ac:dyDescent="0.35">
      <c r="A140" t="s">
        <v>152</v>
      </c>
      <c r="B140" t="s">
        <v>1</v>
      </c>
      <c r="C140">
        <v>5</v>
      </c>
    </row>
    <row r="141" spans="1:3" x14ac:dyDescent="0.35">
      <c r="A141" t="s">
        <v>153</v>
      </c>
      <c r="B141" t="s">
        <v>10</v>
      </c>
      <c r="C141">
        <v>5</v>
      </c>
    </row>
    <row r="142" spans="1:3" x14ac:dyDescent="0.35">
      <c r="A142" t="s">
        <v>154</v>
      </c>
      <c r="B142" t="s">
        <v>25</v>
      </c>
      <c r="C142">
        <v>5</v>
      </c>
    </row>
    <row r="143" spans="1:3" x14ac:dyDescent="0.35">
      <c r="A143" t="s">
        <v>155</v>
      </c>
      <c r="B143" t="s">
        <v>3</v>
      </c>
      <c r="C143">
        <v>5</v>
      </c>
    </row>
    <row r="144" spans="1:3" x14ac:dyDescent="0.35">
      <c r="A144" t="s">
        <v>156</v>
      </c>
      <c r="B144" t="s">
        <v>8</v>
      </c>
      <c r="C144">
        <v>5</v>
      </c>
    </row>
    <row r="145" spans="1:3" x14ac:dyDescent="0.35">
      <c r="A145" t="s">
        <v>157</v>
      </c>
      <c r="B145" t="s">
        <v>8</v>
      </c>
      <c r="C145">
        <v>5</v>
      </c>
    </row>
    <row r="146" spans="1:3" x14ac:dyDescent="0.35">
      <c r="A146" t="s">
        <v>158</v>
      </c>
      <c r="B146" t="s">
        <v>51</v>
      </c>
      <c r="C146">
        <v>3</v>
      </c>
    </row>
    <row r="147" spans="1:3" x14ac:dyDescent="0.35">
      <c r="A147" t="s">
        <v>159</v>
      </c>
      <c r="B147" t="s">
        <v>25</v>
      </c>
      <c r="C147">
        <v>4</v>
      </c>
    </row>
    <row r="148" spans="1:3" x14ac:dyDescent="0.35">
      <c r="A148" t="s">
        <v>160</v>
      </c>
      <c r="B148" t="s">
        <v>98</v>
      </c>
      <c r="C148">
        <v>1</v>
      </c>
    </row>
    <row r="149" spans="1:3" x14ac:dyDescent="0.35">
      <c r="A149" t="s">
        <v>161</v>
      </c>
      <c r="B149" t="s">
        <v>8</v>
      </c>
      <c r="C149">
        <v>5</v>
      </c>
    </row>
    <row r="150" spans="1:3" x14ac:dyDescent="0.35">
      <c r="A150" t="s">
        <v>162</v>
      </c>
      <c r="B150" t="s">
        <v>8</v>
      </c>
      <c r="C150">
        <v>5</v>
      </c>
    </row>
    <row r="151" spans="1:3" x14ac:dyDescent="0.35">
      <c r="A151" t="s">
        <v>163</v>
      </c>
      <c r="B151" t="s">
        <v>46</v>
      </c>
      <c r="C151">
        <v>1</v>
      </c>
    </row>
    <row r="152" spans="1:3" x14ac:dyDescent="0.35">
      <c r="A152" t="s">
        <v>164</v>
      </c>
      <c r="B152" t="s">
        <v>25</v>
      </c>
      <c r="C152">
        <v>4</v>
      </c>
    </row>
    <row r="153" spans="1:3" x14ac:dyDescent="0.35">
      <c r="A153" t="s">
        <v>165</v>
      </c>
      <c r="B153" t="s">
        <v>8</v>
      </c>
      <c r="C153">
        <v>5</v>
      </c>
    </row>
    <row r="154" spans="1:3" x14ac:dyDescent="0.35">
      <c r="A154" t="s">
        <v>166</v>
      </c>
      <c r="B154" t="s">
        <v>34</v>
      </c>
      <c r="C154">
        <v>1</v>
      </c>
    </row>
    <row r="155" spans="1:3" x14ac:dyDescent="0.35">
      <c r="A155" t="s">
        <v>167</v>
      </c>
      <c r="B155" t="s">
        <v>8</v>
      </c>
      <c r="C155">
        <v>5</v>
      </c>
    </row>
    <row r="156" spans="1:3" x14ac:dyDescent="0.35">
      <c r="A156" t="s">
        <v>168</v>
      </c>
      <c r="B156" t="s">
        <v>25</v>
      </c>
      <c r="C156">
        <v>5</v>
      </c>
    </row>
    <row r="157" spans="1:3" x14ac:dyDescent="0.35">
      <c r="A157" t="s">
        <v>169</v>
      </c>
      <c r="B157" t="s">
        <v>66</v>
      </c>
      <c r="C157">
        <v>5</v>
      </c>
    </row>
    <row r="158" spans="1:3" x14ac:dyDescent="0.35">
      <c r="A158" t="s">
        <v>170</v>
      </c>
      <c r="B158" t="s">
        <v>10</v>
      </c>
      <c r="C158">
        <v>5</v>
      </c>
    </row>
    <row r="159" spans="1:3" x14ac:dyDescent="0.35">
      <c r="A159" t="s">
        <v>171</v>
      </c>
      <c r="B159" t="s">
        <v>5</v>
      </c>
      <c r="C159">
        <v>5</v>
      </c>
    </row>
    <row r="160" spans="1:3" x14ac:dyDescent="0.35">
      <c r="A160" t="s">
        <v>172</v>
      </c>
      <c r="B160" t="s">
        <v>5</v>
      </c>
      <c r="C160">
        <v>5</v>
      </c>
    </row>
    <row r="161" spans="1:3" x14ac:dyDescent="0.35">
      <c r="A161" t="s">
        <v>173</v>
      </c>
      <c r="B161" t="s">
        <v>66</v>
      </c>
      <c r="C161">
        <v>5</v>
      </c>
    </row>
    <row r="162" spans="1:3" x14ac:dyDescent="0.35">
      <c r="A162" t="s">
        <v>174</v>
      </c>
      <c r="B162" t="s">
        <v>5</v>
      </c>
      <c r="C162">
        <v>5</v>
      </c>
    </row>
    <row r="163" spans="1:3" x14ac:dyDescent="0.35">
      <c r="A163" t="s">
        <v>175</v>
      </c>
      <c r="B163" t="s">
        <v>25</v>
      </c>
      <c r="C163">
        <v>5</v>
      </c>
    </row>
    <row r="164" spans="1:3" x14ac:dyDescent="0.35">
      <c r="A164" t="s">
        <v>176</v>
      </c>
      <c r="B164" t="s">
        <v>3</v>
      </c>
      <c r="C164">
        <v>5</v>
      </c>
    </row>
    <row r="165" spans="1:3" x14ac:dyDescent="0.35">
      <c r="A165" t="s">
        <v>177</v>
      </c>
      <c r="B165" t="s">
        <v>29</v>
      </c>
      <c r="C165">
        <v>6</v>
      </c>
    </row>
    <row r="166" spans="1:3" x14ac:dyDescent="0.35">
      <c r="A166" t="s">
        <v>178</v>
      </c>
      <c r="B166" t="s">
        <v>46</v>
      </c>
      <c r="C166">
        <v>1</v>
      </c>
    </row>
    <row r="167" spans="1:3" x14ac:dyDescent="0.35">
      <c r="A167" t="s">
        <v>179</v>
      </c>
      <c r="B167" t="s">
        <v>66</v>
      </c>
      <c r="C167">
        <v>5</v>
      </c>
    </row>
    <row r="168" spans="1:3" x14ac:dyDescent="0.35">
      <c r="A168" t="s">
        <v>180</v>
      </c>
      <c r="B168" t="s">
        <v>5</v>
      </c>
      <c r="C168">
        <v>5</v>
      </c>
    </row>
    <row r="169" spans="1:3" x14ac:dyDescent="0.35">
      <c r="A169" t="s">
        <v>181</v>
      </c>
      <c r="B169" t="s">
        <v>61</v>
      </c>
      <c r="C169">
        <v>2</v>
      </c>
    </row>
    <row r="170" spans="1:3" x14ac:dyDescent="0.35">
      <c r="A170" t="s">
        <v>182</v>
      </c>
      <c r="B170" t="s">
        <v>25</v>
      </c>
      <c r="C170">
        <v>5</v>
      </c>
    </row>
    <row r="171" spans="1:3" x14ac:dyDescent="0.35">
      <c r="A171" t="s">
        <v>183</v>
      </c>
      <c r="B171" t="s">
        <v>25</v>
      </c>
      <c r="C171">
        <v>5</v>
      </c>
    </row>
    <row r="172" spans="1:3" x14ac:dyDescent="0.35">
      <c r="A172" t="s">
        <v>184</v>
      </c>
      <c r="B172" t="s">
        <v>29</v>
      </c>
      <c r="C172">
        <v>6</v>
      </c>
    </row>
    <row r="173" spans="1:3" x14ac:dyDescent="0.35">
      <c r="A173" t="s">
        <v>185</v>
      </c>
      <c r="B173" t="s">
        <v>10</v>
      </c>
      <c r="C173">
        <v>5</v>
      </c>
    </row>
    <row r="174" spans="1:3" x14ac:dyDescent="0.35">
      <c r="A174" t="s">
        <v>186</v>
      </c>
      <c r="B174" t="s">
        <v>29</v>
      </c>
      <c r="C174">
        <v>6</v>
      </c>
    </row>
    <row r="175" spans="1:3" x14ac:dyDescent="0.35">
      <c r="A175" t="s">
        <v>187</v>
      </c>
      <c r="B175" t="s">
        <v>3</v>
      </c>
      <c r="C175">
        <v>10</v>
      </c>
    </row>
    <row r="176" spans="1:3" x14ac:dyDescent="0.35">
      <c r="A176" t="s">
        <v>188</v>
      </c>
      <c r="B176" t="s">
        <v>29</v>
      </c>
      <c r="C176">
        <v>6</v>
      </c>
    </row>
    <row r="177" spans="1:3" x14ac:dyDescent="0.35">
      <c r="A177" t="s">
        <v>189</v>
      </c>
      <c r="B177" t="s">
        <v>3</v>
      </c>
      <c r="C177">
        <v>5</v>
      </c>
    </row>
    <row r="178" spans="1:3" x14ac:dyDescent="0.35">
      <c r="A178" t="s">
        <v>190</v>
      </c>
      <c r="B178" t="s">
        <v>1</v>
      </c>
      <c r="C178">
        <v>5</v>
      </c>
    </row>
    <row r="179" spans="1:3" x14ac:dyDescent="0.35">
      <c r="A179" t="s">
        <v>191</v>
      </c>
      <c r="B179" t="s">
        <v>8</v>
      </c>
      <c r="C179">
        <v>5</v>
      </c>
    </row>
    <row r="180" spans="1:3" x14ac:dyDescent="0.35">
      <c r="A180" t="s">
        <v>192</v>
      </c>
      <c r="B180" t="s">
        <v>1</v>
      </c>
      <c r="C180">
        <v>5</v>
      </c>
    </row>
    <row r="181" spans="1:3" x14ac:dyDescent="0.35">
      <c r="A181" t="s">
        <v>193</v>
      </c>
      <c r="B181" t="s">
        <v>8</v>
      </c>
      <c r="C181">
        <v>5</v>
      </c>
    </row>
    <row r="182" spans="1:3" x14ac:dyDescent="0.35">
      <c r="A182" t="s">
        <v>194</v>
      </c>
      <c r="B182" t="s">
        <v>1</v>
      </c>
      <c r="C182">
        <v>5</v>
      </c>
    </row>
    <row r="183" spans="1:3" x14ac:dyDescent="0.35">
      <c r="A183" t="s">
        <v>195</v>
      </c>
      <c r="B183" t="s">
        <v>3</v>
      </c>
      <c r="C183">
        <v>5</v>
      </c>
    </row>
    <row r="184" spans="1:3" x14ac:dyDescent="0.35">
      <c r="A184" t="s">
        <v>196</v>
      </c>
      <c r="B184" t="s">
        <v>3</v>
      </c>
      <c r="C184">
        <v>5</v>
      </c>
    </row>
    <row r="185" spans="1:3" x14ac:dyDescent="0.35">
      <c r="A185" t="s">
        <v>197</v>
      </c>
      <c r="B185" t="s">
        <v>61</v>
      </c>
      <c r="C185">
        <v>1</v>
      </c>
    </row>
    <row r="186" spans="1:3" x14ac:dyDescent="0.35">
      <c r="A186" t="s">
        <v>198</v>
      </c>
      <c r="B186" t="s">
        <v>1</v>
      </c>
      <c r="C186">
        <v>5</v>
      </c>
    </row>
    <row r="187" spans="1:3" x14ac:dyDescent="0.35">
      <c r="A187" t="s">
        <v>199</v>
      </c>
      <c r="B187" t="s">
        <v>1</v>
      </c>
      <c r="C187">
        <v>5</v>
      </c>
    </row>
    <row r="188" spans="1:3" x14ac:dyDescent="0.35">
      <c r="A188" t="s">
        <v>200</v>
      </c>
      <c r="B188" t="s">
        <v>1</v>
      </c>
      <c r="C188">
        <v>5</v>
      </c>
    </row>
    <row r="189" spans="1:3" x14ac:dyDescent="0.35">
      <c r="A189" t="s">
        <v>201</v>
      </c>
      <c r="B189" t="s">
        <v>3</v>
      </c>
      <c r="C189">
        <v>5</v>
      </c>
    </row>
    <row r="190" spans="1:3" x14ac:dyDescent="0.35">
      <c r="A190" t="s">
        <v>413</v>
      </c>
      <c r="B190" t="s">
        <v>327</v>
      </c>
      <c r="C190">
        <v>15</v>
      </c>
    </row>
    <row r="191" spans="1:3" x14ac:dyDescent="0.35">
      <c r="A191" t="s">
        <v>202</v>
      </c>
      <c r="B191" t="s">
        <v>3</v>
      </c>
      <c r="C191">
        <v>5</v>
      </c>
    </row>
    <row r="192" spans="1:3" x14ac:dyDescent="0.35">
      <c r="A192" t="s">
        <v>203</v>
      </c>
      <c r="B192" t="s">
        <v>3</v>
      </c>
      <c r="C192">
        <v>5</v>
      </c>
    </row>
    <row r="193" spans="1:3" x14ac:dyDescent="0.35">
      <c r="A193" t="s">
        <v>204</v>
      </c>
      <c r="B193" t="s">
        <v>5</v>
      </c>
      <c r="C193">
        <v>5</v>
      </c>
    </row>
    <row r="194" spans="1:3" x14ac:dyDescent="0.35">
      <c r="A194" t="s">
        <v>205</v>
      </c>
      <c r="B194" t="s">
        <v>3</v>
      </c>
      <c r="C194">
        <v>5</v>
      </c>
    </row>
    <row r="195" spans="1:3" x14ac:dyDescent="0.35">
      <c r="A195" t="s">
        <v>206</v>
      </c>
      <c r="B195" t="s">
        <v>25</v>
      </c>
      <c r="C195">
        <v>5</v>
      </c>
    </row>
    <row r="196" spans="1:3" x14ac:dyDescent="0.35">
      <c r="A196" t="s">
        <v>207</v>
      </c>
      <c r="B196" t="s">
        <v>1</v>
      </c>
      <c r="C196">
        <v>5</v>
      </c>
    </row>
    <row r="197" spans="1:3" x14ac:dyDescent="0.35">
      <c r="A197" t="s">
        <v>208</v>
      </c>
      <c r="B197" t="s">
        <v>5</v>
      </c>
      <c r="C197">
        <v>5</v>
      </c>
    </row>
    <row r="198" spans="1:3" x14ac:dyDescent="0.35">
      <c r="A198" t="s">
        <v>209</v>
      </c>
      <c r="B198" t="s">
        <v>34</v>
      </c>
      <c r="C198">
        <v>1</v>
      </c>
    </row>
    <row r="199" spans="1:3" x14ac:dyDescent="0.35">
      <c r="A199" t="s">
        <v>210</v>
      </c>
      <c r="B199" t="s">
        <v>66</v>
      </c>
      <c r="C199">
        <v>5</v>
      </c>
    </row>
    <row r="200" spans="1:3" x14ac:dyDescent="0.35">
      <c r="A200" t="s">
        <v>211</v>
      </c>
      <c r="B200" t="s">
        <v>3</v>
      </c>
      <c r="C200">
        <v>5</v>
      </c>
    </row>
    <row r="201" spans="1:3" x14ac:dyDescent="0.35">
      <c r="A201" t="s">
        <v>212</v>
      </c>
      <c r="B201" t="s">
        <v>51</v>
      </c>
      <c r="C201">
        <v>3</v>
      </c>
    </row>
    <row r="202" spans="1:3" x14ac:dyDescent="0.35">
      <c r="A202" t="s">
        <v>213</v>
      </c>
      <c r="B202" t="s">
        <v>3</v>
      </c>
      <c r="C202">
        <v>5</v>
      </c>
    </row>
    <row r="203" spans="1:3" x14ac:dyDescent="0.35">
      <c r="A203" t="s">
        <v>214</v>
      </c>
      <c r="B203" t="s">
        <v>3</v>
      </c>
      <c r="C203">
        <v>5</v>
      </c>
    </row>
    <row r="204" spans="1:3" x14ac:dyDescent="0.35">
      <c r="A204" t="s">
        <v>215</v>
      </c>
      <c r="B204" t="s">
        <v>66</v>
      </c>
      <c r="C204">
        <v>5</v>
      </c>
    </row>
    <row r="205" spans="1:3" x14ac:dyDescent="0.35">
      <c r="A205" t="s">
        <v>216</v>
      </c>
      <c r="B205" t="s">
        <v>29</v>
      </c>
      <c r="C205">
        <v>6</v>
      </c>
    </row>
    <row r="206" spans="1:3" x14ac:dyDescent="0.35">
      <c r="A206" t="s">
        <v>217</v>
      </c>
      <c r="B206" t="s">
        <v>66</v>
      </c>
      <c r="C206">
        <v>5</v>
      </c>
    </row>
    <row r="207" spans="1:3" x14ac:dyDescent="0.35">
      <c r="A207" t="s">
        <v>218</v>
      </c>
      <c r="B207" t="s">
        <v>1</v>
      </c>
      <c r="C207">
        <v>5</v>
      </c>
    </row>
    <row r="208" spans="1:3" x14ac:dyDescent="0.35">
      <c r="A208" t="s">
        <v>219</v>
      </c>
      <c r="B208" t="s">
        <v>61</v>
      </c>
      <c r="C208">
        <v>2</v>
      </c>
    </row>
    <row r="209" spans="1:3" x14ac:dyDescent="0.35">
      <c r="A209" t="s">
        <v>220</v>
      </c>
      <c r="B209" t="s">
        <v>3</v>
      </c>
      <c r="C209">
        <v>5</v>
      </c>
    </row>
    <row r="210" spans="1:3" x14ac:dyDescent="0.35">
      <c r="A210" t="s">
        <v>221</v>
      </c>
      <c r="B210" t="s">
        <v>3</v>
      </c>
      <c r="C210">
        <v>5</v>
      </c>
    </row>
    <row r="211" spans="1:3" x14ac:dyDescent="0.35">
      <c r="A211" t="s">
        <v>222</v>
      </c>
      <c r="B211" t="s">
        <v>8</v>
      </c>
      <c r="C211">
        <v>5</v>
      </c>
    </row>
    <row r="212" spans="1:3" x14ac:dyDescent="0.35">
      <c r="A212" t="s">
        <v>223</v>
      </c>
      <c r="B212" t="s">
        <v>3</v>
      </c>
      <c r="C212">
        <v>5</v>
      </c>
    </row>
    <row r="213" spans="1:3" x14ac:dyDescent="0.35">
      <c r="A213" t="s">
        <v>224</v>
      </c>
      <c r="B213" t="s">
        <v>3</v>
      </c>
      <c r="C213">
        <v>5</v>
      </c>
    </row>
    <row r="214" spans="1:3" x14ac:dyDescent="0.35">
      <c r="A214" t="s">
        <v>225</v>
      </c>
      <c r="B214" t="s">
        <v>1</v>
      </c>
      <c r="C214">
        <v>5</v>
      </c>
    </row>
    <row r="215" spans="1:3" x14ac:dyDescent="0.35">
      <c r="A215" t="s">
        <v>226</v>
      </c>
      <c r="B215" t="s">
        <v>3</v>
      </c>
      <c r="C215">
        <v>5</v>
      </c>
    </row>
    <row r="216" spans="1:3" x14ac:dyDescent="0.35">
      <c r="A216" t="s">
        <v>227</v>
      </c>
      <c r="B216" t="s">
        <v>3</v>
      </c>
      <c r="C216">
        <v>5</v>
      </c>
    </row>
    <row r="217" spans="1:3" x14ac:dyDescent="0.35">
      <c r="A217" t="s">
        <v>228</v>
      </c>
      <c r="B217" t="s">
        <v>8</v>
      </c>
      <c r="C217">
        <v>5</v>
      </c>
    </row>
    <row r="218" spans="1:3" x14ac:dyDescent="0.35">
      <c r="A218" t="s">
        <v>229</v>
      </c>
      <c r="B218" t="s">
        <v>3</v>
      </c>
      <c r="C218">
        <v>5</v>
      </c>
    </row>
    <row r="219" spans="1:3" x14ac:dyDescent="0.35">
      <c r="A219" t="s">
        <v>230</v>
      </c>
      <c r="B219" t="s">
        <v>1</v>
      </c>
      <c r="C219">
        <v>5</v>
      </c>
    </row>
    <row r="220" spans="1:3" x14ac:dyDescent="0.35">
      <c r="A220" t="s">
        <v>231</v>
      </c>
      <c r="B220" t="s">
        <v>3</v>
      </c>
      <c r="C220">
        <v>5</v>
      </c>
    </row>
    <row r="221" spans="1:3" x14ac:dyDescent="0.35">
      <c r="A221" t="s">
        <v>232</v>
      </c>
      <c r="B221" t="s">
        <v>46</v>
      </c>
      <c r="C221">
        <v>1</v>
      </c>
    </row>
    <row r="222" spans="1:3" x14ac:dyDescent="0.35">
      <c r="A222" t="s">
        <v>233</v>
      </c>
      <c r="B222" t="s">
        <v>1</v>
      </c>
      <c r="C222">
        <v>5</v>
      </c>
    </row>
    <row r="223" spans="1:3" x14ac:dyDescent="0.35">
      <c r="A223" t="s">
        <v>234</v>
      </c>
      <c r="B223" t="s">
        <v>1</v>
      </c>
      <c r="C223">
        <v>5</v>
      </c>
    </row>
    <row r="224" spans="1:3" x14ac:dyDescent="0.35">
      <c r="A224" t="s">
        <v>235</v>
      </c>
      <c r="B224" t="s">
        <v>3</v>
      </c>
      <c r="C224">
        <v>5</v>
      </c>
    </row>
    <row r="225" spans="1:3" x14ac:dyDescent="0.35">
      <c r="A225" t="s">
        <v>236</v>
      </c>
      <c r="B225" t="s">
        <v>3</v>
      </c>
      <c r="C225">
        <v>5</v>
      </c>
    </row>
    <row r="226" spans="1:3" x14ac:dyDescent="0.35">
      <c r="A226" t="s">
        <v>237</v>
      </c>
      <c r="B226" t="s">
        <v>3</v>
      </c>
      <c r="C226">
        <v>5</v>
      </c>
    </row>
    <row r="227" spans="1:3" x14ac:dyDescent="0.35">
      <c r="A227" t="s">
        <v>238</v>
      </c>
      <c r="B227" t="s">
        <v>1</v>
      </c>
      <c r="C227">
        <v>5</v>
      </c>
    </row>
    <row r="228" spans="1:3" x14ac:dyDescent="0.35">
      <c r="A228" t="s">
        <v>239</v>
      </c>
      <c r="B228" t="s">
        <v>8</v>
      </c>
      <c r="C228">
        <v>5</v>
      </c>
    </row>
    <row r="229" spans="1:3" x14ac:dyDescent="0.35">
      <c r="A229" t="s">
        <v>240</v>
      </c>
      <c r="B229" t="s">
        <v>3</v>
      </c>
      <c r="C229">
        <v>5</v>
      </c>
    </row>
    <row r="230" spans="1:3" x14ac:dyDescent="0.35">
      <c r="A230" t="s">
        <v>241</v>
      </c>
      <c r="B230" t="s">
        <v>1</v>
      </c>
      <c r="C230">
        <v>5</v>
      </c>
    </row>
    <row r="231" spans="1:3" x14ac:dyDescent="0.35">
      <c r="A231" t="s">
        <v>242</v>
      </c>
      <c r="B231" t="s">
        <v>10</v>
      </c>
      <c r="C231">
        <v>5</v>
      </c>
    </row>
    <row r="232" spans="1:3" x14ac:dyDescent="0.35">
      <c r="A232" t="s">
        <v>243</v>
      </c>
      <c r="B232" t="s">
        <v>25</v>
      </c>
      <c r="C232">
        <v>5</v>
      </c>
    </row>
    <row r="233" spans="1:3" x14ac:dyDescent="0.35">
      <c r="A233" t="s">
        <v>244</v>
      </c>
      <c r="B233" t="s">
        <v>66</v>
      </c>
      <c r="C233">
        <v>5</v>
      </c>
    </row>
    <row r="234" spans="1:3" x14ac:dyDescent="0.35">
      <c r="A234" t="s">
        <v>245</v>
      </c>
      <c r="B234" t="s">
        <v>8</v>
      </c>
      <c r="C234">
        <v>5</v>
      </c>
    </row>
    <row r="235" spans="1:3" x14ac:dyDescent="0.35">
      <c r="A235" t="s">
        <v>246</v>
      </c>
      <c r="B235" t="s">
        <v>3</v>
      </c>
      <c r="C235">
        <v>5</v>
      </c>
    </row>
    <row r="236" spans="1:3" x14ac:dyDescent="0.35">
      <c r="A236" t="s">
        <v>247</v>
      </c>
      <c r="B236" t="s">
        <v>10</v>
      </c>
      <c r="C236">
        <v>5</v>
      </c>
    </row>
    <row r="237" spans="1:3" x14ac:dyDescent="0.35">
      <c r="A237" t="s">
        <v>248</v>
      </c>
      <c r="B237" t="s">
        <v>61</v>
      </c>
      <c r="C237">
        <v>2</v>
      </c>
    </row>
    <row r="238" spans="1:3" x14ac:dyDescent="0.35">
      <c r="A238" t="s">
        <v>249</v>
      </c>
      <c r="B238" t="s">
        <v>3</v>
      </c>
      <c r="C238">
        <v>5</v>
      </c>
    </row>
    <row r="239" spans="1:3" x14ac:dyDescent="0.35">
      <c r="A239" t="s">
        <v>250</v>
      </c>
      <c r="B239" t="s">
        <v>5</v>
      </c>
      <c r="C239">
        <v>5</v>
      </c>
    </row>
    <row r="240" spans="1:3" x14ac:dyDescent="0.35">
      <c r="A240" t="s">
        <v>251</v>
      </c>
      <c r="B240" t="s">
        <v>1</v>
      </c>
      <c r="C240">
        <v>5</v>
      </c>
    </row>
    <row r="241" spans="1:3" x14ac:dyDescent="0.35">
      <c r="A241" t="s">
        <v>252</v>
      </c>
      <c r="B241" t="s">
        <v>25</v>
      </c>
      <c r="C241">
        <v>5</v>
      </c>
    </row>
    <row r="242" spans="1:3" x14ac:dyDescent="0.35">
      <c r="A242" t="s">
        <v>253</v>
      </c>
      <c r="B242" t="s">
        <v>10</v>
      </c>
      <c r="C242">
        <v>5</v>
      </c>
    </row>
    <row r="243" spans="1:3" x14ac:dyDescent="0.35">
      <c r="A243" t="s">
        <v>254</v>
      </c>
      <c r="B243" t="s">
        <v>51</v>
      </c>
      <c r="C243">
        <v>3</v>
      </c>
    </row>
    <row r="244" spans="1:3" x14ac:dyDescent="0.35">
      <c r="A244" t="s">
        <v>255</v>
      </c>
      <c r="B244" t="s">
        <v>1</v>
      </c>
      <c r="C244">
        <v>5</v>
      </c>
    </row>
    <row r="245" spans="1:3" x14ac:dyDescent="0.35">
      <c r="A245" t="s">
        <v>256</v>
      </c>
      <c r="B245" t="s">
        <v>10</v>
      </c>
      <c r="C245">
        <v>5</v>
      </c>
    </row>
    <row r="246" spans="1:3" x14ac:dyDescent="0.35">
      <c r="A246" t="s">
        <v>257</v>
      </c>
      <c r="B246" t="s">
        <v>8</v>
      </c>
      <c r="C246">
        <v>5</v>
      </c>
    </row>
    <row r="247" spans="1:3" x14ac:dyDescent="0.35">
      <c r="A247" t="s">
        <v>258</v>
      </c>
      <c r="B247" t="s">
        <v>29</v>
      </c>
      <c r="C247">
        <v>6</v>
      </c>
    </row>
    <row r="248" spans="1:3" x14ac:dyDescent="0.35">
      <c r="A248" t="s">
        <v>259</v>
      </c>
      <c r="B248" t="s">
        <v>61</v>
      </c>
      <c r="C248">
        <v>2</v>
      </c>
    </row>
    <row r="249" spans="1:3" x14ac:dyDescent="0.35">
      <c r="A249" t="s">
        <v>260</v>
      </c>
      <c r="B249" t="s">
        <v>1</v>
      </c>
      <c r="C249">
        <v>5</v>
      </c>
    </row>
    <row r="250" spans="1:3" x14ac:dyDescent="0.35">
      <c r="A250" t="s">
        <v>261</v>
      </c>
      <c r="B250" t="s">
        <v>61</v>
      </c>
      <c r="C250">
        <v>2</v>
      </c>
    </row>
    <row r="251" spans="1:3" x14ac:dyDescent="0.35">
      <c r="A251" t="s">
        <v>262</v>
      </c>
      <c r="B251" t="s">
        <v>8</v>
      </c>
      <c r="C251">
        <v>5</v>
      </c>
    </row>
    <row r="252" spans="1:3" x14ac:dyDescent="0.35">
      <c r="A252" t="s">
        <v>263</v>
      </c>
      <c r="B252" t="s">
        <v>46</v>
      </c>
      <c r="C252">
        <v>1</v>
      </c>
    </row>
    <row r="253" spans="1:3" x14ac:dyDescent="0.35">
      <c r="A253" t="s">
        <v>264</v>
      </c>
      <c r="B253" t="s">
        <v>1</v>
      </c>
      <c r="C253">
        <v>5</v>
      </c>
    </row>
    <row r="254" spans="1:3" x14ac:dyDescent="0.35">
      <c r="A254" t="s">
        <v>265</v>
      </c>
      <c r="B254" t="s">
        <v>3</v>
      </c>
      <c r="C254">
        <v>5</v>
      </c>
    </row>
    <row r="255" spans="1:3" x14ac:dyDescent="0.35">
      <c r="A255" t="s">
        <v>266</v>
      </c>
      <c r="B255" t="s">
        <v>3</v>
      </c>
      <c r="C255">
        <v>5</v>
      </c>
    </row>
    <row r="256" spans="1:3" x14ac:dyDescent="0.35">
      <c r="A256" t="s">
        <v>267</v>
      </c>
      <c r="B256" t="s">
        <v>1</v>
      </c>
      <c r="C256">
        <v>5</v>
      </c>
    </row>
    <row r="257" spans="1:3" x14ac:dyDescent="0.35">
      <c r="A257" t="s">
        <v>268</v>
      </c>
      <c r="B257" t="s">
        <v>34</v>
      </c>
      <c r="C257">
        <v>1</v>
      </c>
    </row>
    <row r="258" spans="1:3" x14ac:dyDescent="0.35">
      <c r="A258" t="s">
        <v>269</v>
      </c>
      <c r="B258" t="s">
        <v>3</v>
      </c>
      <c r="C258">
        <v>5</v>
      </c>
    </row>
    <row r="259" spans="1:3" x14ac:dyDescent="0.35">
      <c r="A259" t="s">
        <v>270</v>
      </c>
      <c r="B259" t="s">
        <v>3</v>
      </c>
      <c r="C259">
        <v>5</v>
      </c>
    </row>
    <row r="260" spans="1:3" x14ac:dyDescent="0.35">
      <c r="A260" t="s">
        <v>271</v>
      </c>
      <c r="B260" t="s">
        <v>3</v>
      </c>
      <c r="C260">
        <v>5</v>
      </c>
    </row>
    <row r="261" spans="1:3" x14ac:dyDescent="0.35">
      <c r="A261" t="s">
        <v>272</v>
      </c>
      <c r="B261" t="s">
        <v>3</v>
      </c>
      <c r="C261">
        <v>5</v>
      </c>
    </row>
    <row r="262" spans="1:3" x14ac:dyDescent="0.35">
      <c r="A262" t="s">
        <v>273</v>
      </c>
      <c r="B262" t="s">
        <v>3</v>
      </c>
      <c r="C262">
        <v>5</v>
      </c>
    </row>
    <row r="263" spans="1:3" x14ac:dyDescent="0.35">
      <c r="A263" t="s">
        <v>274</v>
      </c>
      <c r="B263" t="s">
        <v>10</v>
      </c>
      <c r="C263">
        <v>5</v>
      </c>
    </row>
    <row r="264" spans="1:3" x14ac:dyDescent="0.35">
      <c r="A264" t="s">
        <v>275</v>
      </c>
      <c r="B264" t="s">
        <v>1</v>
      </c>
      <c r="C264">
        <v>5</v>
      </c>
    </row>
    <row r="265" spans="1:3" x14ac:dyDescent="0.35">
      <c r="A265" t="s">
        <v>276</v>
      </c>
      <c r="B265" t="s">
        <v>51</v>
      </c>
      <c r="C265">
        <v>3</v>
      </c>
    </row>
    <row r="266" spans="1:3" x14ac:dyDescent="0.35">
      <c r="A266" t="s">
        <v>277</v>
      </c>
      <c r="B266" t="s">
        <v>10</v>
      </c>
      <c r="C266">
        <v>5</v>
      </c>
    </row>
    <row r="267" spans="1:3" x14ac:dyDescent="0.35">
      <c r="A267" t="s">
        <v>278</v>
      </c>
      <c r="B267" t="s">
        <v>3</v>
      </c>
      <c r="C267">
        <v>5</v>
      </c>
    </row>
    <row r="268" spans="1:3" x14ac:dyDescent="0.35">
      <c r="A268" t="s">
        <v>279</v>
      </c>
      <c r="B268" t="s">
        <v>1</v>
      </c>
      <c r="C268">
        <v>5</v>
      </c>
    </row>
    <row r="269" spans="1:3" x14ac:dyDescent="0.35">
      <c r="A269" t="s">
        <v>280</v>
      </c>
      <c r="B269" t="s">
        <v>1</v>
      </c>
      <c r="C269">
        <v>5</v>
      </c>
    </row>
    <row r="270" spans="1:3" x14ac:dyDescent="0.35">
      <c r="A270" t="s">
        <v>281</v>
      </c>
      <c r="B270" t="s">
        <v>1</v>
      </c>
      <c r="C270">
        <v>5</v>
      </c>
    </row>
    <row r="271" spans="1:3" x14ac:dyDescent="0.35">
      <c r="A271" t="s">
        <v>282</v>
      </c>
      <c r="B271" t="s">
        <v>10</v>
      </c>
      <c r="C271">
        <v>5</v>
      </c>
    </row>
    <row r="272" spans="1:3" x14ac:dyDescent="0.35">
      <c r="A272" t="s">
        <v>283</v>
      </c>
      <c r="B272" t="s">
        <v>1</v>
      </c>
      <c r="C272">
        <v>5</v>
      </c>
    </row>
    <row r="273" spans="1:3" x14ac:dyDescent="0.35">
      <c r="A273" t="s">
        <v>284</v>
      </c>
      <c r="B273" t="s">
        <v>1</v>
      </c>
      <c r="C273">
        <v>5</v>
      </c>
    </row>
    <row r="274" spans="1:3" x14ac:dyDescent="0.35">
      <c r="A274" t="s">
        <v>285</v>
      </c>
      <c r="B274" t="s">
        <v>29</v>
      </c>
      <c r="C274">
        <v>6</v>
      </c>
    </row>
    <row r="275" spans="1:3" x14ac:dyDescent="0.35">
      <c r="A275" t="s">
        <v>286</v>
      </c>
      <c r="B275" t="s">
        <v>1</v>
      </c>
      <c r="C275">
        <v>5</v>
      </c>
    </row>
    <row r="276" spans="1:3" x14ac:dyDescent="0.35">
      <c r="A276" t="s">
        <v>287</v>
      </c>
      <c r="B276" t="s">
        <v>29</v>
      </c>
      <c r="C276">
        <v>6</v>
      </c>
    </row>
    <row r="277" spans="1:3" x14ac:dyDescent="0.35">
      <c r="A277" t="s">
        <v>288</v>
      </c>
      <c r="B277" t="s">
        <v>1</v>
      </c>
      <c r="C277">
        <v>5</v>
      </c>
    </row>
    <row r="278" spans="1:3" x14ac:dyDescent="0.35">
      <c r="A278" t="s">
        <v>289</v>
      </c>
      <c r="B278" t="s">
        <v>25</v>
      </c>
      <c r="C278">
        <v>5</v>
      </c>
    </row>
    <row r="279" spans="1:3" x14ac:dyDescent="0.35">
      <c r="A279" t="s">
        <v>290</v>
      </c>
      <c r="B279" t="s">
        <v>5</v>
      </c>
      <c r="C279">
        <v>5</v>
      </c>
    </row>
    <row r="280" spans="1:3" x14ac:dyDescent="0.35">
      <c r="A280" t="s">
        <v>291</v>
      </c>
      <c r="B280" t="s">
        <v>25</v>
      </c>
      <c r="C280">
        <v>4</v>
      </c>
    </row>
    <row r="281" spans="1:3" x14ac:dyDescent="0.35">
      <c r="A281" t="s">
        <v>292</v>
      </c>
      <c r="B281" t="s">
        <v>8</v>
      </c>
      <c r="C281">
        <v>5</v>
      </c>
    </row>
    <row r="282" spans="1:3" x14ac:dyDescent="0.35">
      <c r="A282" t="s">
        <v>293</v>
      </c>
      <c r="B282" t="s">
        <v>5</v>
      </c>
      <c r="C282">
        <v>5</v>
      </c>
    </row>
    <row r="283" spans="1:3" x14ac:dyDescent="0.35">
      <c r="A283" t="s">
        <v>294</v>
      </c>
      <c r="B283" t="s">
        <v>8</v>
      </c>
      <c r="C283">
        <v>5</v>
      </c>
    </row>
    <row r="284" spans="1:3" x14ac:dyDescent="0.35">
      <c r="A284" t="s">
        <v>295</v>
      </c>
      <c r="B284" t="s">
        <v>1</v>
      </c>
      <c r="C284">
        <v>5</v>
      </c>
    </row>
    <row r="285" spans="1:3" x14ac:dyDescent="0.35">
      <c r="A285" t="s">
        <v>296</v>
      </c>
      <c r="B285" t="s">
        <v>8</v>
      </c>
      <c r="C285">
        <v>5</v>
      </c>
    </row>
    <row r="286" spans="1:3" x14ac:dyDescent="0.35">
      <c r="A286" t="s">
        <v>297</v>
      </c>
      <c r="B286" t="s">
        <v>98</v>
      </c>
      <c r="C286">
        <v>1</v>
      </c>
    </row>
    <row r="287" spans="1:3" x14ac:dyDescent="0.35">
      <c r="A287" t="s">
        <v>298</v>
      </c>
      <c r="B287" t="s">
        <v>5</v>
      </c>
      <c r="C287">
        <v>5</v>
      </c>
    </row>
    <row r="288" spans="1:3" x14ac:dyDescent="0.35">
      <c r="A288" t="s">
        <v>299</v>
      </c>
      <c r="B288" t="s">
        <v>98</v>
      </c>
      <c r="C288">
        <v>1</v>
      </c>
    </row>
    <row r="289" spans="1:3" x14ac:dyDescent="0.35">
      <c r="A289" t="s">
        <v>300</v>
      </c>
      <c r="B289" t="s">
        <v>3</v>
      </c>
      <c r="C289">
        <v>5</v>
      </c>
    </row>
    <row r="290" spans="1:3" x14ac:dyDescent="0.35">
      <c r="A290" t="s">
        <v>301</v>
      </c>
      <c r="B290" t="s">
        <v>8</v>
      </c>
      <c r="C290">
        <v>5</v>
      </c>
    </row>
    <row r="291" spans="1:3" x14ac:dyDescent="0.35">
      <c r="A291" t="s">
        <v>302</v>
      </c>
      <c r="B291" t="s">
        <v>1</v>
      </c>
      <c r="C291">
        <v>5</v>
      </c>
    </row>
    <row r="292" spans="1:3" x14ac:dyDescent="0.35">
      <c r="A292" t="s">
        <v>303</v>
      </c>
      <c r="B292" t="s">
        <v>29</v>
      </c>
      <c r="C292">
        <v>6</v>
      </c>
    </row>
    <row r="293" spans="1:3" x14ac:dyDescent="0.35">
      <c r="A293" t="s">
        <v>304</v>
      </c>
      <c r="B293" t="s">
        <v>3</v>
      </c>
      <c r="C293">
        <v>5</v>
      </c>
    </row>
    <row r="294" spans="1:3" x14ac:dyDescent="0.35">
      <c r="A294" t="s">
        <v>305</v>
      </c>
      <c r="B294" t="s">
        <v>3</v>
      </c>
      <c r="C294">
        <v>5</v>
      </c>
    </row>
    <row r="295" spans="1:3" x14ac:dyDescent="0.35">
      <c r="A295" t="s">
        <v>306</v>
      </c>
      <c r="B295" t="s">
        <v>1</v>
      </c>
      <c r="C295">
        <v>5</v>
      </c>
    </row>
    <row r="296" spans="1:3" x14ac:dyDescent="0.35">
      <c r="A296" t="s">
        <v>307</v>
      </c>
      <c r="B296" t="s">
        <v>34</v>
      </c>
      <c r="C296">
        <v>1</v>
      </c>
    </row>
    <row r="297" spans="1:3" x14ac:dyDescent="0.35">
      <c r="A297" t="s">
        <v>308</v>
      </c>
      <c r="B297" t="s">
        <v>1</v>
      </c>
      <c r="C297">
        <v>5</v>
      </c>
    </row>
    <row r="298" spans="1:3" x14ac:dyDescent="0.35">
      <c r="A298" t="s">
        <v>309</v>
      </c>
      <c r="B298" t="s">
        <v>66</v>
      </c>
      <c r="C298">
        <v>11</v>
      </c>
    </row>
    <row r="299" spans="1:3" x14ac:dyDescent="0.35">
      <c r="A299" t="s">
        <v>310</v>
      </c>
      <c r="B299" t="s">
        <v>10</v>
      </c>
      <c r="C299">
        <v>5</v>
      </c>
    </row>
    <row r="300" spans="1:3" x14ac:dyDescent="0.35">
      <c r="A300" t="s">
        <v>311</v>
      </c>
      <c r="B300" t="s">
        <v>1</v>
      </c>
      <c r="C300">
        <v>5</v>
      </c>
    </row>
    <row r="301" spans="1:3" x14ac:dyDescent="0.35">
      <c r="A301" t="s">
        <v>312</v>
      </c>
      <c r="B301" t="s">
        <v>3</v>
      </c>
      <c r="C301">
        <v>5</v>
      </c>
    </row>
    <row r="302" spans="1:3" x14ac:dyDescent="0.35">
      <c r="A302" t="s">
        <v>313</v>
      </c>
      <c r="B302" t="s">
        <v>29</v>
      </c>
      <c r="C302">
        <v>6</v>
      </c>
    </row>
    <row r="303" spans="1:3" x14ac:dyDescent="0.35">
      <c r="A303" t="s">
        <v>314</v>
      </c>
      <c r="B303" t="s">
        <v>3</v>
      </c>
      <c r="C303">
        <v>5</v>
      </c>
    </row>
    <row r="304" spans="1:3" x14ac:dyDescent="0.35">
      <c r="A304" t="s">
        <v>315</v>
      </c>
      <c r="B304" t="s">
        <v>5</v>
      </c>
      <c r="C304">
        <v>5</v>
      </c>
    </row>
    <row r="305" spans="1:3" x14ac:dyDescent="0.35">
      <c r="A305" t="s">
        <v>316</v>
      </c>
      <c r="B305" t="s">
        <v>8</v>
      </c>
      <c r="C305">
        <v>5</v>
      </c>
    </row>
    <row r="306" spans="1:3" x14ac:dyDescent="0.35">
      <c r="A306" t="s">
        <v>317</v>
      </c>
      <c r="B306" t="s">
        <v>3</v>
      </c>
      <c r="C306">
        <v>5</v>
      </c>
    </row>
    <row r="307" spans="1:3" x14ac:dyDescent="0.35">
      <c r="A307" t="s">
        <v>318</v>
      </c>
      <c r="B307" t="s">
        <v>29</v>
      </c>
      <c r="C307">
        <v>1</v>
      </c>
    </row>
    <row r="308" spans="1:3" x14ac:dyDescent="0.35">
      <c r="A308" t="s">
        <v>319</v>
      </c>
      <c r="B308" t="s">
        <v>10</v>
      </c>
      <c r="C308">
        <v>5</v>
      </c>
    </row>
    <row r="309" spans="1:3" x14ac:dyDescent="0.35">
      <c r="A309" t="s">
        <v>320</v>
      </c>
      <c r="B309" t="s">
        <v>1</v>
      </c>
      <c r="C309">
        <v>5</v>
      </c>
    </row>
    <row r="310" spans="1:3" x14ac:dyDescent="0.35">
      <c r="A310" t="s">
        <v>321</v>
      </c>
      <c r="B310" t="s">
        <v>5</v>
      </c>
      <c r="C310">
        <v>5</v>
      </c>
    </row>
    <row r="311" spans="1:3" x14ac:dyDescent="0.35">
      <c r="A311" t="s">
        <v>322</v>
      </c>
      <c r="B311" t="s">
        <v>3</v>
      </c>
      <c r="C311">
        <v>5</v>
      </c>
    </row>
    <row r="312" spans="1:3" x14ac:dyDescent="0.35">
      <c r="A312" t="s">
        <v>323</v>
      </c>
      <c r="B312" t="s">
        <v>3</v>
      </c>
      <c r="C312">
        <v>5</v>
      </c>
    </row>
    <row r="313" spans="1:3" x14ac:dyDescent="0.35">
      <c r="A313" t="s">
        <v>324</v>
      </c>
      <c r="B313" t="s">
        <v>46</v>
      </c>
      <c r="C313">
        <v>1</v>
      </c>
    </row>
    <row r="314" spans="1:3" x14ac:dyDescent="0.35">
      <c r="A314" t="s">
        <v>325</v>
      </c>
      <c r="B314" t="s">
        <v>1</v>
      </c>
      <c r="C314">
        <v>5</v>
      </c>
    </row>
    <row r="315" spans="1:3" x14ac:dyDescent="0.35">
      <c r="A315" t="s">
        <v>326</v>
      </c>
      <c r="B315" t="s">
        <v>327</v>
      </c>
      <c r="C315">
        <v>12</v>
      </c>
    </row>
    <row r="316" spans="1:3" x14ac:dyDescent="0.35">
      <c r="A316" t="s">
        <v>328</v>
      </c>
      <c r="B316" t="s">
        <v>5</v>
      </c>
      <c r="C316">
        <v>5</v>
      </c>
    </row>
    <row r="317" spans="1:3" x14ac:dyDescent="0.35">
      <c r="A317" t="s">
        <v>329</v>
      </c>
      <c r="B317" t="s">
        <v>29</v>
      </c>
      <c r="C317">
        <v>6</v>
      </c>
    </row>
    <row r="318" spans="1:3" x14ac:dyDescent="0.35">
      <c r="A318" t="s">
        <v>330</v>
      </c>
      <c r="B318" t="s">
        <v>1</v>
      </c>
      <c r="C318">
        <v>5</v>
      </c>
    </row>
    <row r="319" spans="1:3" x14ac:dyDescent="0.35">
      <c r="A319" t="s">
        <v>331</v>
      </c>
      <c r="B319" t="s">
        <v>1</v>
      </c>
      <c r="C319">
        <v>5</v>
      </c>
    </row>
    <row r="320" spans="1:3" x14ac:dyDescent="0.35">
      <c r="A320" t="s">
        <v>332</v>
      </c>
      <c r="B320" t="s">
        <v>51</v>
      </c>
      <c r="C320">
        <v>3</v>
      </c>
    </row>
    <row r="321" spans="1:3" x14ac:dyDescent="0.35">
      <c r="A321" t="s">
        <v>333</v>
      </c>
      <c r="B321" t="s">
        <v>29</v>
      </c>
      <c r="C321">
        <v>6</v>
      </c>
    </row>
    <row r="322" spans="1:3" x14ac:dyDescent="0.35">
      <c r="A322" t="s">
        <v>334</v>
      </c>
      <c r="B322" t="s">
        <v>98</v>
      </c>
      <c r="C322">
        <v>1</v>
      </c>
    </row>
    <row r="323" spans="1:3" x14ac:dyDescent="0.35">
      <c r="A323" t="s">
        <v>335</v>
      </c>
      <c r="B323" t="s">
        <v>3</v>
      </c>
      <c r="C323">
        <v>5</v>
      </c>
    </row>
    <row r="324" spans="1:3" x14ac:dyDescent="0.35">
      <c r="A324" t="s">
        <v>336</v>
      </c>
      <c r="B324" t="s">
        <v>5</v>
      </c>
      <c r="C324">
        <v>5</v>
      </c>
    </row>
    <row r="325" spans="1:3" x14ac:dyDescent="0.35">
      <c r="A325" t="s">
        <v>337</v>
      </c>
      <c r="B325" t="s">
        <v>3</v>
      </c>
      <c r="C325">
        <v>5</v>
      </c>
    </row>
    <row r="326" spans="1:3" x14ac:dyDescent="0.35">
      <c r="A326" t="s">
        <v>338</v>
      </c>
      <c r="B326" t="s">
        <v>29</v>
      </c>
      <c r="C326">
        <v>6</v>
      </c>
    </row>
    <row r="327" spans="1:3" x14ac:dyDescent="0.35">
      <c r="A327" t="s">
        <v>339</v>
      </c>
      <c r="B327" t="s">
        <v>25</v>
      </c>
      <c r="C327">
        <v>5</v>
      </c>
    </row>
    <row r="328" spans="1:3" x14ac:dyDescent="0.35">
      <c r="A328" t="s">
        <v>340</v>
      </c>
      <c r="B328" t="s">
        <v>29</v>
      </c>
      <c r="C328">
        <v>6</v>
      </c>
    </row>
    <row r="329" spans="1:3" x14ac:dyDescent="0.35">
      <c r="A329" t="s">
        <v>341</v>
      </c>
      <c r="B329" t="s">
        <v>10</v>
      </c>
      <c r="C329">
        <v>5</v>
      </c>
    </row>
    <row r="330" spans="1:3" x14ac:dyDescent="0.35">
      <c r="A330" t="s">
        <v>342</v>
      </c>
      <c r="B330" t="s">
        <v>8</v>
      </c>
      <c r="C330">
        <v>5</v>
      </c>
    </row>
    <row r="331" spans="1:3" x14ac:dyDescent="0.35">
      <c r="A331" t="s">
        <v>343</v>
      </c>
      <c r="B331" t="s">
        <v>414</v>
      </c>
      <c r="C331">
        <v>1</v>
      </c>
    </row>
    <row r="332" spans="1:3" x14ac:dyDescent="0.35">
      <c r="A332" t="s">
        <v>344</v>
      </c>
      <c r="B332" t="s">
        <v>10</v>
      </c>
      <c r="C332">
        <v>5</v>
      </c>
    </row>
    <row r="333" spans="1:3" x14ac:dyDescent="0.35">
      <c r="A333" t="s">
        <v>345</v>
      </c>
      <c r="B333" t="s">
        <v>83</v>
      </c>
      <c r="C333">
        <v>3</v>
      </c>
    </row>
    <row r="334" spans="1:3" x14ac:dyDescent="0.35">
      <c r="A334" t="s">
        <v>346</v>
      </c>
      <c r="B334" t="s">
        <v>51</v>
      </c>
      <c r="C334">
        <v>3</v>
      </c>
    </row>
    <row r="335" spans="1:3" x14ac:dyDescent="0.35">
      <c r="A335" t="s">
        <v>347</v>
      </c>
      <c r="B335" t="s">
        <v>8</v>
      </c>
      <c r="C335">
        <v>5</v>
      </c>
    </row>
    <row r="336" spans="1:3" x14ac:dyDescent="0.35">
      <c r="A336" t="s">
        <v>348</v>
      </c>
      <c r="B336" t="s">
        <v>8</v>
      </c>
      <c r="C336">
        <v>5</v>
      </c>
    </row>
    <row r="337" spans="1:3" x14ac:dyDescent="0.35">
      <c r="A337" t="s">
        <v>349</v>
      </c>
      <c r="B337" t="s">
        <v>3</v>
      </c>
      <c r="C337">
        <v>5</v>
      </c>
    </row>
    <row r="338" spans="1:3" x14ac:dyDescent="0.35">
      <c r="A338" t="s">
        <v>350</v>
      </c>
      <c r="B338" t="s">
        <v>5</v>
      </c>
      <c r="C338">
        <v>5</v>
      </c>
    </row>
    <row r="339" spans="1:3" x14ac:dyDescent="0.35">
      <c r="A339" t="s">
        <v>351</v>
      </c>
      <c r="B339" t="s">
        <v>5</v>
      </c>
      <c r="C339">
        <v>5</v>
      </c>
    </row>
    <row r="340" spans="1:3" x14ac:dyDescent="0.35">
      <c r="A340" t="s">
        <v>352</v>
      </c>
      <c r="B340" t="s">
        <v>25</v>
      </c>
      <c r="C340">
        <v>5</v>
      </c>
    </row>
    <row r="341" spans="1:3" x14ac:dyDescent="0.35">
      <c r="A341" t="s">
        <v>353</v>
      </c>
      <c r="B341" t="s">
        <v>29</v>
      </c>
      <c r="C341">
        <v>6</v>
      </c>
    </row>
    <row r="342" spans="1:3" x14ac:dyDescent="0.35">
      <c r="A342" t="s">
        <v>354</v>
      </c>
      <c r="B342" t="s">
        <v>61</v>
      </c>
      <c r="C342">
        <v>2</v>
      </c>
    </row>
    <row r="343" spans="1:3" x14ac:dyDescent="0.35">
      <c r="A343" t="s">
        <v>355</v>
      </c>
      <c r="B343" t="s">
        <v>3</v>
      </c>
      <c r="C343">
        <v>5</v>
      </c>
    </row>
    <row r="344" spans="1:3" x14ac:dyDescent="0.35">
      <c r="A344" t="s">
        <v>356</v>
      </c>
      <c r="B344" t="s">
        <v>34</v>
      </c>
      <c r="C344">
        <v>1</v>
      </c>
    </row>
    <row r="345" spans="1:3" x14ac:dyDescent="0.35">
      <c r="A345" t="s">
        <v>357</v>
      </c>
      <c r="B345" t="s">
        <v>46</v>
      </c>
      <c r="C345">
        <v>1</v>
      </c>
    </row>
    <row r="346" spans="1:3" x14ac:dyDescent="0.35">
      <c r="A346" t="s">
        <v>358</v>
      </c>
      <c r="B346" t="s">
        <v>1</v>
      </c>
      <c r="C346">
        <v>5</v>
      </c>
    </row>
    <row r="347" spans="1:3" x14ac:dyDescent="0.35">
      <c r="A347" t="s">
        <v>359</v>
      </c>
      <c r="B347" t="s">
        <v>8</v>
      </c>
      <c r="C347">
        <v>5</v>
      </c>
    </row>
    <row r="348" spans="1:3" x14ac:dyDescent="0.35">
      <c r="A348" t="s">
        <v>360</v>
      </c>
      <c r="B348" t="s">
        <v>25</v>
      </c>
      <c r="C348">
        <v>5</v>
      </c>
    </row>
    <row r="349" spans="1:3" x14ac:dyDescent="0.35">
      <c r="A349" t="s">
        <v>416</v>
      </c>
      <c r="B349" t="s">
        <v>5</v>
      </c>
      <c r="C349">
        <v>13</v>
      </c>
    </row>
    <row r="350" spans="1:3" x14ac:dyDescent="0.35">
      <c r="A350" t="s">
        <v>361</v>
      </c>
      <c r="B350" t="s">
        <v>8</v>
      </c>
      <c r="C350">
        <v>5</v>
      </c>
    </row>
    <row r="351" spans="1:3" x14ac:dyDescent="0.35">
      <c r="A351" t="s">
        <v>362</v>
      </c>
      <c r="B351" t="s">
        <v>8</v>
      </c>
      <c r="C351">
        <v>5</v>
      </c>
    </row>
    <row r="352" spans="1:3" x14ac:dyDescent="0.35">
      <c r="A352" t="s">
        <v>363</v>
      </c>
      <c r="B352" t="s">
        <v>1</v>
      </c>
      <c r="C352">
        <v>5</v>
      </c>
    </row>
    <row r="353" spans="1:3" x14ac:dyDescent="0.35">
      <c r="A353" t="s">
        <v>364</v>
      </c>
      <c r="B353" t="s">
        <v>1</v>
      </c>
      <c r="C353">
        <v>5</v>
      </c>
    </row>
    <row r="354" spans="1:3" x14ac:dyDescent="0.35">
      <c r="A354" t="s">
        <v>365</v>
      </c>
      <c r="B354" t="s">
        <v>10</v>
      </c>
      <c r="C354">
        <v>5</v>
      </c>
    </row>
    <row r="355" spans="1:3" x14ac:dyDescent="0.35">
      <c r="A355" t="s">
        <v>366</v>
      </c>
      <c r="B355" t="s">
        <v>29</v>
      </c>
      <c r="C355">
        <v>6</v>
      </c>
    </row>
    <row r="356" spans="1:3" x14ac:dyDescent="0.35">
      <c r="A356" t="s">
        <v>415</v>
      </c>
      <c r="B356" t="s">
        <v>8</v>
      </c>
      <c r="C356">
        <v>14</v>
      </c>
    </row>
    <row r="357" spans="1:3" x14ac:dyDescent="0.35">
      <c r="A357" t="s">
        <v>367</v>
      </c>
      <c r="B357" t="s">
        <v>1</v>
      </c>
      <c r="C357">
        <v>5</v>
      </c>
    </row>
    <row r="358" spans="1:3" x14ac:dyDescent="0.35">
      <c r="A358" t="s">
        <v>368</v>
      </c>
      <c r="B358" t="s">
        <v>5</v>
      </c>
      <c r="C358">
        <v>5</v>
      </c>
    </row>
    <row r="359" spans="1:3" x14ac:dyDescent="0.35">
      <c r="A359" t="s">
        <v>369</v>
      </c>
      <c r="B359" t="s">
        <v>8</v>
      </c>
      <c r="C359">
        <v>5</v>
      </c>
    </row>
    <row r="360" spans="1:3" x14ac:dyDescent="0.35">
      <c r="A360" t="s">
        <v>370</v>
      </c>
      <c r="B360" t="s">
        <v>10</v>
      </c>
      <c r="C360">
        <v>5</v>
      </c>
    </row>
    <row r="361" spans="1:3" x14ac:dyDescent="0.35">
      <c r="A361" t="s">
        <v>371</v>
      </c>
      <c r="B361" t="s">
        <v>10</v>
      </c>
      <c r="C361">
        <v>5</v>
      </c>
    </row>
    <row r="362" spans="1:3" x14ac:dyDescent="0.35">
      <c r="A362" t="s">
        <v>372</v>
      </c>
      <c r="B362" t="s">
        <v>29</v>
      </c>
      <c r="C362">
        <v>6</v>
      </c>
    </row>
    <row r="363" spans="1:3" x14ac:dyDescent="0.35">
      <c r="A363" t="s">
        <v>373</v>
      </c>
      <c r="B363" t="s">
        <v>3</v>
      </c>
      <c r="C363">
        <v>5</v>
      </c>
    </row>
    <row r="364" spans="1:3" x14ac:dyDescent="0.35">
      <c r="A364" t="s">
        <v>374</v>
      </c>
      <c r="B364" t="s">
        <v>1</v>
      </c>
      <c r="C364">
        <v>5</v>
      </c>
    </row>
    <row r="365" spans="1:3" x14ac:dyDescent="0.35">
      <c r="A365" t="s">
        <v>375</v>
      </c>
      <c r="B365" t="s">
        <v>3</v>
      </c>
      <c r="C365">
        <v>5</v>
      </c>
    </row>
    <row r="366" spans="1:3" x14ac:dyDescent="0.35">
      <c r="A366" t="s">
        <v>376</v>
      </c>
      <c r="B366" t="s">
        <v>3</v>
      </c>
      <c r="C366">
        <v>5</v>
      </c>
    </row>
    <row r="367" spans="1:3" x14ac:dyDescent="0.35">
      <c r="A367" t="s">
        <v>377</v>
      </c>
      <c r="B367" t="s">
        <v>83</v>
      </c>
      <c r="C367">
        <v>3</v>
      </c>
    </row>
    <row r="368" spans="1:3" x14ac:dyDescent="0.35">
      <c r="A368" t="s">
        <v>378</v>
      </c>
      <c r="B368" t="s">
        <v>8</v>
      </c>
      <c r="C368">
        <v>5</v>
      </c>
    </row>
    <row r="369" spans="1:3" x14ac:dyDescent="0.35">
      <c r="A369" t="s">
        <v>379</v>
      </c>
      <c r="B369" t="s">
        <v>3</v>
      </c>
      <c r="C369">
        <v>5</v>
      </c>
    </row>
    <row r="370" spans="1:3" x14ac:dyDescent="0.35">
      <c r="A370" t="s">
        <v>380</v>
      </c>
      <c r="B370" t="s">
        <v>3</v>
      </c>
      <c r="C370">
        <v>5</v>
      </c>
    </row>
    <row r="371" spans="1:3" x14ac:dyDescent="0.35">
      <c r="A371" t="s">
        <v>381</v>
      </c>
      <c r="B371" t="s">
        <v>3</v>
      </c>
      <c r="C371">
        <v>5</v>
      </c>
    </row>
    <row r="372" spans="1:3" x14ac:dyDescent="0.35">
      <c r="A372" t="s">
        <v>382</v>
      </c>
      <c r="B372" t="s">
        <v>3</v>
      </c>
      <c r="C372">
        <v>5</v>
      </c>
    </row>
    <row r="373" spans="1:3" x14ac:dyDescent="0.35">
      <c r="A373" t="s">
        <v>383</v>
      </c>
      <c r="B373" t="s">
        <v>61</v>
      </c>
      <c r="C373">
        <v>2</v>
      </c>
    </row>
    <row r="374" spans="1:3" x14ac:dyDescent="0.35">
      <c r="A374" t="s">
        <v>384</v>
      </c>
      <c r="B374" t="s">
        <v>46</v>
      </c>
      <c r="C374">
        <v>1</v>
      </c>
    </row>
    <row r="375" spans="1:3" x14ac:dyDescent="0.35">
      <c r="A375" t="s">
        <v>385</v>
      </c>
      <c r="B375" t="s">
        <v>66</v>
      </c>
      <c r="C375">
        <v>5</v>
      </c>
    </row>
    <row r="376" spans="1:3" x14ac:dyDescent="0.35">
      <c r="A376" t="s">
        <v>386</v>
      </c>
      <c r="B376" t="s">
        <v>3</v>
      </c>
      <c r="C376">
        <v>5</v>
      </c>
    </row>
    <row r="377" spans="1:3" x14ac:dyDescent="0.35">
      <c r="A377" t="s">
        <v>387</v>
      </c>
      <c r="B377" t="s">
        <v>3</v>
      </c>
      <c r="C377">
        <v>5</v>
      </c>
    </row>
  </sheetData>
  <autoFilter ref="A1:C379" xr:uid="{D90631FD-AC9C-41F1-9756-B6220F8BBFDE}">
    <sortState xmlns:xlrd2="http://schemas.microsoft.com/office/spreadsheetml/2017/richdata2" ref="A2:C377">
      <sortCondition ref="A1:A379"/>
    </sortState>
  </autoFilter>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DFFA-96E0-4543-91F0-D33B8DE0FC84}">
  <sheetPr>
    <tabColor rgb="FF92D050"/>
  </sheetPr>
  <dimension ref="A1:AG29"/>
  <sheetViews>
    <sheetView workbookViewId="0">
      <selection activeCell="P21" sqref="P21"/>
    </sheetView>
  </sheetViews>
  <sheetFormatPr defaultRowHeight="14.5" x14ac:dyDescent="0.35"/>
  <sheetData>
    <row r="1" spans="1:33" x14ac:dyDescent="0.35">
      <c r="F1">
        <v>1</v>
      </c>
      <c r="G1">
        <v>1</v>
      </c>
      <c r="H1">
        <f t="shared" ref="H1:I1" si="0">F1+1</f>
        <v>2</v>
      </c>
      <c r="I1">
        <f t="shared" si="0"/>
        <v>2</v>
      </c>
      <c r="J1">
        <f>H1+1</f>
        <v>3</v>
      </c>
      <c r="K1">
        <f t="shared" ref="K1:AG1" si="1">I1+1</f>
        <v>3</v>
      </c>
      <c r="L1">
        <f t="shared" si="1"/>
        <v>4</v>
      </c>
      <c r="M1">
        <f t="shared" si="1"/>
        <v>4</v>
      </c>
      <c r="N1">
        <f t="shared" si="1"/>
        <v>5</v>
      </c>
      <c r="O1">
        <f t="shared" si="1"/>
        <v>5</v>
      </c>
      <c r="P1">
        <f t="shared" si="1"/>
        <v>6</v>
      </c>
      <c r="Q1">
        <f t="shared" si="1"/>
        <v>6</v>
      </c>
      <c r="R1">
        <f>P1+2</f>
        <v>8</v>
      </c>
      <c r="S1">
        <f>Q1+2</f>
        <v>8</v>
      </c>
      <c r="T1">
        <f t="shared" si="1"/>
        <v>9</v>
      </c>
      <c r="U1">
        <f t="shared" si="1"/>
        <v>9</v>
      </c>
      <c r="V1">
        <f t="shared" si="1"/>
        <v>10</v>
      </c>
      <c r="W1">
        <f t="shared" si="1"/>
        <v>10</v>
      </c>
      <c r="X1">
        <f t="shared" si="1"/>
        <v>11</v>
      </c>
      <c r="Y1">
        <f t="shared" si="1"/>
        <v>11</v>
      </c>
      <c r="Z1">
        <f t="shared" si="1"/>
        <v>12</v>
      </c>
      <c r="AA1">
        <f t="shared" si="1"/>
        <v>12</v>
      </c>
      <c r="AB1">
        <f t="shared" si="1"/>
        <v>13</v>
      </c>
      <c r="AC1">
        <f t="shared" si="1"/>
        <v>13</v>
      </c>
      <c r="AD1">
        <f t="shared" si="1"/>
        <v>14</v>
      </c>
      <c r="AE1">
        <f t="shared" si="1"/>
        <v>14</v>
      </c>
      <c r="AF1">
        <f t="shared" si="1"/>
        <v>15</v>
      </c>
      <c r="AG1">
        <f t="shared" si="1"/>
        <v>15</v>
      </c>
    </row>
    <row r="2" spans="1:33" x14ac:dyDescent="0.35">
      <c r="F2" t="s">
        <v>433</v>
      </c>
      <c r="G2" t="s">
        <v>434</v>
      </c>
      <c r="H2" t="s">
        <v>433</v>
      </c>
      <c r="I2" t="s">
        <v>434</v>
      </c>
      <c r="J2" t="s">
        <v>433</v>
      </c>
      <c r="K2" t="s">
        <v>434</v>
      </c>
      <c r="L2" t="s">
        <v>433</v>
      </c>
      <c r="M2" t="s">
        <v>434</v>
      </c>
      <c r="N2" t="s">
        <v>433</v>
      </c>
      <c r="O2" t="s">
        <v>434</v>
      </c>
      <c r="P2" t="s">
        <v>433</v>
      </c>
      <c r="Q2" t="s">
        <v>434</v>
      </c>
      <c r="R2" t="s">
        <v>433</v>
      </c>
      <c r="S2" t="s">
        <v>434</v>
      </c>
      <c r="T2" t="s">
        <v>433</v>
      </c>
      <c r="U2" t="s">
        <v>434</v>
      </c>
      <c r="V2" t="s">
        <v>433</v>
      </c>
      <c r="W2" t="s">
        <v>434</v>
      </c>
      <c r="X2" t="s">
        <v>433</v>
      </c>
      <c r="Y2" t="s">
        <v>434</v>
      </c>
      <c r="Z2" t="s">
        <v>433</v>
      </c>
      <c r="AA2" t="s">
        <v>434</v>
      </c>
      <c r="AB2" t="s">
        <v>433</v>
      </c>
      <c r="AC2" t="s">
        <v>434</v>
      </c>
      <c r="AD2" t="s">
        <v>433</v>
      </c>
      <c r="AE2" t="s">
        <v>434</v>
      </c>
      <c r="AF2" t="s">
        <v>433</v>
      </c>
      <c r="AG2" t="s">
        <v>434</v>
      </c>
    </row>
    <row r="3" spans="1:33" x14ac:dyDescent="0.35">
      <c r="B3" t="s">
        <v>432</v>
      </c>
      <c r="C3" t="s">
        <v>431</v>
      </c>
      <c r="D3" t="s">
        <v>429</v>
      </c>
      <c r="E3" t="s">
        <v>430</v>
      </c>
      <c r="F3" t="str">
        <f>F2&amp;F1</f>
        <v>Água1</v>
      </c>
      <c r="G3" t="str">
        <f>G2&amp;G1</f>
        <v>Esgoto1</v>
      </c>
      <c r="H3" t="str">
        <f t="shared" ref="H3:AG3" si="2">H2&amp;H1</f>
        <v>Água2</v>
      </c>
      <c r="I3" t="str">
        <f t="shared" si="2"/>
        <v>Esgoto2</v>
      </c>
      <c r="J3" t="str">
        <f t="shared" si="2"/>
        <v>Água3</v>
      </c>
      <c r="K3" t="str">
        <f t="shared" si="2"/>
        <v>Esgoto3</v>
      </c>
      <c r="L3" t="str">
        <f t="shared" si="2"/>
        <v>Água4</v>
      </c>
      <c r="M3" t="str">
        <f t="shared" si="2"/>
        <v>Esgoto4</v>
      </c>
      <c r="N3" t="str">
        <f t="shared" si="2"/>
        <v>Água5</v>
      </c>
      <c r="O3" t="str">
        <f t="shared" si="2"/>
        <v>Esgoto5</v>
      </c>
      <c r="P3" t="str">
        <f t="shared" si="2"/>
        <v>Água6</v>
      </c>
      <c r="Q3" t="str">
        <f t="shared" si="2"/>
        <v>Esgoto6</v>
      </c>
      <c r="R3" t="str">
        <f t="shared" si="2"/>
        <v>Água8</v>
      </c>
      <c r="S3" t="str">
        <f t="shared" si="2"/>
        <v>Esgoto8</v>
      </c>
      <c r="T3" t="str">
        <f t="shared" si="2"/>
        <v>Água9</v>
      </c>
      <c r="U3" t="str">
        <f t="shared" si="2"/>
        <v>Esgoto9</v>
      </c>
      <c r="V3" t="str">
        <f t="shared" si="2"/>
        <v>Água10</v>
      </c>
      <c r="W3" t="str">
        <f t="shared" si="2"/>
        <v>Esgoto10</v>
      </c>
      <c r="X3" t="str">
        <f t="shared" si="2"/>
        <v>Água11</v>
      </c>
      <c r="Y3" t="str">
        <f t="shared" si="2"/>
        <v>Esgoto11</v>
      </c>
      <c r="Z3" t="str">
        <f t="shared" si="2"/>
        <v>Água12</v>
      </c>
      <c r="AA3" t="str">
        <f t="shared" si="2"/>
        <v>Esgoto12</v>
      </c>
      <c r="AB3" t="str">
        <f t="shared" si="2"/>
        <v>Água13</v>
      </c>
      <c r="AC3" t="str">
        <f t="shared" si="2"/>
        <v>Esgoto13</v>
      </c>
      <c r="AD3" t="str">
        <f t="shared" si="2"/>
        <v>Água14</v>
      </c>
      <c r="AE3" t="str">
        <f t="shared" si="2"/>
        <v>Esgoto14</v>
      </c>
      <c r="AF3" t="str">
        <f t="shared" si="2"/>
        <v>Água15</v>
      </c>
      <c r="AG3" t="str">
        <f t="shared" si="2"/>
        <v>Esgoto15</v>
      </c>
    </row>
    <row r="4" spans="1:33" x14ac:dyDescent="0.35">
      <c r="A4" t="str">
        <f>B4&amp;C4</f>
        <v>Residencial Social0 a 10</v>
      </c>
      <c r="B4" t="s">
        <v>417</v>
      </c>
      <c r="C4" t="s">
        <v>418</v>
      </c>
      <c r="D4">
        <v>0</v>
      </c>
      <c r="E4">
        <v>10</v>
      </c>
      <c r="F4">
        <v>9.18</v>
      </c>
      <c r="G4">
        <v>9.18</v>
      </c>
      <c r="H4">
        <v>9.18</v>
      </c>
      <c r="I4">
        <v>7.34</v>
      </c>
      <c r="J4">
        <v>9.18</v>
      </c>
      <c r="K4">
        <v>9.18</v>
      </c>
      <c r="L4">
        <v>9.18</v>
      </c>
      <c r="M4">
        <v>9.18</v>
      </c>
      <c r="N4">
        <v>9.18</v>
      </c>
      <c r="O4">
        <v>7.34</v>
      </c>
      <c r="P4">
        <v>9.18</v>
      </c>
      <c r="Q4">
        <v>7.34</v>
      </c>
      <c r="R4">
        <v>6.42</v>
      </c>
      <c r="S4">
        <v>5.12</v>
      </c>
      <c r="T4">
        <v>7.38</v>
      </c>
      <c r="U4">
        <v>7.38</v>
      </c>
      <c r="V4">
        <v>7.98</v>
      </c>
      <c r="W4">
        <v>6.4</v>
      </c>
      <c r="X4">
        <v>7.8</v>
      </c>
      <c r="Y4">
        <v>6.24</v>
      </c>
      <c r="Z4">
        <v>8.8800000000000008</v>
      </c>
      <c r="AA4">
        <v>8.8800000000000008</v>
      </c>
      <c r="AB4">
        <v>4.2</v>
      </c>
      <c r="AC4">
        <v>3.35</v>
      </c>
      <c r="AD4">
        <v>5.33</v>
      </c>
      <c r="AE4">
        <v>4.26</v>
      </c>
    </row>
    <row r="5" spans="1:33" x14ac:dyDescent="0.35">
      <c r="A5" t="str">
        <f t="shared" ref="A5:A29" si="3">B5&amp;C5</f>
        <v>Residencial Social11 a 20</v>
      </c>
      <c r="B5" t="s">
        <v>417</v>
      </c>
      <c r="C5" t="s">
        <v>419</v>
      </c>
      <c r="D5">
        <f>E4</f>
        <v>10</v>
      </c>
      <c r="E5">
        <v>20</v>
      </c>
      <c r="F5">
        <v>1.58</v>
      </c>
      <c r="G5">
        <v>1.58</v>
      </c>
      <c r="H5">
        <v>1.43</v>
      </c>
      <c r="I5">
        <v>1.1499999999999999</v>
      </c>
      <c r="J5">
        <v>1.43</v>
      </c>
      <c r="K5">
        <v>1.43</v>
      </c>
      <c r="L5">
        <v>1.43</v>
      </c>
      <c r="M5">
        <v>1.43</v>
      </c>
      <c r="N5">
        <v>1.43</v>
      </c>
      <c r="O5">
        <v>1.1499999999999999</v>
      </c>
      <c r="P5">
        <v>1.43</v>
      </c>
      <c r="Q5">
        <v>1.1499999999999999</v>
      </c>
      <c r="R5">
        <v>0.99</v>
      </c>
      <c r="S5">
        <v>0.81</v>
      </c>
      <c r="T5">
        <v>1.1000000000000001</v>
      </c>
      <c r="U5">
        <v>1.1000000000000001</v>
      </c>
      <c r="V5">
        <v>1.26</v>
      </c>
      <c r="W5">
        <v>1.01</v>
      </c>
      <c r="X5">
        <v>1.2</v>
      </c>
      <c r="Y5">
        <v>0.97</v>
      </c>
      <c r="Z5">
        <v>1.53</v>
      </c>
      <c r="AA5">
        <v>1.53</v>
      </c>
      <c r="AB5">
        <v>0.62</v>
      </c>
      <c r="AC5">
        <v>0.5</v>
      </c>
      <c r="AD5">
        <v>0.83</v>
      </c>
      <c r="AE5">
        <v>0.67</v>
      </c>
    </row>
    <row r="6" spans="1:33" x14ac:dyDescent="0.35">
      <c r="A6" t="str">
        <f t="shared" si="3"/>
        <v>Residencial Social21 a 30</v>
      </c>
      <c r="B6" t="s">
        <v>417</v>
      </c>
      <c r="C6" t="s">
        <v>420</v>
      </c>
      <c r="D6">
        <f t="shared" ref="D6:D29" si="4">E5</f>
        <v>20</v>
      </c>
      <c r="E6">
        <v>30</v>
      </c>
      <c r="F6">
        <v>5.61</v>
      </c>
      <c r="G6">
        <v>5.61</v>
      </c>
      <c r="H6">
        <v>3.1</v>
      </c>
      <c r="I6">
        <v>2.46</v>
      </c>
      <c r="J6">
        <v>2.66</v>
      </c>
      <c r="K6">
        <v>2.66</v>
      </c>
      <c r="L6">
        <v>3.1</v>
      </c>
      <c r="M6">
        <v>3.1</v>
      </c>
      <c r="N6">
        <v>3.1</v>
      </c>
      <c r="O6">
        <v>2.46</v>
      </c>
      <c r="P6">
        <v>3.1</v>
      </c>
      <c r="Q6">
        <v>2.46</v>
      </c>
      <c r="R6">
        <v>2.16</v>
      </c>
      <c r="S6">
        <v>1.72</v>
      </c>
      <c r="T6">
        <v>3.82</v>
      </c>
      <c r="U6">
        <v>3.82</v>
      </c>
      <c r="V6">
        <v>2.68</v>
      </c>
      <c r="W6">
        <v>2.16</v>
      </c>
      <c r="X6">
        <v>2.59</v>
      </c>
      <c r="Y6">
        <v>2.06</v>
      </c>
      <c r="Z6">
        <v>5.43</v>
      </c>
      <c r="AA6">
        <v>5.43</v>
      </c>
      <c r="AB6">
        <v>1.24</v>
      </c>
      <c r="AC6">
        <v>0.98</v>
      </c>
      <c r="AD6">
        <v>1.8</v>
      </c>
      <c r="AE6">
        <v>1.43</v>
      </c>
    </row>
    <row r="7" spans="1:33" x14ac:dyDescent="0.35">
      <c r="A7" t="str">
        <f t="shared" si="3"/>
        <v>Residencial Social31 a 50</v>
      </c>
      <c r="B7" t="s">
        <v>417</v>
      </c>
      <c r="C7" t="s">
        <v>421</v>
      </c>
      <c r="D7">
        <f t="shared" si="4"/>
        <v>30</v>
      </c>
      <c r="E7">
        <v>50</v>
      </c>
      <c r="F7">
        <v>8</v>
      </c>
      <c r="G7">
        <v>8</v>
      </c>
      <c r="H7">
        <v>4.42</v>
      </c>
      <c r="I7">
        <v>3.56</v>
      </c>
      <c r="J7">
        <v>3.79</v>
      </c>
      <c r="K7">
        <v>3.79</v>
      </c>
      <c r="L7">
        <v>4.42</v>
      </c>
      <c r="M7">
        <v>4.42</v>
      </c>
      <c r="N7">
        <v>4.42</v>
      </c>
      <c r="O7">
        <v>3.56</v>
      </c>
      <c r="P7">
        <v>4.42</v>
      </c>
      <c r="Q7">
        <v>3.56</v>
      </c>
      <c r="R7">
        <v>3.08</v>
      </c>
      <c r="S7">
        <v>2.5</v>
      </c>
      <c r="T7">
        <v>7.24</v>
      </c>
      <c r="U7">
        <v>7.24</v>
      </c>
      <c r="V7">
        <v>3.88</v>
      </c>
      <c r="W7">
        <v>3.12</v>
      </c>
      <c r="X7">
        <v>4.3099999999999996</v>
      </c>
      <c r="Y7">
        <v>3.47</v>
      </c>
      <c r="Z7">
        <v>7.74</v>
      </c>
      <c r="AA7">
        <v>7.74</v>
      </c>
      <c r="AB7">
        <v>1.77</v>
      </c>
      <c r="AC7">
        <v>1.42</v>
      </c>
      <c r="AD7">
        <v>2.56</v>
      </c>
      <c r="AE7">
        <v>2.06</v>
      </c>
    </row>
    <row r="8" spans="1:33" x14ac:dyDescent="0.35">
      <c r="A8" t="str">
        <f t="shared" si="3"/>
        <v>Residencial SocialAcima de 50</v>
      </c>
      <c r="B8" t="s">
        <v>417</v>
      </c>
      <c r="C8" t="s">
        <v>422</v>
      </c>
      <c r="D8">
        <f t="shared" si="4"/>
        <v>50</v>
      </c>
      <c r="F8">
        <v>8.84</v>
      </c>
      <c r="G8">
        <v>8.84</v>
      </c>
      <c r="H8">
        <v>5.25</v>
      </c>
      <c r="I8">
        <v>4.2300000000000004</v>
      </c>
      <c r="J8">
        <v>5.15</v>
      </c>
      <c r="K8">
        <v>5.15</v>
      </c>
      <c r="L8">
        <v>5.25</v>
      </c>
      <c r="M8">
        <v>5.25</v>
      </c>
      <c r="N8">
        <v>5.25</v>
      </c>
      <c r="O8">
        <v>4.2300000000000004</v>
      </c>
      <c r="P8">
        <v>5.25</v>
      </c>
      <c r="Q8">
        <v>4.2300000000000004</v>
      </c>
      <c r="R8">
        <v>3.66</v>
      </c>
      <c r="S8">
        <v>2.97</v>
      </c>
      <c r="T8">
        <v>8.02</v>
      </c>
      <c r="U8">
        <v>8.02</v>
      </c>
      <c r="V8">
        <v>4.58</v>
      </c>
      <c r="W8">
        <v>3.64</v>
      </c>
      <c r="X8">
        <v>5.19</v>
      </c>
      <c r="Y8">
        <v>4.1900000000000004</v>
      </c>
      <c r="Z8">
        <v>8.5500000000000007</v>
      </c>
      <c r="AA8">
        <v>8.5500000000000007</v>
      </c>
      <c r="AB8">
        <v>3.01</v>
      </c>
      <c r="AC8">
        <v>2.44</v>
      </c>
      <c r="AD8">
        <v>3.05</v>
      </c>
      <c r="AE8">
        <v>2.4500000000000002</v>
      </c>
    </row>
    <row r="9" spans="1:33" x14ac:dyDescent="0.35">
      <c r="A9" t="str">
        <f t="shared" si="3"/>
        <v>Residencial Favela0 a 10</v>
      </c>
      <c r="B9" t="s">
        <v>423</v>
      </c>
      <c r="C9" t="s">
        <v>418</v>
      </c>
      <c r="D9">
        <f t="shared" si="4"/>
        <v>0</v>
      </c>
      <c r="E9">
        <v>10</v>
      </c>
      <c r="F9">
        <v>7</v>
      </c>
      <c r="G9">
        <v>7</v>
      </c>
      <c r="T9">
        <v>5.63</v>
      </c>
      <c r="U9">
        <v>5.63</v>
      </c>
      <c r="Z9">
        <v>6.77</v>
      </c>
      <c r="AA9">
        <v>6.77</v>
      </c>
    </row>
    <row r="10" spans="1:33" x14ac:dyDescent="0.35">
      <c r="A10" t="str">
        <f t="shared" si="3"/>
        <v>Residencial Favela11 a 20</v>
      </c>
      <c r="B10" t="s">
        <v>423</v>
      </c>
      <c r="C10" t="s">
        <v>419</v>
      </c>
      <c r="D10">
        <f t="shared" si="4"/>
        <v>10</v>
      </c>
      <c r="E10">
        <v>20</v>
      </c>
      <c r="F10">
        <v>0.8</v>
      </c>
      <c r="G10">
        <v>0.8</v>
      </c>
      <c r="T10">
        <v>0.56000000000000005</v>
      </c>
      <c r="U10">
        <v>0.56000000000000005</v>
      </c>
      <c r="Z10">
        <v>0.77</v>
      </c>
      <c r="AA10">
        <v>0.77</v>
      </c>
    </row>
    <row r="11" spans="1:33" x14ac:dyDescent="0.35">
      <c r="A11" t="str">
        <f t="shared" si="3"/>
        <v>Residencial Favela21 a 30</v>
      </c>
      <c r="B11" t="s">
        <v>423</v>
      </c>
      <c r="C11" t="s">
        <v>420</v>
      </c>
      <c r="D11">
        <f t="shared" si="4"/>
        <v>20</v>
      </c>
      <c r="E11">
        <v>30</v>
      </c>
      <c r="F11">
        <v>2.65</v>
      </c>
      <c r="G11">
        <v>2.65</v>
      </c>
      <c r="T11">
        <v>1.8</v>
      </c>
      <c r="U11">
        <v>1.8</v>
      </c>
      <c r="Z11">
        <v>2.56</v>
      </c>
      <c r="AA11">
        <v>2.56</v>
      </c>
    </row>
    <row r="12" spans="1:33" x14ac:dyDescent="0.35">
      <c r="A12" t="str">
        <f t="shared" si="3"/>
        <v>Residencial Favela31 a 50</v>
      </c>
      <c r="B12" t="s">
        <v>423</v>
      </c>
      <c r="C12" t="s">
        <v>421</v>
      </c>
      <c r="D12">
        <f t="shared" si="4"/>
        <v>30</v>
      </c>
      <c r="E12">
        <v>50</v>
      </c>
      <c r="F12">
        <v>8</v>
      </c>
      <c r="G12">
        <v>8</v>
      </c>
      <c r="T12">
        <v>7.24</v>
      </c>
      <c r="U12">
        <v>7.24</v>
      </c>
      <c r="Z12">
        <v>7.74</v>
      </c>
      <c r="AA12">
        <v>7.74</v>
      </c>
    </row>
    <row r="13" spans="1:33" x14ac:dyDescent="0.35">
      <c r="A13" t="str">
        <f t="shared" si="3"/>
        <v>Residencial FavelaAcima de 50</v>
      </c>
      <c r="B13" t="s">
        <v>423</v>
      </c>
      <c r="C13" t="s">
        <v>422</v>
      </c>
      <c r="D13">
        <f t="shared" si="4"/>
        <v>50</v>
      </c>
      <c r="F13">
        <v>8.84</v>
      </c>
      <c r="G13">
        <v>8.84</v>
      </c>
      <c r="T13">
        <v>8.02</v>
      </c>
      <c r="U13">
        <v>8.02</v>
      </c>
      <c r="Z13">
        <v>8.5500000000000007</v>
      </c>
      <c r="AA13">
        <v>8.5500000000000007</v>
      </c>
    </row>
    <row r="14" spans="1:33" x14ac:dyDescent="0.35">
      <c r="A14" t="str">
        <f t="shared" si="3"/>
        <v>Residencial Normal0 a 10</v>
      </c>
      <c r="B14" t="s">
        <v>424</v>
      </c>
      <c r="C14" t="s">
        <v>418</v>
      </c>
      <c r="D14">
        <f t="shared" si="4"/>
        <v>0</v>
      </c>
      <c r="E14">
        <v>10</v>
      </c>
      <c r="F14">
        <v>27.07</v>
      </c>
      <c r="G14">
        <v>27.07</v>
      </c>
      <c r="H14">
        <v>27.07</v>
      </c>
      <c r="I14">
        <v>21.71</v>
      </c>
      <c r="J14">
        <v>27.07</v>
      </c>
      <c r="K14">
        <v>27.07</v>
      </c>
      <c r="L14">
        <v>27.07</v>
      </c>
      <c r="M14">
        <v>27.07</v>
      </c>
      <c r="N14">
        <v>27.07</v>
      </c>
      <c r="O14">
        <v>21.71</v>
      </c>
      <c r="P14">
        <v>27.07</v>
      </c>
      <c r="Q14">
        <v>21.71</v>
      </c>
      <c r="R14">
        <v>18.93</v>
      </c>
      <c r="S14">
        <v>15.16</v>
      </c>
      <c r="T14">
        <v>24.47</v>
      </c>
      <c r="U14">
        <v>24.47</v>
      </c>
      <c r="V14">
        <v>23.62</v>
      </c>
      <c r="W14">
        <v>18.89</v>
      </c>
      <c r="X14">
        <v>23.02</v>
      </c>
      <c r="Y14">
        <v>18.440000000000001</v>
      </c>
      <c r="Z14">
        <v>26.18</v>
      </c>
      <c r="AA14">
        <v>26.18</v>
      </c>
      <c r="AB14">
        <v>12.39</v>
      </c>
      <c r="AC14">
        <v>9.91</v>
      </c>
      <c r="AD14">
        <v>15.71</v>
      </c>
      <c r="AE14">
        <v>12.6</v>
      </c>
      <c r="AF14">
        <v>23.14</v>
      </c>
    </row>
    <row r="15" spans="1:33" x14ac:dyDescent="0.35">
      <c r="A15" t="str">
        <f t="shared" si="3"/>
        <v>Residencial Normal11 a 20</v>
      </c>
      <c r="B15" t="s">
        <v>424</v>
      </c>
      <c r="C15" t="s">
        <v>419</v>
      </c>
      <c r="D15">
        <f t="shared" si="4"/>
        <v>10</v>
      </c>
      <c r="E15">
        <v>20</v>
      </c>
      <c r="F15">
        <v>4.24</v>
      </c>
      <c r="G15">
        <v>4.24</v>
      </c>
      <c r="H15">
        <v>3.77</v>
      </c>
      <c r="I15">
        <v>2.98</v>
      </c>
      <c r="J15">
        <v>3.77</v>
      </c>
      <c r="K15">
        <v>3.77</v>
      </c>
      <c r="L15">
        <v>3.77</v>
      </c>
      <c r="M15">
        <v>3.77</v>
      </c>
      <c r="N15">
        <v>3.77</v>
      </c>
      <c r="O15">
        <v>2.98</v>
      </c>
      <c r="P15">
        <v>3.77</v>
      </c>
      <c r="Q15">
        <v>2.98</v>
      </c>
      <c r="R15">
        <v>2.64</v>
      </c>
      <c r="S15">
        <v>2.08</v>
      </c>
      <c r="T15">
        <v>3.85</v>
      </c>
      <c r="U15">
        <v>3.85</v>
      </c>
      <c r="V15">
        <v>3.29</v>
      </c>
      <c r="W15">
        <v>2.61</v>
      </c>
      <c r="X15">
        <v>3.15</v>
      </c>
      <c r="Y15">
        <v>2.5</v>
      </c>
      <c r="Z15">
        <v>4.0999999999999996</v>
      </c>
      <c r="AA15">
        <v>4.0999999999999996</v>
      </c>
      <c r="AB15">
        <v>1.63</v>
      </c>
      <c r="AC15">
        <v>1.3</v>
      </c>
      <c r="AD15">
        <v>2.19</v>
      </c>
      <c r="AE15">
        <v>1.73</v>
      </c>
      <c r="AF15">
        <v>4.3099999999999996</v>
      </c>
    </row>
    <row r="16" spans="1:33" x14ac:dyDescent="0.35">
      <c r="A16" t="str">
        <f t="shared" si="3"/>
        <v>Residencial Normal21 a 50</v>
      </c>
      <c r="B16" t="s">
        <v>424</v>
      </c>
      <c r="C16" t="s">
        <v>425</v>
      </c>
      <c r="D16">
        <f t="shared" si="4"/>
        <v>20</v>
      </c>
      <c r="E16">
        <v>50</v>
      </c>
      <c r="F16">
        <v>10.58</v>
      </c>
      <c r="G16">
        <v>10.58</v>
      </c>
      <c r="H16">
        <v>5.8</v>
      </c>
      <c r="I16">
        <v>4.63</v>
      </c>
      <c r="J16">
        <v>4.99</v>
      </c>
      <c r="K16">
        <v>4.99</v>
      </c>
      <c r="L16">
        <v>5.8</v>
      </c>
      <c r="M16">
        <v>5.8</v>
      </c>
      <c r="N16">
        <v>5.8</v>
      </c>
      <c r="O16">
        <v>4.63</v>
      </c>
      <c r="P16">
        <v>5.8</v>
      </c>
      <c r="Q16">
        <v>4.63</v>
      </c>
      <c r="R16">
        <v>4.0599999999999996</v>
      </c>
      <c r="S16">
        <v>3.24</v>
      </c>
      <c r="T16">
        <v>9.59</v>
      </c>
      <c r="U16">
        <v>9.59</v>
      </c>
      <c r="V16">
        <v>5.04</v>
      </c>
      <c r="W16">
        <v>4.03</v>
      </c>
      <c r="X16">
        <v>5.64</v>
      </c>
      <c r="Y16">
        <v>4.5199999999999996</v>
      </c>
      <c r="Z16">
        <v>10.23</v>
      </c>
      <c r="AA16">
        <v>10.23</v>
      </c>
      <c r="AB16">
        <v>2.3199999999999998</v>
      </c>
      <c r="AC16">
        <v>1.85</v>
      </c>
      <c r="AD16">
        <v>3.37</v>
      </c>
      <c r="AE16">
        <v>2.69</v>
      </c>
      <c r="AF16">
        <v>8.66</v>
      </c>
    </row>
    <row r="17" spans="1:32" x14ac:dyDescent="0.35">
      <c r="A17" t="str">
        <f t="shared" si="3"/>
        <v>Residencial NormalAcima de 50</v>
      </c>
      <c r="B17" t="s">
        <v>424</v>
      </c>
      <c r="C17" t="s">
        <v>422</v>
      </c>
      <c r="D17">
        <f t="shared" si="4"/>
        <v>50</v>
      </c>
      <c r="F17">
        <v>11.65</v>
      </c>
      <c r="G17">
        <v>11.65</v>
      </c>
      <c r="H17">
        <v>6.94</v>
      </c>
      <c r="I17">
        <v>5.52</v>
      </c>
      <c r="J17">
        <v>6.77</v>
      </c>
      <c r="K17">
        <v>6.77</v>
      </c>
      <c r="L17">
        <v>6.94</v>
      </c>
      <c r="M17">
        <v>6.94</v>
      </c>
      <c r="N17">
        <v>6.94</v>
      </c>
      <c r="O17">
        <v>5.52</v>
      </c>
      <c r="P17">
        <v>6.94</v>
      </c>
      <c r="Q17">
        <v>5.52</v>
      </c>
      <c r="R17">
        <v>4.8499999999999996</v>
      </c>
      <c r="S17">
        <v>3.86</v>
      </c>
      <c r="T17">
        <v>10.58</v>
      </c>
      <c r="U17">
        <v>10.58</v>
      </c>
      <c r="V17">
        <v>6.03</v>
      </c>
      <c r="W17">
        <v>4.82</v>
      </c>
      <c r="X17">
        <v>6.86</v>
      </c>
      <c r="Y17">
        <v>5.45</v>
      </c>
      <c r="Z17">
        <v>11.27</v>
      </c>
      <c r="AA17">
        <v>11.27</v>
      </c>
      <c r="AB17">
        <v>3.97</v>
      </c>
      <c r="AC17">
        <v>3.18</v>
      </c>
      <c r="AD17">
        <v>4.03</v>
      </c>
      <c r="AE17">
        <v>3.2</v>
      </c>
      <c r="AF17">
        <v>10.48</v>
      </c>
    </row>
    <row r="18" spans="1:32" x14ac:dyDescent="0.35">
      <c r="A18" t="str">
        <f t="shared" si="3"/>
        <v>Comercial / Industrial / Pública sem contrato0 a 10</v>
      </c>
      <c r="B18" t="s">
        <v>426</v>
      </c>
      <c r="C18" t="s">
        <v>418</v>
      </c>
      <c r="D18">
        <f t="shared" si="4"/>
        <v>0</v>
      </c>
      <c r="E18">
        <v>10</v>
      </c>
      <c r="F18">
        <v>54.36</v>
      </c>
      <c r="G18">
        <v>54.36</v>
      </c>
      <c r="H18">
        <v>54.36</v>
      </c>
      <c r="I18">
        <v>43.47</v>
      </c>
      <c r="J18">
        <v>54.36</v>
      </c>
      <c r="K18">
        <v>54.36</v>
      </c>
      <c r="L18">
        <v>54.36</v>
      </c>
      <c r="M18">
        <v>54.36</v>
      </c>
      <c r="N18">
        <v>54.36</v>
      </c>
      <c r="O18">
        <v>43.47</v>
      </c>
      <c r="P18">
        <v>54.36</v>
      </c>
      <c r="Q18">
        <v>43.47</v>
      </c>
      <c r="R18">
        <v>38.020000000000003</v>
      </c>
      <c r="S18">
        <v>30.35</v>
      </c>
      <c r="T18">
        <v>49.52</v>
      </c>
      <c r="U18">
        <v>49.52</v>
      </c>
      <c r="V18">
        <v>47.32</v>
      </c>
      <c r="W18">
        <v>37.82</v>
      </c>
      <c r="X18">
        <v>47.55</v>
      </c>
      <c r="Y18">
        <v>38.020000000000003</v>
      </c>
      <c r="Z18">
        <v>52.57</v>
      </c>
      <c r="AA18">
        <v>52.57</v>
      </c>
      <c r="AB18">
        <v>13.98</v>
      </c>
      <c r="AC18">
        <v>11.19</v>
      </c>
      <c r="AD18">
        <v>31.54</v>
      </c>
      <c r="AE18">
        <v>25.22</v>
      </c>
      <c r="AF18">
        <v>50.75</v>
      </c>
    </row>
    <row r="19" spans="1:32" x14ac:dyDescent="0.35">
      <c r="A19" t="str">
        <f t="shared" si="3"/>
        <v>Comercial / Industrial / Pública sem contrato11 a 20</v>
      </c>
      <c r="B19" t="s">
        <v>426</v>
      </c>
      <c r="C19" t="s">
        <v>419</v>
      </c>
      <c r="D19">
        <f t="shared" si="4"/>
        <v>10</v>
      </c>
      <c r="E19">
        <v>20</v>
      </c>
      <c r="F19">
        <v>10.58</v>
      </c>
      <c r="G19">
        <v>10.58</v>
      </c>
      <c r="H19">
        <v>6.43</v>
      </c>
      <c r="I19">
        <v>5.1100000000000003</v>
      </c>
      <c r="J19">
        <v>7.08</v>
      </c>
      <c r="K19">
        <v>7.08</v>
      </c>
      <c r="L19">
        <v>6.43</v>
      </c>
      <c r="M19">
        <v>6.43</v>
      </c>
      <c r="N19">
        <v>6.43</v>
      </c>
      <c r="O19">
        <v>5.1100000000000003</v>
      </c>
      <c r="P19">
        <v>6.43</v>
      </c>
      <c r="Q19">
        <v>5.1100000000000003</v>
      </c>
      <c r="R19">
        <v>4.5</v>
      </c>
      <c r="S19">
        <v>3.56</v>
      </c>
      <c r="T19">
        <v>9.6300000000000008</v>
      </c>
      <c r="U19">
        <v>9.6300000000000008</v>
      </c>
      <c r="V19">
        <v>5.58</v>
      </c>
      <c r="W19">
        <v>4.45</v>
      </c>
      <c r="X19">
        <v>5.76</v>
      </c>
      <c r="Y19">
        <v>4.59</v>
      </c>
      <c r="Z19">
        <v>10.23</v>
      </c>
      <c r="AA19">
        <v>10.23</v>
      </c>
      <c r="AB19">
        <v>1.9</v>
      </c>
      <c r="AC19">
        <v>1.52</v>
      </c>
      <c r="AD19">
        <v>3.73</v>
      </c>
      <c r="AE19">
        <v>2.96</v>
      </c>
      <c r="AF19">
        <v>9.77</v>
      </c>
    </row>
    <row r="20" spans="1:32" x14ac:dyDescent="0.35">
      <c r="A20" t="str">
        <f t="shared" si="3"/>
        <v>Comercial / Industrial / Pública sem contrato21 a 50</v>
      </c>
      <c r="B20" t="s">
        <v>426</v>
      </c>
      <c r="C20" t="s">
        <v>425</v>
      </c>
      <c r="D20">
        <f t="shared" si="4"/>
        <v>20</v>
      </c>
      <c r="E20">
        <v>50</v>
      </c>
      <c r="F20">
        <v>20.27</v>
      </c>
      <c r="G20">
        <v>20.27</v>
      </c>
      <c r="H20">
        <v>10.39</v>
      </c>
      <c r="I20">
        <v>8.31</v>
      </c>
      <c r="J20">
        <v>15.47</v>
      </c>
      <c r="K20">
        <v>15.47</v>
      </c>
      <c r="L20">
        <v>10.85</v>
      </c>
      <c r="M20">
        <v>10.85</v>
      </c>
      <c r="N20">
        <v>10.39</v>
      </c>
      <c r="O20">
        <v>8.31</v>
      </c>
      <c r="P20">
        <v>10.72</v>
      </c>
      <c r="Q20">
        <v>8.58</v>
      </c>
      <c r="R20">
        <v>7.26</v>
      </c>
      <c r="S20">
        <v>5.79</v>
      </c>
      <c r="T20">
        <v>18.47</v>
      </c>
      <c r="U20">
        <v>18.47</v>
      </c>
      <c r="V20">
        <v>9.09</v>
      </c>
      <c r="W20">
        <v>7.25</v>
      </c>
      <c r="X20">
        <v>10.220000000000001</v>
      </c>
      <c r="Y20">
        <v>8.16</v>
      </c>
      <c r="Z20">
        <v>19.600000000000001</v>
      </c>
      <c r="AA20">
        <v>19.600000000000001</v>
      </c>
      <c r="AB20">
        <v>2.71</v>
      </c>
      <c r="AC20">
        <v>2.17</v>
      </c>
      <c r="AD20">
        <v>6.03</v>
      </c>
      <c r="AE20">
        <v>4.82</v>
      </c>
      <c r="AF20">
        <v>14.36</v>
      </c>
    </row>
    <row r="21" spans="1:32" x14ac:dyDescent="0.35">
      <c r="A21" t="str">
        <f t="shared" si="3"/>
        <v>Comercial / Industrial / Pública sem contratoAcima de 50</v>
      </c>
      <c r="B21" t="s">
        <v>426</v>
      </c>
      <c r="C21" t="s">
        <v>422</v>
      </c>
      <c r="D21">
        <f t="shared" si="4"/>
        <v>50</v>
      </c>
      <c r="F21">
        <v>21.11</v>
      </c>
      <c r="G21">
        <v>21.11</v>
      </c>
      <c r="H21">
        <v>12.2</v>
      </c>
      <c r="I21">
        <v>9.74</v>
      </c>
      <c r="J21">
        <v>16.7</v>
      </c>
      <c r="K21">
        <v>16.7</v>
      </c>
      <c r="L21">
        <v>13.77</v>
      </c>
      <c r="M21">
        <v>13.77</v>
      </c>
      <c r="N21">
        <v>12.2</v>
      </c>
      <c r="O21">
        <v>9.74</v>
      </c>
      <c r="P21">
        <v>13.6</v>
      </c>
      <c r="Q21">
        <v>10.84</v>
      </c>
      <c r="R21">
        <v>8.5299999999999994</v>
      </c>
      <c r="S21">
        <v>6.78</v>
      </c>
      <c r="T21">
        <v>19.32</v>
      </c>
      <c r="U21">
        <v>19.32</v>
      </c>
      <c r="V21">
        <v>10.64</v>
      </c>
      <c r="W21">
        <v>8.51</v>
      </c>
      <c r="X21">
        <v>11.58</v>
      </c>
      <c r="Y21">
        <v>9.25</v>
      </c>
      <c r="Z21">
        <v>20.420000000000002</v>
      </c>
      <c r="AA21">
        <v>20.420000000000002</v>
      </c>
      <c r="AB21">
        <v>4.6399999999999997</v>
      </c>
      <c r="AC21">
        <v>3.71</v>
      </c>
      <c r="AD21">
        <v>7.08</v>
      </c>
      <c r="AE21">
        <v>5.65</v>
      </c>
      <c r="AF21">
        <v>18.89</v>
      </c>
    </row>
    <row r="22" spans="1:32" x14ac:dyDescent="0.35">
      <c r="A22" t="str">
        <f t="shared" si="3"/>
        <v>Comercial: Entidades de Assistência Social0 a 10</v>
      </c>
      <c r="B22" t="s">
        <v>427</v>
      </c>
      <c r="C22" t="s">
        <v>418</v>
      </c>
      <c r="D22">
        <f t="shared" si="4"/>
        <v>0</v>
      </c>
      <c r="E22">
        <v>10</v>
      </c>
      <c r="F22">
        <v>27.17</v>
      </c>
      <c r="G22">
        <v>27.17</v>
      </c>
      <c r="H22">
        <v>27.17</v>
      </c>
      <c r="I22">
        <v>21.74</v>
      </c>
      <c r="J22">
        <v>27.17</v>
      </c>
      <c r="K22">
        <v>27.17</v>
      </c>
      <c r="L22">
        <v>27.17</v>
      </c>
      <c r="M22">
        <v>27.17</v>
      </c>
      <c r="N22">
        <v>27.17</v>
      </c>
      <c r="O22">
        <v>21.74</v>
      </c>
      <c r="P22">
        <v>27.17</v>
      </c>
      <c r="Q22">
        <v>21.74</v>
      </c>
      <c r="R22">
        <v>19</v>
      </c>
      <c r="S22">
        <v>15.16</v>
      </c>
      <c r="T22">
        <v>24.52</v>
      </c>
      <c r="U22">
        <v>24.52</v>
      </c>
      <c r="V22">
        <v>23.68</v>
      </c>
      <c r="W22">
        <v>18.940000000000001</v>
      </c>
      <c r="X22">
        <v>23.76</v>
      </c>
      <c r="Y22">
        <v>19.02</v>
      </c>
      <c r="Z22">
        <v>26.28</v>
      </c>
      <c r="AA22">
        <v>26.28</v>
      </c>
      <c r="AB22">
        <v>6.99</v>
      </c>
      <c r="AC22">
        <v>5.6</v>
      </c>
      <c r="AD22">
        <v>15.77</v>
      </c>
      <c r="AE22">
        <v>12.61</v>
      </c>
      <c r="AF22">
        <v>11.56</v>
      </c>
    </row>
    <row r="23" spans="1:32" x14ac:dyDescent="0.35">
      <c r="A23" t="str">
        <f t="shared" si="3"/>
        <v>Comercial: Entidades de Assistência Social11 a 20</v>
      </c>
      <c r="B23" t="s">
        <v>427</v>
      </c>
      <c r="C23" t="s">
        <v>419</v>
      </c>
      <c r="D23">
        <f t="shared" si="4"/>
        <v>10</v>
      </c>
      <c r="E23">
        <v>20</v>
      </c>
      <c r="F23">
        <v>5.28</v>
      </c>
      <c r="G23">
        <v>5.28</v>
      </c>
      <c r="H23">
        <v>3.24</v>
      </c>
      <c r="I23">
        <v>2.5499999999999998</v>
      </c>
      <c r="J23">
        <v>3.56</v>
      </c>
      <c r="K23">
        <v>3.56</v>
      </c>
      <c r="L23">
        <v>3.24</v>
      </c>
      <c r="M23">
        <v>3.24</v>
      </c>
      <c r="N23">
        <v>3.24</v>
      </c>
      <c r="O23">
        <v>2.5499999999999998</v>
      </c>
      <c r="P23">
        <v>3.24</v>
      </c>
      <c r="Q23">
        <v>2.5499999999999998</v>
      </c>
      <c r="R23">
        <v>2.27</v>
      </c>
      <c r="S23">
        <v>1.78</v>
      </c>
      <c r="T23">
        <v>4.3499999999999996</v>
      </c>
      <c r="U23">
        <v>4.3499999999999996</v>
      </c>
      <c r="V23">
        <v>2.84</v>
      </c>
      <c r="W23">
        <v>2.23</v>
      </c>
      <c r="X23">
        <v>2.9</v>
      </c>
      <c r="Y23">
        <v>2.29</v>
      </c>
      <c r="Z23">
        <v>5.1100000000000003</v>
      </c>
      <c r="AA23">
        <v>5.1100000000000003</v>
      </c>
      <c r="AB23">
        <v>0.95</v>
      </c>
      <c r="AC23">
        <v>0.76</v>
      </c>
      <c r="AD23">
        <v>1.88</v>
      </c>
      <c r="AE23">
        <v>1.48</v>
      </c>
      <c r="AF23">
        <v>2.16</v>
      </c>
    </row>
    <row r="24" spans="1:32" x14ac:dyDescent="0.35">
      <c r="A24" t="str">
        <f t="shared" si="3"/>
        <v>Comercial: Entidades de Assistência Social21 a 50</v>
      </c>
      <c r="B24" t="s">
        <v>427</v>
      </c>
      <c r="C24" t="s">
        <v>425</v>
      </c>
      <c r="D24">
        <f t="shared" si="4"/>
        <v>20</v>
      </c>
      <c r="E24">
        <v>50</v>
      </c>
      <c r="F24">
        <v>10.17</v>
      </c>
      <c r="G24">
        <v>10.17</v>
      </c>
      <c r="H24">
        <v>5.24</v>
      </c>
      <c r="I24">
        <v>4.1900000000000004</v>
      </c>
      <c r="J24">
        <v>7.78</v>
      </c>
      <c r="K24">
        <v>7.78</v>
      </c>
      <c r="L24">
        <v>5.47</v>
      </c>
      <c r="M24">
        <v>5.47</v>
      </c>
      <c r="N24">
        <v>5.24</v>
      </c>
      <c r="O24">
        <v>4.1900000000000004</v>
      </c>
      <c r="P24">
        <v>5.39</v>
      </c>
      <c r="Q24">
        <v>4.29</v>
      </c>
      <c r="R24">
        <v>3.67</v>
      </c>
      <c r="S24">
        <v>2.92</v>
      </c>
      <c r="T24">
        <v>9.4</v>
      </c>
      <c r="U24">
        <v>9.4</v>
      </c>
      <c r="V24">
        <v>4.58</v>
      </c>
      <c r="W24">
        <v>3.64</v>
      </c>
      <c r="X24">
        <v>5.14</v>
      </c>
      <c r="Y24">
        <v>4.1100000000000003</v>
      </c>
      <c r="Z24">
        <v>9.84</v>
      </c>
      <c r="AA24">
        <v>9.84</v>
      </c>
      <c r="AB24">
        <v>1.36</v>
      </c>
      <c r="AC24">
        <v>1.0900000000000001</v>
      </c>
      <c r="AD24">
        <v>3.04</v>
      </c>
      <c r="AE24">
        <v>2.4300000000000002</v>
      </c>
      <c r="AF24">
        <v>4.34</v>
      </c>
    </row>
    <row r="25" spans="1:32" x14ac:dyDescent="0.35">
      <c r="A25" t="str">
        <f t="shared" si="3"/>
        <v>Comercial: Entidades de Assistência SocialAcima de 50</v>
      </c>
      <c r="B25" t="s">
        <v>427</v>
      </c>
      <c r="C25" t="s">
        <v>422</v>
      </c>
      <c r="D25">
        <f t="shared" si="4"/>
        <v>50</v>
      </c>
      <c r="F25">
        <v>10.57</v>
      </c>
      <c r="G25">
        <v>10.57</v>
      </c>
      <c r="H25">
        <v>6.12</v>
      </c>
      <c r="I25">
        <v>4.88</v>
      </c>
      <c r="J25">
        <v>8.3800000000000008</v>
      </c>
      <c r="K25">
        <v>8.3800000000000008</v>
      </c>
      <c r="L25">
        <v>6.93</v>
      </c>
      <c r="M25">
        <v>6.93</v>
      </c>
      <c r="N25">
        <v>6.12</v>
      </c>
      <c r="O25">
        <v>4.88</v>
      </c>
      <c r="P25">
        <v>6.73</v>
      </c>
      <c r="Q25">
        <v>5.44</v>
      </c>
      <c r="R25">
        <v>4.29</v>
      </c>
      <c r="S25">
        <v>3.4</v>
      </c>
      <c r="T25">
        <v>10.050000000000001</v>
      </c>
      <c r="U25">
        <v>10.050000000000001</v>
      </c>
      <c r="V25">
        <v>5.35</v>
      </c>
      <c r="W25">
        <v>4.29</v>
      </c>
      <c r="X25">
        <v>5.81</v>
      </c>
      <c r="Y25">
        <v>4.6399999999999997</v>
      </c>
      <c r="Z25">
        <v>10.220000000000001</v>
      </c>
      <c r="AA25">
        <v>10.220000000000001</v>
      </c>
      <c r="AB25">
        <v>2.3199999999999998</v>
      </c>
      <c r="AC25">
        <v>1.86</v>
      </c>
      <c r="AD25">
        <v>3.55</v>
      </c>
      <c r="AE25">
        <v>2.83</v>
      </c>
      <c r="AF25">
        <v>5.35</v>
      </c>
    </row>
    <row r="26" spans="1:32" x14ac:dyDescent="0.35">
      <c r="A26" t="str">
        <f t="shared" si="3"/>
        <v>Pública com contrato0 a 10</v>
      </c>
      <c r="B26" t="s">
        <v>428</v>
      </c>
      <c r="C26" t="s">
        <v>418</v>
      </c>
      <c r="D26">
        <f t="shared" si="4"/>
        <v>0</v>
      </c>
      <c r="E26">
        <v>10</v>
      </c>
      <c r="F26">
        <v>40.729999999999997</v>
      </c>
      <c r="G26">
        <v>40.729999999999997</v>
      </c>
      <c r="H26">
        <v>40.729999999999997</v>
      </c>
      <c r="I26">
        <v>32.6</v>
      </c>
      <c r="J26">
        <v>40.729999999999997</v>
      </c>
      <c r="K26">
        <v>40.729999999999997</v>
      </c>
      <c r="L26">
        <v>40.729999999999997</v>
      </c>
      <c r="M26">
        <v>40.729999999999997</v>
      </c>
      <c r="N26">
        <v>40.729999999999997</v>
      </c>
      <c r="O26">
        <v>32.6</v>
      </c>
      <c r="P26">
        <v>40.729999999999997</v>
      </c>
      <c r="Q26">
        <v>32.6</v>
      </c>
      <c r="R26">
        <v>28.49</v>
      </c>
      <c r="S26">
        <v>22.76</v>
      </c>
      <c r="T26">
        <v>37.130000000000003</v>
      </c>
      <c r="U26">
        <v>37.130000000000003</v>
      </c>
      <c r="V26">
        <v>35.479999999999997</v>
      </c>
      <c r="W26">
        <v>28.37</v>
      </c>
      <c r="X26">
        <v>35.619999999999997</v>
      </c>
      <c r="Y26">
        <v>28.51</v>
      </c>
      <c r="Z26">
        <v>39.39</v>
      </c>
      <c r="AA26">
        <v>39.39</v>
      </c>
      <c r="AB26">
        <v>10.49</v>
      </c>
      <c r="AC26">
        <v>8.39</v>
      </c>
      <c r="AD26">
        <v>23.63</v>
      </c>
      <c r="AE26">
        <v>18.920000000000002</v>
      </c>
    </row>
    <row r="27" spans="1:32" x14ac:dyDescent="0.35">
      <c r="A27" t="str">
        <f t="shared" si="3"/>
        <v>Pública com contrato11 a 20</v>
      </c>
      <c r="B27" t="s">
        <v>428</v>
      </c>
      <c r="C27" t="s">
        <v>419</v>
      </c>
      <c r="D27">
        <f t="shared" si="4"/>
        <v>10</v>
      </c>
      <c r="E27">
        <v>20</v>
      </c>
      <c r="F27">
        <v>7.92</v>
      </c>
      <c r="G27">
        <v>7.92</v>
      </c>
      <c r="H27">
        <v>4.8</v>
      </c>
      <c r="I27">
        <v>3.86</v>
      </c>
      <c r="J27">
        <v>5.3</v>
      </c>
      <c r="K27">
        <v>5.3</v>
      </c>
      <c r="L27">
        <v>4.8</v>
      </c>
      <c r="M27">
        <v>4.8</v>
      </c>
      <c r="N27">
        <v>4.8</v>
      </c>
      <c r="O27">
        <v>3.86</v>
      </c>
      <c r="P27">
        <v>4.8</v>
      </c>
      <c r="Q27">
        <v>3.86</v>
      </c>
      <c r="R27">
        <v>3.36</v>
      </c>
      <c r="S27">
        <v>2.69</v>
      </c>
      <c r="T27">
        <v>7.22</v>
      </c>
      <c r="U27">
        <v>7.22</v>
      </c>
      <c r="V27">
        <v>4.18</v>
      </c>
      <c r="W27">
        <v>3.35</v>
      </c>
      <c r="X27">
        <v>4.3</v>
      </c>
      <c r="Y27">
        <v>3.47</v>
      </c>
      <c r="Z27">
        <v>7.66</v>
      </c>
      <c r="AA27">
        <v>7.66</v>
      </c>
      <c r="AB27">
        <v>1.43</v>
      </c>
      <c r="AC27">
        <v>1.1399999999999999</v>
      </c>
      <c r="AD27">
        <v>2.78</v>
      </c>
      <c r="AE27">
        <v>2.2400000000000002</v>
      </c>
    </row>
    <row r="28" spans="1:32" x14ac:dyDescent="0.35">
      <c r="A28" t="str">
        <f t="shared" si="3"/>
        <v>Pública com contrato21 a 50</v>
      </c>
      <c r="B28" t="s">
        <v>428</v>
      </c>
      <c r="C28" t="s">
        <v>425</v>
      </c>
      <c r="D28">
        <f t="shared" si="4"/>
        <v>20</v>
      </c>
      <c r="E28">
        <v>50</v>
      </c>
      <c r="F28">
        <v>15.24</v>
      </c>
      <c r="G28">
        <v>15.24</v>
      </c>
      <c r="H28">
        <v>7.83</v>
      </c>
      <c r="I28">
        <v>6.24</v>
      </c>
      <c r="J28">
        <v>11.61</v>
      </c>
      <c r="K28">
        <v>11.61</v>
      </c>
      <c r="L28">
        <v>8.16</v>
      </c>
      <c r="M28">
        <v>8.16</v>
      </c>
      <c r="N28">
        <v>7.83</v>
      </c>
      <c r="O28">
        <v>6.24</v>
      </c>
      <c r="P28">
        <v>8.02</v>
      </c>
      <c r="Q28">
        <v>6.46</v>
      </c>
      <c r="R28">
        <v>5.48</v>
      </c>
      <c r="S28">
        <v>4.3499999999999996</v>
      </c>
      <c r="T28">
        <v>13.87</v>
      </c>
      <c r="U28">
        <v>13.87</v>
      </c>
      <c r="V28">
        <v>6.83</v>
      </c>
      <c r="W28">
        <v>5.46</v>
      </c>
      <c r="X28">
        <v>7.7</v>
      </c>
      <c r="Y28">
        <v>6.14</v>
      </c>
      <c r="Z28">
        <v>14.74</v>
      </c>
      <c r="AA28">
        <v>14.74</v>
      </c>
      <c r="AB28">
        <v>2.0299999999999998</v>
      </c>
      <c r="AC28">
        <v>1.63</v>
      </c>
      <c r="AD28">
        <v>4.54</v>
      </c>
      <c r="AE28">
        <v>3.62</v>
      </c>
    </row>
    <row r="29" spans="1:32" x14ac:dyDescent="0.35">
      <c r="A29" t="str">
        <f t="shared" si="3"/>
        <v>Pública com contratoAcima de 50</v>
      </c>
      <c r="B29" t="s">
        <v>428</v>
      </c>
      <c r="C29" t="s">
        <v>422</v>
      </c>
      <c r="D29">
        <f t="shared" si="4"/>
        <v>50</v>
      </c>
      <c r="F29">
        <v>15.84</v>
      </c>
      <c r="G29">
        <v>15.84</v>
      </c>
      <c r="H29">
        <v>9.1300000000000008</v>
      </c>
      <c r="I29">
        <v>7.33</v>
      </c>
      <c r="J29">
        <v>12.55</v>
      </c>
      <c r="K29">
        <v>12.55</v>
      </c>
      <c r="L29">
        <v>10.36</v>
      </c>
      <c r="M29">
        <v>10.36</v>
      </c>
      <c r="N29">
        <v>9.1300000000000008</v>
      </c>
      <c r="O29">
        <v>7.33</v>
      </c>
      <c r="P29">
        <v>10.210000000000001</v>
      </c>
      <c r="Q29">
        <v>8.17</v>
      </c>
      <c r="R29">
        <v>6.39</v>
      </c>
      <c r="S29">
        <v>5.12</v>
      </c>
      <c r="T29">
        <v>14.49</v>
      </c>
      <c r="U29">
        <v>14.49</v>
      </c>
      <c r="V29">
        <v>7.98</v>
      </c>
      <c r="W29">
        <v>6.4</v>
      </c>
      <c r="X29">
        <v>8.67</v>
      </c>
      <c r="Y29">
        <v>6.96</v>
      </c>
      <c r="Z29">
        <v>15.32</v>
      </c>
      <c r="AA29">
        <v>15.32</v>
      </c>
      <c r="AB29">
        <v>3.48</v>
      </c>
      <c r="AC29">
        <v>2.78</v>
      </c>
      <c r="AD29">
        <v>5.3</v>
      </c>
      <c r="AE29">
        <v>4.25</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EC3D-442D-4A07-BD6E-F0F051361EC8}">
  <sheetPr>
    <tabColor rgb="FF92D050"/>
  </sheetPr>
  <dimension ref="A1:AG21"/>
  <sheetViews>
    <sheetView workbookViewId="0">
      <selection activeCell="B5" sqref="B5"/>
    </sheetView>
  </sheetViews>
  <sheetFormatPr defaultRowHeight="14.5" x14ac:dyDescent="0.35"/>
  <sheetData>
    <row r="1" spans="1:33" x14ac:dyDescent="0.35">
      <c r="A1" t="s">
        <v>388</v>
      </c>
      <c r="B1" t="str">
        <f>Auxiliar!G22</f>
        <v>SANTO ANASTACIO</v>
      </c>
      <c r="E1">
        <v>1</v>
      </c>
      <c r="F1" t="s">
        <v>456</v>
      </c>
      <c r="G1">
        <f>R13+R21</f>
        <v>48.78</v>
      </c>
    </row>
    <row r="2" spans="1:33" x14ac:dyDescent="0.35">
      <c r="A2" t="s">
        <v>390</v>
      </c>
      <c r="B2">
        <f>Auxiliar!I22</f>
        <v>5</v>
      </c>
      <c r="E2">
        <v>3</v>
      </c>
      <c r="F2" t="s">
        <v>417</v>
      </c>
      <c r="G2">
        <f>G13+G21</f>
        <v>16.52</v>
      </c>
    </row>
    <row r="3" spans="1:33" x14ac:dyDescent="0.35">
      <c r="A3" t="s">
        <v>432</v>
      </c>
      <c r="B3">
        <f>Auxiliar!Q21</f>
        <v>1</v>
      </c>
      <c r="C3" t="str">
        <f>Auxiliar!P21</f>
        <v>Residencial</v>
      </c>
      <c r="E3">
        <v>4</v>
      </c>
      <c r="F3" t="s">
        <v>423</v>
      </c>
      <c r="G3" t="str">
        <f>IF(M13+M21=0,"",M13+M21)</f>
        <v/>
      </c>
    </row>
    <row r="4" spans="1:33" x14ac:dyDescent="0.35">
      <c r="A4" t="s">
        <v>453</v>
      </c>
      <c r="B4">
        <f>Simulador!C7</f>
        <v>10</v>
      </c>
      <c r="E4" t="s">
        <v>513</v>
      </c>
      <c r="F4" t="s">
        <v>426</v>
      </c>
      <c r="G4">
        <f>W13+W21</f>
        <v>97.83</v>
      </c>
    </row>
    <row r="5" spans="1:33" x14ac:dyDescent="0.35">
      <c r="A5" t="s">
        <v>512</v>
      </c>
      <c r="B5">
        <f>IF(B3=1,G1,IF(B3=3,G2,IF(B3=5,"",IF(B3=4,G3,IF(OR(B3=6,B3=9,B3=10),G4,IF(B3=8,G5,""))))))</f>
        <v>48.78</v>
      </c>
      <c r="E5">
        <v>8</v>
      </c>
      <c r="F5" t="s">
        <v>427</v>
      </c>
      <c r="G5">
        <f>AB13+AB21</f>
        <v>48.91</v>
      </c>
    </row>
    <row r="6" spans="1:33" x14ac:dyDescent="0.35">
      <c r="F6" t="s">
        <v>428</v>
      </c>
      <c r="G6">
        <f>AG13+AG21</f>
        <v>73.33</v>
      </c>
    </row>
    <row r="7" spans="1:33" x14ac:dyDescent="0.35">
      <c r="A7" t="s">
        <v>433</v>
      </c>
    </row>
    <row r="8" spans="1:33" x14ac:dyDescent="0.35">
      <c r="A8" t="s">
        <v>432</v>
      </c>
      <c r="B8" t="s">
        <v>417</v>
      </c>
      <c r="C8" t="s">
        <v>417</v>
      </c>
      <c r="D8" t="s">
        <v>417</v>
      </c>
      <c r="E8" t="s">
        <v>417</v>
      </c>
      <c r="F8" t="s">
        <v>417</v>
      </c>
      <c r="H8" t="s">
        <v>423</v>
      </c>
      <c r="I8" t="s">
        <v>423</v>
      </c>
      <c r="J8" t="s">
        <v>423</v>
      </c>
      <c r="K8" t="s">
        <v>423</v>
      </c>
      <c r="L8" t="s">
        <v>423</v>
      </c>
      <c r="N8" t="s">
        <v>424</v>
      </c>
      <c r="O8" t="s">
        <v>424</v>
      </c>
      <c r="P8" t="s">
        <v>424</v>
      </c>
      <c r="Q8" t="s">
        <v>424</v>
      </c>
      <c r="S8" t="s">
        <v>426</v>
      </c>
      <c r="T8" t="s">
        <v>426</v>
      </c>
      <c r="U8" t="s">
        <v>426</v>
      </c>
      <c r="V8" t="s">
        <v>426</v>
      </c>
      <c r="X8" t="s">
        <v>427</v>
      </c>
      <c r="Y8" t="s">
        <v>427</v>
      </c>
      <c r="Z8" t="s">
        <v>427</v>
      </c>
      <c r="AA8" t="s">
        <v>427</v>
      </c>
      <c r="AC8" t="s">
        <v>428</v>
      </c>
      <c r="AD8" t="s">
        <v>428</v>
      </c>
      <c r="AE8" t="s">
        <v>428</v>
      </c>
      <c r="AF8" t="s">
        <v>428</v>
      </c>
    </row>
    <row r="9" spans="1:33" x14ac:dyDescent="0.35">
      <c r="A9" t="s">
        <v>431</v>
      </c>
      <c r="B9" t="s">
        <v>418</v>
      </c>
      <c r="C9" t="s">
        <v>419</v>
      </c>
      <c r="D9" t="s">
        <v>420</v>
      </c>
      <c r="E9" t="s">
        <v>421</v>
      </c>
      <c r="F9" t="s">
        <v>422</v>
      </c>
      <c r="H9" t="s">
        <v>418</v>
      </c>
      <c r="I9" t="s">
        <v>419</v>
      </c>
      <c r="J9" t="s">
        <v>420</v>
      </c>
      <c r="K9" t="s">
        <v>421</v>
      </c>
      <c r="L9" t="s">
        <v>422</v>
      </c>
      <c r="N9" t="s">
        <v>418</v>
      </c>
      <c r="O9" t="s">
        <v>419</v>
      </c>
      <c r="P9" t="s">
        <v>425</v>
      </c>
      <c r="Q9" t="s">
        <v>422</v>
      </c>
      <c r="S9" t="s">
        <v>418</v>
      </c>
      <c r="T9" t="s">
        <v>419</v>
      </c>
      <c r="U9" t="s">
        <v>425</v>
      </c>
      <c r="V9" t="s">
        <v>422</v>
      </c>
      <c r="X9" t="s">
        <v>418</v>
      </c>
      <c r="Y9" t="s">
        <v>419</v>
      </c>
      <c r="Z9" t="s">
        <v>425</v>
      </c>
      <c r="AA9" t="s">
        <v>422</v>
      </c>
      <c r="AC9" t="s">
        <v>418</v>
      </c>
      <c r="AD9" t="s">
        <v>419</v>
      </c>
      <c r="AE9" t="s">
        <v>425</v>
      </c>
      <c r="AF9" t="s">
        <v>422</v>
      </c>
    </row>
    <row r="10" spans="1:33" x14ac:dyDescent="0.35">
      <c r="A10" t="s">
        <v>429</v>
      </c>
      <c r="B10">
        <v>0</v>
      </c>
      <c r="C10">
        <v>10</v>
      </c>
      <c r="D10">
        <v>20</v>
      </c>
      <c r="E10">
        <v>30</v>
      </c>
      <c r="F10">
        <v>50</v>
      </c>
      <c r="H10">
        <v>0</v>
      </c>
      <c r="I10">
        <v>10</v>
      </c>
      <c r="J10">
        <v>20</v>
      </c>
      <c r="K10">
        <v>30</v>
      </c>
      <c r="L10">
        <v>50</v>
      </c>
      <c r="N10">
        <v>0</v>
      </c>
      <c r="O10">
        <v>10</v>
      </c>
      <c r="P10">
        <v>20</v>
      </c>
      <c r="Q10">
        <v>50</v>
      </c>
      <c r="S10">
        <v>0</v>
      </c>
      <c r="T10">
        <v>10</v>
      </c>
      <c r="U10">
        <v>20</v>
      </c>
      <c r="V10">
        <v>50</v>
      </c>
      <c r="X10">
        <v>0</v>
      </c>
      <c r="Y10">
        <v>10</v>
      </c>
      <c r="Z10">
        <v>20</v>
      </c>
      <c r="AA10">
        <v>50</v>
      </c>
      <c r="AC10">
        <v>0</v>
      </c>
      <c r="AD10">
        <v>10</v>
      </c>
      <c r="AE10">
        <v>20</v>
      </c>
      <c r="AF10">
        <v>50</v>
      </c>
    </row>
    <row r="11" spans="1:33" x14ac:dyDescent="0.35">
      <c r="A11" t="s">
        <v>430</v>
      </c>
      <c r="B11">
        <v>10</v>
      </c>
      <c r="C11">
        <v>20</v>
      </c>
      <c r="D11">
        <v>30</v>
      </c>
      <c r="E11">
        <v>50</v>
      </c>
      <c r="H11">
        <v>10</v>
      </c>
      <c r="I11">
        <v>20</v>
      </c>
      <c r="J11">
        <v>30</v>
      </c>
      <c r="K11">
        <v>50</v>
      </c>
      <c r="N11">
        <v>10</v>
      </c>
      <c r="O11">
        <v>20</v>
      </c>
      <c r="P11">
        <v>50</v>
      </c>
      <c r="S11">
        <v>10</v>
      </c>
      <c r="T11">
        <v>20</v>
      </c>
      <c r="U11">
        <v>50</v>
      </c>
      <c r="X11">
        <v>10</v>
      </c>
      <c r="Y11">
        <v>20</v>
      </c>
      <c r="Z11">
        <v>50</v>
      </c>
      <c r="AC11">
        <v>10</v>
      </c>
      <c r="AD11">
        <v>20</v>
      </c>
      <c r="AE11">
        <v>50</v>
      </c>
    </row>
    <row r="12" spans="1:33" x14ac:dyDescent="0.35">
      <c r="A12" t="s">
        <v>455</v>
      </c>
      <c r="B12">
        <f>INDEX('Tarifas 2020'!$A$3:$AG$29,MATCH('Fatura 2020'!B8&amp;'Fatura 2020'!B9,'Tarifas 2020'!$A$3:$A$29,0),MATCH('Fatura 2020'!$A7&amp;'Fatura 2020'!$B$2,'Tarifas 2020'!$A$3:$AG$3,0))</f>
        <v>9.18</v>
      </c>
      <c r="C12">
        <f>INDEX('Tarifas 2020'!$A$3:$AG$29,MATCH('Fatura 2020'!C8&amp;'Fatura 2020'!C9,'Tarifas 2020'!$A$3:$A$29,0),MATCH('Fatura 2020'!$A7&amp;'Fatura 2020'!$B$2,'Tarifas 2020'!$A$3:$AG$3,0))</f>
        <v>1.43</v>
      </c>
      <c r="D12">
        <f>INDEX('Tarifas 2020'!$A$3:$AG$29,MATCH('Fatura 2020'!D8&amp;'Fatura 2020'!D9,'Tarifas 2020'!$A$3:$A$29,0),MATCH('Fatura 2020'!$A7&amp;'Fatura 2020'!$B$2,'Tarifas 2020'!$A$3:$AG$3,0))</f>
        <v>3.1</v>
      </c>
      <c r="E12">
        <f>INDEX('Tarifas 2020'!$A$3:$AG$29,MATCH('Fatura 2020'!E8&amp;'Fatura 2020'!E9,'Tarifas 2020'!$A$3:$A$29,0),MATCH('Fatura 2020'!$A7&amp;'Fatura 2020'!$B$2,'Tarifas 2020'!$A$3:$AG$3,0))</f>
        <v>4.42</v>
      </c>
      <c r="F12">
        <f>INDEX('Tarifas 2020'!$A$3:$AG$29,MATCH('Fatura 2020'!F8&amp;'Fatura 2020'!F9,'Tarifas 2020'!$A$3:$A$29,0),MATCH('Fatura 2020'!$A7&amp;'Fatura 2020'!$B$2,'Tarifas 2020'!$A$3:$AG$3,0))</f>
        <v>5.25</v>
      </c>
      <c r="H12">
        <f>INDEX('Tarifas 2020'!$A$3:$AG$29,MATCH('Fatura 2020'!H8&amp;'Fatura 2020'!H9,'Tarifas 2020'!$A$3:$A$29,0),MATCH('Fatura 2020'!$A7&amp;'Fatura 2020'!$B$2,'Tarifas 2020'!$A$3:$AG$3,0))</f>
        <v>0</v>
      </c>
      <c r="I12">
        <f>INDEX('Tarifas 2020'!$A$3:$AG$29,MATCH('Fatura 2020'!I8&amp;'Fatura 2020'!I9,'Tarifas 2020'!$A$3:$A$29,0),MATCH('Fatura 2020'!$A7&amp;'Fatura 2020'!$B$2,'Tarifas 2020'!$A$3:$AG$3,0))</f>
        <v>0</v>
      </c>
      <c r="J12">
        <f>INDEX('Tarifas 2020'!$A$3:$AG$29,MATCH('Fatura 2020'!J8&amp;'Fatura 2020'!J9,'Tarifas 2020'!$A$3:$A$29,0),MATCH('Fatura 2020'!$A7&amp;'Fatura 2020'!$B$2,'Tarifas 2020'!$A$3:$AG$3,0))</f>
        <v>0</v>
      </c>
      <c r="K12">
        <f>INDEX('Tarifas 2020'!$A$3:$AG$29,MATCH('Fatura 2020'!K8&amp;'Fatura 2020'!K9,'Tarifas 2020'!$A$3:$A$29,0),MATCH('Fatura 2020'!$A7&amp;'Fatura 2020'!$B$2,'Tarifas 2020'!$A$3:$AG$3,0))</f>
        <v>0</v>
      </c>
      <c r="L12">
        <f>INDEX('Tarifas 2020'!$A$3:$AG$29,MATCH('Fatura 2020'!L8&amp;'Fatura 2020'!L9,'Tarifas 2020'!$A$3:$A$29,0),MATCH('Fatura 2020'!$A7&amp;'Fatura 2020'!$B$2,'Tarifas 2020'!$A$3:$AG$3,0))</f>
        <v>0</v>
      </c>
      <c r="N12">
        <f>INDEX('Tarifas 2020'!$A$3:$AG$29,MATCH('Fatura 2020'!N8&amp;'Fatura 2020'!N9,'Tarifas 2020'!$A$3:$A$29,0),MATCH('Fatura 2020'!$A7&amp;'Fatura 2020'!$B$2,'Tarifas 2020'!$A$3:$AG$3,0))</f>
        <v>27.07</v>
      </c>
      <c r="O12">
        <f>INDEX('Tarifas 2020'!$A$3:$AG$29,MATCH('Fatura 2020'!O8&amp;'Fatura 2020'!O9,'Tarifas 2020'!$A$3:$A$29,0),MATCH('Fatura 2020'!$A7&amp;'Fatura 2020'!$B$2,'Tarifas 2020'!$A$3:$AG$3,0))</f>
        <v>3.77</v>
      </c>
      <c r="P12">
        <f>INDEX('Tarifas 2020'!$A$3:$AG$29,MATCH('Fatura 2020'!P8&amp;'Fatura 2020'!P9,'Tarifas 2020'!$A$3:$A$29,0),MATCH('Fatura 2020'!$A7&amp;'Fatura 2020'!$B$2,'Tarifas 2020'!$A$3:$AG$3,0))</f>
        <v>5.8</v>
      </c>
      <c r="Q12">
        <f>INDEX('Tarifas 2020'!$A$3:$AG$29,MATCH('Fatura 2020'!Q8&amp;'Fatura 2020'!Q9,'Tarifas 2020'!$A$3:$A$29,0),MATCH('Fatura 2020'!$A7&amp;'Fatura 2020'!$B$2,'Tarifas 2020'!$A$3:$AG$3,0))</f>
        <v>6.94</v>
      </c>
      <c r="S12">
        <f>INDEX('Tarifas 2020'!$A$3:$AG$29,MATCH('Fatura 2020'!S8&amp;'Fatura 2020'!S9,'Tarifas 2020'!$A$3:$A$29,0),MATCH('Fatura 2020'!$A7&amp;'Fatura 2020'!$B$2,'Tarifas 2020'!$A$3:$AG$3,0))</f>
        <v>54.36</v>
      </c>
      <c r="T12">
        <f>INDEX('Tarifas 2020'!$A$3:$AG$29,MATCH('Fatura 2020'!T8&amp;'Fatura 2020'!T9,'Tarifas 2020'!$A$3:$A$29,0),MATCH('Fatura 2020'!$A7&amp;'Fatura 2020'!$B$2,'Tarifas 2020'!$A$3:$AG$3,0))</f>
        <v>6.43</v>
      </c>
      <c r="U12">
        <f>INDEX('Tarifas 2020'!$A$3:$AG$29,MATCH('Fatura 2020'!U8&amp;'Fatura 2020'!U9,'Tarifas 2020'!$A$3:$A$29,0),MATCH('Fatura 2020'!$A7&amp;'Fatura 2020'!$B$2,'Tarifas 2020'!$A$3:$AG$3,0))</f>
        <v>10.39</v>
      </c>
      <c r="V12">
        <f>INDEX('Tarifas 2020'!$A$3:$AG$29,MATCH('Fatura 2020'!V8&amp;'Fatura 2020'!V9,'Tarifas 2020'!$A$3:$A$29,0),MATCH('Fatura 2020'!$A7&amp;'Fatura 2020'!$B$2,'Tarifas 2020'!$A$3:$AG$3,0))</f>
        <v>12.2</v>
      </c>
      <c r="X12">
        <f>INDEX('Tarifas 2020'!$A$3:$AG$29,MATCH('Fatura 2020'!X8&amp;'Fatura 2020'!X9,'Tarifas 2020'!$A$3:$A$29,0),MATCH('Fatura 2020'!$A7&amp;'Fatura 2020'!$B$2,'Tarifas 2020'!$A$3:$AG$3,0))</f>
        <v>27.17</v>
      </c>
      <c r="Y12">
        <f>INDEX('Tarifas 2020'!$A$3:$AG$29,MATCH('Fatura 2020'!Y8&amp;'Fatura 2020'!Y9,'Tarifas 2020'!$A$3:$A$29,0),MATCH('Fatura 2020'!$A7&amp;'Fatura 2020'!$B$2,'Tarifas 2020'!$A$3:$AG$3,0))</f>
        <v>3.24</v>
      </c>
      <c r="Z12">
        <f>INDEX('Tarifas 2020'!$A$3:$AG$29,MATCH('Fatura 2020'!Z8&amp;'Fatura 2020'!Z9,'Tarifas 2020'!$A$3:$A$29,0),MATCH('Fatura 2020'!$A7&amp;'Fatura 2020'!$B$2,'Tarifas 2020'!$A$3:$AG$3,0))</f>
        <v>5.24</v>
      </c>
      <c r="AA12">
        <f>INDEX('Tarifas 2020'!$A$3:$AG$29,MATCH('Fatura 2020'!AA8&amp;'Fatura 2020'!AA9,'Tarifas 2020'!$A$3:$A$29,0),MATCH('Fatura 2020'!$A7&amp;'Fatura 2020'!$B$2,'Tarifas 2020'!$A$3:$AG$3,0))</f>
        <v>6.12</v>
      </c>
      <c r="AC12">
        <f>INDEX('Tarifas 2020'!$A$3:$AG$29,MATCH('Fatura 2020'!AC8&amp;'Fatura 2020'!AC9,'Tarifas 2020'!$A$3:$A$29,0),MATCH('Fatura 2020'!$A7&amp;'Fatura 2020'!$B$2,'Tarifas 2020'!$A$3:$AG$3,0))</f>
        <v>40.729999999999997</v>
      </c>
      <c r="AD12">
        <f>INDEX('Tarifas 2020'!$A$3:$AG$29,MATCH('Fatura 2020'!AD8&amp;'Fatura 2020'!AD9,'Tarifas 2020'!$A$3:$A$29,0),MATCH('Fatura 2020'!$A7&amp;'Fatura 2020'!$B$2,'Tarifas 2020'!$A$3:$AG$3,0))</f>
        <v>4.8</v>
      </c>
      <c r="AE12">
        <f>INDEX('Tarifas 2020'!$A$3:$AG$29,MATCH('Fatura 2020'!AE8&amp;'Fatura 2020'!AE9,'Tarifas 2020'!$A$3:$A$29,0),MATCH('Fatura 2020'!$A7&amp;'Fatura 2020'!$B$2,'Tarifas 2020'!$A$3:$AG$3,0))</f>
        <v>7.83</v>
      </c>
      <c r="AF12">
        <f>INDEX('Tarifas 2020'!$A$3:$AG$29,MATCH('Fatura 2020'!AF8&amp;'Fatura 2020'!AF9,'Tarifas 2020'!$A$3:$A$29,0),MATCH('Fatura 2020'!$A7&amp;'Fatura 2020'!$B$2,'Tarifas 2020'!$A$3:$AG$3,0))</f>
        <v>9.1300000000000008</v>
      </c>
    </row>
    <row r="13" spans="1:33" x14ac:dyDescent="0.35">
      <c r="A13">
        <f>B4</f>
        <v>10</v>
      </c>
      <c r="B13">
        <f>B12</f>
        <v>9.18</v>
      </c>
      <c r="C13">
        <f>IF($A13&gt;C11,C12*(C11-C10),C12*($A13-C10))</f>
        <v>0</v>
      </c>
      <c r="D13">
        <f>IF($A13&gt;D11,D12*(D11-D10),D12*($A13-D10))</f>
        <v>-31</v>
      </c>
      <c r="E13">
        <f>IF($A13&gt;E11,E12*(E11-E10),E12*($A13-E10))</f>
        <v>-88.4</v>
      </c>
      <c r="F13">
        <f>F12*($A13-F10)</f>
        <v>-210</v>
      </c>
      <c r="G13">
        <f>SUMIF(B13:F13,"&gt;0",B13:F13)</f>
        <v>9.18</v>
      </c>
      <c r="H13">
        <f>H12</f>
        <v>0</v>
      </c>
      <c r="I13">
        <f>IF($A13&gt;I11,I12*(I11-I10),I12*($A13-I10))</f>
        <v>0</v>
      </c>
      <c r="J13">
        <f>IF($A13&gt;J11,J12*(J11-J10),J12*($A13-J10))</f>
        <v>0</v>
      </c>
      <c r="K13">
        <f>IF($A13&gt;K11,K12*(K11-K10),K12*($A13-K10))</f>
        <v>0</v>
      </c>
      <c r="L13">
        <f>L12*($A13-L10)</f>
        <v>0</v>
      </c>
      <c r="M13">
        <f>SUMIF(H13:L13,"&gt;0",H13:L13)</f>
        <v>0</v>
      </c>
      <c r="N13">
        <f>N12</f>
        <v>27.07</v>
      </c>
      <c r="O13">
        <f>IF($A13&gt;O11,O12*(O11-O10),O12*($A13-O10))</f>
        <v>0</v>
      </c>
      <c r="P13">
        <f>IF($A13&gt;P11,P12*(P11-P10),P12*($A13-P10))</f>
        <v>-58</v>
      </c>
      <c r="Q13">
        <f>Q12*($A13-Q10)</f>
        <v>-277.60000000000002</v>
      </c>
      <c r="R13">
        <f>SUMIF(N13:Q13,"&gt;0",N13:Q13)</f>
        <v>27.07</v>
      </c>
      <c r="S13">
        <f>S12</f>
        <v>54.36</v>
      </c>
      <c r="T13">
        <f>IF($A13&gt;T11,T12*(T11-T10),T12*($A13-T10))</f>
        <v>0</v>
      </c>
      <c r="U13">
        <f>IF($A13&gt;U11,U12*(U11-U10),U12*($A13-U10))</f>
        <v>-103.9</v>
      </c>
      <c r="V13">
        <f>V12*($A13-V10)</f>
        <v>-488</v>
      </c>
      <c r="W13">
        <f>SUMIF(S13:V13,"&gt;0",S13:V13)</f>
        <v>54.36</v>
      </c>
      <c r="X13">
        <f>X12</f>
        <v>27.17</v>
      </c>
      <c r="Y13">
        <f>IF($A13&gt;Y11,Y12*(Y11-Y10),Y12*($A13-Y10))</f>
        <v>0</v>
      </c>
      <c r="Z13">
        <f>IF($A13&gt;Z11,Z12*(Z11-Z10),Z12*($A13-Z10))</f>
        <v>-52.400000000000006</v>
      </c>
      <c r="AA13">
        <f>AA12*($A13-AA10)</f>
        <v>-244.8</v>
      </c>
      <c r="AB13">
        <f>SUMIF(X13:AA13,"&gt;0",X13:AA13)</f>
        <v>27.17</v>
      </c>
      <c r="AC13">
        <f>AC12</f>
        <v>40.729999999999997</v>
      </c>
      <c r="AD13">
        <f>IF($A13&gt;AD11,AD12*(AD11-AD10),AD12*($A13-AD10))</f>
        <v>0</v>
      </c>
      <c r="AE13">
        <f>IF($A13&gt;AE11,AE12*(AE11-AE10),AE12*($A13-AE10))</f>
        <v>-78.3</v>
      </c>
      <c r="AF13">
        <f>AF12*($A13-AF10)</f>
        <v>-365.20000000000005</v>
      </c>
      <c r="AG13">
        <f>SUMIF(AC13:AF13,"&gt;0",AC13:AF13)</f>
        <v>40.729999999999997</v>
      </c>
    </row>
    <row r="15" spans="1:33" x14ac:dyDescent="0.35">
      <c r="A15" t="s">
        <v>434</v>
      </c>
    </row>
    <row r="16" spans="1:33" x14ac:dyDescent="0.35">
      <c r="A16" t="s">
        <v>432</v>
      </c>
      <c r="B16" t="s">
        <v>417</v>
      </c>
      <c r="C16" t="s">
        <v>417</v>
      </c>
      <c r="D16" t="s">
        <v>417</v>
      </c>
      <c r="E16" t="s">
        <v>417</v>
      </c>
      <c r="F16" t="s">
        <v>417</v>
      </c>
      <c r="H16" t="s">
        <v>423</v>
      </c>
      <c r="I16" t="s">
        <v>423</v>
      </c>
      <c r="J16" t="s">
        <v>423</v>
      </c>
      <c r="K16" t="s">
        <v>423</v>
      </c>
      <c r="L16" t="s">
        <v>423</v>
      </c>
      <c r="N16" t="s">
        <v>424</v>
      </c>
      <c r="O16" t="s">
        <v>424</v>
      </c>
      <c r="P16" t="s">
        <v>424</v>
      </c>
      <c r="Q16" t="s">
        <v>424</v>
      </c>
      <c r="S16" t="s">
        <v>426</v>
      </c>
      <c r="T16" t="s">
        <v>426</v>
      </c>
      <c r="U16" t="s">
        <v>426</v>
      </c>
      <c r="V16" t="s">
        <v>426</v>
      </c>
      <c r="X16" t="s">
        <v>427</v>
      </c>
      <c r="Y16" t="s">
        <v>427</v>
      </c>
      <c r="Z16" t="s">
        <v>427</v>
      </c>
      <c r="AA16" t="s">
        <v>427</v>
      </c>
      <c r="AC16" t="s">
        <v>428</v>
      </c>
      <c r="AD16" t="s">
        <v>428</v>
      </c>
      <c r="AE16" t="s">
        <v>428</v>
      </c>
      <c r="AF16" t="s">
        <v>428</v>
      </c>
    </row>
    <row r="17" spans="1:33" x14ac:dyDescent="0.35">
      <c r="A17" t="s">
        <v>431</v>
      </c>
      <c r="B17" t="s">
        <v>418</v>
      </c>
      <c r="C17" t="s">
        <v>419</v>
      </c>
      <c r="D17" t="s">
        <v>420</v>
      </c>
      <c r="E17" t="s">
        <v>421</v>
      </c>
      <c r="F17" t="s">
        <v>422</v>
      </c>
      <c r="H17" t="s">
        <v>418</v>
      </c>
      <c r="I17" t="s">
        <v>419</v>
      </c>
      <c r="J17" t="s">
        <v>420</v>
      </c>
      <c r="K17" t="s">
        <v>421</v>
      </c>
      <c r="L17" t="s">
        <v>422</v>
      </c>
      <c r="N17" t="s">
        <v>418</v>
      </c>
      <c r="O17" t="s">
        <v>419</v>
      </c>
      <c r="P17" t="s">
        <v>425</v>
      </c>
      <c r="Q17" t="s">
        <v>422</v>
      </c>
      <c r="S17" t="s">
        <v>418</v>
      </c>
      <c r="T17" t="s">
        <v>419</v>
      </c>
      <c r="U17" t="s">
        <v>425</v>
      </c>
      <c r="V17" t="s">
        <v>422</v>
      </c>
      <c r="X17" t="s">
        <v>418</v>
      </c>
      <c r="Y17" t="s">
        <v>419</v>
      </c>
      <c r="Z17" t="s">
        <v>425</v>
      </c>
      <c r="AA17" t="s">
        <v>422</v>
      </c>
      <c r="AC17" t="s">
        <v>418</v>
      </c>
      <c r="AD17" t="s">
        <v>419</v>
      </c>
      <c r="AE17" t="s">
        <v>425</v>
      </c>
      <c r="AF17" t="s">
        <v>422</v>
      </c>
    </row>
    <row r="18" spans="1:33" x14ac:dyDescent="0.35">
      <c r="A18" t="s">
        <v>429</v>
      </c>
      <c r="B18">
        <v>0</v>
      </c>
      <c r="C18">
        <v>10</v>
      </c>
      <c r="D18">
        <v>20</v>
      </c>
      <c r="E18">
        <v>30</v>
      </c>
      <c r="F18">
        <v>50</v>
      </c>
      <c r="H18">
        <v>0</v>
      </c>
      <c r="I18">
        <v>10</v>
      </c>
      <c r="J18">
        <v>20</v>
      </c>
      <c r="K18">
        <v>30</v>
      </c>
      <c r="L18">
        <v>50</v>
      </c>
      <c r="N18">
        <v>0</v>
      </c>
      <c r="O18">
        <v>10</v>
      </c>
      <c r="P18">
        <v>20</v>
      </c>
      <c r="Q18">
        <v>50</v>
      </c>
      <c r="S18">
        <v>0</v>
      </c>
      <c r="T18">
        <v>10</v>
      </c>
      <c r="U18">
        <v>20</v>
      </c>
      <c r="V18">
        <v>50</v>
      </c>
      <c r="X18">
        <v>0</v>
      </c>
      <c r="Y18">
        <v>10</v>
      </c>
      <c r="Z18">
        <v>20</v>
      </c>
      <c r="AA18">
        <v>50</v>
      </c>
      <c r="AC18">
        <v>0</v>
      </c>
      <c r="AD18">
        <v>10</v>
      </c>
      <c r="AE18">
        <v>20</v>
      </c>
      <c r="AF18">
        <v>50</v>
      </c>
    </row>
    <row r="19" spans="1:33" x14ac:dyDescent="0.35">
      <c r="A19" t="s">
        <v>430</v>
      </c>
      <c r="B19">
        <v>10</v>
      </c>
      <c r="C19">
        <v>20</v>
      </c>
      <c r="D19">
        <v>30</v>
      </c>
      <c r="E19">
        <v>50</v>
      </c>
      <c r="H19">
        <v>10</v>
      </c>
      <c r="I19">
        <v>20</v>
      </c>
      <c r="J19">
        <v>30</v>
      </c>
      <c r="K19">
        <v>50</v>
      </c>
      <c r="N19">
        <v>10</v>
      </c>
      <c r="O19">
        <v>20</v>
      </c>
      <c r="P19">
        <v>50</v>
      </c>
      <c r="S19">
        <v>10</v>
      </c>
      <c r="T19">
        <v>20</v>
      </c>
      <c r="U19">
        <v>50</v>
      </c>
      <c r="X19">
        <v>10</v>
      </c>
      <c r="Y19">
        <v>20</v>
      </c>
      <c r="Z19">
        <v>50</v>
      </c>
      <c r="AC19">
        <v>10</v>
      </c>
      <c r="AD19">
        <v>20</v>
      </c>
      <c r="AE19">
        <v>50</v>
      </c>
    </row>
    <row r="20" spans="1:33" x14ac:dyDescent="0.35">
      <c r="A20" t="s">
        <v>455</v>
      </c>
      <c r="B20">
        <f>INDEX('Tarifas 2020'!$A$3:$AG$29,MATCH('Fatura 2020'!B16&amp;'Fatura 2020'!B17,'Tarifas 2020'!$A$3:$A$29,0),MATCH('Fatura 2020'!$A15&amp;'Fatura 2020'!$B$2,'Tarifas 2020'!$A$3:$AG$3,0))</f>
        <v>7.34</v>
      </c>
      <c r="C20">
        <f>INDEX('Tarifas 2020'!$A$3:$AG$29,MATCH('Fatura 2020'!C16&amp;'Fatura 2020'!C17,'Tarifas 2020'!$A$3:$A$29,0),MATCH('Fatura 2020'!$A15&amp;'Fatura 2020'!$B$2,'Tarifas 2020'!$A$3:$AG$3,0))</f>
        <v>1.1499999999999999</v>
      </c>
      <c r="D20">
        <f>INDEX('Tarifas 2020'!$A$3:$AG$29,MATCH('Fatura 2020'!D16&amp;'Fatura 2020'!D17,'Tarifas 2020'!$A$3:$A$29,0),MATCH('Fatura 2020'!$A15&amp;'Fatura 2020'!$B$2,'Tarifas 2020'!$A$3:$AG$3,0))</f>
        <v>2.46</v>
      </c>
      <c r="E20">
        <f>INDEX('Tarifas 2020'!$A$3:$AG$29,MATCH('Fatura 2020'!E16&amp;'Fatura 2020'!E17,'Tarifas 2020'!$A$3:$A$29,0),MATCH('Fatura 2020'!$A15&amp;'Fatura 2020'!$B$2,'Tarifas 2020'!$A$3:$AG$3,0))</f>
        <v>3.56</v>
      </c>
      <c r="F20">
        <f>INDEX('Tarifas 2020'!$A$3:$AG$29,MATCH('Fatura 2020'!F16&amp;'Fatura 2020'!F17,'Tarifas 2020'!$A$3:$A$29,0),MATCH('Fatura 2020'!$A15&amp;'Fatura 2020'!$B$2,'Tarifas 2020'!$A$3:$AG$3,0))</f>
        <v>4.2300000000000004</v>
      </c>
      <c r="H20">
        <f>INDEX('Tarifas 2020'!$A$3:$AG$29,MATCH('Fatura 2020'!H16&amp;'Fatura 2020'!H17,'Tarifas 2020'!$A$3:$A$29,0),MATCH('Fatura 2020'!$A15&amp;'Fatura 2020'!$B$2,'Tarifas 2020'!$A$3:$AG$3,0))</f>
        <v>0</v>
      </c>
      <c r="I20">
        <f>INDEX('Tarifas 2020'!$A$3:$AG$29,MATCH('Fatura 2020'!I16&amp;'Fatura 2020'!I17,'Tarifas 2020'!$A$3:$A$29,0),MATCH('Fatura 2020'!$A15&amp;'Fatura 2020'!$B$2,'Tarifas 2020'!$A$3:$AG$3,0))</f>
        <v>0</v>
      </c>
      <c r="J20">
        <f>INDEX('Tarifas 2020'!$A$3:$AG$29,MATCH('Fatura 2020'!J16&amp;'Fatura 2020'!J17,'Tarifas 2020'!$A$3:$A$29,0),MATCH('Fatura 2020'!$A15&amp;'Fatura 2020'!$B$2,'Tarifas 2020'!$A$3:$AG$3,0))</f>
        <v>0</v>
      </c>
      <c r="K20">
        <f>INDEX('Tarifas 2020'!$A$3:$AG$29,MATCH('Fatura 2020'!K16&amp;'Fatura 2020'!K17,'Tarifas 2020'!$A$3:$A$29,0),MATCH('Fatura 2020'!$A15&amp;'Fatura 2020'!$B$2,'Tarifas 2020'!$A$3:$AG$3,0))</f>
        <v>0</v>
      </c>
      <c r="L20">
        <f>INDEX('Tarifas 2020'!$A$3:$AG$29,MATCH('Fatura 2020'!L16&amp;'Fatura 2020'!L17,'Tarifas 2020'!$A$3:$A$29,0),MATCH('Fatura 2020'!$A15&amp;'Fatura 2020'!$B$2,'Tarifas 2020'!$A$3:$AG$3,0))</f>
        <v>0</v>
      </c>
      <c r="N20">
        <f>INDEX('Tarifas 2020'!$A$3:$AG$29,MATCH('Fatura 2020'!N16&amp;'Fatura 2020'!N17,'Tarifas 2020'!$A$3:$A$29,0),MATCH('Fatura 2020'!$A15&amp;'Fatura 2020'!$B$2,'Tarifas 2020'!$A$3:$AG$3,0))</f>
        <v>21.71</v>
      </c>
      <c r="O20">
        <f>INDEX('Tarifas 2020'!$A$3:$AG$29,MATCH('Fatura 2020'!O16&amp;'Fatura 2020'!O17,'Tarifas 2020'!$A$3:$A$29,0),MATCH('Fatura 2020'!$A15&amp;'Fatura 2020'!$B$2,'Tarifas 2020'!$A$3:$AG$3,0))</f>
        <v>2.98</v>
      </c>
      <c r="P20">
        <f>INDEX('Tarifas 2020'!$A$3:$AG$29,MATCH('Fatura 2020'!P16&amp;'Fatura 2020'!P17,'Tarifas 2020'!$A$3:$A$29,0),MATCH('Fatura 2020'!$A15&amp;'Fatura 2020'!$B$2,'Tarifas 2020'!$A$3:$AG$3,0))</f>
        <v>4.63</v>
      </c>
      <c r="Q20">
        <f>INDEX('Tarifas 2020'!$A$3:$AG$29,MATCH('Fatura 2020'!Q16&amp;'Fatura 2020'!Q17,'Tarifas 2020'!$A$3:$A$29,0),MATCH('Fatura 2020'!$A15&amp;'Fatura 2020'!$B$2,'Tarifas 2020'!$A$3:$AG$3,0))</f>
        <v>5.52</v>
      </c>
      <c r="S20">
        <f>INDEX('Tarifas 2020'!$A$3:$AG$29,MATCH('Fatura 2020'!S16&amp;'Fatura 2020'!S17,'Tarifas 2020'!$A$3:$A$29,0),MATCH('Fatura 2020'!$A15&amp;'Fatura 2020'!$B$2,'Tarifas 2020'!$A$3:$AG$3,0))</f>
        <v>43.47</v>
      </c>
      <c r="T20">
        <f>INDEX('Tarifas 2020'!$A$3:$AG$29,MATCH('Fatura 2020'!T16&amp;'Fatura 2020'!T17,'Tarifas 2020'!$A$3:$A$29,0),MATCH('Fatura 2020'!$A15&amp;'Fatura 2020'!$B$2,'Tarifas 2020'!$A$3:$AG$3,0))</f>
        <v>5.1100000000000003</v>
      </c>
      <c r="U20">
        <f>INDEX('Tarifas 2020'!$A$3:$AG$29,MATCH('Fatura 2020'!U16&amp;'Fatura 2020'!U17,'Tarifas 2020'!$A$3:$A$29,0),MATCH('Fatura 2020'!$A15&amp;'Fatura 2020'!$B$2,'Tarifas 2020'!$A$3:$AG$3,0))</f>
        <v>8.31</v>
      </c>
      <c r="V20">
        <f>INDEX('Tarifas 2020'!$A$3:$AG$29,MATCH('Fatura 2020'!V16&amp;'Fatura 2020'!V17,'Tarifas 2020'!$A$3:$A$29,0),MATCH('Fatura 2020'!$A15&amp;'Fatura 2020'!$B$2,'Tarifas 2020'!$A$3:$AG$3,0))</f>
        <v>9.74</v>
      </c>
      <c r="X20">
        <f>INDEX('Tarifas 2020'!$A$3:$AG$29,MATCH('Fatura 2020'!X16&amp;'Fatura 2020'!X17,'Tarifas 2020'!$A$3:$A$29,0),MATCH('Fatura 2020'!$A15&amp;'Fatura 2020'!$B$2,'Tarifas 2020'!$A$3:$AG$3,0))</f>
        <v>21.74</v>
      </c>
      <c r="Y20">
        <f>INDEX('Tarifas 2020'!$A$3:$AG$29,MATCH('Fatura 2020'!Y16&amp;'Fatura 2020'!Y17,'Tarifas 2020'!$A$3:$A$29,0),MATCH('Fatura 2020'!$A15&amp;'Fatura 2020'!$B$2,'Tarifas 2020'!$A$3:$AG$3,0))</f>
        <v>2.5499999999999998</v>
      </c>
      <c r="Z20">
        <f>INDEX('Tarifas 2020'!$A$3:$AG$29,MATCH('Fatura 2020'!Z16&amp;'Fatura 2020'!Z17,'Tarifas 2020'!$A$3:$A$29,0),MATCH('Fatura 2020'!$A15&amp;'Fatura 2020'!$B$2,'Tarifas 2020'!$A$3:$AG$3,0))</f>
        <v>4.1900000000000004</v>
      </c>
      <c r="AA20">
        <f>INDEX('Tarifas 2020'!$A$3:$AG$29,MATCH('Fatura 2020'!AA16&amp;'Fatura 2020'!AA17,'Tarifas 2020'!$A$3:$A$29,0),MATCH('Fatura 2020'!$A15&amp;'Fatura 2020'!$B$2,'Tarifas 2020'!$A$3:$AG$3,0))</f>
        <v>4.88</v>
      </c>
      <c r="AC20">
        <f>INDEX('Tarifas 2020'!$A$3:$AG$29,MATCH('Fatura 2020'!AC16&amp;'Fatura 2020'!AC17,'Tarifas 2020'!$A$3:$A$29,0),MATCH('Fatura 2020'!$A15&amp;'Fatura 2020'!$B$2,'Tarifas 2020'!$A$3:$AG$3,0))</f>
        <v>32.6</v>
      </c>
      <c r="AD20">
        <f>INDEX('Tarifas 2020'!$A$3:$AG$29,MATCH('Fatura 2020'!AD16&amp;'Fatura 2020'!AD17,'Tarifas 2020'!$A$3:$A$29,0),MATCH('Fatura 2020'!$A15&amp;'Fatura 2020'!$B$2,'Tarifas 2020'!$A$3:$AG$3,0))</f>
        <v>3.86</v>
      </c>
      <c r="AE20">
        <f>INDEX('Tarifas 2020'!$A$3:$AG$29,MATCH('Fatura 2020'!AE16&amp;'Fatura 2020'!AE17,'Tarifas 2020'!$A$3:$A$29,0),MATCH('Fatura 2020'!$A15&amp;'Fatura 2020'!$B$2,'Tarifas 2020'!$A$3:$AG$3,0))</f>
        <v>6.24</v>
      </c>
      <c r="AF20">
        <f>INDEX('Tarifas 2020'!$A$3:$AG$29,MATCH('Fatura 2020'!AF16&amp;'Fatura 2020'!AF17,'Tarifas 2020'!$A$3:$A$29,0),MATCH('Fatura 2020'!$A15&amp;'Fatura 2020'!$B$2,'Tarifas 2020'!$A$3:$AG$3,0))</f>
        <v>7.33</v>
      </c>
    </row>
    <row r="21" spans="1:33" x14ac:dyDescent="0.35">
      <c r="A21">
        <f>B4</f>
        <v>10</v>
      </c>
      <c r="B21">
        <f>B20</f>
        <v>7.34</v>
      </c>
      <c r="C21">
        <f>IF($A21&gt;C19,C20*(C19-C18),C20*($A21-C18))</f>
        <v>0</v>
      </c>
      <c r="D21">
        <f>IF($A21&gt;D19,D20*(D19-D18),D20*($A21-D18))</f>
        <v>-24.6</v>
      </c>
      <c r="E21">
        <f>IF($A21&gt;E19,E20*(E19-E18),E20*($A21-E18))</f>
        <v>-71.2</v>
      </c>
      <c r="F21">
        <f>F20*($A21-F18)</f>
        <v>-169.20000000000002</v>
      </c>
      <c r="G21">
        <f>SUMIF(B21:F21,"&gt;0",B21:F21)</f>
        <v>7.34</v>
      </c>
      <c r="H21">
        <f>H20</f>
        <v>0</v>
      </c>
      <c r="I21">
        <f>IF($A21&gt;I19,I20*(I19-I18),I20*($A21-I18))</f>
        <v>0</v>
      </c>
      <c r="J21">
        <f>IF($A21&gt;J19,J20*(J19-J18),J20*($A21-J18))</f>
        <v>0</v>
      </c>
      <c r="K21">
        <f>IF($A21&gt;K19,K20*(K19-K18),K20*($A21-K18))</f>
        <v>0</v>
      </c>
      <c r="L21">
        <f>L20*($A21-L18)</f>
        <v>0</v>
      </c>
      <c r="M21">
        <f>SUMIF(H21:L21,"&gt;0",H21:L21)</f>
        <v>0</v>
      </c>
      <c r="N21">
        <f>N20</f>
        <v>21.71</v>
      </c>
      <c r="O21">
        <f>IF($A21&gt;O19,O20*(O19-O18),O20*($A21-O18))</f>
        <v>0</v>
      </c>
      <c r="P21">
        <f>IF($A21&gt;P19,P20*(P19-P18),P20*($A21-P18))</f>
        <v>-46.3</v>
      </c>
      <c r="Q21">
        <f>Q20*($A21-Q18)</f>
        <v>-220.79999999999998</v>
      </c>
      <c r="R21">
        <f>SUMIF(N21:Q21,"&gt;0",N21:Q21)</f>
        <v>21.71</v>
      </c>
      <c r="S21">
        <f>S20</f>
        <v>43.47</v>
      </c>
      <c r="T21">
        <f>IF($A21&gt;T19,T20*(T19-T18),T20*($A21-T18))</f>
        <v>0</v>
      </c>
      <c r="U21">
        <f>IF($A21&gt;U19,U20*(U19-U18),U20*($A21-U18))</f>
        <v>-83.100000000000009</v>
      </c>
      <c r="V21">
        <f>V20*($A21-V18)</f>
        <v>-389.6</v>
      </c>
      <c r="W21">
        <f>SUMIF(S21:V21,"&gt;0",S21:V21)</f>
        <v>43.47</v>
      </c>
      <c r="X21">
        <f>X20</f>
        <v>21.74</v>
      </c>
      <c r="Y21">
        <f>IF($A21&gt;Y19,Y20*(Y19-Y18),Y20*($A21-Y18))</f>
        <v>0</v>
      </c>
      <c r="Z21">
        <f>IF($A21&gt;Z19,Z20*(Z19-Z18),Z20*($A21-Z18))</f>
        <v>-41.900000000000006</v>
      </c>
      <c r="AA21">
        <f>AA20*($A21-AA18)</f>
        <v>-195.2</v>
      </c>
      <c r="AB21">
        <f>SUMIF(X21:AA21,"&gt;0",X21:AA21)</f>
        <v>21.74</v>
      </c>
      <c r="AC21">
        <f>AC20</f>
        <v>32.6</v>
      </c>
      <c r="AD21">
        <f>IF($A21&gt;AD19,AD20*(AD19-AD18),AD20*($A21-AD18))</f>
        <v>0</v>
      </c>
      <c r="AE21">
        <f>IF($A21&gt;AE19,AE20*(AE19-AE18),AE20*($A21-AE18))</f>
        <v>-62.400000000000006</v>
      </c>
      <c r="AF21">
        <f>AF20*($A21-AF18)</f>
        <v>-293.2</v>
      </c>
      <c r="AG21">
        <f>SUMIF(AC21:AF21,"&gt;0",AC21:AF21)</f>
        <v>32.6</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7573-076A-4AE2-A0A7-1D1DD97524BA}">
  <sheetPr>
    <tabColor theme="8"/>
  </sheetPr>
  <dimension ref="A1:AG29"/>
  <sheetViews>
    <sheetView topLeftCell="R1" workbookViewId="0">
      <selection activeCell="AE3" sqref="AE3"/>
    </sheetView>
  </sheetViews>
  <sheetFormatPr defaultRowHeight="14.5" x14ac:dyDescent="0.35"/>
  <sheetData>
    <row r="1" spans="1:33" x14ac:dyDescent="0.35">
      <c r="F1">
        <v>1</v>
      </c>
      <c r="G1">
        <v>1</v>
      </c>
      <c r="H1">
        <f t="shared" ref="H1:I1" si="0">F1+1</f>
        <v>2</v>
      </c>
      <c r="I1">
        <f t="shared" si="0"/>
        <v>2</v>
      </c>
      <c r="J1">
        <f>H1+1</f>
        <v>3</v>
      </c>
      <c r="K1">
        <f t="shared" ref="K1:AG1" si="1">I1+1</f>
        <v>3</v>
      </c>
      <c r="L1">
        <f t="shared" si="1"/>
        <v>4</v>
      </c>
      <c r="M1">
        <f t="shared" si="1"/>
        <v>4</v>
      </c>
      <c r="N1">
        <f t="shared" si="1"/>
        <v>5</v>
      </c>
      <c r="O1">
        <f t="shared" si="1"/>
        <v>5</v>
      </c>
      <c r="P1">
        <f t="shared" si="1"/>
        <v>6</v>
      </c>
      <c r="Q1">
        <f t="shared" si="1"/>
        <v>6</v>
      </c>
      <c r="R1">
        <f>P1+2</f>
        <v>8</v>
      </c>
      <c r="S1">
        <f>Q1+2</f>
        <v>8</v>
      </c>
      <c r="T1">
        <f t="shared" si="1"/>
        <v>9</v>
      </c>
      <c r="U1">
        <f t="shared" si="1"/>
        <v>9</v>
      </c>
      <c r="V1">
        <f t="shared" si="1"/>
        <v>10</v>
      </c>
      <c r="W1">
        <f t="shared" si="1"/>
        <v>10</v>
      </c>
      <c r="X1">
        <f t="shared" si="1"/>
        <v>11</v>
      </c>
      <c r="Y1">
        <f t="shared" si="1"/>
        <v>11</v>
      </c>
      <c r="Z1">
        <f t="shared" si="1"/>
        <v>12</v>
      </c>
      <c r="AA1">
        <f t="shared" si="1"/>
        <v>12</v>
      </c>
      <c r="AB1">
        <f t="shared" si="1"/>
        <v>13</v>
      </c>
      <c r="AC1">
        <f t="shared" si="1"/>
        <v>13</v>
      </c>
      <c r="AD1">
        <f t="shared" si="1"/>
        <v>14</v>
      </c>
      <c r="AE1">
        <f t="shared" si="1"/>
        <v>14</v>
      </c>
      <c r="AF1">
        <f t="shared" si="1"/>
        <v>15</v>
      </c>
      <c r="AG1">
        <f t="shared" si="1"/>
        <v>15</v>
      </c>
    </row>
    <row r="2" spans="1:33" x14ac:dyDescent="0.35">
      <c r="F2" t="s">
        <v>433</v>
      </c>
      <c r="G2" t="s">
        <v>434</v>
      </c>
      <c r="H2" t="s">
        <v>433</v>
      </c>
      <c r="I2" t="s">
        <v>434</v>
      </c>
      <c r="J2" t="s">
        <v>433</v>
      </c>
      <c r="K2" t="s">
        <v>434</v>
      </c>
      <c r="L2" t="s">
        <v>433</v>
      </c>
      <c r="M2" t="s">
        <v>434</v>
      </c>
      <c r="N2" t="s">
        <v>433</v>
      </c>
      <c r="O2" t="s">
        <v>434</v>
      </c>
      <c r="P2" t="s">
        <v>433</v>
      </c>
      <c r="Q2" t="s">
        <v>434</v>
      </c>
      <c r="R2" t="s">
        <v>433</v>
      </c>
      <c r="S2" t="s">
        <v>434</v>
      </c>
      <c r="T2" t="s">
        <v>433</v>
      </c>
      <c r="U2" t="s">
        <v>434</v>
      </c>
      <c r="V2" t="s">
        <v>433</v>
      </c>
      <c r="W2" t="s">
        <v>434</v>
      </c>
      <c r="X2" t="s">
        <v>433</v>
      </c>
      <c r="Y2" t="s">
        <v>434</v>
      </c>
      <c r="Z2" t="s">
        <v>433</v>
      </c>
      <c r="AA2" t="s">
        <v>434</v>
      </c>
      <c r="AB2" t="s">
        <v>433</v>
      </c>
      <c r="AC2" t="s">
        <v>434</v>
      </c>
      <c r="AD2" t="s">
        <v>433</v>
      </c>
      <c r="AE2" t="s">
        <v>434</v>
      </c>
      <c r="AF2" t="s">
        <v>433</v>
      </c>
      <c r="AG2" t="s">
        <v>434</v>
      </c>
    </row>
    <row r="3" spans="1:33" x14ac:dyDescent="0.35">
      <c r="B3" t="s">
        <v>432</v>
      </c>
      <c r="C3" t="s">
        <v>431</v>
      </c>
      <c r="D3" t="s">
        <v>429</v>
      </c>
      <c r="E3" t="s">
        <v>430</v>
      </c>
      <c r="F3" t="str">
        <f>F2&amp;F1</f>
        <v>Água1</v>
      </c>
      <c r="G3" t="str">
        <f>G2&amp;G1</f>
        <v>Esgoto1</v>
      </c>
      <c r="H3" t="str">
        <f t="shared" ref="H3:AG3" si="2">H2&amp;H1</f>
        <v>Água2</v>
      </c>
      <c r="I3" t="str">
        <f t="shared" si="2"/>
        <v>Esgoto2</v>
      </c>
      <c r="J3" t="str">
        <f t="shared" si="2"/>
        <v>Água3</v>
      </c>
      <c r="K3" t="str">
        <f t="shared" si="2"/>
        <v>Esgoto3</v>
      </c>
      <c r="L3" t="str">
        <f t="shared" si="2"/>
        <v>Água4</v>
      </c>
      <c r="M3" t="str">
        <f t="shared" si="2"/>
        <v>Esgoto4</v>
      </c>
      <c r="N3" t="str">
        <f t="shared" si="2"/>
        <v>Água5</v>
      </c>
      <c r="O3" t="str">
        <f t="shared" si="2"/>
        <v>Esgoto5</v>
      </c>
      <c r="P3" t="str">
        <f t="shared" si="2"/>
        <v>Água6</v>
      </c>
      <c r="Q3" t="str">
        <f t="shared" si="2"/>
        <v>Esgoto6</v>
      </c>
      <c r="R3" t="str">
        <f t="shared" si="2"/>
        <v>Água8</v>
      </c>
      <c r="S3" t="str">
        <f t="shared" si="2"/>
        <v>Esgoto8</v>
      </c>
      <c r="T3" t="str">
        <f t="shared" si="2"/>
        <v>Água9</v>
      </c>
      <c r="U3" t="str">
        <f t="shared" si="2"/>
        <v>Esgoto9</v>
      </c>
      <c r="V3" t="str">
        <f t="shared" si="2"/>
        <v>Água10</v>
      </c>
      <c r="W3" t="str">
        <f t="shared" si="2"/>
        <v>Esgoto10</v>
      </c>
      <c r="X3" t="str">
        <f t="shared" si="2"/>
        <v>Água11</v>
      </c>
      <c r="Y3" t="str">
        <f t="shared" si="2"/>
        <v>Esgoto11</v>
      </c>
      <c r="Z3" t="str">
        <f t="shared" si="2"/>
        <v>Água12</v>
      </c>
      <c r="AA3" t="str">
        <f t="shared" si="2"/>
        <v>Esgoto12</v>
      </c>
      <c r="AB3" t="str">
        <f t="shared" si="2"/>
        <v>Água13</v>
      </c>
      <c r="AC3" t="str">
        <f t="shared" si="2"/>
        <v>Esgoto13</v>
      </c>
      <c r="AD3" t="str">
        <f t="shared" si="2"/>
        <v>Água14</v>
      </c>
      <c r="AE3" t="str">
        <f t="shared" si="2"/>
        <v>Esgoto14</v>
      </c>
      <c r="AF3" t="str">
        <f t="shared" si="2"/>
        <v>Água15</v>
      </c>
      <c r="AG3" t="str">
        <f t="shared" si="2"/>
        <v>Esgoto15</v>
      </c>
    </row>
    <row r="4" spans="1:33" x14ac:dyDescent="0.35">
      <c r="A4" t="str">
        <f>B4&amp;C4</f>
        <v>Residencial Social0 a 10</v>
      </c>
      <c r="B4" t="s">
        <v>417</v>
      </c>
      <c r="C4" t="s">
        <v>418</v>
      </c>
      <c r="D4">
        <v>0</v>
      </c>
      <c r="E4">
        <v>10</v>
      </c>
      <c r="F4">
        <v>9.0500000000000007</v>
      </c>
      <c r="G4">
        <v>9.0500000000000007</v>
      </c>
      <c r="H4">
        <v>9.0500000000000007</v>
      </c>
      <c r="I4">
        <v>7.23</v>
      </c>
      <c r="J4">
        <v>9.0500000000000007</v>
      </c>
      <c r="K4">
        <v>9.0500000000000007</v>
      </c>
      <c r="L4">
        <v>9.0500000000000007</v>
      </c>
      <c r="M4">
        <v>9.0500000000000007</v>
      </c>
      <c r="N4">
        <v>9.0500000000000007</v>
      </c>
      <c r="O4">
        <v>7.23</v>
      </c>
      <c r="P4">
        <v>9.0500000000000007</v>
      </c>
      <c r="Q4">
        <v>7.23</v>
      </c>
      <c r="R4">
        <v>7.5985849056603776</v>
      </c>
      <c r="S4">
        <v>6.0676548672566373</v>
      </c>
      <c r="T4">
        <f>F4</f>
        <v>9.0500000000000007</v>
      </c>
      <c r="U4">
        <f t="shared" ref="U4:U29" si="3">G4</f>
        <v>9.0500000000000007</v>
      </c>
      <c r="Z4">
        <f>T4</f>
        <v>9.0500000000000007</v>
      </c>
      <c r="AA4">
        <f t="shared" ref="AA4:AA29" si="4">U4</f>
        <v>9.0500000000000007</v>
      </c>
      <c r="AB4">
        <v>5.4931869369369366</v>
      </c>
      <c r="AC4">
        <v>4.3787323943661969</v>
      </c>
      <c r="AF4">
        <f>Z4</f>
        <v>9.0500000000000007</v>
      </c>
    </row>
    <row r="5" spans="1:33" x14ac:dyDescent="0.35">
      <c r="A5" t="str">
        <f t="shared" ref="A5:A29" si="5">B5&amp;C5</f>
        <v>Residencial Social11 a 20</v>
      </c>
      <c r="B5" t="s">
        <v>417</v>
      </c>
      <c r="C5" t="s">
        <v>419</v>
      </c>
      <c r="D5">
        <f>E4</f>
        <v>10</v>
      </c>
      <c r="E5">
        <v>20</v>
      </c>
      <c r="F5">
        <v>1.55</v>
      </c>
      <c r="G5">
        <v>1.55</v>
      </c>
      <c r="H5">
        <v>1.41</v>
      </c>
      <c r="I5">
        <v>1.1299999999999999</v>
      </c>
      <c r="J5">
        <v>1.41</v>
      </c>
      <c r="K5">
        <v>1.41</v>
      </c>
      <c r="L5">
        <v>1.41</v>
      </c>
      <c r="M5">
        <v>1.41</v>
      </c>
      <c r="N5">
        <v>1.41</v>
      </c>
      <c r="O5">
        <v>1.1299999999999999</v>
      </c>
      <c r="P5">
        <v>1.41</v>
      </c>
      <c r="Q5">
        <v>1.1299999999999999</v>
      </c>
      <c r="R5">
        <v>1.1839694656488551</v>
      </c>
      <c r="S5">
        <v>0.94877358490566022</v>
      </c>
      <c r="T5">
        <f t="shared" ref="T5:T29" si="6">F5</f>
        <v>1.55</v>
      </c>
      <c r="U5">
        <f t="shared" si="3"/>
        <v>1.55</v>
      </c>
      <c r="Z5">
        <f t="shared" ref="Z5:Z29" si="7">T5</f>
        <v>1.55</v>
      </c>
      <c r="AA5">
        <f t="shared" si="4"/>
        <v>1.55</v>
      </c>
      <c r="AB5">
        <v>0.82760869565217399</v>
      </c>
      <c r="AC5">
        <v>0.66171171171171161</v>
      </c>
      <c r="AF5">
        <f t="shared" ref="AF5:AF29" si="8">Z5</f>
        <v>1.55</v>
      </c>
    </row>
    <row r="6" spans="1:33" x14ac:dyDescent="0.35">
      <c r="A6" t="str">
        <f t="shared" si="5"/>
        <v>Residencial Social21 a 30</v>
      </c>
      <c r="B6" t="s">
        <v>417</v>
      </c>
      <c r="C6" t="s">
        <v>420</v>
      </c>
      <c r="D6">
        <f t="shared" ref="D6:D29" si="9">E5</f>
        <v>20</v>
      </c>
      <c r="E6">
        <v>30</v>
      </c>
      <c r="F6">
        <v>5.53</v>
      </c>
      <c r="G6">
        <v>5.53</v>
      </c>
      <c r="H6">
        <v>3.05</v>
      </c>
      <c r="I6">
        <v>2.42</v>
      </c>
      <c r="J6">
        <v>2.62</v>
      </c>
      <c r="K6">
        <v>2.62</v>
      </c>
      <c r="L6">
        <v>3.05</v>
      </c>
      <c r="M6">
        <v>3.05</v>
      </c>
      <c r="N6">
        <v>3.05</v>
      </c>
      <c r="O6">
        <v>2.42</v>
      </c>
      <c r="P6">
        <v>3.05</v>
      </c>
      <c r="Q6">
        <v>2.42</v>
      </c>
      <c r="R6">
        <v>2.5611498257839718</v>
      </c>
      <c r="S6">
        <v>2.0272807017543859</v>
      </c>
      <c r="T6">
        <f t="shared" si="6"/>
        <v>5.53</v>
      </c>
      <c r="U6">
        <f t="shared" si="3"/>
        <v>5.53</v>
      </c>
      <c r="Z6">
        <f t="shared" si="7"/>
        <v>5.53</v>
      </c>
      <c r="AA6">
        <f t="shared" si="4"/>
        <v>5.53</v>
      </c>
      <c r="AB6">
        <v>1.6876666666666666</v>
      </c>
      <c r="AC6">
        <v>1.3421848739495799</v>
      </c>
      <c r="AF6">
        <f t="shared" si="8"/>
        <v>5.53</v>
      </c>
    </row>
    <row r="7" spans="1:33" x14ac:dyDescent="0.35">
      <c r="A7" t="str">
        <f t="shared" si="5"/>
        <v>Residencial Social31 a 50</v>
      </c>
      <c r="B7" t="s">
        <v>417</v>
      </c>
      <c r="C7" t="s">
        <v>421</v>
      </c>
      <c r="D7">
        <f t="shared" si="9"/>
        <v>30</v>
      </c>
      <c r="E7">
        <v>50</v>
      </c>
      <c r="F7">
        <v>7.88</v>
      </c>
      <c r="G7">
        <v>7.88</v>
      </c>
      <c r="H7">
        <v>4.3499999999999996</v>
      </c>
      <c r="I7">
        <v>3.51</v>
      </c>
      <c r="J7">
        <v>3.73</v>
      </c>
      <c r="K7">
        <v>3.73</v>
      </c>
      <c r="L7">
        <v>4.3499999999999996</v>
      </c>
      <c r="M7">
        <v>4.3499999999999996</v>
      </c>
      <c r="N7">
        <v>4.3499999999999996</v>
      </c>
      <c r="O7">
        <v>3.51</v>
      </c>
      <c r="P7">
        <v>4.3499999999999996</v>
      </c>
      <c r="Q7">
        <v>3.51</v>
      </c>
      <c r="R7">
        <v>3.6569852941176468</v>
      </c>
      <c r="S7">
        <v>2.9428353658536586</v>
      </c>
      <c r="T7">
        <f t="shared" si="6"/>
        <v>7.88</v>
      </c>
      <c r="U7">
        <f t="shared" si="3"/>
        <v>7.88</v>
      </c>
      <c r="Z7">
        <f t="shared" si="7"/>
        <v>7.88</v>
      </c>
      <c r="AA7">
        <f t="shared" si="4"/>
        <v>7.88</v>
      </c>
      <c r="AB7">
        <v>2.4144028103044497</v>
      </c>
      <c r="AC7">
        <v>1.9488662790697673</v>
      </c>
      <c r="AF7">
        <f t="shared" si="8"/>
        <v>7.88</v>
      </c>
    </row>
    <row r="8" spans="1:33" x14ac:dyDescent="0.35">
      <c r="A8" t="str">
        <f t="shared" si="5"/>
        <v>Residencial SocialAcima de 50</v>
      </c>
      <c r="B8" t="s">
        <v>417</v>
      </c>
      <c r="C8" t="s">
        <v>422</v>
      </c>
      <c r="D8">
        <f t="shared" si="9"/>
        <v>50</v>
      </c>
      <c r="F8">
        <v>8.7100000000000009</v>
      </c>
      <c r="G8">
        <v>8.7100000000000009</v>
      </c>
      <c r="H8">
        <v>5.17</v>
      </c>
      <c r="I8">
        <v>4.17</v>
      </c>
      <c r="J8">
        <v>5.07</v>
      </c>
      <c r="K8">
        <v>5.07</v>
      </c>
      <c r="L8">
        <v>5.17</v>
      </c>
      <c r="M8">
        <v>5.17</v>
      </c>
      <c r="N8">
        <v>5.17</v>
      </c>
      <c r="O8">
        <v>4.17</v>
      </c>
      <c r="P8">
        <v>5.17</v>
      </c>
      <c r="Q8">
        <v>4.17</v>
      </c>
      <c r="R8">
        <v>4.3491958762886602</v>
      </c>
      <c r="S8">
        <v>3.4963846153846152</v>
      </c>
      <c r="T8">
        <f t="shared" si="6"/>
        <v>8.7100000000000009</v>
      </c>
      <c r="U8">
        <f t="shared" si="3"/>
        <v>8.7100000000000009</v>
      </c>
      <c r="Z8">
        <f t="shared" si="7"/>
        <v>8.7100000000000009</v>
      </c>
      <c r="AA8">
        <f t="shared" si="4"/>
        <v>8.7100000000000009</v>
      </c>
      <c r="AB8">
        <v>3.6434251968503935</v>
      </c>
      <c r="AC8">
        <v>2.9567237163814184</v>
      </c>
      <c r="AF8">
        <f t="shared" si="8"/>
        <v>8.7100000000000009</v>
      </c>
    </row>
    <row r="9" spans="1:33" x14ac:dyDescent="0.35">
      <c r="A9" t="str">
        <f t="shared" si="5"/>
        <v>Residencial Vulnerável0 a 10</v>
      </c>
      <c r="B9" t="s">
        <v>465</v>
      </c>
      <c r="C9" t="s">
        <v>418</v>
      </c>
      <c r="D9">
        <f t="shared" si="9"/>
        <v>0</v>
      </c>
      <c r="E9">
        <v>10</v>
      </c>
      <c r="F9">
        <v>6.9</v>
      </c>
      <c r="G9">
        <v>6.9</v>
      </c>
      <c r="H9">
        <v>6.9</v>
      </c>
      <c r="I9">
        <v>5.52</v>
      </c>
      <c r="J9">
        <v>6.9</v>
      </c>
      <c r="K9">
        <v>6.9</v>
      </c>
      <c r="L9">
        <v>6.9</v>
      </c>
      <c r="M9">
        <v>6.9</v>
      </c>
      <c r="N9">
        <v>6.9</v>
      </c>
      <c r="O9">
        <v>5.52</v>
      </c>
      <c r="P9">
        <v>6.9</v>
      </c>
      <c r="Q9">
        <v>5.52</v>
      </c>
      <c r="R9">
        <v>5.7933962264150942</v>
      </c>
      <c r="S9">
        <v>4.6325663716814152</v>
      </c>
      <c r="T9">
        <f t="shared" si="6"/>
        <v>6.9</v>
      </c>
      <c r="U9">
        <f t="shared" si="3"/>
        <v>6.9</v>
      </c>
      <c r="Z9">
        <f t="shared" si="7"/>
        <v>6.9</v>
      </c>
      <c r="AA9">
        <f t="shared" si="4"/>
        <v>6.9</v>
      </c>
      <c r="AB9">
        <v>4.1881756756756747</v>
      </c>
      <c r="AC9">
        <v>3.3430985915492948</v>
      </c>
      <c r="AF9">
        <f t="shared" si="8"/>
        <v>6.9</v>
      </c>
    </row>
    <row r="10" spans="1:33" x14ac:dyDescent="0.35">
      <c r="A10" t="str">
        <f t="shared" si="5"/>
        <v>Residencial Vulnerável11 a 20</v>
      </c>
      <c r="B10" t="s">
        <v>465</v>
      </c>
      <c r="C10" t="s">
        <v>419</v>
      </c>
      <c r="D10">
        <f t="shared" si="9"/>
        <v>10</v>
      </c>
      <c r="E10">
        <v>20</v>
      </c>
      <c r="F10">
        <v>0.78</v>
      </c>
      <c r="G10">
        <v>0.78</v>
      </c>
      <c r="H10">
        <v>0.78</v>
      </c>
      <c r="I10">
        <v>0.63</v>
      </c>
      <c r="J10">
        <v>0.78</v>
      </c>
      <c r="K10">
        <v>0.78</v>
      </c>
      <c r="L10">
        <v>0.78</v>
      </c>
      <c r="M10">
        <v>0.78</v>
      </c>
      <c r="N10">
        <v>0.78</v>
      </c>
      <c r="O10">
        <v>0.63</v>
      </c>
      <c r="P10">
        <v>0.78</v>
      </c>
      <c r="Q10">
        <v>0.63</v>
      </c>
      <c r="R10">
        <v>0.65496183206106884</v>
      </c>
      <c r="S10">
        <v>0.52896226415094338</v>
      </c>
      <c r="T10">
        <f t="shared" si="6"/>
        <v>0.78</v>
      </c>
      <c r="U10">
        <f t="shared" si="3"/>
        <v>0.78</v>
      </c>
      <c r="Z10">
        <f t="shared" si="7"/>
        <v>0.78</v>
      </c>
      <c r="AA10">
        <f t="shared" si="4"/>
        <v>0.78</v>
      </c>
      <c r="AB10">
        <v>0.45782608695652177</v>
      </c>
      <c r="AC10">
        <v>0.36891891891891893</v>
      </c>
      <c r="AF10">
        <f t="shared" si="8"/>
        <v>0.78</v>
      </c>
    </row>
    <row r="11" spans="1:33" x14ac:dyDescent="0.35">
      <c r="A11" t="str">
        <f t="shared" si="5"/>
        <v>Residencial Vulnerável21 a 30</v>
      </c>
      <c r="B11" t="s">
        <v>465</v>
      </c>
      <c r="C11" t="s">
        <v>420</v>
      </c>
      <c r="D11">
        <f t="shared" si="9"/>
        <v>20</v>
      </c>
      <c r="E11">
        <v>30</v>
      </c>
      <c r="F11">
        <v>2.61</v>
      </c>
      <c r="G11">
        <v>2.61</v>
      </c>
      <c r="H11">
        <v>2.61</v>
      </c>
      <c r="I11">
        <v>2.09</v>
      </c>
      <c r="J11">
        <v>2.61</v>
      </c>
      <c r="K11">
        <v>2.61</v>
      </c>
      <c r="L11">
        <v>2.61</v>
      </c>
      <c r="M11">
        <v>2.61</v>
      </c>
      <c r="N11">
        <v>2.61</v>
      </c>
      <c r="O11">
        <v>2.09</v>
      </c>
      <c r="P11">
        <v>2.61</v>
      </c>
      <c r="Q11">
        <v>2.09</v>
      </c>
      <c r="R11">
        <v>2.1916724738675954</v>
      </c>
      <c r="S11">
        <v>1.7508333333333332</v>
      </c>
      <c r="T11">
        <f t="shared" si="6"/>
        <v>2.61</v>
      </c>
      <c r="U11">
        <f t="shared" si="3"/>
        <v>2.61</v>
      </c>
      <c r="Z11">
        <f t="shared" si="7"/>
        <v>2.61</v>
      </c>
      <c r="AA11">
        <f t="shared" si="4"/>
        <v>2.61</v>
      </c>
      <c r="AB11">
        <v>1.4441999999999999</v>
      </c>
      <c r="AC11">
        <v>1.1591596638655464</v>
      </c>
      <c r="AF11">
        <f t="shared" si="8"/>
        <v>2.61</v>
      </c>
    </row>
    <row r="12" spans="1:33" x14ac:dyDescent="0.35">
      <c r="A12" t="str">
        <f t="shared" si="5"/>
        <v>Residencial Vulnerável31 a 50</v>
      </c>
      <c r="B12" t="s">
        <v>465</v>
      </c>
      <c r="C12" t="s">
        <v>421</v>
      </c>
      <c r="D12">
        <f t="shared" si="9"/>
        <v>30</v>
      </c>
      <c r="E12">
        <v>50</v>
      </c>
      <c r="F12">
        <v>7.88</v>
      </c>
      <c r="G12">
        <v>7.88</v>
      </c>
      <c r="H12">
        <v>7.88</v>
      </c>
      <c r="I12">
        <v>6.31</v>
      </c>
      <c r="J12">
        <v>7.88</v>
      </c>
      <c r="K12">
        <v>7.88</v>
      </c>
      <c r="L12">
        <v>7.88</v>
      </c>
      <c r="M12">
        <v>7.88</v>
      </c>
      <c r="N12">
        <v>7.88</v>
      </c>
      <c r="O12">
        <v>6.31</v>
      </c>
      <c r="P12">
        <v>7.88</v>
      </c>
      <c r="Q12">
        <v>6.31</v>
      </c>
      <c r="R12">
        <v>6.6246078431372553</v>
      </c>
      <c r="S12">
        <v>5.2903963414634143</v>
      </c>
      <c r="T12">
        <f t="shared" si="6"/>
        <v>7.88</v>
      </c>
      <c r="U12">
        <f t="shared" si="3"/>
        <v>7.88</v>
      </c>
      <c r="Z12">
        <f t="shared" si="7"/>
        <v>7.88</v>
      </c>
      <c r="AA12">
        <f t="shared" si="4"/>
        <v>7.88</v>
      </c>
      <c r="AB12">
        <v>4.3736768149882908</v>
      </c>
      <c r="AC12">
        <v>3.5035174418604647</v>
      </c>
      <c r="AF12">
        <f t="shared" si="8"/>
        <v>7.88</v>
      </c>
    </row>
    <row r="13" spans="1:33" x14ac:dyDescent="0.35">
      <c r="A13" t="str">
        <f t="shared" si="5"/>
        <v>Residencial VulnerávelAcima de 50</v>
      </c>
      <c r="B13" t="s">
        <v>465</v>
      </c>
      <c r="C13" t="s">
        <v>422</v>
      </c>
      <c r="D13">
        <f t="shared" si="9"/>
        <v>50</v>
      </c>
      <c r="F13">
        <v>8.7100000000000009</v>
      </c>
      <c r="G13">
        <v>8.7100000000000009</v>
      </c>
      <c r="H13">
        <v>8.7100000000000009</v>
      </c>
      <c r="I13">
        <v>6.97</v>
      </c>
      <c r="J13">
        <v>8.7100000000000009</v>
      </c>
      <c r="K13">
        <v>8.7100000000000009</v>
      </c>
      <c r="L13">
        <v>8.7100000000000009</v>
      </c>
      <c r="M13">
        <v>8.7100000000000009</v>
      </c>
      <c r="N13">
        <v>8.7100000000000009</v>
      </c>
      <c r="O13">
        <v>6.97</v>
      </c>
      <c r="P13">
        <v>8.7100000000000009</v>
      </c>
      <c r="Q13">
        <v>6.97</v>
      </c>
      <c r="R13">
        <v>7.3271752577319607</v>
      </c>
      <c r="S13">
        <v>5.8440769230769227</v>
      </c>
      <c r="T13">
        <f t="shared" si="6"/>
        <v>8.7100000000000009</v>
      </c>
      <c r="U13">
        <f t="shared" si="3"/>
        <v>8.7100000000000009</v>
      </c>
      <c r="Z13">
        <f t="shared" si="7"/>
        <v>8.7100000000000009</v>
      </c>
      <c r="AA13">
        <f t="shared" si="4"/>
        <v>8.7100000000000009</v>
      </c>
      <c r="AB13">
        <v>6.1381496062992129</v>
      </c>
      <c r="AC13">
        <v>4.9420537897310517</v>
      </c>
      <c r="AF13">
        <f t="shared" si="8"/>
        <v>8.7100000000000009</v>
      </c>
    </row>
    <row r="14" spans="1:33" x14ac:dyDescent="0.35">
      <c r="A14" t="str">
        <f t="shared" si="5"/>
        <v>Residencial Normal0 a 10</v>
      </c>
      <c r="B14" t="s">
        <v>424</v>
      </c>
      <c r="C14" t="s">
        <v>418</v>
      </c>
      <c r="D14">
        <f t="shared" si="9"/>
        <v>0</v>
      </c>
      <c r="E14">
        <v>10</v>
      </c>
      <c r="F14">
        <v>29</v>
      </c>
      <c r="G14">
        <v>29</v>
      </c>
      <c r="H14">
        <v>29</v>
      </c>
      <c r="I14">
        <v>23.26</v>
      </c>
      <c r="J14">
        <v>29</v>
      </c>
      <c r="K14">
        <v>29</v>
      </c>
      <c r="L14">
        <v>29</v>
      </c>
      <c r="M14">
        <v>29</v>
      </c>
      <c r="N14">
        <v>29</v>
      </c>
      <c r="O14">
        <v>23.26</v>
      </c>
      <c r="P14">
        <v>29</v>
      </c>
      <c r="Q14">
        <v>23.26</v>
      </c>
      <c r="R14">
        <v>24.36</v>
      </c>
      <c r="S14">
        <v>19.524478802992515</v>
      </c>
      <c r="T14">
        <f t="shared" si="6"/>
        <v>29</v>
      </c>
      <c r="U14">
        <f t="shared" si="3"/>
        <v>29</v>
      </c>
      <c r="Z14">
        <f t="shared" si="7"/>
        <v>29</v>
      </c>
      <c r="AA14">
        <f t="shared" si="4"/>
        <v>29</v>
      </c>
      <c r="AB14">
        <v>17.612681436210849</v>
      </c>
      <c r="AC14">
        <v>14.099990476190477</v>
      </c>
      <c r="AF14">
        <f t="shared" si="8"/>
        <v>29</v>
      </c>
    </row>
    <row r="15" spans="1:33" x14ac:dyDescent="0.35">
      <c r="A15" t="str">
        <f t="shared" si="5"/>
        <v>Residencial Normal11 a 20</v>
      </c>
      <c r="B15" t="s">
        <v>424</v>
      </c>
      <c r="C15" t="s">
        <v>419</v>
      </c>
      <c r="D15">
        <f t="shared" si="9"/>
        <v>10</v>
      </c>
      <c r="E15">
        <v>20</v>
      </c>
      <c r="F15">
        <v>4.54</v>
      </c>
      <c r="G15">
        <v>4.54</v>
      </c>
      <c r="H15">
        <v>4.04</v>
      </c>
      <c r="I15">
        <v>3.19</v>
      </c>
      <c r="J15">
        <v>4.04</v>
      </c>
      <c r="K15">
        <v>4.04</v>
      </c>
      <c r="L15">
        <v>4.04</v>
      </c>
      <c r="M15">
        <v>4.04</v>
      </c>
      <c r="N15">
        <v>4.04</v>
      </c>
      <c r="O15">
        <v>3.19</v>
      </c>
      <c r="P15">
        <v>4.04</v>
      </c>
      <c r="Q15">
        <v>3.19</v>
      </c>
      <c r="R15">
        <v>3.3917478510028651</v>
      </c>
      <c r="S15">
        <v>2.6795999999999998</v>
      </c>
      <c r="T15">
        <f t="shared" si="6"/>
        <v>4.54</v>
      </c>
      <c r="U15">
        <f t="shared" si="3"/>
        <v>4.54</v>
      </c>
      <c r="Z15">
        <f t="shared" si="7"/>
        <v>4.54</v>
      </c>
      <c r="AA15">
        <f t="shared" si="4"/>
        <v>4.54</v>
      </c>
      <c r="AB15">
        <v>2.3575890410958902</v>
      </c>
      <c r="AC15">
        <v>1.8719097222222223</v>
      </c>
      <c r="AF15">
        <f t="shared" si="8"/>
        <v>4.54</v>
      </c>
    </row>
    <row r="16" spans="1:33" x14ac:dyDescent="0.35">
      <c r="A16" t="str">
        <f t="shared" si="5"/>
        <v>Residencial Normal21 a 50</v>
      </c>
      <c r="B16" t="s">
        <v>424</v>
      </c>
      <c r="C16" t="s">
        <v>425</v>
      </c>
      <c r="D16">
        <f t="shared" si="9"/>
        <v>20</v>
      </c>
      <c r="E16">
        <v>50</v>
      </c>
      <c r="F16">
        <v>11.33</v>
      </c>
      <c r="G16">
        <v>11.33</v>
      </c>
      <c r="H16">
        <v>6.21</v>
      </c>
      <c r="I16">
        <v>4.96</v>
      </c>
      <c r="J16">
        <v>5.34</v>
      </c>
      <c r="K16">
        <v>5.34</v>
      </c>
      <c r="L16">
        <v>6.21</v>
      </c>
      <c r="M16">
        <v>6.21</v>
      </c>
      <c r="N16">
        <v>6.21</v>
      </c>
      <c r="O16">
        <v>4.96</v>
      </c>
      <c r="P16">
        <v>6.21</v>
      </c>
      <c r="Q16">
        <v>4.96</v>
      </c>
      <c r="R16">
        <v>5.2136194029850742</v>
      </c>
      <c r="S16">
        <v>4.1701170960187355</v>
      </c>
      <c r="T16">
        <f t="shared" si="6"/>
        <v>11.33</v>
      </c>
      <c r="U16">
        <f t="shared" si="3"/>
        <v>11.33</v>
      </c>
      <c r="Z16">
        <f t="shared" si="7"/>
        <v>11.33</v>
      </c>
      <c r="AA16">
        <f t="shared" si="4"/>
        <v>11.33</v>
      </c>
      <c r="AB16">
        <v>3.4426203208556148</v>
      </c>
      <c r="AC16">
        <v>2.7457142857142851</v>
      </c>
      <c r="AF16">
        <f t="shared" si="8"/>
        <v>11.33</v>
      </c>
    </row>
    <row r="17" spans="1:32" x14ac:dyDescent="0.35">
      <c r="A17" t="str">
        <f t="shared" si="5"/>
        <v>Residencial NormalAcima de 50</v>
      </c>
      <c r="B17" t="s">
        <v>424</v>
      </c>
      <c r="C17" t="s">
        <v>422</v>
      </c>
      <c r="D17">
        <f t="shared" si="9"/>
        <v>50</v>
      </c>
      <c r="F17">
        <v>12.48</v>
      </c>
      <c r="G17">
        <v>12.48</v>
      </c>
      <c r="H17">
        <v>7.43</v>
      </c>
      <c r="I17">
        <v>5.91</v>
      </c>
      <c r="J17">
        <v>7.25</v>
      </c>
      <c r="K17">
        <v>7.25</v>
      </c>
      <c r="L17">
        <v>7.43</v>
      </c>
      <c r="M17">
        <v>7.43</v>
      </c>
      <c r="N17">
        <v>7.43</v>
      </c>
      <c r="O17">
        <v>5.91</v>
      </c>
      <c r="P17">
        <v>7.43</v>
      </c>
      <c r="Q17">
        <v>5.91</v>
      </c>
      <c r="R17">
        <v>6.2360998439937596</v>
      </c>
      <c r="S17">
        <v>4.9713529411764714</v>
      </c>
      <c r="T17">
        <f t="shared" si="6"/>
        <v>12.48</v>
      </c>
      <c r="U17">
        <f t="shared" si="3"/>
        <v>12.48</v>
      </c>
      <c r="Z17">
        <f t="shared" si="7"/>
        <v>12.48</v>
      </c>
      <c r="AA17">
        <f t="shared" si="4"/>
        <v>12.48</v>
      </c>
      <c r="AB17">
        <v>5.2375409836065581</v>
      </c>
      <c r="AC17">
        <v>4.1834831460674158</v>
      </c>
      <c r="AF17">
        <f t="shared" si="8"/>
        <v>12.48</v>
      </c>
    </row>
    <row r="18" spans="1:32" x14ac:dyDescent="0.35">
      <c r="A18" t="str">
        <f t="shared" si="5"/>
        <v>Comercial / Industrial / Pública sem contrato0 a 10</v>
      </c>
      <c r="B18" t="s">
        <v>426</v>
      </c>
      <c r="C18" t="s">
        <v>418</v>
      </c>
      <c r="D18">
        <f t="shared" si="9"/>
        <v>0</v>
      </c>
      <c r="E18">
        <v>10</v>
      </c>
      <c r="F18">
        <v>58.24</v>
      </c>
      <c r="G18">
        <v>58.24</v>
      </c>
      <c r="H18">
        <v>58.24</v>
      </c>
      <c r="I18">
        <v>46.58</v>
      </c>
      <c r="J18">
        <v>58.24</v>
      </c>
      <c r="K18">
        <v>58.24</v>
      </c>
      <c r="L18">
        <v>58.24</v>
      </c>
      <c r="M18">
        <v>58.24</v>
      </c>
      <c r="N18">
        <v>58.24</v>
      </c>
      <c r="O18">
        <v>46.58</v>
      </c>
      <c r="P18">
        <v>58.24</v>
      </c>
      <c r="Q18">
        <v>46.58</v>
      </c>
      <c r="R18">
        <v>48.923920318725102</v>
      </c>
      <c r="S18">
        <v>39.095171898355751</v>
      </c>
      <c r="T18">
        <f t="shared" si="6"/>
        <v>58.24</v>
      </c>
      <c r="U18">
        <f t="shared" si="3"/>
        <v>58.24</v>
      </c>
      <c r="Z18">
        <f t="shared" si="7"/>
        <v>58.24</v>
      </c>
      <c r="AA18">
        <f t="shared" si="4"/>
        <v>58.24</v>
      </c>
      <c r="AB18">
        <v>24.08479360852197</v>
      </c>
      <c r="AC18">
        <v>19.279067554709798</v>
      </c>
      <c r="AF18">
        <f t="shared" si="8"/>
        <v>58.24</v>
      </c>
    </row>
    <row r="19" spans="1:32" x14ac:dyDescent="0.35">
      <c r="A19" t="str">
        <f t="shared" si="5"/>
        <v>Comercial / Industrial / Pública sem contrato11 a 20</v>
      </c>
      <c r="B19" t="s">
        <v>426</v>
      </c>
      <c r="C19" t="s">
        <v>419</v>
      </c>
      <c r="D19">
        <f t="shared" si="9"/>
        <v>10</v>
      </c>
      <c r="E19">
        <v>20</v>
      </c>
      <c r="F19">
        <v>11.33</v>
      </c>
      <c r="G19">
        <v>11.33</v>
      </c>
      <c r="H19">
        <v>6.89</v>
      </c>
      <c r="I19">
        <v>5.47</v>
      </c>
      <c r="J19">
        <v>7.58</v>
      </c>
      <c r="K19">
        <v>7.58</v>
      </c>
      <c r="L19">
        <v>6.89</v>
      </c>
      <c r="M19">
        <v>6.89</v>
      </c>
      <c r="N19">
        <v>6.89</v>
      </c>
      <c r="O19">
        <v>5.47</v>
      </c>
      <c r="P19">
        <v>6.89</v>
      </c>
      <c r="Q19">
        <v>5.47</v>
      </c>
      <c r="R19">
        <v>5.7880639730639727</v>
      </c>
      <c r="S19">
        <v>4.5892372881355925</v>
      </c>
      <c r="T19">
        <f t="shared" si="6"/>
        <v>11.33</v>
      </c>
      <c r="U19">
        <f t="shared" si="3"/>
        <v>11.33</v>
      </c>
      <c r="Z19">
        <f t="shared" si="7"/>
        <v>11.33</v>
      </c>
      <c r="AA19">
        <f t="shared" si="4"/>
        <v>11.33</v>
      </c>
      <c r="AB19">
        <v>3.1237620578778129</v>
      </c>
      <c r="AC19">
        <v>2.4913967611336028</v>
      </c>
      <c r="AF19">
        <f t="shared" si="8"/>
        <v>11.33</v>
      </c>
    </row>
    <row r="20" spans="1:32" x14ac:dyDescent="0.35">
      <c r="A20" t="str">
        <f t="shared" si="5"/>
        <v>Comercial / Industrial / Pública sem contrato21 a 50</v>
      </c>
      <c r="B20" t="s">
        <v>426</v>
      </c>
      <c r="C20" t="s">
        <v>425</v>
      </c>
      <c r="D20">
        <f t="shared" si="9"/>
        <v>20</v>
      </c>
      <c r="E20">
        <v>50</v>
      </c>
      <c r="F20">
        <v>21.72</v>
      </c>
      <c r="G20">
        <v>21.72</v>
      </c>
      <c r="H20">
        <v>11.13</v>
      </c>
      <c r="I20">
        <v>8.9</v>
      </c>
      <c r="J20">
        <v>16.57</v>
      </c>
      <c r="K20">
        <v>16.57</v>
      </c>
      <c r="L20">
        <v>11.62</v>
      </c>
      <c r="M20">
        <v>11.62</v>
      </c>
      <c r="N20">
        <v>11.13</v>
      </c>
      <c r="O20">
        <v>8.9</v>
      </c>
      <c r="P20">
        <v>11.48</v>
      </c>
      <c r="Q20">
        <v>9.19</v>
      </c>
      <c r="R20">
        <v>9.3445625000000021</v>
      </c>
      <c r="S20">
        <v>7.4630208333333341</v>
      </c>
      <c r="T20">
        <f t="shared" si="6"/>
        <v>21.72</v>
      </c>
      <c r="U20">
        <f t="shared" si="3"/>
        <v>21.72</v>
      </c>
      <c r="Z20">
        <f t="shared" si="7"/>
        <v>21.72</v>
      </c>
      <c r="AA20">
        <f t="shared" si="4"/>
        <v>21.72</v>
      </c>
      <c r="AB20">
        <v>4.640268656716418</v>
      </c>
      <c r="AC20">
        <v>3.7194029850746273</v>
      </c>
      <c r="AF20">
        <f t="shared" si="8"/>
        <v>21.72</v>
      </c>
    </row>
    <row r="21" spans="1:32" x14ac:dyDescent="0.35">
      <c r="A21" t="str">
        <f t="shared" si="5"/>
        <v>Comercial / Industrial / Pública sem contratoAcima de 50</v>
      </c>
      <c r="B21" t="s">
        <v>426</v>
      </c>
      <c r="C21" t="s">
        <v>422</v>
      </c>
      <c r="D21">
        <f t="shared" si="9"/>
        <v>50</v>
      </c>
      <c r="F21">
        <v>22.62</v>
      </c>
      <c r="G21">
        <v>22.62</v>
      </c>
      <c r="H21">
        <v>13.07</v>
      </c>
      <c r="I21">
        <v>10.43</v>
      </c>
      <c r="J21">
        <v>17.89</v>
      </c>
      <c r="K21">
        <v>17.89</v>
      </c>
      <c r="L21">
        <v>14.75</v>
      </c>
      <c r="M21">
        <v>14.75</v>
      </c>
      <c r="N21">
        <v>13.07</v>
      </c>
      <c r="O21">
        <v>10.43</v>
      </c>
      <c r="P21">
        <v>14.57</v>
      </c>
      <c r="Q21">
        <v>11.61</v>
      </c>
      <c r="R21">
        <v>10.970913930789708</v>
      </c>
      <c r="S21">
        <v>8.7477419354838712</v>
      </c>
      <c r="T21">
        <f t="shared" si="6"/>
        <v>22.62</v>
      </c>
      <c r="U21">
        <f t="shared" si="3"/>
        <v>22.62</v>
      </c>
      <c r="Z21">
        <f t="shared" si="7"/>
        <v>22.62</v>
      </c>
      <c r="AA21">
        <f t="shared" si="4"/>
        <v>22.62</v>
      </c>
      <c r="AB21">
        <v>7.0112796610169479</v>
      </c>
      <c r="AC21">
        <v>5.6025265392781316</v>
      </c>
      <c r="AF21">
        <f t="shared" si="8"/>
        <v>22.62</v>
      </c>
    </row>
    <row r="22" spans="1:32" x14ac:dyDescent="0.35">
      <c r="A22" t="str">
        <f t="shared" si="5"/>
        <v>Comercial: Entidades de Assistência Social0 a 10</v>
      </c>
      <c r="B22" t="s">
        <v>427</v>
      </c>
      <c r="C22" t="s">
        <v>418</v>
      </c>
      <c r="D22">
        <f t="shared" si="9"/>
        <v>0</v>
      </c>
      <c r="E22">
        <v>10</v>
      </c>
      <c r="F22">
        <v>29.11</v>
      </c>
      <c r="G22">
        <v>29.11</v>
      </c>
      <c r="H22">
        <v>29.11</v>
      </c>
      <c r="I22">
        <v>23.29</v>
      </c>
      <c r="J22">
        <v>29.11</v>
      </c>
      <c r="K22">
        <v>29.11</v>
      </c>
      <c r="L22">
        <v>29.11</v>
      </c>
      <c r="M22">
        <v>29.11</v>
      </c>
      <c r="N22">
        <v>29.11</v>
      </c>
      <c r="O22">
        <v>23.29</v>
      </c>
      <c r="P22">
        <v>29.11</v>
      </c>
      <c r="Q22">
        <v>23.29</v>
      </c>
      <c r="R22">
        <v>22.735145476285371</v>
      </c>
      <c r="S22">
        <v>18.176507224713504</v>
      </c>
      <c r="T22">
        <f t="shared" si="6"/>
        <v>29.11</v>
      </c>
      <c r="U22">
        <f t="shared" si="3"/>
        <v>29.11</v>
      </c>
      <c r="Z22">
        <f t="shared" si="7"/>
        <v>29.11</v>
      </c>
      <c r="AA22">
        <f t="shared" si="4"/>
        <v>29.11</v>
      </c>
      <c r="AB22">
        <v>11.192625570776254</v>
      </c>
      <c r="AC22">
        <v>8.9607516650808741</v>
      </c>
      <c r="AF22">
        <f t="shared" si="8"/>
        <v>29.11</v>
      </c>
    </row>
    <row r="23" spans="1:32" x14ac:dyDescent="0.35">
      <c r="A23" t="str">
        <f t="shared" si="5"/>
        <v>Comercial: Entidades de Assistência Social11 a 20</v>
      </c>
      <c r="B23" t="s">
        <v>427</v>
      </c>
      <c r="C23" t="s">
        <v>419</v>
      </c>
      <c r="D23">
        <f t="shared" si="9"/>
        <v>10</v>
      </c>
      <c r="E23">
        <v>20</v>
      </c>
      <c r="F23">
        <v>5.65</v>
      </c>
      <c r="G23">
        <v>5.65</v>
      </c>
      <c r="H23">
        <v>3.47</v>
      </c>
      <c r="I23">
        <v>2.73</v>
      </c>
      <c r="J23">
        <v>3.81</v>
      </c>
      <c r="K23">
        <v>3.81</v>
      </c>
      <c r="L23">
        <v>3.47</v>
      </c>
      <c r="M23">
        <v>3.47</v>
      </c>
      <c r="N23">
        <v>3.47</v>
      </c>
      <c r="O23">
        <v>2.73</v>
      </c>
      <c r="P23">
        <v>3.47</v>
      </c>
      <c r="Q23">
        <v>2.73</v>
      </c>
      <c r="R23">
        <v>2.7114715719063542</v>
      </c>
      <c r="S23">
        <v>2.1310169491525426</v>
      </c>
      <c r="T23">
        <f t="shared" si="6"/>
        <v>5.65</v>
      </c>
      <c r="U23">
        <f t="shared" si="3"/>
        <v>5.65</v>
      </c>
      <c r="Z23">
        <f t="shared" si="7"/>
        <v>5.65</v>
      </c>
      <c r="AA23">
        <f t="shared" si="4"/>
        <v>5.65</v>
      </c>
      <c r="AB23">
        <v>1.4550479233226836</v>
      </c>
      <c r="AC23">
        <v>1.1620242914979755</v>
      </c>
      <c r="AF23">
        <f t="shared" si="8"/>
        <v>5.65</v>
      </c>
    </row>
    <row r="24" spans="1:32" x14ac:dyDescent="0.35">
      <c r="A24" t="str">
        <f t="shared" si="5"/>
        <v>Comercial: Entidades de Assistência Social21 a 50</v>
      </c>
      <c r="B24" t="s">
        <v>427</v>
      </c>
      <c r="C24" t="s">
        <v>425</v>
      </c>
      <c r="D24">
        <f t="shared" si="9"/>
        <v>20</v>
      </c>
      <c r="E24">
        <v>50</v>
      </c>
      <c r="F24">
        <v>10.89</v>
      </c>
      <c r="G24">
        <v>10.89</v>
      </c>
      <c r="H24">
        <v>5.61</v>
      </c>
      <c r="I24">
        <v>4.49</v>
      </c>
      <c r="J24">
        <v>8.33</v>
      </c>
      <c r="K24">
        <v>8.33</v>
      </c>
      <c r="L24">
        <v>5.86</v>
      </c>
      <c r="M24">
        <v>5.86</v>
      </c>
      <c r="N24">
        <v>5.61</v>
      </c>
      <c r="O24">
        <v>4.49</v>
      </c>
      <c r="P24">
        <v>5.77</v>
      </c>
      <c r="Q24">
        <v>4.59</v>
      </c>
      <c r="R24">
        <v>4.3787603305785119</v>
      </c>
      <c r="S24">
        <v>3.501937984496124</v>
      </c>
      <c r="T24">
        <f t="shared" si="6"/>
        <v>10.89</v>
      </c>
      <c r="U24">
        <f t="shared" si="3"/>
        <v>10.89</v>
      </c>
      <c r="Z24">
        <f t="shared" si="7"/>
        <v>10.89</v>
      </c>
      <c r="AA24">
        <f t="shared" si="4"/>
        <v>10.89</v>
      </c>
      <c r="AB24">
        <v>2.1724260355029581</v>
      </c>
      <c r="AC24">
        <v>1.7400740740740741</v>
      </c>
      <c r="AF24">
        <f t="shared" si="8"/>
        <v>10.89</v>
      </c>
    </row>
    <row r="25" spans="1:32" x14ac:dyDescent="0.35">
      <c r="A25" t="str">
        <f t="shared" si="5"/>
        <v>Comercial: Entidades de Assistência SocialAcima de 50</v>
      </c>
      <c r="B25" t="s">
        <v>427</v>
      </c>
      <c r="C25" t="s">
        <v>422</v>
      </c>
      <c r="D25">
        <f t="shared" si="9"/>
        <v>50</v>
      </c>
      <c r="F25">
        <v>11.32</v>
      </c>
      <c r="G25">
        <v>11.32</v>
      </c>
      <c r="H25">
        <v>6.55</v>
      </c>
      <c r="I25">
        <v>5.23</v>
      </c>
      <c r="J25">
        <v>8.98</v>
      </c>
      <c r="K25">
        <v>8.98</v>
      </c>
      <c r="L25">
        <v>7.42</v>
      </c>
      <c r="M25">
        <v>7.42</v>
      </c>
      <c r="N25">
        <v>6.55</v>
      </c>
      <c r="O25">
        <v>5.23</v>
      </c>
      <c r="P25">
        <v>7.21</v>
      </c>
      <c r="Q25">
        <v>5.83</v>
      </c>
      <c r="R25">
        <v>5.1175221238938047</v>
      </c>
      <c r="S25">
        <v>4.0823999999999998</v>
      </c>
      <c r="T25">
        <f t="shared" si="6"/>
        <v>11.32</v>
      </c>
      <c r="U25">
        <f t="shared" si="3"/>
        <v>11.32</v>
      </c>
      <c r="Z25">
        <f t="shared" si="7"/>
        <v>11.32</v>
      </c>
      <c r="AA25">
        <f t="shared" si="4"/>
        <v>11.32</v>
      </c>
      <c r="AB25">
        <v>3.2663851351351347</v>
      </c>
      <c r="AC25">
        <v>2.6153389830508478</v>
      </c>
      <c r="AF25">
        <f t="shared" si="8"/>
        <v>11.32</v>
      </c>
    </row>
    <row r="26" spans="1:32" x14ac:dyDescent="0.35">
      <c r="A26" t="str">
        <f t="shared" si="5"/>
        <v>Pública com contrato0 a 10</v>
      </c>
      <c r="B26" t="s">
        <v>428</v>
      </c>
      <c r="C26" t="s">
        <v>418</v>
      </c>
      <c r="D26">
        <f t="shared" si="9"/>
        <v>0</v>
      </c>
      <c r="E26">
        <v>10</v>
      </c>
      <c r="F26">
        <v>43.64</v>
      </c>
      <c r="G26">
        <v>43.64</v>
      </c>
      <c r="H26">
        <v>43.64</v>
      </c>
      <c r="I26">
        <v>34.93</v>
      </c>
      <c r="J26">
        <v>43.64</v>
      </c>
      <c r="K26">
        <v>43.64</v>
      </c>
      <c r="L26">
        <v>43.64</v>
      </c>
      <c r="M26">
        <v>43.64</v>
      </c>
      <c r="N26">
        <v>43.64</v>
      </c>
      <c r="O26">
        <v>34.93</v>
      </c>
      <c r="P26">
        <v>43.64</v>
      </c>
      <c r="Q26">
        <v>34.93</v>
      </c>
      <c r="R26">
        <v>36.654815208721089</v>
      </c>
      <c r="S26">
        <v>29.315214214546661</v>
      </c>
      <c r="T26">
        <f t="shared" si="6"/>
        <v>43.64</v>
      </c>
      <c r="U26">
        <f t="shared" si="3"/>
        <v>43.64</v>
      </c>
      <c r="Z26">
        <f t="shared" si="7"/>
        <v>43.64</v>
      </c>
      <c r="AA26">
        <f t="shared" si="4"/>
        <v>43.64</v>
      </c>
      <c r="AB26">
        <v>18.058695100279259</v>
      </c>
      <c r="AC26">
        <v>14.446152870282269</v>
      </c>
      <c r="AF26">
        <f t="shared" si="8"/>
        <v>43.64</v>
      </c>
    </row>
    <row r="27" spans="1:32" x14ac:dyDescent="0.35">
      <c r="A27" t="str">
        <f t="shared" si="5"/>
        <v>Pública com contrato11 a 20</v>
      </c>
      <c r="B27" t="s">
        <v>428</v>
      </c>
      <c r="C27" t="s">
        <v>419</v>
      </c>
      <c r="D27">
        <f t="shared" si="9"/>
        <v>10</v>
      </c>
      <c r="E27">
        <v>20</v>
      </c>
      <c r="F27">
        <v>8.48</v>
      </c>
      <c r="G27">
        <v>8.48</v>
      </c>
      <c r="H27">
        <v>5.14</v>
      </c>
      <c r="I27">
        <v>4.13</v>
      </c>
      <c r="J27">
        <v>5.68</v>
      </c>
      <c r="K27">
        <v>5.68</v>
      </c>
      <c r="L27">
        <v>5.14</v>
      </c>
      <c r="M27">
        <v>5.14</v>
      </c>
      <c r="N27">
        <v>5.14</v>
      </c>
      <c r="O27">
        <v>4.13</v>
      </c>
      <c r="P27">
        <v>5.14</v>
      </c>
      <c r="Q27">
        <v>4.13</v>
      </c>
      <c r="R27">
        <v>4.3162076749435663</v>
      </c>
      <c r="S27">
        <v>3.4687359550561796</v>
      </c>
      <c r="T27">
        <f t="shared" si="6"/>
        <v>8.48</v>
      </c>
      <c r="U27">
        <f t="shared" si="3"/>
        <v>8.48</v>
      </c>
      <c r="Z27">
        <f t="shared" si="7"/>
        <v>8.48</v>
      </c>
      <c r="AA27">
        <f t="shared" si="4"/>
        <v>8.48</v>
      </c>
      <c r="AB27">
        <v>2.3484482758620691</v>
      </c>
      <c r="AC27">
        <v>1.8712332439678283</v>
      </c>
      <c r="AF27">
        <f t="shared" si="8"/>
        <v>8.48</v>
      </c>
    </row>
    <row r="28" spans="1:32" x14ac:dyDescent="0.35">
      <c r="A28" t="str">
        <f t="shared" si="5"/>
        <v>Pública com contrato21 a 50</v>
      </c>
      <c r="B28" t="s">
        <v>428</v>
      </c>
      <c r="C28" t="s">
        <v>425</v>
      </c>
      <c r="D28">
        <f t="shared" si="9"/>
        <v>20</v>
      </c>
      <c r="E28">
        <v>50</v>
      </c>
      <c r="F28">
        <v>16.329999999999998</v>
      </c>
      <c r="G28">
        <v>16.329999999999998</v>
      </c>
      <c r="H28">
        <v>8.39</v>
      </c>
      <c r="I28">
        <v>6.68</v>
      </c>
      <c r="J28">
        <v>12.44</v>
      </c>
      <c r="K28">
        <v>12.44</v>
      </c>
      <c r="L28">
        <v>8.74</v>
      </c>
      <c r="M28">
        <v>8.74</v>
      </c>
      <c r="N28">
        <v>8.39</v>
      </c>
      <c r="O28">
        <v>6.68</v>
      </c>
      <c r="P28">
        <v>8.59</v>
      </c>
      <c r="Q28">
        <v>6.92</v>
      </c>
      <c r="R28">
        <v>7.0420221606648203</v>
      </c>
      <c r="S28">
        <v>5.6111999999999993</v>
      </c>
      <c r="T28">
        <f t="shared" si="6"/>
        <v>16.329999999999998</v>
      </c>
      <c r="U28">
        <f t="shared" si="3"/>
        <v>16.329999999999998</v>
      </c>
      <c r="Z28">
        <f t="shared" si="7"/>
        <v>16.329999999999998</v>
      </c>
      <c r="AA28">
        <f t="shared" si="4"/>
        <v>16.329999999999998</v>
      </c>
      <c r="AB28">
        <v>3.4912153236459709</v>
      </c>
      <c r="AC28">
        <v>2.7916417910447757</v>
      </c>
      <c r="AF28">
        <f t="shared" si="8"/>
        <v>16.329999999999998</v>
      </c>
    </row>
    <row r="29" spans="1:32" x14ac:dyDescent="0.35">
      <c r="A29" t="str">
        <f t="shared" si="5"/>
        <v>Pública com contratoAcima de 50</v>
      </c>
      <c r="B29" t="s">
        <v>428</v>
      </c>
      <c r="C29" t="s">
        <v>422</v>
      </c>
      <c r="D29">
        <f t="shared" si="9"/>
        <v>50</v>
      </c>
      <c r="F29">
        <v>16.97</v>
      </c>
      <c r="G29">
        <v>16.97</v>
      </c>
      <c r="H29">
        <v>9.7799999999999994</v>
      </c>
      <c r="I29">
        <v>7.85</v>
      </c>
      <c r="J29">
        <v>13.44</v>
      </c>
      <c r="K29">
        <v>13.44</v>
      </c>
      <c r="L29">
        <v>11.1</v>
      </c>
      <c r="M29">
        <v>11.1</v>
      </c>
      <c r="N29">
        <v>9.7799999999999994</v>
      </c>
      <c r="O29">
        <v>7.85</v>
      </c>
      <c r="P29">
        <v>10.94</v>
      </c>
      <c r="Q29">
        <v>8.75</v>
      </c>
      <c r="R29">
        <v>8.2040758293838874</v>
      </c>
      <c r="S29">
        <v>6.5977104874446084</v>
      </c>
      <c r="T29">
        <f t="shared" si="6"/>
        <v>16.97</v>
      </c>
      <c r="U29">
        <f t="shared" si="3"/>
        <v>16.97</v>
      </c>
      <c r="Z29">
        <f t="shared" si="7"/>
        <v>16.97</v>
      </c>
      <c r="AA29">
        <f t="shared" si="4"/>
        <v>16.97</v>
      </c>
      <c r="AB29">
        <v>5.2610419026047559</v>
      </c>
      <c r="AC29">
        <v>4.2073342736248227</v>
      </c>
      <c r="AF29">
        <f t="shared" si="8"/>
        <v>16.97</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E666C-214A-4055-B1E1-0B868DBC1576}">
  <sheetPr>
    <tabColor theme="8"/>
  </sheetPr>
  <dimension ref="A1:AG21"/>
  <sheetViews>
    <sheetView workbookViewId="0">
      <selection activeCell="B5" sqref="B5"/>
    </sheetView>
  </sheetViews>
  <sheetFormatPr defaultRowHeight="14.5" x14ac:dyDescent="0.35"/>
  <sheetData>
    <row r="1" spans="1:33" x14ac:dyDescent="0.35">
      <c r="A1" t="s">
        <v>388</v>
      </c>
      <c r="B1" t="str">
        <f>Auxiliar!G22</f>
        <v>SANTO ANASTACIO</v>
      </c>
      <c r="E1">
        <v>1</v>
      </c>
      <c r="F1" t="s">
        <v>456</v>
      </c>
      <c r="G1">
        <f>R13+R21</f>
        <v>52.260000000000005</v>
      </c>
    </row>
    <row r="2" spans="1:33" x14ac:dyDescent="0.35">
      <c r="A2" t="s">
        <v>390</v>
      </c>
      <c r="B2">
        <f>Auxiliar!I22</f>
        <v>5</v>
      </c>
      <c r="E2">
        <v>3</v>
      </c>
      <c r="F2" t="s">
        <v>417</v>
      </c>
      <c r="G2">
        <f>G13+G21</f>
        <v>16.28</v>
      </c>
    </row>
    <row r="3" spans="1:33" x14ac:dyDescent="0.35">
      <c r="A3" t="s">
        <v>432</v>
      </c>
      <c r="B3">
        <f>Auxiliar!Q21</f>
        <v>1</v>
      </c>
      <c r="C3" t="str">
        <f>Auxiliar!P21</f>
        <v>Residencial</v>
      </c>
      <c r="E3">
        <v>4</v>
      </c>
      <c r="F3" t="s">
        <v>465</v>
      </c>
      <c r="G3">
        <f>IF(M13+M21=0,"",M13+M21)</f>
        <v>12.42</v>
      </c>
    </row>
    <row r="4" spans="1:33" x14ac:dyDescent="0.35">
      <c r="A4" t="s">
        <v>453</v>
      </c>
      <c r="B4">
        <f>Simulador!C7</f>
        <v>10</v>
      </c>
      <c r="E4" t="s">
        <v>513</v>
      </c>
      <c r="F4" t="s">
        <v>426</v>
      </c>
      <c r="G4">
        <f>W13+W21</f>
        <v>104.82</v>
      </c>
    </row>
    <row r="5" spans="1:33" x14ac:dyDescent="0.35">
      <c r="A5" t="s">
        <v>557</v>
      </c>
      <c r="B5">
        <f>IF(B3=1,G1,IF(B3=3,G2,IF(B3=5,G3,IF(OR(B3=6,B3=9,B3=10),G4,IF(B3=8,G5,"")))))</f>
        <v>52.260000000000005</v>
      </c>
      <c r="E5">
        <v>8</v>
      </c>
      <c r="F5" t="s">
        <v>427</v>
      </c>
      <c r="G5">
        <f>AB13+AB21</f>
        <v>52.4</v>
      </c>
    </row>
    <row r="6" spans="1:33" x14ac:dyDescent="0.35">
      <c r="F6" t="s">
        <v>428</v>
      </c>
      <c r="G6">
        <f>AG13+AG21</f>
        <v>78.569999999999993</v>
      </c>
    </row>
    <row r="7" spans="1:33" x14ac:dyDescent="0.35">
      <c r="A7" t="s">
        <v>433</v>
      </c>
    </row>
    <row r="8" spans="1:33" x14ac:dyDescent="0.35">
      <c r="A8" t="s">
        <v>432</v>
      </c>
      <c r="B8" t="s">
        <v>417</v>
      </c>
      <c r="C8" t="s">
        <v>417</v>
      </c>
      <c r="D8" t="s">
        <v>417</v>
      </c>
      <c r="E8" t="s">
        <v>417</v>
      </c>
      <c r="F8" t="s">
        <v>417</v>
      </c>
      <c r="H8" t="s">
        <v>465</v>
      </c>
      <c r="I8" t="s">
        <v>465</v>
      </c>
      <c r="J8" t="s">
        <v>465</v>
      </c>
      <c r="K8" t="s">
        <v>465</v>
      </c>
      <c r="L8" t="s">
        <v>465</v>
      </c>
      <c r="N8" t="s">
        <v>424</v>
      </c>
      <c r="O8" t="s">
        <v>424</v>
      </c>
      <c r="P8" t="s">
        <v>424</v>
      </c>
      <c r="Q8" t="s">
        <v>424</v>
      </c>
      <c r="S8" t="s">
        <v>426</v>
      </c>
      <c r="T8" t="s">
        <v>426</v>
      </c>
      <c r="U8" t="s">
        <v>426</v>
      </c>
      <c r="V8" t="s">
        <v>426</v>
      </c>
      <c r="X8" t="s">
        <v>427</v>
      </c>
      <c r="Y8" t="s">
        <v>427</v>
      </c>
      <c r="Z8" t="s">
        <v>427</v>
      </c>
      <c r="AA8" t="s">
        <v>427</v>
      </c>
      <c r="AC8" t="s">
        <v>428</v>
      </c>
      <c r="AD8" t="s">
        <v>428</v>
      </c>
      <c r="AE8" t="s">
        <v>428</v>
      </c>
      <c r="AF8" t="s">
        <v>428</v>
      </c>
    </row>
    <row r="9" spans="1:33" x14ac:dyDescent="0.35">
      <c r="A9" t="s">
        <v>431</v>
      </c>
      <c r="B9" t="s">
        <v>418</v>
      </c>
      <c r="C9" t="s">
        <v>419</v>
      </c>
      <c r="D9" t="s">
        <v>420</v>
      </c>
      <c r="E9" t="s">
        <v>421</v>
      </c>
      <c r="F9" t="s">
        <v>422</v>
      </c>
      <c r="H9" t="s">
        <v>418</v>
      </c>
      <c r="I9" t="s">
        <v>419</v>
      </c>
      <c r="J9" t="s">
        <v>420</v>
      </c>
      <c r="K9" t="s">
        <v>421</v>
      </c>
      <c r="L9" t="s">
        <v>422</v>
      </c>
      <c r="N9" t="s">
        <v>418</v>
      </c>
      <c r="O9" t="s">
        <v>419</v>
      </c>
      <c r="P9" t="s">
        <v>425</v>
      </c>
      <c r="Q9" t="s">
        <v>422</v>
      </c>
      <c r="S9" t="s">
        <v>418</v>
      </c>
      <c r="T9" t="s">
        <v>419</v>
      </c>
      <c r="U9" t="s">
        <v>425</v>
      </c>
      <c r="V9" t="s">
        <v>422</v>
      </c>
      <c r="X9" t="s">
        <v>418</v>
      </c>
      <c r="Y9" t="s">
        <v>419</v>
      </c>
      <c r="Z9" t="s">
        <v>425</v>
      </c>
      <c r="AA9" t="s">
        <v>422</v>
      </c>
      <c r="AC9" t="s">
        <v>418</v>
      </c>
      <c r="AD9" t="s">
        <v>419</v>
      </c>
      <c r="AE9" t="s">
        <v>425</v>
      </c>
      <c r="AF9" t="s">
        <v>422</v>
      </c>
    </row>
    <row r="10" spans="1:33" x14ac:dyDescent="0.35">
      <c r="A10" t="s">
        <v>429</v>
      </c>
      <c r="B10">
        <v>0</v>
      </c>
      <c r="C10">
        <v>10</v>
      </c>
      <c r="D10">
        <v>20</v>
      </c>
      <c r="E10">
        <v>30</v>
      </c>
      <c r="F10">
        <v>50</v>
      </c>
      <c r="H10">
        <v>0</v>
      </c>
      <c r="I10">
        <v>10</v>
      </c>
      <c r="J10">
        <v>20</v>
      </c>
      <c r="K10">
        <v>30</v>
      </c>
      <c r="L10">
        <v>50</v>
      </c>
      <c r="N10">
        <v>0</v>
      </c>
      <c r="O10">
        <v>10</v>
      </c>
      <c r="P10">
        <v>20</v>
      </c>
      <c r="Q10">
        <v>50</v>
      </c>
      <c r="S10">
        <v>0</v>
      </c>
      <c r="T10">
        <v>10</v>
      </c>
      <c r="U10">
        <v>20</v>
      </c>
      <c r="V10">
        <v>50</v>
      </c>
      <c r="X10">
        <v>0</v>
      </c>
      <c r="Y10">
        <v>10</v>
      </c>
      <c r="Z10">
        <v>20</v>
      </c>
      <c r="AA10">
        <v>50</v>
      </c>
      <c r="AC10">
        <v>0</v>
      </c>
      <c r="AD10">
        <v>10</v>
      </c>
      <c r="AE10">
        <v>20</v>
      </c>
      <c r="AF10">
        <v>50</v>
      </c>
    </row>
    <row r="11" spans="1:33" x14ac:dyDescent="0.35">
      <c r="A11" t="s">
        <v>430</v>
      </c>
      <c r="B11">
        <v>10</v>
      </c>
      <c r="C11">
        <v>20</v>
      </c>
      <c r="D11">
        <v>30</v>
      </c>
      <c r="E11">
        <v>50</v>
      </c>
      <c r="H11">
        <v>10</v>
      </c>
      <c r="I11">
        <v>20</v>
      </c>
      <c r="J11">
        <v>30</v>
      </c>
      <c r="K11">
        <v>50</v>
      </c>
      <c r="N11">
        <v>10</v>
      </c>
      <c r="O11">
        <v>20</v>
      </c>
      <c r="P11">
        <v>50</v>
      </c>
      <c r="S11">
        <v>10</v>
      </c>
      <c r="T11">
        <v>20</v>
      </c>
      <c r="U11">
        <v>50</v>
      </c>
      <c r="X11">
        <v>10</v>
      </c>
      <c r="Y11">
        <v>20</v>
      </c>
      <c r="Z11">
        <v>50</v>
      </c>
      <c r="AC11">
        <v>10</v>
      </c>
      <c r="AD11">
        <v>20</v>
      </c>
      <c r="AE11">
        <v>50</v>
      </c>
    </row>
    <row r="12" spans="1:33" x14ac:dyDescent="0.35">
      <c r="A12" t="s">
        <v>455</v>
      </c>
      <c r="B12">
        <f>INDEX('Tarifas 2021'!$A$3:$AG$29,MATCH('Fatura 2021'!B8&amp;'Fatura 2021'!B9,'Tarifas 2021'!$A$3:$A$29,0),MATCH('Fatura 2021'!$A7&amp;'Fatura 2021'!$B$2,'Tarifas 2021'!$A$3:$AG$3,0))</f>
        <v>9.0500000000000007</v>
      </c>
      <c r="C12">
        <f>INDEX('Tarifas 2021'!$A$3:$AG$29,MATCH('Fatura 2021'!C8&amp;'Fatura 2021'!C9,'Tarifas 2021'!$A$3:$A$29,0),MATCH('Fatura 2021'!$A7&amp;'Fatura 2021'!$B$2,'Tarifas 2021'!$A$3:$AG$3,0))</f>
        <v>1.41</v>
      </c>
      <c r="D12">
        <f>INDEX('Tarifas 2021'!$A$3:$AG$29,MATCH('Fatura 2021'!D8&amp;'Fatura 2021'!D9,'Tarifas 2021'!$A$3:$A$29,0),MATCH('Fatura 2021'!$A7&amp;'Fatura 2021'!$B$2,'Tarifas 2021'!$A$3:$AG$3,0))</f>
        <v>3.05</v>
      </c>
      <c r="E12">
        <f>INDEX('Tarifas 2021'!$A$3:$AG$29,MATCH('Fatura 2021'!E8&amp;'Fatura 2021'!E9,'Tarifas 2021'!$A$3:$A$29,0),MATCH('Fatura 2021'!$A7&amp;'Fatura 2021'!$B$2,'Tarifas 2021'!$A$3:$AG$3,0))</f>
        <v>4.3499999999999996</v>
      </c>
      <c r="F12">
        <f>INDEX('Tarifas 2021'!$A$3:$AG$29,MATCH('Fatura 2021'!F8&amp;'Fatura 2021'!F9,'Tarifas 2021'!$A$3:$A$29,0),MATCH('Fatura 2021'!$A7&amp;'Fatura 2021'!$B$2,'Tarifas 2021'!$A$3:$AG$3,0))</f>
        <v>5.17</v>
      </c>
      <c r="H12">
        <f>INDEX('Tarifas 2021'!$A$3:$AG$29,MATCH('Fatura 2021'!H8&amp;'Fatura 2021'!H9,'Tarifas 2021'!$A$3:$A$29,0),MATCH('Fatura 2021'!$A7&amp;'Fatura 2021'!$B$2,'Tarifas 2021'!$A$3:$AG$3,0))</f>
        <v>6.9</v>
      </c>
      <c r="I12">
        <f>INDEX('Tarifas 2021'!$A$3:$AG$29,MATCH('Fatura 2021'!I8&amp;'Fatura 2021'!I9,'Tarifas 2021'!$A$3:$A$29,0),MATCH('Fatura 2021'!$A7&amp;'Fatura 2021'!$B$2,'Tarifas 2021'!$A$3:$AG$3,0))</f>
        <v>0.78</v>
      </c>
      <c r="J12">
        <f>INDEX('Tarifas 2021'!$A$3:$AG$29,MATCH('Fatura 2021'!J8&amp;'Fatura 2021'!J9,'Tarifas 2021'!$A$3:$A$29,0),MATCH('Fatura 2021'!$A7&amp;'Fatura 2021'!$B$2,'Tarifas 2021'!$A$3:$AG$3,0))</f>
        <v>2.61</v>
      </c>
      <c r="K12">
        <f>INDEX('Tarifas 2021'!$A$3:$AG$29,MATCH('Fatura 2021'!K8&amp;'Fatura 2021'!K9,'Tarifas 2021'!$A$3:$A$29,0),MATCH('Fatura 2021'!$A7&amp;'Fatura 2021'!$B$2,'Tarifas 2021'!$A$3:$AG$3,0))</f>
        <v>7.88</v>
      </c>
      <c r="L12">
        <f>INDEX('Tarifas 2021'!$A$3:$AG$29,MATCH('Fatura 2021'!L8&amp;'Fatura 2021'!L9,'Tarifas 2021'!$A$3:$A$29,0),MATCH('Fatura 2021'!$A7&amp;'Fatura 2021'!$B$2,'Tarifas 2021'!$A$3:$AG$3,0))</f>
        <v>8.7100000000000009</v>
      </c>
      <c r="N12">
        <f>INDEX('Tarifas 2021'!$A$3:$AG$29,MATCH('Fatura 2021'!N8&amp;'Fatura 2021'!N9,'Tarifas 2021'!$A$3:$A$29,0),MATCH('Fatura 2021'!$A7&amp;'Fatura 2021'!$B$2,'Tarifas 2021'!$A$3:$AG$3,0))</f>
        <v>29</v>
      </c>
      <c r="O12">
        <f>INDEX('Tarifas 2021'!$A$3:$AG$29,MATCH('Fatura 2021'!O8&amp;'Fatura 2021'!O9,'Tarifas 2021'!$A$3:$A$29,0),MATCH('Fatura 2021'!$A7&amp;'Fatura 2021'!$B$2,'Tarifas 2021'!$A$3:$AG$3,0))</f>
        <v>4.04</v>
      </c>
      <c r="P12">
        <f>INDEX('Tarifas 2021'!$A$3:$AG$29,MATCH('Fatura 2021'!P8&amp;'Fatura 2021'!P9,'Tarifas 2021'!$A$3:$A$29,0),MATCH('Fatura 2021'!$A7&amp;'Fatura 2021'!$B$2,'Tarifas 2021'!$A$3:$AG$3,0))</f>
        <v>6.21</v>
      </c>
      <c r="Q12">
        <f>INDEX('Tarifas 2021'!$A$3:$AG$29,MATCH('Fatura 2021'!Q8&amp;'Fatura 2021'!Q9,'Tarifas 2021'!$A$3:$A$29,0),MATCH('Fatura 2021'!$A7&amp;'Fatura 2021'!$B$2,'Tarifas 2021'!$A$3:$AG$3,0))</f>
        <v>7.43</v>
      </c>
      <c r="S12">
        <f>INDEX('Tarifas 2021'!$A$3:$AG$29,MATCH('Fatura 2021'!S8&amp;'Fatura 2021'!S9,'Tarifas 2021'!$A$3:$A$29,0),MATCH('Fatura 2021'!$A7&amp;'Fatura 2021'!$B$2,'Tarifas 2021'!$A$3:$AG$3,0))</f>
        <v>58.24</v>
      </c>
      <c r="T12">
        <f>INDEX('Tarifas 2021'!$A$3:$AG$29,MATCH('Fatura 2021'!T8&amp;'Fatura 2021'!T9,'Tarifas 2021'!$A$3:$A$29,0),MATCH('Fatura 2021'!$A7&amp;'Fatura 2021'!$B$2,'Tarifas 2021'!$A$3:$AG$3,0))</f>
        <v>6.89</v>
      </c>
      <c r="U12">
        <f>INDEX('Tarifas 2021'!$A$3:$AG$29,MATCH('Fatura 2021'!U8&amp;'Fatura 2021'!U9,'Tarifas 2021'!$A$3:$A$29,0),MATCH('Fatura 2021'!$A7&amp;'Fatura 2021'!$B$2,'Tarifas 2021'!$A$3:$AG$3,0))</f>
        <v>11.13</v>
      </c>
      <c r="V12">
        <f>INDEX('Tarifas 2021'!$A$3:$AG$29,MATCH('Fatura 2021'!V8&amp;'Fatura 2021'!V9,'Tarifas 2021'!$A$3:$A$29,0),MATCH('Fatura 2021'!$A7&amp;'Fatura 2021'!$B$2,'Tarifas 2021'!$A$3:$AG$3,0))</f>
        <v>13.07</v>
      </c>
      <c r="X12">
        <f>INDEX('Tarifas 2021'!$A$3:$AG$29,MATCH('Fatura 2021'!X8&amp;'Fatura 2021'!X9,'Tarifas 2021'!$A$3:$A$29,0),MATCH('Fatura 2021'!$A7&amp;'Fatura 2021'!$B$2,'Tarifas 2021'!$A$3:$AG$3,0))</f>
        <v>29.11</v>
      </c>
      <c r="Y12">
        <f>INDEX('Tarifas 2021'!$A$3:$AG$29,MATCH('Fatura 2021'!Y8&amp;'Fatura 2021'!Y9,'Tarifas 2021'!$A$3:$A$29,0),MATCH('Fatura 2021'!$A7&amp;'Fatura 2021'!$B$2,'Tarifas 2021'!$A$3:$AG$3,0))</f>
        <v>3.47</v>
      </c>
      <c r="Z12">
        <f>INDEX('Tarifas 2021'!$A$3:$AG$29,MATCH('Fatura 2021'!Z8&amp;'Fatura 2021'!Z9,'Tarifas 2021'!$A$3:$A$29,0),MATCH('Fatura 2021'!$A7&amp;'Fatura 2021'!$B$2,'Tarifas 2021'!$A$3:$AG$3,0))</f>
        <v>5.61</v>
      </c>
      <c r="AA12">
        <f>INDEX('Tarifas 2021'!$A$3:$AG$29,MATCH('Fatura 2021'!AA8&amp;'Fatura 2021'!AA9,'Tarifas 2021'!$A$3:$A$29,0),MATCH('Fatura 2021'!$A7&amp;'Fatura 2021'!$B$2,'Tarifas 2021'!$A$3:$AG$3,0))</f>
        <v>6.55</v>
      </c>
      <c r="AC12">
        <f>INDEX('Tarifas 2021'!$A$3:$AG$29,MATCH('Fatura 2021'!AC8&amp;'Fatura 2021'!AC9,'Tarifas 2021'!$A$3:$A$29,0),MATCH('Fatura 2021'!$A7&amp;'Fatura 2021'!$B$2,'Tarifas 2021'!$A$3:$AG$3,0))</f>
        <v>43.64</v>
      </c>
      <c r="AD12">
        <f>INDEX('Tarifas 2021'!$A$3:$AG$29,MATCH('Fatura 2021'!AD8&amp;'Fatura 2021'!AD9,'Tarifas 2021'!$A$3:$A$29,0),MATCH('Fatura 2021'!$A7&amp;'Fatura 2021'!$B$2,'Tarifas 2021'!$A$3:$AG$3,0))</f>
        <v>5.14</v>
      </c>
      <c r="AE12">
        <f>INDEX('Tarifas 2021'!$A$3:$AG$29,MATCH('Fatura 2021'!AE8&amp;'Fatura 2021'!AE9,'Tarifas 2021'!$A$3:$A$29,0),MATCH('Fatura 2021'!$A7&amp;'Fatura 2021'!$B$2,'Tarifas 2021'!$A$3:$AG$3,0))</f>
        <v>8.39</v>
      </c>
      <c r="AF12">
        <f>INDEX('Tarifas 2021'!$A$3:$AG$29,MATCH('Fatura 2021'!AF8&amp;'Fatura 2021'!AF9,'Tarifas 2021'!$A$3:$A$29,0),MATCH('Fatura 2021'!$A7&amp;'Fatura 2021'!$B$2,'Tarifas 2021'!$A$3:$AG$3,0))</f>
        <v>9.7799999999999994</v>
      </c>
    </row>
    <row r="13" spans="1:33" x14ac:dyDescent="0.35">
      <c r="A13">
        <f>B4</f>
        <v>10</v>
      </c>
      <c r="B13">
        <f>B12</f>
        <v>9.0500000000000007</v>
      </c>
      <c r="C13">
        <f>IF($A13&gt;C11,C12*(C11-C10),C12*($A13-C10))</f>
        <v>0</v>
      </c>
      <c r="D13">
        <f>IF($A13&gt;D11,D12*(D11-D10),D12*($A13-D10))</f>
        <v>-30.5</v>
      </c>
      <c r="E13">
        <f>IF($A13&gt;E11,E12*(E11-E10),E12*($A13-E10))</f>
        <v>-87</v>
      </c>
      <c r="F13">
        <f>F12*($A13-F10)</f>
        <v>-206.8</v>
      </c>
      <c r="G13">
        <f>SUMIF(B13:F13,"&gt;0",B13:F13)</f>
        <v>9.0500000000000007</v>
      </c>
      <c r="H13">
        <f>H12</f>
        <v>6.9</v>
      </c>
      <c r="I13">
        <f>IF($A13&gt;I11,I12*(I11-I10),I12*($A13-I10))</f>
        <v>0</v>
      </c>
      <c r="J13">
        <f>IF($A13&gt;J11,J12*(J11-J10),J12*($A13-J10))</f>
        <v>-26.099999999999998</v>
      </c>
      <c r="K13">
        <f>IF($A13&gt;K11,K12*(K11-K10),K12*($A13-K10))</f>
        <v>-157.6</v>
      </c>
      <c r="L13">
        <f>L12*($A13-L10)</f>
        <v>-348.40000000000003</v>
      </c>
      <c r="M13">
        <f>SUMIF(H13:L13,"&gt;0",H13:L13)</f>
        <v>6.9</v>
      </c>
      <c r="N13">
        <f>N12</f>
        <v>29</v>
      </c>
      <c r="O13">
        <f>IF($A13&gt;O11,O12*(O11-O10),O12*($A13-O10))</f>
        <v>0</v>
      </c>
      <c r="P13">
        <f>IF($A13&gt;P11,P12*(P11-P10),P12*($A13-P10))</f>
        <v>-62.1</v>
      </c>
      <c r="Q13">
        <f>Q12*($A13-Q10)</f>
        <v>-297.2</v>
      </c>
      <c r="R13">
        <f>SUMIF(N13:Q13,"&gt;0",N13:Q13)</f>
        <v>29</v>
      </c>
      <c r="S13">
        <f>S12</f>
        <v>58.24</v>
      </c>
      <c r="T13">
        <f>IF($A13&gt;T11,T12*(T11-T10),T12*($A13-T10))</f>
        <v>0</v>
      </c>
      <c r="U13">
        <f>IF($A13&gt;U11,U12*(U11-U10),U12*($A13-U10))</f>
        <v>-111.30000000000001</v>
      </c>
      <c r="V13">
        <f>V12*($A13-V10)</f>
        <v>-522.79999999999995</v>
      </c>
      <c r="W13">
        <f>SUMIF(S13:V13,"&gt;0",S13:V13)</f>
        <v>58.24</v>
      </c>
      <c r="X13">
        <f>X12</f>
        <v>29.11</v>
      </c>
      <c r="Y13">
        <f>IF($A13&gt;Y11,Y12*(Y11-Y10),Y12*($A13-Y10))</f>
        <v>0</v>
      </c>
      <c r="Z13">
        <f>IF($A13&gt;Z11,Z12*(Z11-Z10),Z12*($A13-Z10))</f>
        <v>-56.1</v>
      </c>
      <c r="AA13">
        <f>AA12*($A13-AA10)</f>
        <v>-262</v>
      </c>
      <c r="AB13">
        <f>SUMIF(X13:AA13,"&gt;0",X13:AA13)</f>
        <v>29.11</v>
      </c>
      <c r="AC13">
        <f>AC12</f>
        <v>43.64</v>
      </c>
      <c r="AD13">
        <f>IF($A13&gt;AD11,AD12*(AD11-AD10),AD12*($A13-AD10))</f>
        <v>0</v>
      </c>
      <c r="AE13">
        <f>IF($A13&gt;AE11,AE12*(AE11-AE10),AE12*($A13-AE10))</f>
        <v>-83.9</v>
      </c>
      <c r="AF13">
        <f>AF12*($A13-AF10)</f>
        <v>-391.2</v>
      </c>
      <c r="AG13">
        <f>SUMIF(AC13:AF13,"&gt;0",AC13:AF13)</f>
        <v>43.64</v>
      </c>
    </row>
    <row r="15" spans="1:33" x14ac:dyDescent="0.35">
      <c r="A15" t="s">
        <v>434</v>
      </c>
    </row>
    <row r="16" spans="1:33" x14ac:dyDescent="0.35">
      <c r="A16" t="s">
        <v>432</v>
      </c>
      <c r="B16" t="s">
        <v>417</v>
      </c>
      <c r="C16" t="s">
        <v>417</v>
      </c>
      <c r="D16" t="s">
        <v>417</v>
      </c>
      <c r="E16" t="s">
        <v>417</v>
      </c>
      <c r="F16" t="s">
        <v>417</v>
      </c>
      <c r="H16" t="s">
        <v>465</v>
      </c>
      <c r="I16" t="s">
        <v>465</v>
      </c>
      <c r="J16" t="s">
        <v>465</v>
      </c>
      <c r="K16" t="s">
        <v>465</v>
      </c>
      <c r="L16" t="s">
        <v>465</v>
      </c>
      <c r="N16" t="s">
        <v>424</v>
      </c>
      <c r="O16" t="s">
        <v>424</v>
      </c>
      <c r="P16" t="s">
        <v>424</v>
      </c>
      <c r="Q16" t="s">
        <v>424</v>
      </c>
      <c r="S16" t="s">
        <v>426</v>
      </c>
      <c r="T16" t="s">
        <v>426</v>
      </c>
      <c r="U16" t="s">
        <v>426</v>
      </c>
      <c r="V16" t="s">
        <v>426</v>
      </c>
      <c r="X16" t="s">
        <v>427</v>
      </c>
      <c r="Y16" t="s">
        <v>427</v>
      </c>
      <c r="Z16" t="s">
        <v>427</v>
      </c>
      <c r="AA16" t="s">
        <v>427</v>
      </c>
      <c r="AC16" t="s">
        <v>428</v>
      </c>
      <c r="AD16" t="s">
        <v>428</v>
      </c>
      <c r="AE16" t="s">
        <v>428</v>
      </c>
      <c r="AF16" t="s">
        <v>428</v>
      </c>
    </row>
    <row r="17" spans="1:33" x14ac:dyDescent="0.35">
      <c r="A17" t="s">
        <v>431</v>
      </c>
      <c r="B17" t="s">
        <v>418</v>
      </c>
      <c r="C17" t="s">
        <v>419</v>
      </c>
      <c r="D17" t="s">
        <v>420</v>
      </c>
      <c r="E17" t="s">
        <v>421</v>
      </c>
      <c r="F17" t="s">
        <v>422</v>
      </c>
      <c r="H17" t="s">
        <v>418</v>
      </c>
      <c r="I17" t="s">
        <v>419</v>
      </c>
      <c r="J17" t="s">
        <v>420</v>
      </c>
      <c r="K17" t="s">
        <v>421</v>
      </c>
      <c r="L17" t="s">
        <v>422</v>
      </c>
      <c r="N17" t="s">
        <v>418</v>
      </c>
      <c r="O17" t="s">
        <v>419</v>
      </c>
      <c r="P17" t="s">
        <v>425</v>
      </c>
      <c r="Q17" t="s">
        <v>422</v>
      </c>
      <c r="S17" t="s">
        <v>418</v>
      </c>
      <c r="T17" t="s">
        <v>419</v>
      </c>
      <c r="U17" t="s">
        <v>425</v>
      </c>
      <c r="V17" t="s">
        <v>422</v>
      </c>
      <c r="X17" t="s">
        <v>418</v>
      </c>
      <c r="Y17" t="s">
        <v>419</v>
      </c>
      <c r="Z17" t="s">
        <v>425</v>
      </c>
      <c r="AA17" t="s">
        <v>422</v>
      </c>
      <c r="AC17" t="s">
        <v>418</v>
      </c>
      <c r="AD17" t="s">
        <v>419</v>
      </c>
      <c r="AE17" t="s">
        <v>425</v>
      </c>
      <c r="AF17" t="s">
        <v>422</v>
      </c>
    </row>
    <row r="18" spans="1:33" x14ac:dyDescent="0.35">
      <c r="A18" t="s">
        <v>429</v>
      </c>
      <c r="B18">
        <v>0</v>
      </c>
      <c r="C18">
        <v>10</v>
      </c>
      <c r="D18">
        <v>20</v>
      </c>
      <c r="E18">
        <v>30</v>
      </c>
      <c r="F18">
        <v>50</v>
      </c>
      <c r="H18">
        <v>0</v>
      </c>
      <c r="I18">
        <v>10</v>
      </c>
      <c r="J18">
        <v>20</v>
      </c>
      <c r="K18">
        <v>30</v>
      </c>
      <c r="L18">
        <v>50</v>
      </c>
      <c r="N18">
        <v>0</v>
      </c>
      <c r="O18">
        <v>10</v>
      </c>
      <c r="P18">
        <v>20</v>
      </c>
      <c r="Q18">
        <v>50</v>
      </c>
      <c r="S18">
        <v>0</v>
      </c>
      <c r="T18">
        <v>10</v>
      </c>
      <c r="U18">
        <v>20</v>
      </c>
      <c r="V18">
        <v>50</v>
      </c>
      <c r="X18">
        <v>0</v>
      </c>
      <c r="Y18">
        <v>10</v>
      </c>
      <c r="Z18">
        <v>20</v>
      </c>
      <c r="AA18">
        <v>50</v>
      </c>
      <c r="AC18">
        <v>0</v>
      </c>
      <c r="AD18">
        <v>10</v>
      </c>
      <c r="AE18">
        <v>20</v>
      </c>
      <c r="AF18">
        <v>50</v>
      </c>
    </row>
    <row r="19" spans="1:33" x14ac:dyDescent="0.35">
      <c r="A19" t="s">
        <v>430</v>
      </c>
      <c r="B19">
        <v>10</v>
      </c>
      <c r="C19">
        <v>20</v>
      </c>
      <c r="D19">
        <v>30</v>
      </c>
      <c r="E19">
        <v>50</v>
      </c>
      <c r="H19">
        <v>10</v>
      </c>
      <c r="I19">
        <v>20</v>
      </c>
      <c r="J19">
        <v>30</v>
      </c>
      <c r="K19">
        <v>50</v>
      </c>
      <c r="N19">
        <v>10</v>
      </c>
      <c r="O19">
        <v>20</v>
      </c>
      <c r="P19">
        <v>50</v>
      </c>
      <c r="S19">
        <v>10</v>
      </c>
      <c r="T19">
        <v>20</v>
      </c>
      <c r="U19">
        <v>50</v>
      </c>
      <c r="X19">
        <v>10</v>
      </c>
      <c r="Y19">
        <v>20</v>
      </c>
      <c r="Z19">
        <v>50</v>
      </c>
      <c r="AC19">
        <v>10</v>
      </c>
      <c r="AD19">
        <v>20</v>
      </c>
      <c r="AE19">
        <v>50</v>
      </c>
    </row>
    <row r="20" spans="1:33" x14ac:dyDescent="0.35">
      <c r="A20" t="s">
        <v>455</v>
      </c>
      <c r="B20">
        <f>INDEX('Tarifas 2021'!$A$3:$AG$29,MATCH('Fatura 2021'!B16&amp;'Fatura 2021'!B17,'Tarifas 2021'!$A$3:$A$29,0),MATCH('Fatura 2021'!$A15&amp;'Fatura 2021'!$B$2,'Tarifas 2021'!$A$3:$AG$3,0))</f>
        <v>7.23</v>
      </c>
      <c r="C20">
        <f>INDEX('Tarifas 2021'!$A$3:$AG$29,MATCH('Fatura 2021'!C16&amp;'Fatura 2021'!C17,'Tarifas 2021'!$A$3:$A$29,0),MATCH('Fatura 2021'!$A15&amp;'Fatura 2021'!$B$2,'Tarifas 2021'!$A$3:$AG$3,0))</f>
        <v>1.1299999999999999</v>
      </c>
      <c r="D20">
        <f>INDEX('Tarifas 2021'!$A$3:$AG$29,MATCH('Fatura 2021'!D16&amp;'Fatura 2021'!D17,'Tarifas 2021'!$A$3:$A$29,0),MATCH('Fatura 2021'!$A15&amp;'Fatura 2021'!$B$2,'Tarifas 2021'!$A$3:$AG$3,0))</f>
        <v>2.42</v>
      </c>
      <c r="E20">
        <f>INDEX('Tarifas 2021'!$A$3:$AG$29,MATCH('Fatura 2021'!E16&amp;'Fatura 2021'!E17,'Tarifas 2021'!$A$3:$A$29,0),MATCH('Fatura 2021'!$A15&amp;'Fatura 2021'!$B$2,'Tarifas 2021'!$A$3:$AG$3,0))</f>
        <v>3.51</v>
      </c>
      <c r="F20">
        <f>INDEX('Tarifas 2021'!$A$3:$AG$29,MATCH('Fatura 2021'!F16&amp;'Fatura 2021'!F17,'Tarifas 2021'!$A$3:$A$29,0),MATCH('Fatura 2021'!$A15&amp;'Fatura 2021'!$B$2,'Tarifas 2021'!$A$3:$AG$3,0))</f>
        <v>4.17</v>
      </c>
      <c r="H20">
        <f>INDEX('Tarifas 2021'!$A$3:$AG$29,MATCH('Fatura 2021'!H16&amp;'Fatura 2021'!H17,'Tarifas 2021'!$A$3:$A$29,0),MATCH('Fatura 2021'!$A15&amp;'Fatura 2021'!$B$2,'Tarifas 2021'!$A$3:$AG$3,0))</f>
        <v>5.52</v>
      </c>
      <c r="I20">
        <f>INDEX('Tarifas 2021'!$A$3:$AG$29,MATCH('Fatura 2021'!I16&amp;'Fatura 2021'!I17,'Tarifas 2021'!$A$3:$A$29,0),MATCH('Fatura 2021'!$A15&amp;'Fatura 2021'!$B$2,'Tarifas 2021'!$A$3:$AG$3,0))</f>
        <v>0.63</v>
      </c>
      <c r="J20">
        <f>INDEX('Tarifas 2021'!$A$3:$AG$29,MATCH('Fatura 2021'!J16&amp;'Fatura 2021'!J17,'Tarifas 2021'!$A$3:$A$29,0),MATCH('Fatura 2021'!$A15&amp;'Fatura 2021'!$B$2,'Tarifas 2021'!$A$3:$AG$3,0))</f>
        <v>2.09</v>
      </c>
      <c r="K20">
        <f>INDEX('Tarifas 2021'!$A$3:$AG$29,MATCH('Fatura 2021'!K16&amp;'Fatura 2021'!K17,'Tarifas 2021'!$A$3:$A$29,0),MATCH('Fatura 2021'!$A15&amp;'Fatura 2021'!$B$2,'Tarifas 2021'!$A$3:$AG$3,0))</f>
        <v>6.31</v>
      </c>
      <c r="L20">
        <f>INDEX('Tarifas 2021'!$A$3:$AG$29,MATCH('Fatura 2021'!L16&amp;'Fatura 2021'!L17,'Tarifas 2021'!$A$3:$A$29,0),MATCH('Fatura 2021'!$A15&amp;'Fatura 2021'!$B$2,'Tarifas 2021'!$A$3:$AG$3,0))</f>
        <v>6.97</v>
      </c>
      <c r="N20">
        <f>INDEX('Tarifas 2021'!$A$3:$AG$29,MATCH('Fatura 2021'!N16&amp;'Fatura 2021'!N17,'Tarifas 2021'!$A$3:$A$29,0),MATCH('Fatura 2021'!$A15&amp;'Fatura 2021'!$B$2,'Tarifas 2021'!$A$3:$AG$3,0))</f>
        <v>23.26</v>
      </c>
      <c r="O20">
        <f>INDEX('Tarifas 2021'!$A$3:$AG$29,MATCH('Fatura 2021'!O16&amp;'Fatura 2021'!O17,'Tarifas 2021'!$A$3:$A$29,0),MATCH('Fatura 2021'!$A15&amp;'Fatura 2021'!$B$2,'Tarifas 2021'!$A$3:$AG$3,0))</f>
        <v>3.19</v>
      </c>
      <c r="P20">
        <f>INDEX('Tarifas 2021'!$A$3:$AG$29,MATCH('Fatura 2021'!P16&amp;'Fatura 2021'!P17,'Tarifas 2021'!$A$3:$A$29,0),MATCH('Fatura 2021'!$A15&amp;'Fatura 2021'!$B$2,'Tarifas 2021'!$A$3:$AG$3,0))</f>
        <v>4.96</v>
      </c>
      <c r="Q20">
        <f>INDEX('Tarifas 2021'!$A$3:$AG$29,MATCH('Fatura 2021'!Q16&amp;'Fatura 2021'!Q17,'Tarifas 2021'!$A$3:$A$29,0),MATCH('Fatura 2021'!$A15&amp;'Fatura 2021'!$B$2,'Tarifas 2021'!$A$3:$AG$3,0))</f>
        <v>5.91</v>
      </c>
      <c r="S20">
        <f>INDEX('Tarifas 2021'!$A$3:$AG$29,MATCH('Fatura 2021'!S16&amp;'Fatura 2021'!S17,'Tarifas 2021'!$A$3:$A$29,0),MATCH('Fatura 2021'!$A15&amp;'Fatura 2021'!$B$2,'Tarifas 2021'!$A$3:$AG$3,0))</f>
        <v>46.58</v>
      </c>
      <c r="T20">
        <f>INDEX('Tarifas 2021'!$A$3:$AG$29,MATCH('Fatura 2021'!T16&amp;'Fatura 2021'!T17,'Tarifas 2021'!$A$3:$A$29,0),MATCH('Fatura 2021'!$A15&amp;'Fatura 2021'!$B$2,'Tarifas 2021'!$A$3:$AG$3,0))</f>
        <v>5.47</v>
      </c>
      <c r="U20">
        <f>INDEX('Tarifas 2021'!$A$3:$AG$29,MATCH('Fatura 2021'!U16&amp;'Fatura 2021'!U17,'Tarifas 2021'!$A$3:$A$29,0),MATCH('Fatura 2021'!$A15&amp;'Fatura 2021'!$B$2,'Tarifas 2021'!$A$3:$AG$3,0))</f>
        <v>8.9</v>
      </c>
      <c r="V20">
        <f>INDEX('Tarifas 2021'!$A$3:$AG$29,MATCH('Fatura 2021'!V16&amp;'Fatura 2021'!V17,'Tarifas 2021'!$A$3:$A$29,0),MATCH('Fatura 2021'!$A15&amp;'Fatura 2021'!$B$2,'Tarifas 2021'!$A$3:$AG$3,0))</f>
        <v>10.43</v>
      </c>
      <c r="X20">
        <f>INDEX('Tarifas 2021'!$A$3:$AG$29,MATCH('Fatura 2021'!X16&amp;'Fatura 2021'!X17,'Tarifas 2021'!$A$3:$A$29,0),MATCH('Fatura 2021'!$A15&amp;'Fatura 2021'!$B$2,'Tarifas 2021'!$A$3:$AG$3,0))</f>
        <v>23.29</v>
      </c>
      <c r="Y20">
        <f>INDEX('Tarifas 2021'!$A$3:$AG$29,MATCH('Fatura 2021'!Y16&amp;'Fatura 2021'!Y17,'Tarifas 2021'!$A$3:$A$29,0),MATCH('Fatura 2021'!$A15&amp;'Fatura 2021'!$B$2,'Tarifas 2021'!$A$3:$AG$3,0))</f>
        <v>2.73</v>
      </c>
      <c r="Z20">
        <f>INDEX('Tarifas 2021'!$A$3:$AG$29,MATCH('Fatura 2021'!Z16&amp;'Fatura 2021'!Z17,'Tarifas 2021'!$A$3:$A$29,0),MATCH('Fatura 2021'!$A15&amp;'Fatura 2021'!$B$2,'Tarifas 2021'!$A$3:$AG$3,0))</f>
        <v>4.49</v>
      </c>
      <c r="AA20">
        <f>INDEX('Tarifas 2021'!$A$3:$AG$29,MATCH('Fatura 2021'!AA16&amp;'Fatura 2021'!AA17,'Tarifas 2021'!$A$3:$A$29,0),MATCH('Fatura 2021'!$A15&amp;'Fatura 2021'!$B$2,'Tarifas 2021'!$A$3:$AG$3,0))</f>
        <v>5.23</v>
      </c>
      <c r="AC20">
        <f>INDEX('Tarifas 2021'!$A$3:$AG$29,MATCH('Fatura 2021'!AC16&amp;'Fatura 2021'!AC17,'Tarifas 2021'!$A$3:$A$29,0),MATCH('Fatura 2021'!$A15&amp;'Fatura 2021'!$B$2,'Tarifas 2021'!$A$3:$AG$3,0))</f>
        <v>34.93</v>
      </c>
      <c r="AD20">
        <f>INDEX('Tarifas 2021'!$A$3:$AG$29,MATCH('Fatura 2021'!AD16&amp;'Fatura 2021'!AD17,'Tarifas 2021'!$A$3:$A$29,0),MATCH('Fatura 2021'!$A15&amp;'Fatura 2021'!$B$2,'Tarifas 2021'!$A$3:$AG$3,0))</f>
        <v>4.13</v>
      </c>
      <c r="AE20">
        <f>INDEX('Tarifas 2021'!$A$3:$AG$29,MATCH('Fatura 2021'!AE16&amp;'Fatura 2021'!AE17,'Tarifas 2021'!$A$3:$A$29,0),MATCH('Fatura 2021'!$A15&amp;'Fatura 2021'!$B$2,'Tarifas 2021'!$A$3:$AG$3,0))</f>
        <v>6.68</v>
      </c>
      <c r="AF20">
        <f>INDEX('Tarifas 2021'!$A$3:$AG$29,MATCH('Fatura 2021'!AF16&amp;'Fatura 2021'!AF17,'Tarifas 2021'!$A$3:$A$29,0),MATCH('Fatura 2021'!$A15&amp;'Fatura 2021'!$B$2,'Tarifas 2021'!$A$3:$AG$3,0))</f>
        <v>7.85</v>
      </c>
    </row>
    <row r="21" spans="1:33" x14ac:dyDescent="0.35">
      <c r="A21">
        <f>B4</f>
        <v>10</v>
      </c>
      <c r="B21">
        <f>B20</f>
        <v>7.23</v>
      </c>
      <c r="C21">
        <f>IF($A21&gt;C19,C20*(C19-C18),C20*($A21-C18))</f>
        <v>0</v>
      </c>
      <c r="D21">
        <f>IF($A21&gt;D19,D20*(D19-D18),D20*($A21-D18))</f>
        <v>-24.2</v>
      </c>
      <c r="E21">
        <f>IF($A21&gt;E19,E20*(E19-E18),E20*($A21-E18))</f>
        <v>-70.199999999999989</v>
      </c>
      <c r="F21">
        <f>F20*($A21-F18)</f>
        <v>-166.8</v>
      </c>
      <c r="G21">
        <f>SUMIF(B21:F21,"&gt;0",B21:F21)</f>
        <v>7.23</v>
      </c>
      <c r="H21">
        <f>H20</f>
        <v>5.52</v>
      </c>
      <c r="I21">
        <f>IF($A21&gt;I19,I20*(I19-I18),I20*($A21-I18))</f>
        <v>0</v>
      </c>
      <c r="J21">
        <f>IF($A21&gt;J19,J20*(J19-J18),J20*($A21-J18))</f>
        <v>-20.9</v>
      </c>
      <c r="K21">
        <f>IF($A21&gt;K19,K20*(K19-K18),K20*($A21-K18))</f>
        <v>-126.19999999999999</v>
      </c>
      <c r="L21">
        <f>L20*($A21-L18)</f>
        <v>-278.8</v>
      </c>
      <c r="M21">
        <f>SUMIF(H21:L21,"&gt;0",H21:L21)</f>
        <v>5.52</v>
      </c>
      <c r="N21">
        <f>N20</f>
        <v>23.26</v>
      </c>
      <c r="O21">
        <f>IF($A21&gt;O19,O20*(O19-O18),O20*($A21-O18))</f>
        <v>0</v>
      </c>
      <c r="P21">
        <f>IF($A21&gt;P19,P20*(P19-P18),P20*($A21-P18))</f>
        <v>-49.6</v>
      </c>
      <c r="Q21">
        <f>Q20*($A21-Q18)</f>
        <v>-236.4</v>
      </c>
      <c r="R21">
        <f>SUMIF(N21:Q21,"&gt;0",N21:Q21)</f>
        <v>23.26</v>
      </c>
      <c r="S21">
        <f>S20</f>
        <v>46.58</v>
      </c>
      <c r="T21">
        <f>IF($A21&gt;T19,T20*(T19-T18),T20*($A21-T18))</f>
        <v>0</v>
      </c>
      <c r="U21">
        <f>IF($A21&gt;U19,U20*(U19-U18),U20*($A21-U18))</f>
        <v>-89</v>
      </c>
      <c r="V21">
        <f>V20*($A21-V18)</f>
        <v>-417.2</v>
      </c>
      <c r="W21">
        <f>SUMIF(S21:V21,"&gt;0",S21:V21)</f>
        <v>46.58</v>
      </c>
      <c r="X21">
        <f>X20</f>
        <v>23.29</v>
      </c>
      <c r="Y21">
        <f>IF($A21&gt;Y19,Y20*(Y19-Y18),Y20*($A21-Y18))</f>
        <v>0</v>
      </c>
      <c r="Z21">
        <f>IF($A21&gt;Z19,Z20*(Z19-Z18),Z20*($A21-Z18))</f>
        <v>-44.900000000000006</v>
      </c>
      <c r="AA21">
        <f>AA20*($A21-AA18)</f>
        <v>-209.20000000000002</v>
      </c>
      <c r="AB21">
        <f>SUMIF(X21:AA21,"&gt;0",X21:AA21)</f>
        <v>23.29</v>
      </c>
      <c r="AC21">
        <f>AC20</f>
        <v>34.93</v>
      </c>
      <c r="AD21">
        <f>IF($A21&gt;AD19,AD20*(AD19-AD18),AD20*($A21-AD18))</f>
        <v>0</v>
      </c>
      <c r="AE21">
        <f>IF($A21&gt;AE19,AE20*(AE19-AE18),AE20*($A21-AE18))</f>
        <v>-66.8</v>
      </c>
      <c r="AF21">
        <f>AF20*($A21-AF18)</f>
        <v>-314</v>
      </c>
      <c r="AG21">
        <f>SUMIF(AC21:AF21,"&gt;0",AC21:AF21)</f>
        <v>34.93</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7203-CBA1-42B2-A5C8-285477B752CF}">
  <sheetPr>
    <tabColor rgb="FFC00000"/>
  </sheetPr>
  <dimension ref="A1:J47"/>
  <sheetViews>
    <sheetView workbookViewId="0">
      <selection activeCell="AA5" sqref="AA5:AG5"/>
    </sheetView>
  </sheetViews>
  <sheetFormatPr defaultRowHeight="14.5" x14ac:dyDescent="0.35"/>
  <sheetData>
    <row r="1" spans="1:10" x14ac:dyDescent="0.35">
      <c r="F1" t="s">
        <v>520</v>
      </c>
      <c r="G1" t="s">
        <v>520</v>
      </c>
      <c r="H1" t="s">
        <v>521</v>
      </c>
      <c r="I1" t="s">
        <v>521</v>
      </c>
      <c r="J1" t="s">
        <v>521</v>
      </c>
    </row>
    <row r="2" spans="1:10" x14ac:dyDescent="0.35">
      <c r="F2" t="s">
        <v>433</v>
      </c>
      <c r="G2" t="s">
        <v>522</v>
      </c>
      <c r="H2" t="s">
        <v>433</v>
      </c>
      <c r="I2" t="s">
        <v>522</v>
      </c>
      <c r="J2" t="s">
        <v>523</v>
      </c>
    </row>
    <row r="3" spans="1:10" x14ac:dyDescent="0.35">
      <c r="B3" t="s">
        <v>432</v>
      </c>
      <c r="C3" t="s">
        <v>431</v>
      </c>
      <c r="D3" t="s">
        <v>429</v>
      </c>
      <c r="E3" t="s">
        <v>430</v>
      </c>
      <c r="F3" t="str">
        <f>F2&amp;F1</f>
        <v>ÁguaFixo</v>
      </c>
      <c r="G3" t="str">
        <f>G2&amp;G1</f>
        <v>EsgotoColetaFixo</v>
      </c>
      <c r="H3" t="str">
        <f t="shared" ref="H3:J3" si="0">H2&amp;H1</f>
        <v>ÁguaVariável</v>
      </c>
      <c r="I3" t="str">
        <f t="shared" si="0"/>
        <v>EsgotoColetaVariável</v>
      </c>
      <c r="J3" t="str">
        <f t="shared" si="0"/>
        <v>EsgotoTratamentoVariável</v>
      </c>
    </row>
    <row r="4" spans="1:10" x14ac:dyDescent="0.35">
      <c r="A4" t="str">
        <f>B4&amp;C4</f>
        <v>Residencial Individual0 a 5</v>
      </c>
      <c r="B4" t="s">
        <v>515</v>
      </c>
      <c r="C4" t="s">
        <v>516</v>
      </c>
      <c r="D4">
        <v>0</v>
      </c>
      <c r="E4">
        <v>5</v>
      </c>
      <c r="F4">
        <v>8.34</v>
      </c>
      <c r="G4">
        <v>6.22</v>
      </c>
      <c r="H4">
        <v>2.91</v>
      </c>
      <c r="I4">
        <v>1.62</v>
      </c>
      <c r="J4">
        <v>1.46</v>
      </c>
    </row>
    <row r="5" spans="1:10" x14ac:dyDescent="0.35">
      <c r="A5" t="str">
        <f t="shared" ref="A5:A47" si="1">B5&amp;C5</f>
        <v>Residencial Individual5 a 15</v>
      </c>
      <c r="B5" t="s">
        <v>515</v>
      </c>
      <c r="C5" t="s">
        <v>517</v>
      </c>
      <c r="D5">
        <f>E4</f>
        <v>5</v>
      </c>
      <c r="E5">
        <v>15</v>
      </c>
      <c r="F5">
        <v>8.34</v>
      </c>
      <c r="G5">
        <v>6.22</v>
      </c>
      <c r="H5">
        <v>1.1299999999999999</v>
      </c>
      <c r="I5">
        <v>0.63</v>
      </c>
      <c r="J5">
        <v>0.56999999999999995</v>
      </c>
    </row>
    <row r="6" spans="1:10" x14ac:dyDescent="0.35">
      <c r="A6" t="str">
        <f t="shared" si="1"/>
        <v>Residencial Individual15 a 30</v>
      </c>
      <c r="B6" t="s">
        <v>515</v>
      </c>
      <c r="C6" t="s">
        <v>518</v>
      </c>
      <c r="D6">
        <f t="shared" ref="D6:D47" si="2">E5</f>
        <v>15</v>
      </c>
      <c r="E6">
        <v>30</v>
      </c>
      <c r="F6">
        <v>36.130000000000003</v>
      </c>
      <c r="G6">
        <v>26.97</v>
      </c>
      <c r="H6">
        <v>7.86</v>
      </c>
      <c r="I6">
        <v>4.37</v>
      </c>
      <c r="J6">
        <v>3.93</v>
      </c>
    </row>
    <row r="7" spans="1:10" x14ac:dyDescent="0.35">
      <c r="A7" t="str">
        <f t="shared" si="1"/>
        <v>Residencial IndividualMais de 30</v>
      </c>
      <c r="B7" t="s">
        <v>515</v>
      </c>
      <c r="C7" t="s">
        <v>519</v>
      </c>
      <c r="D7">
        <f t="shared" si="2"/>
        <v>30</v>
      </c>
      <c r="F7">
        <v>75.16</v>
      </c>
      <c r="G7">
        <v>56.1</v>
      </c>
      <c r="H7">
        <v>16.600000000000001</v>
      </c>
      <c r="I7">
        <v>9.24</v>
      </c>
      <c r="J7">
        <v>8.31</v>
      </c>
    </row>
    <row r="8" spans="1:10" x14ac:dyDescent="0.35">
      <c r="A8" t="str">
        <f t="shared" si="1"/>
        <v>Residencial Coletivo - CPH 0-10 a 15</v>
      </c>
      <c r="B8" t="s">
        <v>524</v>
      </c>
      <c r="C8" t="s">
        <v>525</v>
      </c>
      <c r="D8">
        <f t="shared" si="2"/>
        <v>0</v>
      </c>
      <c r="E8">
        <v>15</v>
      </c>
      <c r="F8">
        <v>8.34</v>
      </c>
      <c r="G8">
        <v>6.22</v>
      </c>
      <c r="H8">
        <v>2.91</v>
      </c>
      <c r="I8">
        <v>1.62</v>
      </c>
      <c r="J8">
        <v>1.46</v>
      </c>
    </row>
    <row r="9" spans="1:10" x14ac:dyDescent="0.35">
      <c r="A9" t="str">
        <f t="shared" si="1"/>
        <v>Residencial Coletivo - CPH 0-115 a 50</v>
      </c>
      <c r="B9" t="s">
        <v>524</v>
      </c>
      <c r="C9" t="s">
        <v>526</v>
      </c>
      <c r="D9">
        <f t="shared" si="2"/>
        <v>15</v>
      </c>
      <c r="E9">
        <v>50</v>
      </c>
      <c r="F9">
        <v>9.17</v>
      </c>
      <c r="G9">
        <v>6.84</v>
      </c>
      <c r="H9">
        <v>16.22</v>
      </c>
      <c r="I9">
        <v>9.06</v>
      </c>
      <c r="J9">
        <v>5.18</v>
      </c>
    </row>
    <row r="10" spans="1:10" x14ac:dyDescent="0.35">
      <c r="A10" t="str">
        <f t="shared" si="1"/>
        <v>Residencial Coletivo - CPH 0-1Mais de 50</v>
      </c>
      <c r="B10" t="s">
        <v>524</v>
      </c>
      <c r="C10" t="s">
        <v>527</v>
      </c>
      <c r="D10">
        <f t="shared" si="2"/>
        <v>50</v>
      </c>
      <c r="F10">
        <v>13.76</v>
      </c>
      <c r="G10">
        <v>10.26</v>
      </c>
      <c r="H10">
        <v>32.99</v>
      </c>
      <c r="I10">
        <v>18.420000000000002</v>
      </c>
      <c r="J10">
        <v>10.53</v>
      </c>
    </row>
    <row r="11" spans="1:10" x14ac:dyDescent="0.35">
      <c r="A11" t="str">
        <f t="shared" si="1"/>
        <v>Residencial Coletivo - CPH 2-40 a 200</v>
      </c>
      <c r="B11" t="s">
        <v>528</v>
      </c>
      <c r="C11" t="s">
        <v>529</v>
      </c>
      <c r="D11">
        <f t="shared" si="2"/>
        <v>0</v>
      </c>
      <c r="E11">
        <v>200</v>
      </c>
      <c r="F11">
        <v>124.53</v>
      </c>
      <c r="G11">
        <v>92.87</v>
      </c>
      <c r="H11">
        <v>43.45</v>
      </c>
      <c r="I11">
        <v>24.19</v>
      </c>
      <c r="J11">
        <v>21.8</v>
      </c>
    </row>
    <row r="12" spans="1:10" x14ac:dyDescent="0.35">
      <c r="A12" t="str">
        <f t="shared" si="1"/>
        <v>Residencial Coletivo - CPH 2-4200 a 600</v>
      </c>
      <c r="B12" t="s">
        <v>528</v>
      </c>
      <c r="C12" t="s">
        <v>530</v>
      </c>
      <c r="D12">
        <f t="shared" si="2"/>
        <v>200</v>
      </c>
      <c r="E12">
        <v>600</v>
      </c>
      <c r="F12">
        <v>111.92</v>
      </c>
      <c r="G12">
        <v>83.47</v>
      </c>
      <c r="H12">
        <v>197.91</v>
      </c>
      <c r="I12">
        <v>110.49</v>
      </c>
      <c r="J12">
        <v>63.14</v>
      </c>
    </row>
    <row r="13" spans="1:10" x14ac:dyDescent="0.35">
      <c r="A13" t="str">
        <f t="shared" si="1"/>
        <v>Residencial Coletivo - CPH 2-4Mais de 600</v>
      </c>
      <c r="B13" t="s">
        <v>528</v>
      </c>
      <c r="C13" t="s">
        <v>531</v>
      </c>
      <c r="D13">
        <f t="shared" si="2"/>
        <v>600</v>
      </c>
      <c r="F13">
        <v>167.88</v>
      </c>
      <c r="G13">
        <v>125.21</v>
      </c>
      <c r="H13">
        <v>402.5</v>
      </c>
      <c r="I13">
        <v>224.71</v>
      </c>
      <c r="J13">
        <v>128.41</v>
      </c>
    </row>
    <row r="14" spans="1:10" x14ac:dyDescent="0.35">
      <c r="A14" t="str">
        <f t="shared" si="1"/>
        <v>Residencial Coletivo - CPH 5-70 a 600</v>
      </c>
      <c r="B14" t="s">
        <v>532</v>
      </c>
      <c r="C14" t="s">
        <v>533</v>
      </c>
      <c r="D14">
        <f t="shared" si="2"/>
        <v>0</v>
      </c>
      <c r="E14">
        <v>600</v>
      </c>
      <c r="F14">
        <v>261.51</v>
      </c>
      <c r="G14">
        <v>195.03</v>
      </c>
      <c r="H14">
        <v>91.24</v>
      </c>
      <c r="I14">
        <v>50.8</v>
      </c>
      <c r="J14">
        <v>45.78</v>
      </c>
    </row>
    <row r="15" spans="1:10" x14ac:dyDescent="0.35">
      <c r="A15" t="str">
        <f t="shared" si="1"/>
        <v>Residencial Coletivo - CPH 5-7600 a 2.000</v>
      </c>
      <c r="B15" t="s">
        <v>532</v>
      </c>
      <c r="C15" t="s">
        <v>534</v>
      </c>
      <c r="D15">
        <f t="shared" si="2"/>
        <v>600</v>
      </c>
      <c r="E15">
        <v>2000</v>
      </c>
      <c r="F15">
        <v>358.15</v>
      </c>
      <c r="G15">
        <v>267.11</v>
      </c>
      <c r="H15">
        <v>633.30999999999995</v>
      </c>
      <c r="I15">
        <v>353.57</v>
      </c>
      <c r="J15">
        <v>202.04</v>
      </c>
    </row>
    <row r="16" spans="1:10" x14ac:dyDescent="0.35">
      <c r="A16" t="str">
        <f t="shared" si="1"/>
        <v>Residencial Coletivo - CPH 5-7Mais de 2.000</v>
      </c>
      <c r="B16" t="s">
        <v>532</v>
      </c>
      <c r="C16" t="s">
        <v>535</v>
      </c>
      <c r="D16">
        <f t="shared" si="2"/>
        <v>2000</v>
      </c>
      <c r="F16">
        <v>483.51</v>
      </c>
      <c r="G16">
        <v>360.6</v>
      </c>
      <c r="H16">
        <v>1159.21</v>
      </c>
      <c r="I16">
        <v>647.16999999999996</v>
      </c>
      <c r="J16">
        <v>369.81</v>
      </c>
    </row>
    <row r="17" spans="1:10" x14ac:dyDescent="0.35">
      <c r="A17" t="str">
        <f t="shared" si="1"/>
        <v>Residencial Coletivo - CPH 8-110 a 2.000</v>
      </c>
      <c r="B17" t="s">
        <v>536</v>
      </c>
      <c r="C17" t="s">
        <v>537</v>
      </c>
      <c r="D17">
        <f t="shared" si="2"/>
        <v>0</v>
      </c>
      <c r="E17">
        <v>2000</v>
      </c>
      <c r="F17">
        <v>836.82</v>
      </c>
      <c r="G17">
        <v>624.1</v>
      </c>
      <c r="H17">
        <v>291.98</v>
      </c>
      <c r="I17">
        <v>162.55000000000001</v>
      </c>
      <c r="J17">
        <v>146.49</v>
      </c>
    </row>
    <row r="18" spans="1:10" x14ac:dyDescent="0.35">
      <c r="A18" t="str">
        <f t="shared" si="1"/>
        <v>Residencial Coletivo - CPH 8-112.000 a 6.000</v>
      </c>
      <c r="B18" t="s">
        <v>536</v>
      </c>
      <c r="C18" t="s">
        <v>538</v>
      </c>
      <c r="D18">
        <f t="shared" si="2"/>
        <v>2000</v>
      </c>
      <c r="E18">
        <v>6000</v>
      </c>
      <c r="F18">
        <v>1164</v>
      </c>
      <c r="G18">
        <v>868.11</v>
      </c>
      <c r="H18">
        <v>2058.27</v>
      </c>
      <c r="I18">
        <v>1149.0899999999999</v>
      </c>
      <c r="J18">
        <v>656.63</v>
      </c>
    </row>
    <row r="19" spans="1:10" x14ac:dyDescent="0.35">
      <c r="A19" t="str">
        <f t="shared" si="1"/>
        <v>Residencial Coletivo - CPH 8-11Mais de 6.000</v>
      </c>
      <c r="B19" t="s">
        <v>536</v>
      </c>
      <c r="C19" t="s">
        <v>539</v>
      </c>
      <c r="D19">
        <f t="shared" si="2"/>
        <v>6000</v>
      </c>
      <c r="F19">
        <v>1450.52</v>
      </c>
      <c r="G19">
        <v>1081.8</v>
      </c>
      <c r="H19">
        <v>3477.63</v>
      </c>
      <c r="I19">
        <v>1941.5</v>
      </c>
      <c r="J19">
        <v>1109.43</v>
      </c>
    </row>
    <row r="20" spans="1:10" x14ac:dyDescent="0.35">
      <c r="A20" t="str">
        <f t="shared" si="1"/>
        <v>Residencial Social0 a 10</v>
      </c>
      <c r="B20" t="s">
        <v>417</v>
      </c>
      <c r="C20" t="s">
        <v>418</v>
      </c>
      <c r="D20">
        <f t="shared" si="2"/>
        <v>0</v>
      </c>
      <c r="E20">
        <v>10</v>
      </c>
      <c r="F20">
        <v>2.6</v>
      </c>
      <c r="G20">
        <v>1.94</v>
      </c>
      <c r="H20">
        <v>0.71</v>
      </c>
      <c r="I20">
        <v>0.39</v>
      </c>
      <c r="J20">
        <v>0.23</v>
      </c>
    </row>
    <row r="21" spans="1:10" x14ac:dyDescent="0.35">
      <c r="A21" t="str">
        <f t="shared" si="1"/>
        <v>Residencial Social10 a 20</v>
      </c>
      <c r="B21" t="s">
        <v>417</v>
      </c>
      <c r="C21" t="s">
        <v>540</v>
      </c>
      <c r="D21">
        <f t="shared" si="2"/>
        <v>10</v>
      </c>
      <c r="E21">
        <v>20</v>
      </c>
      <c r="F21">
        <v>4.17</v>
      </c>
      <c r="G21">
        <v>3.11</v>
      </c>
      <c r="H21">
        <v>1.1299999999999999</v>
      </c>
      <c r="I21">
        <v>0.63</v>
      </c>
      <c r="J21">
        <v>0.36</v>
      </c>
    </row>
    <row r="22" spans="1:10" x14ac:dyDescent="0.35">
      <c r="A22" t="str">
        <f t="shared" si="1"/>
        <v>Residencial Social20 a 30</v>
      </c>
      <c r="B22" t="s">
        <v>417</v>
      </c>
      <c r="C22" t="s">
        <v>541</v>
      </c>
      <c r="D22">
        <f t="shared" si="2"/>
        <v>20</v>
      </c>
      <c r="E22">
        <v>30</v>
      </c>
      <c r="F22">
        <v>16.66</v>
      </c>
      <c r="G22">
        <v>12.44</v>
      </c>
      <c r="H22">
        <v>2.94</v>
      </c>
      <c r="I22">
        <v>1.64</v>
      </c>
      <c r="J22">
        <v>0.94</v>
      </c>
    </row>
    <row r="23" spans="1:10" x14ac:dyDescent="0.35">
      <c r="A23" t="str">
        <f t="shared" si="1"/>
        <v>Residencial SocialMais de 30</v>
      </c>
      <c r="B23" t="s">
        <v>417</v>
      </c>
      <c r="C23" t="s">
        <v>519</v>
      </c>
      <c r="D23">
        <f t="shared" si="2"/>
        <v>30</v>
      </c>
      <c r="F23">
        <v>45.09</v>
      </c>
      <c r="G23">
        <v>33.659999999999997</v>
      </c>
      <c r="H23">
        <v>9.9600000000000009</v>
      </c>
      <c r="I23">
        <v>5.54</v>
      </c>
      <c r="J23">
        <v>4.99</v>
      </c>
    </row>
    <row r="24" spans="1:10" x14ac:dyDescent="0.35">
      <c r="A24" t="str">
        <f t="shared" si="1"/>
        <v>Residencial Vulnerável0 a 10</v>
      </c>
      <c r="B24" t="s">
        <v>465</v>
      </c>
      <c r="C24" t="s">
        <v>418</v>
      </c>
      <c r="D24">
        <f t="shared" si="2"/>
        <v>0</v>
      </c>
      <c r="E24">
        <v>10</v>
      </c>
      <c r="F24">
        <v>0.3</v>
      </c>
      <c r="G24">
        <v>0.23</v>
      </c>
      <c r="H24">
        <v>0.08</v>
      </c>
      <c r="I24">
        <v>0.05</v>
      </c>
      <c r="J24">
        <v>0.03</v>
      </c>
    </row>
    <row r="25" spans="1:10" x14ac:dyDescent="0.35">
      <c r="A25" t="str">
        <f t="shared" si="1"/>
        <v>Residencial Vulnerável10 a 20</v>
      </c>
      <c r="B25" t="s">
        <v>465</v>
      </c>
      <c r="C25" t="s">
        <v>540</v>
      </c>
      <c r="D25">
        <f t="shared" si="2"/>
        <v>10</v>
      </c>
      <c r="E25">
        <v>20</v>
      </c>
      <c r="F25">
        <v>0.48</v>
      </c>
      <c r="G25">
        <v>0.36</v>
      </c>
      <c r="H25">
        <v>0.13</v>
      </c>
      <c r="I25">
        <v>7.0000000000000007E-2</v>
      </c>
      <c r="J25">
        <v>0.04</v>
      </c>
    </row>
    <row r="26" spans="1:10" x14ac:dyDescent="0.35">
      <c r="A26" t="str">
        <f t="shared" si="1"/>
        <v>Residencial Vulnerável20 a 30</v>
      </c>
      <c r="B26" t="s">
        <v>465</v>
      </c>
      <c r="C26" t="s">
        <v>541</v>
      </c>
      <c r="D26">
        <f t="shared" si="2"/>
        <v>20</v>
      </c>
      <c r="E26">
        <v>30</v>
      </c>
      <c r="F26">
        <v>1.94</v>
      </c>
      <c r="G26">
        <v>1.45</v>
      </c>
      <c r="H26">
        <v>0.34</v>
      </c>
      <c r="I26">
        <v>0.19</v>
      </c>
      <c r="J26">
        <v>0.11</v>
      </c>
    </row>
    <row r="27" spans="1:10" x14ac:dyDescent="0.35">
      <c r="A27" t="str">
        <f t="shared" si="1"/>
        <v>Residencial VulnerávelMais de 30</v>
      </c>
      <c r="B27" t="s">
        <v>465</v>
      </c>
      <c r="C27" t="s">
        <v>519</v>
      </c>
      <c r="D27">
        <f t="shared" si="2"/>
        <v>30</v>
      </c>
      <c r="F27">
        <v>37.58</v>
      </c>
      <c r="G27">
        <v>28.05</v>
      </c>
      <c r="H27">
        <v>8.3000000000000007</v>
      </c>
      <c r="I27">
        <v>4.62</v>
      </c>
      <c r="J27">
        <v>4.16</v>
      </c>
    </row>
    <row r="28" spans="1:10" x14ac:dyDescent="0.35">
      <c r="A28" t="str">
        <f t="shared" si="1"/>
        <v>Comercial0 a 5</v>
      </c>
      <c r="B28" t="s">
        <v>458</v>
      </c>
      <c r="C28" t="s">
        <v>516</v>
      </c>
      <c r="D28">
        <f t="shared" si="2"/>
        <v>0</v>
      </c>
      <c r="E28">
        <v>5</v>
      </c>
      <c r="F28">
        <v>16.27</v>
      </c>
      <c r="G28">
        <v>12.14</v>
      </c>
      <c r="H28">
        <v>4.42</v>
      </c>
      <c r="I28">
        <v>2.46</v>
      </c>
      <c r="J28">
        <v>2.13</v>
      </c>
    </row>
    <row r="29" spans="1:10" x14ac:dyDescent="0.35">
      <c r="A29" t="str">
        <f t="shared" si="1"/>
        <v>Comercial5 a 15</v>
      </c>
      <c r="B29" t="s">
        <v>458</v>
      </c>
      <c r="C29" t="s">
        <v>517</v>
      </c>
      <c r="D29">
        <f t="shared" si="2"/>
        <v>5</v>
      </c>
      <c r="E29">
        <v>15</v>
      </c>
      <c r="F29">
        <v>16.27</v>
      </c>
      <c r="G29">
        <v>12.14</v>
      </c>
      <c r="H29">
        <v>2.21</v>
      </c>
      <c r="I29">
        <v>1.23</v>
      </c>
      <c r="J29">
        <v>1.06</v>
      </c>
    </row>
    <row r="30" spans="1:10" x14ac:dyDescent="0.35">
      <c r="A30" t="str">
        <f t="shared" si="1"/>
        <v>Comercial15 a 30</v>
      </c>
      <c r="B30" t="s">
        <v>458</v>
      </c>
      <c r="C30" t="s">
        <v>518</v>
      </c>
      <c r="D30">
        <f t="shared" si="2"/>
        <v>15</v>
      </c>
      <c r="E30">
        <v>30</v>
      </c>
      <c r="F30">
        <v>40.67</v>
      </c>
      <c r="G30">
        <v>30.36</v>
      </c>
      <c r="H30">
        <v>11.05</v>
      </c>
      <c r="I30">
        <v>6.15</v>
      </c>
      <c r="J30">
        <v>5.67</v>
      </c>
    </row>
    <row r="31" spans="1:10" x14ac:dyDescent="0.35">
      <c r="A31" t="str">
        <f t="shared" si="1"/>
        <v>Comercial30 a 100</v>
      </c>
      <c r="B31" t="s">
        <v>458</v>
      </c>
      <c r="C31" t="s">
        <v>542</v>
      </c>
      <c r="D31">
        <f t="shared" si="2"/>
        <v>30</v>
      </c>
      <c r="E31">
        <v>100</v>
      </c>
      <c r="F31">
        <v>97.61</v>
      </c>
      <c r="G31">
        <v>72.86</v>
      </c>
      <c r="H31">
        <v>15.47</v>
      </c>
      <c r="I31">
        <v>8.61</v>
      </c>
      <c r="J31">
        <v>10.64</v>
      </c>
    </row>
    <row r="32" spans="1:10" x14ac:dyDescent="0.35">
      <c r="A32" t="str">
        <f t="shared" si="1"/>
        <v>ComercialMais de 100</v>
      </c>
      <c r="B32" t="s">
        <v>458</v>
      </c>
      <c r="C32" t="s">
        <v>543</v>
      </c>
      <c r="D32">
        <f t="shared" si="2"/>
        <v>100</v>
      </c>
      <c r="F32">
        <v>162.68</v>
      </c>
      <c r="G32">
        <v>121.43</v>
      </c>
      <c r="H32">
        <v>22.11</v>
      </c>
      <c r="I32">
        <v>12.3</v>
      </c>
      <c r="J32">
        <v>10.64</v>
      </c>
    </row>
    <row r="33" spans="1:10" x14ac:dyDescent="0.35">
      <c r="A33" t="str">
        <f t="shared" si="1"/>
        <v>Comercial Assistencial0 a 5</v>
      </c>
      <c r="B33" t="s">
        <v>468</v>
      </c>
      <c r="C33" t="s">
        <v>516</v>
      </c>
      <c r="D33">
        <f t="shared" si="2"/>
        <v>0</v>
      </c>
      <c r="E33">
        <v>5</v>
      </c>
      <c r="F33">
        <v>8.1300000000000008</v>
      </c>
      <c r="G33">
        <v>6.07</v>
      </c>
      <c r="H33">
        <v>2.21</v>
      </c>
      <c r="I33">
        <v>1.23</v>
      </c>
      <c r="J33">
        <v>1.06</v>
      </c>
    </row>
    <row r="34" spans="1:10" x14ac:dyDescent="0.35">
      <c r="A34" t="str">
        <f t="shared" si="1"/>
        <v>Comercial Assistencial5 a 15</v>
      </c>
      <c r="B34" t="s">
        <v>468</v>
      </c>
      <c r="C34" t="s">
        <v>517</v>
      </c>
      <c r="D34">
        <f t="shared" si="2"/>
        <v>5</v>
      </c>
      <c r="E34">
        <v>15</v>
      </c>
      <c r="F34">
        <v>8.1300000000000008</v>
      </c>
      <c r="G34">
        <v>6.07</v>
      </c>
      <c r="H34">
        <v>1.1100000000000001</v>
      </c>
      <c r="I34">
        <v>0.62</v>
      </c>
      <c r="J34">
        <v>0.53</v>
      </c>
    </row>
    <row r="35" spans="1:10" x14ac:dyDescent="0.35">
      <c r="A35" t="str">
        <f t="shared" si="1"/>
        <v>Comercial Assistencial15 a 30</v>
      </c>
      <c r="B35" t="s">
        <v>468</v>
      </c>
      <c r="C35" t="s">
        <v>518</v>
      </c>
      <c r="D35">
        <f t="shared" si="2"/>
        <v>15</v>
      </c>
      <c r="E35">
        <v>30</v>
      </c>
      <c r="F35">
        <v>20.34</v>
      </c>
      <c r="G35">
        <v>15.18</v>
      </c>
      <c r="H35">
        <v>5.53</v>
      </c>
      <c r="I35">
        <v>3.08</v>
      </c>
      <c r="J35">
        <v>2.84</v>
      </c>
    </row>
    <row r="36" spans="1:10" x14ac:dyDescent="0.35">
      <c r="A36" t="str">
        <f t="shared" si="1"/>
        <v>Comercial Assistencial30 a 100</v>
      </c>
      <c r="B36" t="s">
        <v>468</v>
      </c>
      <c r="C36" t="s">
        <v>542</v>
      </c>
      <c r="D36">
        <f t="shared" si="2"/>
        <v>30</v>
      </c>
      <c r="E36">
        <v>100</v>
      </c>
      <c r="F36">
        <v>48.81</v>
      </c>
      <c r="G36">
        <v>36.43</v>
      </c>
      <c r="H36">
        <v>7.74</v>
      </c>
      <c r="I36">
        <v>4.3099999999999996</v>
      </c>
      <c r="J36">
        <v>5.32</v>
      </c>
    </row>
    <row r="37" spans="1:10" x14ac:dyDescent="0.35">
      <c r="A37" t="str">
        <f t="shared" si="1"/>
        <v>Comercial AssistencialMais de 100</v>
      </c>
      <c r="B37" t="s">
        <v>468</v>
      </c>
      <c r="C37" t="s">
        <v>543</v>
      </c>
      <c r="D37">
        <f t="shared" si="2"/>
        <v>100</v>
      </c>
      <c r="F37">
        <v>81.34</v>
      </c>
      <c r="G37">
        <v>60.71</v>
      </c>
      <c r="H37">
        <v>11.05</v>
      </c>
      <c r="I37">
        <v>6.15</v>
      </c>
      <c r="J37">
        <v>5.32</v>
      </c>
    </row>
    <row r="38" spans="1:10" x14ac:dyDescent="0.35">
      <c r="A38" t="str">
        <f t="shared" si="1"/>
        <v>Industrial0 a 10</v>
      </c>
      <c r="B38" t="s">
        <v>459</v>
      </c>
      <c r="C38" t="s">
        <v>418</v>
      </c>
      <c r="D38">
        <f t="shared" si="2"/>
        <v>0</v>
      </c>
      <c r="E38">
        <v>10</v>
      </c>
      <c r="F38">
        <v>13.56</v>
      </c>
      <c r="G38">
        <v>10.119999999999999</v>
      </c>
      <c r="H38">
        <v>1.84</v>
      </c>
      <c r="I38">
        <v>1.03</v>
      </c>
      <c r="J38">
        <v>0.59</v>
      </c>
    </row>
    <row r="39" spans="1:10" x14ac:dyDescent="0.35">
      <c r="A39" t="str">
        <f t="shared" si="1"/>
        <v>Industrial10 a 50</v>
      </c>
      <c r="B39" t="s">
        <v>459</v>
      </c>
      <c r="C39" t="s">
        <v>544</v>
      </c>
      <c r="D39">
        <f t="shared" si="2"/>
        <v>10</v>
      </c>
      <c r="E39">
        <v>50</v>
      </c>
      <c r="F39">
        <v>51.53</v>
      </c>
      <c r="G39">
        <v>38.46</v>
      </c>
      <c r="H39">
        <v>12.25</v>
      </c>
      <c r="I39">
        <v>6.82</v>
      </c>
      <c r="J39">
        <v>3.93</v>
      </c>
    </row>
    <row r="40" spans="1:10" x14ac:dyDescent="0.35">
      <c r="A40" t="str">
        <f t="shared" si="1"/>
        <v>Industrial50 a 100</v>
      </c>
      <c r="B40" t="s">
        <v>459</v>
      </c>
      <c r="C40" t="s">
        <v>545</v>
      </c>
      <c r="D40">
        <f t="shared" si="2"/>
        <v>50</v>
      </c>
      <c r="E40">
        <v>100</v>
      </c>
      <c r="F40">
        <v>97.9</v>
      </c>
      <c r="G40">
        <v>73.069999999999993</v>
      </c>
      <c r="H40">
        <v>16.63</v>
      </c>
      <c r="I40">
        <v>9.25</v>
      </c>
      <c r="J40">
        <v>5.33</v>
      </c>
    </row>
    <row r="41" spans="1:10" x14ac:dyDescent="0.35">
      <c r="A41" t="str">
        <f t="shared" si="1"/>
        <v>Industrial100 a 500</v>
      </c>
      <c r="B41" t="s">
        <v>459</v>
      </c>
      <c r="C41" t="s">
        <v>546</v>
      </c>
      <c r="D41">
        <f t="shared" si="2"/>
        <v>100</v>
      </c>
      <c r="E41">
        <v>500</v>
      </c>
      <c r="F41">
        <v>116.26</v>
      </c>
      <c r="G41">
        <v>86.77</v>
      </c>
      <c r="H41">
        <v>15.8</v>
      </c>
      <c r="I41">
        <v>8.7899999999999991</v>
      </c>
      <c r="J41">
        <v>5.07</v>
      </c>
    </row>
    <row r="42" spans="1:10" x14ac:dyDescent="0.35">
      <c r="A42" t="str">
        <f t="shared" si="1"/>
        <v>IndustrialMais de 500</v>
      </c>
      <c r="B42" t="s">
        <v>459</v>
      </c>
      <c r="C42" t="s">
        <v>547</v>
      </c>
      <c r="D42">
        <f t="shared" si="2"/>
        <v>500</v>
      </c>
      <c r="F42">
        <v>121.49</v>
      </c>
      <c r="G42">
        <v>90.68</v>
      </c>
      <c r="H42">
        <v>16.510000000000002</v>
      </c>
      <c r="I42">
        <v>9.19</v>
      </c>
      <c r="J42">
        <v>5.3</v>
      </c>
    </row>
    <row r="43" spans="1:10" x14ac:dyDescent="0.35">
      <c r="A43" t="str">
        <f t="shared" si="1"/>
        <v>Pública0 a 10</v>
      </c>
      <c r="B43" t="s">
        <v>460</v>
      </c>
      <c r="C43" t="s">
        <v>418</v>
      </c>
      <c r="D43">
        <f t="shared" si="2"/>
        <v>0</v>
      </c>
      <c r="E43">
        <v>10</v>
      </c>
      <c r="F43">
        <v>23.05</v>
      </c>
      <c r="G43">
        <v>17.2</v>
      </c>
      <c r="H43">
        <v>2.35</v>
      </c>
      <c r="I43">
        <v>1.31</v>
      </c>
      <c r="J43">
        <v>1</v>
      </c>
    </row>
    <row r="44" spans="1:10" x14ac:dyDescent="0.35">
      <c r="A44" t="str">
        <f t="shared" si="1"/>
        <v>Pública10 a 50</v>
      </c>
      <c r="B44" t="s">
        <v>460</v>
      </c>
      <c r="C44" t="s">
        <v>544</v>
      </c>
      <c r="D44">
        <f t="shared" si="2"/>
        <v>10</v>
      </c>
      <c r="E44">
        <v>50</v>
      </c>
      <c r="F44">
        <v>28.81</v>
      </c>
      <c r="G44">
        <v>21.51</v>
      </c>
      <c r="H44">
        <v>12.53</v>
      </c>
      <c r="I44">
        <v>6.97</v>
      </c>
      <c r="J44">
        <v>5.0199999999999996</v>
      </c>
    </row>
    <row r="45" spans="1:10" x14ac:dyDescent="0.35">
      <c r="A45" t="str">
        <f t="shared" si="1"/>
        <v>Pública50 a 100</v>
      </c>
      <c r="B45" t="s">
        <v>460</v>
      </c>
      <c r="C45" t="s">
        <v>545</v>
      </c>
      <c r="D45">
        <f t="shared" si="2"/>
        <v>50</v>
      </c>
      <c r="E45">
        <v>100</v>
      </c>
      <c r="F45">
        <v>115.25</v>
      </c>
      <c r="G45">
        <v>86.02</v>
      </c>
      <c r="H45">
        <v>12.53</v>
      </c>
      <c r="I45">
        <v>6.97</v>
      </c>
      <c r="J45">
        <v>5.0199999999999996</v>
      </c>
    </row>
    <row r="46" spans="1:10" x14ac:dyDescent="0.35">
      <c r="A46" t="str">
        <f t="shared" si="1"/>
        <v>Pública100 a 500</v>
      </c>
      <c r="B46" t="s">
        <v>460</v>
      </c>
      <c r="C46" t="s">
        <v>546</v>
      </c>
      <c r="D46">
        <f t="shared" si="2"/>
        <v>100</v>
      </c>
      <c r="E46">
        <v>500</v>
      </c>
      <c r="F46">
        <v>132.54</v>
      </c>
      <c r="G46">
        <v>98.92</v>
      </c>
      <c r="H46">
        <v>18.010000000000002</v>
      </c>
      <c r="I46">
        <v>10.02</v>
      </c>
      <c r="J46">
        <v>5.78</v>
      </c>
    </row>
    <row r="47" spans="1:10" x14ac:dyDescent="0.35">
      <c r="A47" t="str">
        <f t="shared" si="1"/>
        <v>PúblicaMais de 500</v>
      </c>
      <c r="B47" t="s">
        <v>460</v>
      </c>
      <c r="C47" t="s">
        <v>547</v>
      </c>
      <c r="D47">
        <f t="shared" si="2"/>
        <v>500</v>
      </c>
      <c r="F47">
        <v>138.30000000000001</v>
      </c>
      <c r="G47">
        <v>103.22</v>
      </c>
      <c r="H47">
        <v>18.79</v>
      </c>
      <c r="I47">
        <v>10.46</v>
      </c>
      <c r="J47">
        <v>6.03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Simulador</vt:lpstr>
      <vt:lpstr>Informações detalhadas</vt:lpstr>
      <vt:lpstr>Categorias</vt:lpstr>
      <vt:lpstr>Auxiliar</vt:lpstr>
      <vt:lpstr>Tarifas 2020</vt:lpstr>
      <vt:lpstr>Fatura 2020</vt:lpstr>
      <vt:lpstr>Tarifas 2021</vt:lpstr>
      <vt:lpstr>Fatura 2021</vt:lpstr>
      <vt:lpstr>Tarifas 3RTO</vt:lpstr>
      <vt:lpstr>Fatura 3RTO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Perlotti</dc:creator>
  <cp:lastModifiedBy>Edgar Perlotti</cp:lastModifiedBy>
  <dcterms:created xsi:type="dcterms:W3CDTF">2021-04-07T22:08:54Z</dcterms:created>
  <dcterms:modified xsi:type="dcterms:W3CDTF">2021-04-08T19:39:18Z</dcterms:modified>
</cp:coreProperties>
</file>