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Y:\Site\Dividendos e JCP\Calculadora_Novo Site\10.07.2026\"/>
    </mc:Choice>
  </mc:AlternateContent>
  <xr:revisionPtr revIDLastSave="0" documentId="13_ncr:1_{2FA0E13B-2515-47B1-A9EB-6B7F592741BA}" xr6:coauthVersionLast="47" xr6:coauthVersionMax="47" xr10:uidLastSave="{00000000-0000-0000-0000-000000000000}"/>
  <bookViews>
    <workbookView xWindow="-110" yWindow="-110" windowWidth="19420" windowHeight="10300" xr2:uid="{CE3E4914-B3EE-45D2-8FF7-85C6B30891F6}"/>
  </bookViews>
  <sheets>
    <sheet name="Histórico" sheetId="2" r:id="rId1"/>
  </sheets>
  <externalReferences>
    <externalReference r:id="rId2"/>
    <externalReference r:id="rId3"/>
  </externalReferenc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K12" i="2"/>
  <c r="J12" i="2"/>
  <c r="I12" i="2"/>
  <c r="H12" i="2"/>
  <c r="G12" i="2"/>
  <c r="F12" i="2"/>
  <c r="J9" i="2"/>
  <c r="H9" i="2"/>
  <c r="F9" i="2"/>
  <c r="K9" i="2"/>
  <c r="I9" i="2"/>
  <c r="G9" i="2"/>
  <c r="K21" i="2"/>
  <c r="J21" i="2"/>
  <c r="I21" i="2"/>
  <c r="H21" i="2"/>
  <c r="G21" i="2"/>
  <c r="F21" i="2"/>
  <c r="K20" i="2"/>
  <c r="J20" i="2"/>
  <c r="I20" i="2"/>
  <c r="H20" i="2"/>
  <c r="G20" i="2"/>
  <c r="F20" i="2"/>
  <c r="K19" i="2"/>
  <c r="J19" i="2"/>
  <c r="I19" i="2"/>
  <c r="H19" i="2"/>
  <c r="G19" i="2"/>
  <c r="F19" i="2"/>
  <c r="K18" i="2"/>
  <c r="J18" i="2"/>
  <c r="I18" i="2"/>
  <c r="H18" i="2"/>
  <c r="G18" i="2"/>
  <c r="F18" i="2"/>
  <c r="K17" i="2"/>
  <c r="J17" i="2"/>
  <c r="I17" i="2"/>
  <c r="H17" i="2"/>
  <c r="G17" i="2"/>
  <c r="F17" i="2"/>
  <c r="E22" i="2"/>
  <c r="K22" i="2"/>
  <c r="J22" i="2"/>
  <c r="I22" i="2"/>
  <c r="H22" i="2"/>
  <c r="G22" i="2"/>
  <c r="F22" i="2"/>
  <c r="K27" i="2"/>
  <c r="K28" i="2"/>
  <c r="K29" i="2"/>
  <c r="K30" i="2"/>
  <c r="K31" i="2"/>
  <c r="K32" i="2"/>
  <c r="J27" i="2"/>
  <c r="J28" i="2"/>
  <c r="J29" i="2"/>
  <c r="J30" i="2"/>
  <c r="J31" i="2"/>
  <c r="J32" i="2"/>
  <c r="I27" i="2"/>
  <c r="I28" i="2"/>
  <c r="I29" i="2"/>
  <c r="I30" i="2"/>
  <c r="I31" i="2"/>
  <c r="I32" i="2"/>
  <c r="H27" i="2"/>
  <c r="H28" i="2"/>
  <c r="H29" i="2"/>
  <c r="H30" i="2"/>
  <c r="H31" i="2"/>
  <c r="H32" i="2"/>
  <c r="G27" i="2"/>
  <c r="G28" i="2"/>
  <c r="G29" i="2"/>
  <c r="G30" i="2"/>
  <c r="G31" i="2"/>
  <c r="G32" i="2"/>
  <c r="F27" i="2"/>
  <c r="F28" i="2"/>
  <c r="F29" i="2"/>
  <c r="F30" i="2"/>
  <c r="F31" i="2"/>
  <c r="F32" i="2"/>
  <c r="E27" i="2"/>
  <c r="E28" i="2"/>
  <c r="E29" i="2"/>
  <c r="E30" i="2"/>
  <c r="E32" i="2"/>
  <c r="E42" i="2"/>
  <c r="K37" i="2"/>
  <c r="K38" i="2"/>
  <c r="K39" i="2"/>
  <c r="K40" i="2"/>
  <c r="K42" i="2"/>
  <c r="J37" i="2"/>
  <c r="J38" i="2"/>
  <c r="J39" i="2"/>
  <c r="J40" i="2"/>
  <c r="J42" i="2"/>
  <c r="I37" i="2"/>
  <c r="I38" i="2"/>
  <c r="I39" i="2"/>
  <c r="I40" i="2"/>
  <c r="I42" i="2"/>
  <c r="H37" i="2"/>
  <c r="H38" i="2"/>
  <c r="H39" i="2"/>
  <c r="H40" i="2"/>
  <c r="H42" i="2"/>
  <c r="G37" i="2"/>
  <c r="G38" i="2"/>
  <c r="G39" i="2"/>
  <c r="G40" i="2"/>
  <c r="G42" i="2"/>
  <c r="F37" i="2"/>
  <c r="F38" i="2"/>
  <c r="F39" i="2"/>
  <c r="F40" i="2"/>
  <c r="F42" i="2"/>
  <c r="G54" i="2"/>
  <c r="H54" i="2"/>
  <c r="I54" i="2"/>
  <c r="J54" i="2"/>
  <c r="K54" i="2"/>
  <c r="F54" i="2"/>
  <c r="E54" i="2"/>
  <c r="K68" i="2"/>
  <c r="J68" i="2"/>
  <c r="I68" i="2"/>
  <c r="H68" i="2"/>
  <c r="G68" i="2"/>
  <c r="F68" i="2"/>
</calcChain>
</file>

<file path=xl/sharedStrings.xml><?xml version="1.0" encoding="utf-8"?>
<sst xmlns="http://schemas.openxmlformats.org/spreadsheetml/2006/main" count="499" uniqueCount="56">
  <si>
    <t>ON (R$)</t>
  </si>
  <si>
    <t>PN (R$)</t>
  </si>
  <si>
    <t>UNIT (R$)</t>
  </si>
  <si>
    <t>-</t>
  </si>
  <si>
    <t>BANCO SANTANDER (BRASIL) S.A.</t>
  </si>
  <si>
    <t>Event - Date RCA</t>
  </si>
  <si>
    <t>Payment day</t>
  </si>
  <si>
    <t>gross value</t>
  </si>
  <si>
    <t>Year</t>
  </si>
  <si>
    <r>
      <t xml:space="preserve">Units </t>
    </r>
    <r>
      <rPr>
        <sz val="10"/>
        <rFont val="Arial"/>
        <family val="2"/>
      </rPr>
      <t>each unit represents 55 common shares and 50 preferred shares. A holder of units will be entitled to the same dividend and voting rights as a holder of the underlying shares.</t>
    </r>
  </si>
  <si>
    <t>Dividend</t>
  </si>
  <si>
    <t>Investor Relations</t>
  </si>
  <si>
    <r>
      <t xml:space="preserve">Common share </t>
    </r>
    <r>
      <rPr>
        <sz val="10"/>
        <rFont val="Arial"/>
        <family val="2"/>
      </rPr>
      <t>entitles its holder to one vote at annual and/or extraordinary shareholders’ meetings.</t>
    </r>
  </si>
  <si>
    <r>
      <t xml:space="preserve">Preferred share </t>
    </r>
    <r>
      <rPr>
        <sz val="10"/>
        <rFont val="Arial"/>
        <family val="2"/>
      </rPr>
      <t xml:space="preserve">do not entitle their holders to voting rights at shareholders’ meetings, but it entitles them priority in the dividend distribution.  </t>
    </r>
  </si>
  <si>
    <t>Total</t>
  </si>
  <si>
    <t xml:space="preserve">R$/on 1.000 </t>
  </si>
  <si>
    <t>Amount (R$ million)*</t>
  </si>
  <si>
    <t>* Gross total</t>
  </si>
  <si>
    <t>Interest on Capital</t>
  </si>
  <si>
    <t>Dividend / Interest on Capital</t>
  </si>
  <si>
    <t>Interest on Capital and Dividend</t>
  </si>
  <si>
    <t>02/06/2014 - Data da Bonificação e Grupamento*</t>
  </si>
  <si>
    <t>* See notice to shareholder published on 04/23/14.</t>
  </si>
  <si>
    <t>Amount               (R$ million)*</t>
  </si>
  <si>
    <t>Distribution of Equity</t>
  </si>
  <si>
    <t>after tax</t>
  </si>
  <si>
    <t>3/27/18</t>
  </si>
  <si>
    <t>04/26/18</t>
  </si>
  <si>
    <t>6/26/18</t>
  </si>
  <si>
    <t>07/27/18</t>
  </si>
  <si>
    <t>9/28/18</t>
  </si>
  <si>
    <t>10/26/18</t>
  </si>
  <si>
    <t>04/27/2020</t>
  </si>
  <si>
    <t>06/26/2020</t>
  </si>
  <si>
    <t>2/21/2020</t>
  </si>
  <si>
    <t>07/28/2020</t>
  </si>
  <si>
    <t>09/25/2020</t>
  </si>
  <si>
    <t>12/28/2020</t>
  </si>
  <si>
    <t>02/01/2021</t>
  </si>
  <si>
    <t>04/27/2021</t>
  </si>
  <si>
    <t>07/27/2021</t>
  </si>
  <si>
    <t>10/26/2021</t>
  </si>
  <si>
    <t>12/28/2021</t>
  </si>
  <si>
    <t>04/14/2022</t>
  </si>
  <si>
    <t>05/16/2022</t>
  </si>
  <si>
    <t>10/13/2022</t>
  </si>
  <si>
    <t>11/22/2022</t>
  </si>
  <si>
    <t>01/19/2023</t>
  </si>
  <si>
    <t>04/13/2023</t>
  </si>
  <si>
    <t>05/15/2023</t>
  </si>
  <si>
    <t>07/13/2023</t>
  </si>
  <si>
    <t>08/16/2023</t>
  </si>
  <si>
    <t>05/15/2024</t>
  </si>
  <si>
    <t>12/22/2025</t>
  </si>
  <si>
    <t>01/21/2026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</si>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</sst>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dd/mm/yy;@"/>
    <numFmt numFmtId="166" formatCode="0.0"/>
    <numFmt numFmtId="167" formatCode="0.0000000"/>
    <numFmt numFmtId="168" formatCode="mm/dd/yy;@"/>
    <numFmt numFmtId="169" formatCode="m/d/yy;@"/>
    <numFmt numFmtId="170" formatCode="_(* #,##0_);_(* \(#,##0\);_(* &quot;-&quot;??_);_(@_)"/>
    <numFmt numFmtId="171" formatCode="m/d/yyyy;@"/>
  </numFmts>
  <fonts count="12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4"/>
      <color indexed="8"/>
      <name val="Arial"/>
      <family val="2"/>
    </font>
    <font>
      <sz val="12"/>
      <color indexed="23"/>
      <name val="Arial"/>
      <family val="2"/>
    </font>
    <font>
      <sz val="12"/>
      <color indexed="8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/>
    <xf numFmtId="168" fontId="0" fillId="0" borderId="1" xfId="0" applyNumberFormat="1" applyBorder="1" applyAlignment="1">
      <alignment horizontal="center"/>
    </xf>
    <xf numFmtId="0" fontId="11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165" fontId="0" fillId="0" borderId="1" xfId="0" applyNumberFormat="1" applyBorder="1" applyAlignment="1">
      <alignment horizontal="center"/>
    </xf>
    <xf numFmtId="0" fontId="4" fillId="0" borderId="0" xfId="0" applyFont="1" applyAlignment="1">
      <alignment horizontal="center"/>
    </xf>
    <xf numFmtId="166" fontId="4" fillId="0" borderId="0" xfId="0" applyNumberFormat="1" applyFont="1" applyAlignment="1">
      <alignment horizontal="center"/>
    </xf>
    <xf numFmtId="167" fontId="4" fillId="0" borderId="0" xfId="0" applyNumberFormat="1" applyFont="1" applyAlignment="1">
      <alignment horizontal="center"/>
    </xf>
    <xf numFmtId="168" fontId="4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8" fontId="0" fillId="0" borderId="2" xfId="0" applyNumberFormat="1" applyBorder="1" applyAlignment="1">
      <alignment horizontal="center"/>
    </xf>
    <xf numFmtId="166" fontId="0" fillId="0" borderId="0" xfId="0" applyNumberFormat="1"/>
    <xf numFmtId="168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vertical="top"/>
    </xf>
    <xf numFmtId="164" fontId="0" fillId="0" borderId="1" xfId="1" applyFont="1" applyFill="1" applyBorder="1" applyAlignment="1">
      <alignment horizontal="center"/>
    </xf>
    <xf numFmtId="164" fontId="4" fillId="0" borderId="1" xfId="1" applyFont="1" applyFill="1" applyBorder="1" applyAlignment="1">
      <alignment horizontal="center"/>
    </xf>
    <xf numFmtId="3" fontId="0" fillId="0" borderId="1" xfId="0" applyNumberForma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0" fontId="0" fillId="3" borderId="1" xfId="0" applyFill="1" applyBorder="1" applyAlignment="1">
      <alignment horizontal="center"/>
    </xf>
    <xf numFmtId="168" fontId="4" fillId="3" borderId="1" xfId="0" applyNumberFormat="1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164" fontId="0" fillId="0" borderId="1" xfId="1" applyFont="1" applyBorder="1" applyAlignment="1">
      <alignment horizontal="center"/>
    </xf>
    <xf numFmtId="164" fontId="3" fillId="0" borderId="1" xfId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9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170" fontId="0" fillId="0" borderId="1" xfId="1" applyNumberFormat="1" applyFont="1" applyFill="1" applyBorder="1" applyAlignment="1">
      <alignment horizontal="center"/>
    </xf>
    <xf numFmtId="170" fontId="3" fillId="0" borderId="1" xfId="1" applyNumberFormat="1" applyFont="1" applyFill="1" applyBorder="1" applyAlignment="1">
      <alignment horizontal="center"/>
    </xf>
    <xf numFmtId="170" fontId="4" fillId="0" borderId="1" xfId="1" applyNumberFormat="1" applyFont="1" applyFill="1" applyBorder="1" applyAlignment="1">
      <alignment horizontal="center"/>
    </xf>
    <xf numFmtId="2" fontId="0" fillId="0" borderId="1" xfId="0" applyNumberForma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 indent="2"/>
    </xf>
    <xf numFmtId="165" fontId="0" fillId="0" borderId="1" xfId="0" applyNumberFormat="1" applyBorder="1" applyAlignment="1">
      <alignment horizontal="right"/>
    </xf>
    <xf numFmtId="3" fontId="0" fillId="0" borderId="1" xfId="0" applyNumberFormat="1" applyBorder="1" applyAlignment="1">
      <alignment horizontal="center" vertical="center"/>
    </xf>
    <xf numFmtId="164" fontId="0" fillId="0" borderId="1" xfId="1" applyFont="1" applyFill="1" applyBorder="1" applyAlignment="1">
      <alignment horizontal="right" vertical="center"/>
    </xf>
    <xf numFmtId="0" fontId="4" fillId="3" borderId="3" xfId="0" applyFont="1" applyFill="1" applyBorder="1" applyAlignment="1">
      <alignment horizontal="center" vertical="center" wrapText="1"/>
    </xf>
    <xf numFmtId="164" fontId="4" fillId="3" borderId="1" xfId="1" applyFont="1" applyFill="1" applyBorder="1" applyAlignment="1">
      <alignment horizontal="right" vertical="center"/>
    </xf>
    <xf numFmtId="3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164" fontId="0" fillId="0" borderId="1" xfId="1" applyFont="1" applyFill="1" applyBorder="1" applyAlignment="1">
      <alignment horizontal="right"/>
    </xf>
    <xf numFmtId="0" fontId="3" fillId="0" borderId="3" xfId="0" applyFont="1" applyBorder="1" applyAlignment="1">
      <alignment horizontal="center"/>
    </xf>
    <xf numFmtId="4" fontId="4" fillId="0" borderId="1" xfId="1" applyNumberFormat="1" applyFont="1" applyFill="1" applyBorder="1" applyAlignment="1">
      <alignment horizontal="right"/>
    </xf>
    <xf numFmtId="164" fontId="0" fillId="0" borderId="1" xfId="1" applyFont="1" applyBorder="1" applyAlignment="1">
      <alignment horizontal="right"/>
    </xf>
    <xf numFmtId="169" fontId="3" fillId="0" borderId="1" xfId="0" applyNumberFormat="1" applyFont="1" applyBorder="1" applyAlignment="1">
      <alignment horizontal="center"/>
    </xf>
    <xf numFmtId="171" fontId="3" fillId="0" borderId="1" xfId="0" applyNumberFormat="1" applyFont="1" applyBorder="1" applyAlignment="1">
      <alignment horizontal="center"/>
    </xf>
    <xf numFmtId="171" fontId="3" fillId="0" borderId="1" xfId="0" quotePrefix="1" applyNumberFormat="1" applyFont="1" applyBorder="1" applyAlignment="1">
      <alignment horizontal="center"/>
    </xf>
    <xf numFmtId="169" fontId="3" fillId="0" borderId="1" xfId="0" quotePrefix="1" applyNumberFormat="1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2" fontId="0" fillId="0" borderId="0" xfId="0" applyNumberFormat="1" applyAlignment="1">
      <alignment horizontal="right"/>
    </xf>
    <xf numFmtId="2" fontId="0" fillId="0" borderId="0" xfId="0" applyNumberFormat="1"/>
    <xf numFmtId="2" fontId="10" fillId="0" borderId="0" xfId="0" applyNumberFormat="1" applyFont="1" applyAlignment="1">
      <alignment horizontal="center" vertical="center"/>
    </xf>
    <xf numFmtId="14" fontId="3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2</xdr:col>
      <xdr:colOff>1419225</xdr:colOff>
      <xdr:row>2</xdr:row>
      <xdr:rowOff>114300</xdr:rowOff>
    </xdr:to>
    <xdr:pic>
      <xdr:nvPicPr>
        <xdr:cNvPr id="1165" name="Imagem 2">
          <a:extLst>
            <a:ext uri="{FF2B5EF4-FFF2-40B4-BE49-F238E27FC236}">
              <a16:creationId xmlns:a16="http://schemas.microsoft.com/office/drawing/2014/main" id="{0653EB9C-C348-27B9-0C7A-90F52855E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96" t="24995" r="11192" b="33176"/>
        <a:stretch>
          <a:fillRect/>
        </a:stretch>
      </xdr:blipFill>
      <xdr:spPr bwMode="auto">
        <a:xfrm>
          <a:off x="9525" y="9525"/>
          <a:ext cx="19145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792728\Downloads\Hist&#243;rico%20de%20Dividendos%20e%20JCP_Out2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792728\Downloads\Hist&#243;rico%20de%20Dividendos%20e%20JCP_Jul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stórico"/>
    </sheetNames>
    <sheetDataSet>
      <sheetData sheetId="0">
        <row r="9">
          <cell r="E9">
            <v>200</v>
          </cell>
          <cell r="F9">
            <v>25.554045559999999</v>
          </cell>
          <cell r="G9">
            <v>25.554045559999999</v>
          </cell>
          <cell r="H9">
            <v>28.109450110000001</v>
          </cell>
          <cell r="I9">
            <v>28.109450110000001</v>
          </cell>
          <cell r="J9">
            <v>53.663495659999995</v>
          </cell>
          <cell r="K9">
            <v>53.663495659999995</v>
          </cell>
        </row>
        <row r="10">
          <cell r="E10">
            <v>1300</v>
          </cell>
          <cell r="F10">
            <v>141.18610169000002</v>
          </cell>
          <cell r="G10">
            <v>166.10129609999998</v>
          </cell>
          <cell r="H10">
            <v>155.30471186</v>
          </cell>
          <cell r="I10">
            <v>182.71142571999999</v>
          </cell>
          <cell r="J10">
            <v>296.49081354999998</v>
          </cell>
          <cell r="K10">
            <v>348.81272181999998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stórico"/>
    </sheetNames>
    <sheetDataSet>
      <sheetData sheetId="0">
        <row r="9">
          <cell r="F9">
            <v>162.91654880000002</v>
          </cell>
          <cell r="G9">
            <v>191.666528</v>
          </cell>
          <cell r="H9">
            <v>179.20820369</v>
          </cell>
          <cell r="I9">
            <v>210.83318082</v>
          </cell>
          <cell r="J9">
            <v>342.12475248999999</v>
          </cell>
          <cell r="K9">
            <v>402.49970882000002</v>
          </cell>
        </row>
        <row r="10">
          <cell r="E10">
            <v>1500</v>
          </cell>
          <cell r="F10">
            <v>162.87582442000001</v>
          </cell>
          <cell r="G10">
            <v>191.61861696</v>
          </cell>
          <cell r="H10">
            <v>179.16340686000001</v>
          </cell>
          <cell r="I10">
            <v>210.78047866</v>
          </cell>
          <cell r="J10">
            <v>342.03923128000002</v>
          </cell>
          <cell r="K10">
            <v>402.39909561999997</v>
          </cell>
        </row>
        <row r="11">
          <cell r="E11">
            <v>1500</v>
          </cell>
          <cell r="F11">
            <v>163.06060873999999</v>
          </cell>
          <cell r="G11">
            <v>191.83601028999999</v>
          </cell>
          <cell r="H11">
            <v>179.36666962000001</v>
          </cell>
          <cell r="I11">
            <v>211.01961130999999</v>
          </cell>
          <cell r="J11">
            <v>342.42727836</v>
          </cell>
          <cell r="K11">
            <v>402.85562160000001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105C5-D35A-4B0D-8BE3-EF554D7D903D}">
  <sheetPr codeName="Planilha1"/>
  <dimension ref="A1:X206"/>
  <sheetViews>
    <sheetView showGridLines="0" tabSelected="1" zoomScaleNormal="100" zoomScaleSheetLayoutView="100" workbookViewId="0">
      <selection activeCell="E13" sqref="E13"/>
    </sheetView>
  </sheetViews>
  <sheetFormatPr defaultRowHeight="12.5" x14ac:dyDescent="0.25"/>
  <cols>
    <col min="1" max="1" width="1.26953125" customWidth="1"/>
    <col min="2" max="2" width="6.26953125" bestFit="1" customWidth="1"/>
    <col min="3" max="3" width="37" bestFit="1" customWidth="1"/>
    <col min="4" max="4" width="15.26953125" customWidth="1"/>
    <col min="5" max="6" width="16" customWidth="1"/>
    <col min="7" max="7" width="14.26953125" bestFit="1" customWidth="1"/>
    <col min="8" max="8" width="14.26953125" customWidth="1"/>
    <col min="9" max="9" width="12" bestFit="1" customWidth="1"/>
    <col min="10" max="10" width="12" customWidth="1"/>
    <col min="11" max="11" width="14.26953125" bestFit="1" customWidth="1"/>
    <col min="12" max="12" width="13.54296875" customWidth="1"/>
  </cols>
  <sheetData>
    <row r="1" spans="1:14" ht="14" x14ac:dyDescent="0.3">
      <c r="B1" s="7"/>
      <c r="C1" s="7"/>
    </row>
    <row r="2" spans="1:14" ht="14" x14ac:dyDescent="0.3">
      <c r="B2" s="7"/>
      <c r="C2" s="7"/>
    </row>
    <row r="3" spans="1:14" ht="18" x14ac:dyDescent="0.35">
      <c r="A3" s="9"/>
      <c r="B3" s="8"/>
      <c r="C3" s="8"/>
      <c r="E3" s="79" t="s">
        <v>4</v>
      </c>
      <c r="F3" s="79"/>
      <c r="G3" s="79"/>
      <c r="H3" s="79"/>
      <c r="I3" s="79"/>
    </row>
    <row r="4" spans="1:14" ht="18" x14ac:dyDescent="0.3">
      <c r="A4" s="8"/>
      <c r="B4" s="8"/>
      <c r="C4" s="8" t="s">
        <v>55</v>
      </c>
      <c r="D4" t="s">
        <v>55</v>
      </c>
      <c r="E4" s="80" t="s">
        <v>11</v>
      </c>
      <c r="F4" s="80"/>
      <c r="G4" s="80"/>
      <c r="H4" s="80"/>
      <c r="I4" s="80"/>
      <c r="J4" s="34"/>
    </row>
    <row r="5" spans="1:14" ht="15.5" x14ac:dyDescent="0.25">
      <c r="F5" s="64"/>
      <c r="G5" s="64"/>
      <c r="H5" s="64"/>
      <c r="I5" s="64"/>
      <c r="J5" s="65"/>
      <c r="K5" s="64"/>
    </row>
    <row r="6" spans="1:14" ht="13" x14ac:dyDescent="0.25">
      <c r="B6" s="69" t="s">
        <v>8</v>
      </c>
      <c r="C6" s="72" t="s">
        <v>19</v>
      </c>
      <c r="D6" s="72" t="s">
        <v>5</v>
      </c>
      <c r="E6" s="72" t="s">
        <v>16</v>
      </c>
      <c r="F6" s="75" t="s">
        <v>15</v>
      </c>
      <c r="G6" s="75"/>
      <c r="H6" s="75"/>
      <c r="I6" s="75"/>
      <c r="J6" s="75"/>
      <c r="K6" s="75"/>
      <c r="L6" s="72" t="s">
        <v>6</v>
      </c>
    </row>
    <row r="7" spans="1:14" ht="13" x14ac:dyDescent="0.25">
      <c r="B7" s="70"/>
      <c r="C7" s="73"/>
      <c r="D7" s="73"/>
      <c r="E7" s="73"/>
      <c r="F7" s="75" t="s">
        <v>0</v>
      </c>
      <c r="G7" s="75"/>
      <c r="H7" s="75" t="s">
        <v>1</v>
      </c>
      <c r="I7" s="75"/>
      <c r="J7" s="75" t="s">
        <v>2</v>
      </c>
      <c r="K7" s="75"/>
      <c r="L7" s="73"/>
    </row>
    <row r="8" spans="1:14" ht="13" x14ac:dyDescent="0.25">
      <c r="B8" s="71"/>
      <c r="C8" s="74"/>
      <c r="D8" s="74"/>
      <c r="E8" s="74"/>
      <c r="F8" s="33" t="s">
        <v>25</v>
      </c>
      <c r="G8" s="33" t="s">
        <v>7</v>
      </c>
      <c r="H8" s="33" t="s">
        <v>25</v>
      </c>
      <c r="I8" s="33" t="s">
        <v>7</v>
      </c>
      <c r="J8" s="33" t="s">
        <v>25</v>
      </c>
      <c r="K8" s="33" t="s">
        <v>7</v>
      </c>
      <c r="L8" s="74"/>
    </row>
    <row r="9" spans="1:14" x14ac:dyDescent="0.25">
      <c r="B9" s="1">
        <v>2026</v>
      </c>
      <c r="C9" s="1" t="s">
        <v>18</v>
      </c>
      <c r="D9" s="66">
        <v>46302</v>
      </c>
      <c r="E9" s="36">
        <v>2000</v>
      </c>
      <c r="F9" s="68">
        <f>0.21005833513*1000</f>
        <v>210.05833512999999</v>
      </c>
      <c r="G9" s="68">
        <f>0.2546161638*1000</f>
        <v>254.61616380000001</v>
      </c>
      <c r="H9" s="68">
        <f>0.23106416865*1000</f>
        <v>231.06416865</v>
      </c>
      <c r="I9" s="68">
        <f>0.28007778018*1000</f>
        <v>280.07778017999999</v>
      </c>
      <c r="J9" s="68">
        <f>0.44112250378*1000</f>
        <v>441.12250377999999</v>
      </c>
      <c r="K9" s="68">
        <f>0.53469394398*1000</f>
        <v>534.69394398000009</v>
      </c>
      <c r="L9" s="62">
        <v>46181</v>
      </c>
      <c r="N9" s="63"/>
    </row>
    <row r="10" spans="1:14" x14ac:dyDescent="0.25">
      <c r="B10" s="1">
        <v>2026</v>
      </c>
      <c r="C10" s="1" t="s">
        <v>18</v>
      </c>
      <c r="D10" s="66">
        <v>46299</v>
      </c>
      <c r="E10" s="36">
        <v>2000</v>
      </c>
      <c r="F10" s="68">
        <v>210.06104279000002</v>
      </c>
      <c r="G10" s="68">
        <v>254.61944581</v>
      </c>
      <c r="H10" s="68">
        <v>231.06714708000001</v>
      </c>
      <c r="I10" s="68">
        <v>280.08139039000002</v>
      </c>
      <c r="J10" s="68">
        <v>441.12818987000003</v>
      </c>
      <c r="K10" s="68">
        <v>534.70083620000003</v>
      </c>
      <c r="L10" s="62">
        <v>46208</v>
      </c>
      <c r="N10" s="63"/>
    </row>
    <row r="11" spans="1:14" x14ac:dyDescent="0.25">
      <c r="B11" s="1">
        <v>2026</v>
      </c>
      <c r="C11" s="1" t="s">
        <v>18</v>
      </c>
      <c r="D11" s="66">
        <v>46266</v>
      </c>
      <c r="E11" s="36">
        <v>2000</v>
      </c>
      <c r="F11" s="68">
        <v>210.51785244999999</v>
      </c>
      <c r="G11" s="68">
        <v>255.17315447999999</v>
      </c>
      <c r="H11" s="68">
        <v>231.56963769000001</v>
      </c>
      <c r="I11" s="68">
        <v>280.69046993000001</v>
      </c>
      <c r="J11" s="68">
        <v>442.08749014</v>
      </c>
      <c r="K11" s="68">
        <v>535.86362441000006</v>
      </c>
      <c r="L11" s="62" t="s">
        <v>54</v>
      </c>
      <c r="N11" s="63"/>
    </row>
    <row r="12" spans="1:14" s="6" customFormat="1" ht="12.75" customHeight="1" x14ac:dyDescent="0.3">
      <c r="B12" s="12">
        <v>2026</v>
      </c>
      <c r="C12" s="12" t="s">
        <v>14</v>
      </c>
      <c r="D12" s="18"/>
      <c r="E12" s="37">
        <f>SUM(E9:E11)</f>
        <v>6000</v>
      </c>
      <c r="F12" s="45">
        <f>SUM(F9:F11)</f>
        <v>630.63723037</v>
      </c>
      <c r="G12" s="45">
        <f t="shared" ref="G12:K12" si="0">SUM(G9:G11)</f>
        <v>764.40876408999998</v>
      </c>
      <c r="H12" s="45">
        <f t="shared" si="0"/>
        <v>693.70095342000002</v>
      </c>
      <c r="I12" s="45">
        <f t="shared" si="0"/>
        <v>840.84964050000008</v>
      </c>
      <c r="J12" s="45">
        <f t="shared" si="0"/>
        <v>1324.3381837900001</v>
      </c>
      <c r="K12" s="45">
        <f t="shared" si="0"/>
        <v>1605.2584045900001</v>
      </c>
      <c r="L12" s="14"/>
      <c r="N12" s="63"/>
    </row>
    <row r="13" spans="1:14" ht="15.5" x14ac:dyDescent="0.25">
      <c r="F13" s="64" t="s">
        <v>55</v>
      </c>
      <c r="G13" s="64"/>
      <c r="H13" s="64"/>
      <c r="I13" s="64"/>
      <c r="J13" s="65"/>
      <c r="K13" s="64"/>
    </row>
    <row r="14" spans="1:14" ht="13" x14ac:dyDescent="0.25">
      <c r="B14" s="69" t="s">
        <v>8</v>
      </c>
      <c r="C14" s="72" t="s">
        <v>19</v>
      </c>
      <c r="D14" s="72" t="s">
        <v>5</v>
      </c>
      <c r="E14" s="72" t="s">
        <v>16</v>
      </c>
      <c r="F14" s="75" t="s">
        <v>15</v>
      </c>
      <c r="G14" s="75"/>
      <c r="H14" s="75"/>
      <c r="I14" s="75"/>
      <c r="J14" s="75"/>
      <c r="K14" s="75"/>
      <c r="L14" s="72" t="s">
        <v>6</v>
      </c>
    </row>
    <row r="15" spans="1:14" ht="13" x14ac:dyDescent="0.25">
      <c r="B15" s="70"/>
      <c r="C15" s="73"/>
      <c r="D15" s="73"/>
      <c r="E15" s="73"/>
      <c r="F15" s="75" t="s">
        <v>0</v>
      </c>
      <c r="G15" s="75"/>
      <c r="H15" s="75" t="s">
        <v>1</v>
      </c>
      <c r="I15" s="75"/>
      <c r="J15" s="75" t="s">
        <v>2</v>
      </c>
      <c r="K15" s="75"/>
      <c r="L15" s="73"/>
    </row>
    <row r="16" spans="1:14" ht="13" x14ac:dyDescent="0.25">
      <c r="B16" s="71"/>
      <c r="C16" s="74"/>
      <c r="D16" s="74"/>
      <c r="E16" s="74"/>
      <c r="F16" s="33" t="s">
        <v>25</v>
      </c>
      <c r="G16" s="33" t="s">
        <v>7</v>
      </c>
      <c r="H16" s="33" t="s">
        <v>25</v>
      </c>
      <c r="I16" s="33" t="s">
        <v>7</v>
      </c>
      <c r="J16" s="33" t="s">
        <v>25</v>
      </c>
      <c r="K16" s="33" t="s">
        <v>7</v>
      </c>
      <c r="L16" s="74"/>
    </row>
    <row r="17" spans="2:14" x14ac:dyDescent="0.25">
      <c r="B17" s="1">
        <v>2025</v>
      </c>
      <c r="C17" s="1" t="s">
        <v>18</v>
      </c>
      <c r="D17" s="66" t="s">
        <v>53</v>
      </c>
      <c r="E17" s="36">
        <v>620</v>
      </c>
      <c r="F17" s="68">
        <f>0.06723812621*1000</f>
        <v>67.238126210000004</v>
      </c>
      <c r="G17" s="68">
        <f>0.07910367789*1000</f>
        <v>79.10367789</v>
      </c>
      <c r="H17" s="68">
        <f>0.07396193882*1000</f>
        <v>73.96193882</v>
      </c>
      <c r="I17" s="68">
        <f>0.08701404568*1000</f>
        <v>87.014045679999995</v>
      </c>
      <c r="J17" s="68">
        <f>0.14120006503*1000</f>
        <v>141.20006502999999</v>
      </c>
      <c r="K17" s="68">
        <f>0.16611772357*1000</f>
        <v>166.11772356999998</v>
      </c>
      <c r="L17" s="62">
        <v>46144</v>
      </c>
      <c r="N17" s="63"/>
    </row>
    <row r="18" spans="2:14" x14ac:dyDescent="0.25">
      <c r="B18" s="1">
        <v>2025</v>
      </c>
      <c r="C18" s="1" t="s">
        <v>18</v>
      </c>
      <c r="D18" s="66">
        <v>45940</v>
      </c>
      <c r="E18" s="36">
        <v>2000</v>
      </c>
      <c r="F18" s="68">
        <f>0.21690122813*1000</f>
        <v>216.90122813000002</v>
      </c>
      <c r="G18" s="68">
        <f>0.25517791545*1000</f>
        <v>255.17791545</v>
      </c>
      <c r="H18" s="68">
        <f>0.23859135094*1000</f>
        <v>238.59135094000001</v>
      </c>
      <c r="I18" s="68">
        <f>0.28069570699*1000</f>
        <v>280.69570699000002</v>
      </c>
      <c r="J18" s="68">
        <f>0.45549257907*1000</f>
        <v>455.49257907000003</v>
      </c>
      <c r="K18" s="68">
        <f>0.53587362244*1000</f>
        <v>535.87362244000008</v>
      </c>
      <c r="L18" s="62">
        <v>45849</v>
      </c>
      <c r="N18" s="63"/>
    </row>
    <row r="19" spans="2:14" x14ac:dyDescent="0.25">
      <c r="B19" s="1">
        <v>2025</v>
      </c>
      <c r="C19" s="1" t="s">
        <v>18</v>
      </c>
      <c r="D19" s="66">
        <v>45937</v>
      </c>
      <c r="E19" s="36">
        <v>2000</v>
      </c>
      <c r="F19" s="68">
        <f>0.2169038246*1000</f>
        <v>216.90382459999998</v>
      </c>
      <c r="G19" s="68">
        <f>0.25518097012*1000</f>
        <v>255.18097012000001</v>
      </c>
      <c r="H19" s="68">
        <f>0.23859420706*1000</f>
        <v>238.59420706</v>
      </c>
      <c r="I19" s="68">
        <f>0.28069906713*1000</f>
        <v>280.69906713</v>
      </c>
      <c r="J19" s="68">
        <f>0.45549803166*1000</f>
        <v>455.49803166000004</v>
      </c>
      <c r="K19" s="68">
        <f>0.53588003725*1000</f>
        <v>535.88003724999999</v>
      </c>
      <c r="L19" s="62">
        <v>45877</v>
      </c>
      <c r="N19" s="63"/>
    </row>
    <row r="20" spans="2:14" x14ac:dyDescent="0.25">
      <c r="B20" s="1">
        <v>2025</v>
      </c>
      <c r="C20" s="1" t="s">
        <v>18</v>
      </c>
      <c r="D20" s="66">
        <v>45934</v>
      </c>
      <c r="E20" s="36">
        <v>1500</v>
      </c>
      <c r="F20" s="68">
        <f>0.16268000786*1000</f>
        <v>162.68000785999999</v>
      </c>
      <c r="G20" s="68">
        <f>0.19138824454*1000</f>
        <v>191.38824453999999</v>
      </c>
      <c r="H20" s="68">
        <f>0.17894800865*1000</f>
        <v>178.94800864999999</v>
      </c>
      <c r="I20" s="68">
        <f>0.210527069*1000</f>
        <v>210.52706900000001</v>
      </c>
      <c r="J20" s="68">
        <f>0.34162801651*1000</f>
        <v>341.62801651000001</v>
      </c>
      <c r="K20" s="68">
        <f>0.40191531354*1000</f>
        <v>401.91531354</v>
      </c>
      <c r="L20" s="62">
        <v>45874</v>
      </c>
      <c r="N20" s="63"/>
    </row>
    <row r="21" spans="2:14" x14ac:dyDescent="0.25">
      <c r="B21" s="1">
        <v>2025</v>
      </c>
      <c r="C21" s="1" t="s">
        <v>18</v>
      </c>
      <c r="D21" s="66">
        <v>45931</v>
      </c>
      <c r="E21" s="36">
        <v>1500</v>
      </c>
      <c r="F21" s="68">
        <f>0.16292542248*1000</f>
        <v>162.92542248000001</v>
      </c>
      <c r="G21" s="68">
        <f>0.19167696763*1000</f>
        <v>191.67696763000001</v>
      </c>
      <c r="H21" s="68">
        <f>0.17921796473*1000</f>
        <v>179.21796473000001</v>
      </c>
      <c r="I21" s="68">
        <f>0.21084466439*1000</f>
        <v>210.84466438999999</v>
      </c>
      <c r="J21" s="68">
        <f>0.34214338721*1000</f>
        <v>342.14338720999996</v>
      </c>
      <c r="K21" s="68">
        <f>0.40252163202*1000</f>
        <v>402.52163202000003</v>
      </c>
      <c r="L21" s="62">
        <v>45993</v>
      </c>
      <c r="N21" s="63"/>
    </row>
    <row r="22" spans="2:14" s="6" customFormat="1" ht="12.75" customHeight="1" x14ac:dyDescent="0.3">
      <c r="B22" s="12">
        <v>2025</v>
      </c>
      <c r="C22" s="12" t="s">
        <v>14</v>
      </c>
      <c r="D22" s="18"/>
      <c r="E22" s="37">
        <f t="shared" ref="E22:K22" si="1">SUM(E17:E21)</f>
        <v>7620</v>
      </c>
      <c r="F22" s="45">
        <f t="shared" si="1"/>
        <v>826.64860927999985</v>
      </c>
      <c r="G22" s="45">
        <f t="shared" si="1"/>
        <v>972.52777562999995</v>
      </c>
      <c r="H22" s="45">
        <f t="shared" si="1"/>
        <v>909.31347019999998</v>
      </c>
      <c r="I22" s="45">
        <f t="shared" si="1"/>
        <v>1069.7805531899999</v>
      </c>
      <c r="J22" s="45">
        <f t="shared" si="1"/>
        <v>1735.9620794799998</v>
      </c>
      <c r="K22" s="45">
        <f t="shared" si="1"/>
        <v>2042.30832882</v>
      </c>
      <c r="L22" s="14"/>
      <c r="N22" s="63"/>
    </row>
    <row r="23" spans="2:14" ht="15.5" x14ac:dyDescent="0.25">
      <c r="F23" s="64"/>
      <c r="G23" s="64"/>
      <c r="H23" s="64"/>
      <c r="I23" s="64"/>
      <c r="J23" s="65"/>
      <c r="K23" s="64"/>
    </row>
    <row r="24" spans="2:14" ht="13" x14ac:dyDescent="0.25">
      <c r="B24" s="69" t="s">
        <v>8</v>
      </c>
      <c r="C24" s="72" t="s">
        <v>19</v>
      </c>
      <c r="D24" s="72" t="s">
        <v>5</v>
      </c>
      <c r="E24" s="72" t="s">
        <v>16</v>
      </c>
      <c r="F24" s="75" t="s">
        <v>15</v>
      </c>
      <c r="G24" s="75"/>
      <c r="H24" s="75"/>
      <c r="I24" s="75"/>
      <c r="J24" s="75"/>
      <c r="K24" s="75"/>
      <c r="L24" s="72" t="s">
        <v>6</v>
      </c>
    </row>
    <row r="25" spans="2:14" ht="13" x14ac:dyDescent="0.25">
      <c r="B25" s="70"/>
      <c r="C25" s="73"/>
      <c r="D25" s="73"/>
      <c r="E25" s="73"/>
      <c r="F25" s="75" t="s">
        <v>0</v>
      </c>
      <c r="G25" s="75"/>
      <c r="H25" s="75" t="s">
        <v>1</v>
      </c>
      <c r="I25" s="75"/>
      <c r="J25" s="75" t="s">
        <v>2</v>
      </c>
      <c r="K25" s="75"/>
      <c r="L25" s="73"/>
    </row>
    <row r="26" spans="2:14" ht="13" x14ac:dyDescent="0.25">
      <c r="B26" s="71"/>
      <c r="C26" s="74"/>
      <c r="D26" s="74"/>
      <c r="E26" s="74"/>
      <c r="F26" s="33" t="s">
        <v>25</v>
      </c>
      <c r="G26" s="33" t="s">
        <v>7</v>
      </c>
      <c r="H26" s="33" t="s">
        <v>25</v>
      </c>
      <c r="I26" s="33" t="s">
        <v>7</v>
      </c>
      <c r="J26" s="33" t="s">
        <v>25</v>
      </c>
      <c r="K26" s="33" t="s">
        <v>7</v>
      </c>
      <c r="L26" s="74"/>
    </row>
    <row r="27" spans="2:14" x14ac:dyDescent="0.25">
      <c r="B27" s="1">
        <v>2024</v>
      </c>
      <c r="C27" s="1" t="s">
        <v>10</v>
      </c>
      <c r="D27" s="66">
        <v>45575</v>
      </c>
      <c r="E27" s="36">
        <f>[1]Histórico!E9</f>
        <v>200</v>
      </c>
      <c r="F27" s="67">
        <f>[1]Histórico!F9</f>
        <v>25.554045559999999</v>
      </c>
      <c r="G27" s="67">
        <f>[1]Histórico!G9</f>
        <v>25.554045559999999</v>
      </c>
      <c r="H27" s="67">
        <f>[1]Histórico!H9</f>
        <v>28.109450110000001</v>
      </c>
      <c r="I27" s="67">
        <f>[1]Histórico!I9</f>
        <v>28.109450110000001</v>
      </c>
      <c r="J27" s="67">
        <f>[1]Histórico!J9</f>
        <v>53.663495659999995</v>
      </c>
      <c r="K27" s="67">
        <f>[1]Histórico!K9</f>
        <v>53.663495659999995</v>
      </c>
      <c r="L27" s="62">
        <v>45515</v>
      </c>
      <c r="N27" s="63"/>
    </row>
    <row r="28" spans="2:14" x14ac:dyDescent="0.25">
      <c r="B28" s="1">
        <v>2024</v>
      </c>
      <c r="C28" s="1" t="s">
        <v>18</v>
      </c>
      <c r="D28" s="66">
        <v>45575</v>
      </c>
      <c r="E28" s="36">
        <f>[1]Histórico!E10</f>
        <v>1300</v>
      </c>
      <c r="F28" s="67">
        <f>[1]Histórico!F10</f>
        <v>141.18610169000002</v>
      </c>
      <c r="G28" s="67">
        <f>[1]Histórico!G10</f>
        <v>166.10129609999998</v>
      </c>
      <c r="H28" s="67">
        <f>[1]Histórico!H10</f>
        <v>155.30471186</v>
      </c>
      <c r="I28" s="67">
        <f>[1]Histórico!I10</f>
        <v>182.71142571999999</v>
      </c>
      <c r="J28" s="67">
        <f>[1]Histórico!J10</f>
        <v>296.49081354999998</v>
      </c>
      <c r="K28" s="67">
        <f>[1]Histórico!K10</f>
        <v>348.81272181999998</v>
      </c>
      <c r="L28" s="62">
        <v>45515</v>
      </c>
      <c r="N28" s="63"/>
    </row>
    <row r="29" spans="2:14" x14ac:dyDescent="0.25">
      <c r="B29" s="1">
        <v>2024</v>
      </c>
      <c r="C29" s="1" t="s">
        <v>18</v>
      </c>
      <c r="D29" s="66">
        <v>45572</v>
      </c>
      <c r="E29" s="36">
        <f>[2]Histórico!E11</f>
        <v>1500</v>
      </c>
      <c r="F29" s="67">
        <f>[2]Histórico!F9</f>
        <v>162.91654880000002</v>
      </c>
      <c r="G29" s="67">
        <f>[2]Histórico!G9</f>
        <v>191.666528</v>
      </c>
      <c r="H29" s="67">
        <f>[2]Histórico!H9</f>
        <v>179.20820369</v>
      </c>
      <c r="I29" s="67">
        <f>[2]Histórico!I9</f>
        <v>210.83318082</v>
      </c>
      <c r="J29" s="67">
        <f>[2]Histórico!J9</f>
        <v>342.12475248999999</v>
      </c>
      <c r="K29" s="67">
        <f>[2]Histórico!K9</f>
        <v>402.49970882000002</v>
      </c>
      <c r="L29" s="62">
        <v>45543</v>
      </c>
      <c r="N29" s="63"/>
    </row>
    <row r="30" spans="2:14" x14ac:dyDescent="0.25">
      <c r="B30" s="1">
        <v>2024</v>
      </c>
      <c r="C30" s="1" t="s">
        <v>18</v>
      </c>
      <c r="D30" s="66">
        <v>45569</v>
      </c>
      <c r="E30" s="36">
        <f>[2]Histórico!E10</f>
        <v>1500</v>
      </c>
      <c r="F30" s="67">
        <f>[2]Histórico!F10</f>
        <v>162.87582442000001</v>
      </c>
      <c r="G30" s="67">
        <f>[2]Histórico!G10</f>
        <v>191.61861696</v>
      </c>
      <c r="H30" s="67">
        <f>[2]Histórico!H10</f>
        <v>179.16340686000001</v>
      </c>
      <c r="I30" s="67">
        <f>[2]Histórico!I10</f>
        <v>210.78047866</v>
      </c>
      <c r="J30" s="67">
        <f>[2]Histórico!J10</f>
        <v>342.03923128000002</v>
      </c>
      <c r="K30" s="67">
        <f>[2]Histórico!K10</f>
        <v>402.39909561999997</v>
      </c>
      <c r="L30" s="62" t="s">
        <v>52</v>
      </c>
      <c r="N30" s="63"/>
    </row>
    <row r="31" spans="2:14" x14ac:dyDescent="0.25">
      <c r="B31" s="1">
        <v>2024</v>
      </c>
      <c r="C31" s="1" t="s">
        <v>18</v>
      </c>
      <c r="D31" s="66">
        <v>45597</v>
      </c>
      <c r="E31" s="36">
        <v>1500</v>
      </c>
      <c r="F31" s="67">
        <f>[2]Histórico!F11</f>
        <v>163.06060873999999</v>
      </c>
      <c r="G31" s="67">
        <f>[2]Histórico!G11</f>
        <v>191.83601028999999</v>
      </c>
      <c r="H31" s="67">
        <f>[2]Histórico!H11</f>
        <v>179.36666962000001</v>
      </c>
      <c r="I31" s="67">
        <f>[2]Histórico!I11</f>
        <v>211.01961130999999</v>
      </c>
      <c r="J31" s="67">
        <f>[2]Histórico!J11</f>
        <v>342.42727836</v>
      </c>
      <c r="K31" s="67">
        <f>[2]Histórico!K11</f>
        <v>402.85562160000001</v>
      </c>
      <c r="L31" s="62">
        <v>45506</v>
      </c>
      <c r="N31" s="63"/>
    </row>
    <row r="32" spans="2:14" s="6" customFormat="1" ht="12.75" customHeight="1" x14ac:dyDescent="0.3">
      <c r="B32" s="12">
        <v>2024</v>
      </c>
      <c r="C32" s="12" t="s">
        <v>14</v>
      </c>
      <c r="D32" s="18"/>
      <c r="E32" s="37">
        <f>SUM(E27:E31)</f>
        <v>6000</v>
      </c>
      <c r="F32" s="45">
        <f t="shared" ref="F32:K32" si="2">SUM(F27:F31)</f>
        <v>655.59312921000003</v>
      </c>
      <c r="G32" s="45">
        <f t="shared" si="2"/>
        <v>766.77649690999999</v>
      </c>
      <c r="H32" s="45">
        <f t="shared" si="2"/>
        <v>721.15244214000006</v>
      </c>
      <c r="I32" s="45">
        <f t="shared" si="2"/>
        <v>843.45414661999996</v>
      </c>
      <c r="J32" s="45">
        <f t="shared" si="2"/>
        <v>1376.74557134</v>
      </c>
      <c r="K32" s="45">
        <f t="shared" si="2"/>
        <v>1610.2306435199998</v>
      </c>
      <c r="L32" s="14"/>
      <c r="N32" s="63"/>
    </row>
    <row r="33" spans="2:14" ht="15.5" x14ac:dyDescent="0.25">
      <c r="F33" s="64"/>
      <c r="G33" s="64"/>
      <c r="H33" s="64"/>
      <c r="I33" s="64"/>
      <c r="J33" s="65"/>
      <c r="K33" s="64"/>
    </row>
    <row r="34" spans="2:14" ht="13" x14ac:dyDescent="0.25">
      <c r="B34" s="69" t="s">
        <v>8</v>
      </c>
      <c r="C34" s="72" t="s">
        <v>19</v>
      </c>
      <c r="D34" s="72" t="s">
        <v>5</v>
      </c>
      <c r="E34" s="72" t="s">
        <v>16</v>
      </c>
      <c r="F34" s="75" t="s">
        <v>15</v>
      </c>
      <c r="G34" s="75"/>
      <c r="H34" s="75"/>
      <c r="I34" s="75"/>
      <c r="J34" s="75"/>
      <c r="K34" s="75"/>
      <c r="L34" s="72" t="s">
        <v>6</v>
      </c>
    </row>
    <row r="35" spans="2:14" ht="13" x14ac:dyDescent="0.25">
      <c r="B35" s="70"/>
      <c r="C35" s="73"/>
      <c r="D35" s="73"/>
      <c r="E35" s="73"/>
      <c r="F35" s="75" t="s">
        <v>0</v>
      </c>
      <c r="G35" s="75"/>
      <c r="H35" s="75" t="s">
        <v>1</v>
      </c>
      <c r="I35" s="75"/>
      <c r="J35" s="75" t="s">
        <v>2</v>
      </c>
      <c r="K35" s="75"/>
      <c r="L35" s="73"/>
    </row>
    <row r="36" spans="2:14" ht="13" x14ac:dyDescent="0.25">
      <c r="B36" s="71"/>
      <c r="C36" s="74"/>
      <c r="D36" s="74"/>
      <c r="E36" s="74"/>
      <c r="F36" s="33" t="s">
        <v>25</v>
      </c>
      <c r="G36" s="33" t="s">
        <v>7</v>
      </c>
      <c r="H36" s="33" t="s">
        <v>25</v>
      </c>
      <c r="I36" s="33" t="s">
        <v>7</v>
      </c>
      <c r="J36" s="33" t="s">
        <v>25</v>
      </c>
      <c r="K36" s="33" t="s">
        <v>7</v>
      </c>
      <c r="L36" s="74"/>
    </row>
    <row r="37" spans="2:14" x14ac:dyDescent="0.25">
      <c r="B37" s="1">
        <v>2023</v>
      </c>
      <c r="C37" s="1" t="s">
        <v>10</v>
      </c>
      <c r="D37" s="62">
        <v>45209</v>
      </c>
      <c r="E37" s="36">
        <v>380</v>
      </c>
      <c r="F37" s="44">
        <f xml:space="preserve"> 0.04866003444*1000</f>
        <v>48.660034439999997</v>
      </c>
      <c r="G37" s="44">
        <f xml:space="preserve"> 0.04866003444*1000</f>
        <v>48.660034439999997</v>
      </c>
      <c r="H37" s="44">
        <f xml:space="preserve"> 0.05352603789*1000</f>
        <v>53.526037890000005</v>
      </c>
      <c r="I37" s="44">
        <f xml:space="preserve"> 0.05352603789*1000</f>
        <v>53.526037890000005</v>
      </c>
      <c r="J37" s="44">
        <f xml:space="preserve"> 0.10218607233*1000</f>
        <v>102.18607233</v>
      </c>
      <c r="K37" s="44">
        <f xml:space="preserve"> 0.10218607233*1000</f>
        <v>102.18607233</v>
      </c>
      <c r="L37" s="62">
        <v>45210</v>
      </c>
    </row>
    <row r="38" spans="2:14" x14ac:dyDescent="0.25">
      <c r="B38" s="1">
        <v>2023</v>
      </c>
      <c r="C38" s="1" t="s">
        <v>18</v>
      </c>
      <c r="D38" s="62">
        <v>45209</v>
      </c>
      <c r="E38" s="36">
        <v>1120</v>
      </c>
      <c r="F38" s="44">
        <f xml:space="preserve"> 0.12190619155*1000</f>
        <v>121.90619155</v>
      </c>
      <c r="G38" s="44">
        <f>0.14341904889*1000</f>
        <v>143.41904889</v>
      </c>
      <c r="H38" s="44">
        <f>0.13409681071*1000</f>
        <v>134.09681071</v>
      </c>
      <c r="I38" s="44">
        <f>0.15776095377*1000</f>
        <v>157.76095376999999</v>
      </c>
      <c r="J38" s="44">
        <f>0.25600300226*1000</f>
        <v>256.00300226000002</v>
      </c>
      <c r="K38" s="44">
        <f>0.30118000266*1000</f>
        <v>301.18000266000001</v>
      </c>
      <c r="L38" s="62">
        <v>45210</v>
      </c>
    </row>
    <row r="39" spans="2:14" x14ac:dyDescent="0.25">
      <c r="B39" s="1">
        <v>2023</v>
      </c>
      <c r="C39" s="1" t="s">
        <v>18</v>
      </c>
      <c r="D39" s="66" t="s">
        <v>50</v>
      </c>
      <c r="E39" s="36">
        <v>1500</v>
      </c>
      <c r="F39" s="44">
        <f>0.1632589427*1000</f>
        <v>163.25894270000001</v>
      </c>
      <c r="G39" s="44">
        <f>0.19206934435*1000</f>
        <v>192.06934434999999</v>
      </c>
      <c r="H39" s="44">
        <f xml:space="preserve"> 0.17958483697*1000</f>
        <v>179.58483697</v>
      </c>
      <c r="I39" s="44">
        <f>0.21127627878*1000</f>
        <v>211.27627877999998</v>
      </c>
      <c r="J39" s="44">
        <f>0.34284377966*1000</f>
        <v>342.84377966</v>
      </c>
      <c r="K39" s="44">
        <f>0.40334562313*1000</f>
        <v>403.34562312999998</v>
      </c>
      <c r="L39" s="62" t="s">
        <v>51</v>
      </c>
    </row>
    <row r="40" spans="2:14" x14ac:dyDescent="0.25">
      <c r="B40" s="1">
        <v>2023</v>
      </c>
      <c r="C40" s="1" t="s">
        <v>18</v>
      </c>
      <c r="D40" s="66" t="s">
        <v>48</v>
      </c>
      <c r="E40" s="36">
        <v>1500</v>
      </c>
      <c r="F40" s="44">
        <f>0.16322487698*1000</f>
        <v>163.22487697999998</v>
      </c>
      <c r="G40" s="44">
        <f>0.19202926704*1000</f>
        <v>192.02926704000001</v>
      </c>
      <c r="H40" s="44">
        <f>0.17954736468*1000</f>
        <v>179.54736467999999</v>
      </c>
      <c r="I40" s="44">
        <f>0.21123219374*1000</f>
        <v>211.23219373999999</v>
      </c>
      <c r="J40" s="44">
        <f>0.34277224166*1000</f>
        <v>342.77224165999996</v>
      </c>
      <c r="K40" s="44">
        <f>0.40326146077*1000</f>
        <v>403.26146077000004</v>
      </c>
      <c r="L40" s="62" t="s">
        <v>49</v>
      </c>
      <c r="N40" s="63"/>
    </row>
    <row r="41" spans="2:14" x14ac:dyDescent="0.25">
      <c r="B41" s="1">
        <v>2023</v>
      </c>
      <c r="C41" s="1" t="s">
        <v>18</v>
      </c>
      <c r="D41" s="66" t="s">
        <v>47</v>
      </c>
      <c r="E41" s="36">
        <v>1700</v>
      </c>
      <c r="F41" s="44">
        <v>185.23087502999999</v>
      </c>
      <c r="G41" s="44">
        <v>217.91867650999998</v>
      </c>
      <c r="H41" s="44">
        <v>203.75396254</v>
      </c>
      <c r="I41" s="44">
        <v>239.71054416000001</v>
      </c>
      <c r="J41" s="44">
        <v>388.98483757000002</v>
      </c>
      <c r="K41" s="44">
        <v>457.62922067</v>
      </c>
      <c r="L41" s="62">
        <v>45080</v>
      </c>
      <c r="N41" s="63"/>
    </row>
    <row r="42" spans="2:14" s="6" customFormat="1" ht="12.75" customHeight="1" x14ac:dyDescent="0.3">
      <c r="B42" s="12">
        <v>2023</v>
      </c>
      <c r="C42" s="12" t="s">
        <v>14</v>
      </c>
      <c r="D42" s="18"/>
      <c r="E42" s="37">
        <f>SUM(E37:E41)</f>
        <v>6200</v>
      </c>
      <c r="F42" s="45">
        <f t="shared" ref="F42:K42" si="3">SUM(F37:F41)</f>
        <v>682.28092070000002</v>
      </c>
      <c r="G42" s="45">
        <f t="shared" si="3"/>
        <v>794.09637122999993</v>
      </c>
      <c r="H42" s="45">
        <f t="shared" si="3"/>
        <v>750.50901278999993</v>
      </c>
      <c r="I42" s="45">
        <f t="shared" si="3"/>
        <v>873.50600833999999</v>
      </c>
      <c r="J42" s="45">
        <f t="shared" si="3"/>
        <v>1432.7899334800002</v>
      </c>
      <c r="K42" s="45">
        <f t="shared" si="3"/>
        <v>1667.6023795599999</v>
      </c>
      <c r="L42" s="14"/>
      <c r="N42" s="63"/>
    </row>
    <row r="43" spans="2:14" ht="15.5" x14ac:dyDescent="0.25">
      <c r="E43" s="13"/>
      <c r="F43" s="13"/>
      <c r="G43" s="13"/>
      <c r="H43" s="13"/>
      <c r="I43" s="13"/>
      <c r="J43" s="13"/>
      <c r="N43" s="63"/>
    </row>
    <row r="44" spans="2:14" ht="13" x14ac:dyDescent="0.25">
      <c r="B44" s="69" t="s">
        <v>8</v>
      </c>
      <c r="C44" s="72" t="s">
        <v>19</v>
      </c>
      <c r="D44" s="72" t="s">
        <v>5</v>
      </c>
      <c r="E44" s="72" t="s">
        <v>16</v>
      </c>
      <c r="F44" s="75" t="s">
        <v>15</v>
      </c>
      <c r="G44" s="75"/>
      <c r="H44" s="75"/>
      <c r="I44" s="75"/>
      <c r="J44" s="75"/>
      <c r="K44" s="75"/>
      <c r="L44" s="72" t="s">
        <v>6</v>
      </c>
    </row>
    <row r="45" spans="2:14" ht="13" x14ac:dyDescent="0.25">
      <c r="B45" s="70"/>
      <c r="C45" s="73"/>
      <c r="D45" s="73"/>
      <c r="E45" s="73"/>
      <c r="F45" s="75" t="s">
        <v>0</v>
      </c>
      <c r="G45" s="75"/>
      <c r="H45" s="75" t="s">
        <v>1</v>
      </c>
      <c r="I45" s="75"/>
      <c r="J45" s="75" t="s">
        <v>2</v>
      </c>
      <c r="K45" s="75"/>
      <c r="L45" s="73"/>
    </row>
    <row r="46" spans="2:14" ht="13" x14ac:dyDescent="0.25">
      <c r="B46" s="71"/>
      <c r="C46" s="74"/>
      <c r="D46" s="74"/>
      <c r="E46" s="74"/>
      <c r="F46" s="33" t="s">
        <v>25</v>
      </c>
      <c r="G46" s="33" t="s">
        <v>7</v>
      </c>
      <c r="H46" s="33" t="s">
        <v>25</v>
      </c>
      <c r="I46" s="33" t="s">
        <v>7</v>
      </c>
      <c r="J46" s="33" t="s">
        <v>25</v>
      </c>
      <c r="K46" s="33" t="s">
        <v>7</v>
      </c>
      <c r="L46" s="74"/>
    </row>
    <row r="47" spans="2:14" x14ac:dyDescent="0.25">
      <c r="B47" s="1">
        <v>2022</v>
      </c>
      <c r="C47" s="1" t="s">
        <v>18</v>
      </c>
      <c r="D47" s="62" t="s">
        <v>45</v>
      </c>
      <c r="E47" s="36">
        <v>880</v>
      </c>
      <c r="F47" s="44">
        <v>95.80311970999999</v>
      </c>
      <c r="G47" s="44">
        <v>112.70955259999999</v>
      </c>
      <c r="H47" s="44">
        <v>105.38343168</v>
      </c>
      <c r="I47" s="44">
        <v>123.98050786</v>
      </c>
      <c r="J47" s="44">
        <v>201.18655139999998</v>
      </c>
      <c r="K47" s="44">
        <v>236.69006046999999</v>
      </c>
      <c r="L47" s="62" t="s">
        <v>46</v>
      </c>
      <c r="N47" s="63"/>
    </row>
    <row r="48" spans="2:14" x14ac:dyDescent="0.25">
      <c r="B48" s="1">
        <v>2022</v>
      </c>
      <c r="C48" s="1" t="s">
        <v>10</v>
      </c>
      <c r="D48" s="62" t="s">
        <v>45</v>
      </c>
      <c r="E48" s="36">
        <v>820</v>
      </c>
      <c r="F48" s="44">
        <v>105.02481038000001</v>
      </c>
      <c r="G48" s="44">
        <v>105.02481038000001</v>
      </c>
      <c r="H48" s="44">
        <v>115.52729142</v>
      </c>
      <c r="I48" s="44">
        <v>115.52729142</v>
      </c>
      <c r="J48" s="44">
        <v>220.5521018</v>
      </c>
      <c r="K48" s="44">
        <v>220.5521018</v>
      </c>
      <c r="L48" s="62" t="s">
        <v>46</v>
      </c>
    </row>
    <row r="49" spans="2:14" x14ac:dyDescent="0.25">
      <c r="B49" s="1">
        <v>2022</v>
      </c>
      <c r="C49" s="1" t="s">
        <v>18</v>
      </c>
      <c r="D49" s="62">
        <v>44689</v>
      </c>
      <c r="E49" s="36">
        <v>1700</v>
      </c>
      <c r="F49" s="44">
        <v>185.08528744</v>
      </c>
      <c r="G49" s="44">
        <v>217.74739699</v>
      </c>
      <c r="H49" s="44">
        <v>203.59381618</v>
      </c>
      <c r="I49" s="44">
        <v>239.52213669</v>
      </c>
      <c r="J49" s="44">
        <v>388.67910362000003</v>
      </c>
      <c r="K49" s="44">
        <v>457.26953368</v>
      </c>
      <c r="L49" s="62">
        <v>44721</v>
      </c>
      <c r="N49" s="63"/>
    </row>
    <row r="50" spans="2:14" x14ac:dyDescent="0.25">
      <c r="B50" s="1">
        <v>2022</v>
      </c>
      <c r="C50" s="1" t="s">
        <v>10</v>
      </c>
      <c r="D50" s="62" t="s">
        <v>43</v>
      </c>
      <c r="E50" s="36">
        <v>700</v>
      </c>
      <c r="F50" s="44">
        <v>89.452323730000003</v>
      </c>
      <c r="G50" s="44">
        <v>89.452323730000003</v>
      </c>
      <c r="H50" s="44">
        <v>98.397556100000003</v>
      </c>
      <c r="I50" s="44">
        <v>98.397556100000003</v>
      </c>
      <c r="J50" s="44">
        <v>187.84987983000002</v>
      </c>
      <c r="K50" s="44">
        <v>187.84987983000002</v>
      </c>
      <c r="L50" s="62" t="s">
        <v>44</v>
      </c>
    </row>
    <row r="51" spans="2:14" x14ac:dyDescent="0.25">
      <c r="B51" s="1">
        <v>2022</v>
      </c>
      <c r="C51" s="1" t="s">
        <v>18</v>
      </c>
      <c r="D51" s="62" t="s">
        <v>43</v>
      </c>
      <c r="E51" s="36">
        <v>1000</v>
      </c>
      <c r="F51" s="44">
        <v>108.62067881999999</v>
      </c>
      <c r="G51" s="44">
        <v>127.78903389999999</v>
      </c>
      <c r="H51" s="44">
        <v>119.48274669</v>
      </c>
      <c r="I51" s="44">
        <v>140.56793729</v>
      </c>
      <c r="J51" s="44">
        <v>228.10342550999999</v>
      </c>
      <c r="K51" s="44">
        <v>268.35697118999997</v>
      </c>
      <c r="L51" s="62" t="s">
        <v>44</v>
      </c>
      <c r="N51" s="63"/>
    </row>
    <row r="52" spans="2:14" x14ac:dyDescent="0.25">
      <c r="B52" s="1">
        <v>2022</v>
      </c>
      <c r="C52" s="1" t="s">
        <v>10</v>
      </c>
      <c r="D52" s="62">
        <v>44563</v>
      </c>
      <c r="E52" s="36">
        <v>1300</v>
      </c>
      <c r="F52" s="44">
        <v>165.95317204999998</v>
      </c>
      <c r="G52" s="44">
        <v>165.95317204999998</v>
      </c>
      <c r="H52" s="44">
        <v>182.54848926</v>
      </c>
      <c r="I52" s="44">
        <v>182.54848926</v>
      </c>
      <c r="J52" s="44">
        <v>348.50166130999997</v>
      </c>
      <c r="K52" s="44">
        <v>348.50166130999997</v>
      </c>
      <c r="L52" s="62">
        <v>44654</v>
      </c>
    </row>
    <row r="53" spans="2:14" x14ac:dyDescent="0.25">
      <c r="B53" s="1">
        <v>2022</v>
      </c>
      <c r="C53" s="1" t="s">
        <v>18</v>
      </c>
      <c r="D53" s="62">
        <v>44563</v>
      </c>
      <c r="E53" s="36">
        <v>1700</v>
      </c>
      <c r="F53" s="44">
        <v>184.46333354999999</v>
      </c>
      <c r="G53" s="44">
        <v>217.01568653000001</v>
      </c>
      <c r="H53" s="44">
        <v>202.90966691</v>
      </c>
      <c r="I53" s="44">
        <v>238.71725519</v>
      </c>
      <c r="J53" s="44">
        <v>387.37300045999996</v>
      </c>
      <c r="K53" s="44">
        <v>455.73294171999999</v>
      </c>
      <c r="L53" s="62">
        <v>44654</v>
      </c>
      <c r="N53" s="63"/>
    </row>
    <row r="54" spans="2:14" s="6" customFormat="1" ht="12.75" customHeight="1" x14ac:dyDescent="0.3">
      <c r="B54" s="12">
        <v>2022</v>
      </c>
      <c r="C54" s="12" t="s">
        <v>14</v>
      </c>
      <c r="D54" s="18"/>
      <c r="E54" s="37">
        <f t="shared" ref="E54:K54" si="4">SUM(E47:E53)</f>
        <v>8100</v>
      </c>
      <c r="F54" s="45">
        <f t="shared" si="4"/>
        <v>934.40272568</v>
      </c>
      <c r="G54" s="45">
        <f t="shared" si="4"/>
        <v>1035.69197618</v>
      </c>
      <c r="H54" s="45">
        <f t="shared" si="4"/>
        <v>1027.84299824</v>
      </c>
      <c r="I54" s="45">
        <f t="shared" si="4"/>
        <v>1139.2611738099999</v>
      </c>
      <c r="J54" s="45">
        <f t="shared" si="4"/>
        <v>1962.2457239299999</v>
      </c>
      <c r="K54" s="45">
        <f t="shared" si="4"/>
        <v>2174.9531499999998</v>
      </c>
      <c r="L54" s="14"/>
      <c r="N54" s="63"/>
    </row>
    <row r="55" spans="2:14" ht="15.5" x14ac:dyDescent="0.25">
      <c r="E55" s="13"/>
      <c r="F55" s="13"/>
      <c r="G55" s="13"/>
      <c r="H55" s="13"/>
      <c r="I55" s="13"/>
      <c r="J55" s="13"/>
      <c r="N55" s="63"/>
    </row>
    <row r="56" spans="2:14" ht="13" x14ac:dyDescent="0.25">
      <c r="B56" s="69" t="s">
        <v>8</v>
      </c>
      <c r="C56" s="72" t="s">
        <v>19</v>
      </c>
      <c r="D56" s="72" t="s">
        <v>5</v>
      </c>
      <c r="E56" s="72" t="s">
        <v>16</v>
      </c>
      <c r="F56" s="75" t="s">
        <v>15</v>
      </c>
      <c r="G56" s="75"/>
      <c r="H56" s="75"/>
      <c r="I56" s="75"/>
      <c r="J56" s="75"/>
      <c r="K56" s="75"/>
      <c r="L56" s="72" t="s">
        <v>6</v>
      </c>
    </row>
    <row r="57" spans="2:14" ht="13" x14ac:dyDescent="0.25">
      <c r="B57" s="70"/>
      <c r="C57" s="73"/>
      <c r="D57" s="73"/>
      <c r="E57" s="73"/>
      <c r="F57" s="75" t="s">
        <v>0</v>
      </c>
      <c r="G57" s="75"/>
      <c r="H57" s="75" t="s">
        <v>1</v>
      </c>
      <c r="I57" s="75"/>
      <c r="J57" s="75" t="s">
        <v>2</v>
      </c>
      <c r="K57" s="75"/>
      <c r="L57" s="73"/>
    </row>
    <row r="58" spans="2:14" ht="13" x14ac:dyDescent="0.25">
      <c r="B58" s="71"/>
      <c r="C58" s="74"/>
      <c r="D58" s="74"/>
      <c r="E58" s="74"/>
      <c r="F58" s="33" t="s">
        <v>25</v>
      </c>
      <c r="G58" s="33" t="s">
        <v>7</v>
      </c>
      <c r="H58" s="33" t="s">
        <v>25</v>
      </c>
      <c r="I58" s="33" t="s">
        <v>7</v>
      </c>
      <c r="J58" s="33" t="s">
        <v>25</v>
      </c>
      <c r="K58" s="33" t="s">
        <v>7</v>
      </c>
      <c r="L58" s="74"/>
    </row>
    <row r="59" spans="2:14" x14ac:dyDescent="0.25">
      <c r="B59" s="1">
        <v>2021</v>
      </c>
      <c r="C59" s="1" t="s">
        <v>18</v>
      </c>
      <c r="D59" s="62" t="s">
        <v>42</v>
      </c>
      <c r="E59" s="36">
        <v>249</v>
      </c>
      <c r="F59" s="44">
        <v>27.018819919999999</v>
      </c>
      <c r="G59" s="44">
        <v>31.786846959999998</v>
      </c>
      <c r="H59" s="44">
        <v>29.720701909999999</v>
      </c>
      <c r="I59" s="44">
        <v>34.965531660000003</v>
      </c>
      <c r="J59" s="44">
        <v>56.739521830000001</v>
      </c>
      <c r="K59" s="44">
        <v>66.752378620000002</v>
      </c>
      <c r="L59" s="62">
        <v>44622</v>
      </c>
    </row>
    <row r="60" spans="2:14" x14ac:dyDescent="0.25">
      <c r="B60" s="1">
        <v>2021</v>
      </c>
      <c r="C60" s="1" t="s">
        <v>10</v>
      </c>
      <c r="D60" s="62" t="s">
        <v>41</v>
      </c>
      <c r="E60" s="36">
        <v>3000</v>
      </c>
      <c r="F60" s="44">
        <v>382.98082731</v>
      </c>
      <c r="G60" s="44">
        <v>382.98082731</v>
      </c>
      <c r="H60" s="44">
        <v>421.27891003000002</v>
      </c>
      <c r="I60" s="44">
        <v>421.27891003000002</v>
      </c>
      <c r="J60" s="44">
        <v>804.25973734000002</v>
      </c>
      <c r="K60" s="44">
        <v>804.25973734000002</v>
      </c>
      <c r="L60" s="62">
        <v>44267</v>
      </c>
    </row>
    <row r="61" spans="2:14" x14ac:dyDescent="0.25">
      <c r="B61" s="1">
        <v>2021</v>
      </c>
      <c r="C61" s="1" t="s">
        <v>18</v>
      </c>
      <c r="D61" s="62" t="s">
        <v>40</v>
      </c>
      <c r="E61" s="36">
        <v>3400</v>
      </c>
      <c r="F61" s="44">
        <v>368.93819697000004</v>
      </c>
      <c r="G61" s="44">
        <v>434.04493761000003</v>
      </c>
      <c r="H61" s="44">
        <v>405.83201667000003</v>
      </c>
      <c r="I61" s="44">
        <v>477.44943137000001</v>
      </c>
      <c r="J61" s="44">
        <v>774.77021363999995</v>
      </c>
      <c r="K61" s="44">
        <v>911.49436899</v>
      </c>
      <c r="L61" s="62">
        <v>44264</v>
      </c>
    </row>
    <row r="62" spans="2:14" x14ac:dyDescent="0.25">
      <c r="B62" s="1">
        <v>2021</v>
      </c>
      <c r="C62" s="1" t="s">
        <v>10</v>
      </c>
      <c r="D62" s="62" t="s">
        <v>39</v>
      </c>
      <c r="E62" s="36">
        <v>3000</v>
      </c>
      <c r="F62" s="44">
        <v>382.98082730729999</v>
      </c>
      <c r="G62" s="44">
        <v>382.98082730729999</v>
      </c>
      <c r="H62" s="44">
        <v>421.27891003389999</v>
      </c>
      <c r="I62" s="44">
        <v>421.27891003389999</v>
      </c>
      <c r="J62" s="44">
        <v>804.25973734120009</v>
      </c>
      <c r="K62" s="44">
        <v>804.25973734120009</v>
      </c>
      <c r="L62" s="62">
        <v>44233</v>
      </c>
    </row>
    <row r="63" spans="2:14" s="6" customFormat="1" ht="12.75" customHeight="1" x14ac:dyDescent="0.3">
      <c r="B63" s="12">
        <v>2021</v>
      </c>
      <c r="C63" s="12" t="s">
        <v>14</v>
      </c>
      <c r="D63" s="18"/>
      <c r="E63" s="37">
        <v>9649</v>
      </c>
      <c r="F63" s="45">
        <v>1161.9186715072999</v>
      </c>
      <c r="G63" s="45">
        <v>1231.7934391873</v>
      </c>
      <c r="H63" s="45">
        <v>1278.1105386439001</v>
      </c>
      <c r="I63" s="45">
        <v>1354.9727830939</v>
      </c>
      <c r="J63" s="45">
        <v>2440.0292101512</v>
      </c>
      <c r="K63" s="45">
        <v>2586.7662222911999</v>
      </c>
      <c r="L63" s="14"/>
    </row>
    <row r="64" spans="2:14" ht="15.5" x14ac:dyDescent="0.25">
      <c r="E64" s="13"/>
      <c r="F64" s="13"/>
      <c r="G64" s="13"/>
      <c r="H64" s="13"/>
      <c r="I64" s="13"/>
      <c r="J64" s="13"/>
    </row>
    <row r="65" spans="2:12" ht="13" x14ac:dyDescent="0.25">
      <c r="B65" s="69" t="s">
        <v>8</v>
      </c>
      <c r="C65" s="72" t="s">
        <v>19</v>
      </c>
      <c r="D65" s="72" t="s">
        <v>5</v>
      </c>
      <c r="E65" s="72" t="s">
        <v>16</v>
      </c>
      <c r="F65" s="75" t="s">
        <v>15</v>
      </c>
      <c r="G65" s="75"/>
      <c r="H65" s="75"/>
      <c r="I65" s="75"/>
      <c r="J65" s="75"/>
      <c r="K65" s="75"/>
      <c r="L65" s="72" t="s">
        <v>6</v>
      </c>
    </row>
    <row r="66" spans="2:12" ht="13" x14ac:dyDescent="0.25">
      <c r="B66" s="70"/>
      <c r="C66" s="73"/>
      <c r="D66" s="73"/>
      <c r="E66" s="73"/>
      <c r="F66" s="75" t="s">
        <v>0</v>
      </c>
      <c r="G66" s="75"/>
      <c r="H66" s="75" t="s">
        <v>1</v>
      </c>
      <c r="I66" s="75"/>
      <c r="J66" s="75" t="s">
        <v>2</v>
      </c>
      <c r="K66" s="75"/>
      <c r="L66" s="73"/>
    </row>
    <row r="67" spans="2:12" ht="13" x14ac:dyDescent="0.25">
      <c r="B67" s="71"/>
      <c r="C67" s="74"/>
      <c r="D67" s="74"/>
      <c r="E67" s="74"/>
      <c r="F67" s="33" t="s">
        <v>25</v>
      </c>
      <c r="G67" s="33" t="s">
        <v>7</v>
      </c>
      <c r="H67" s="33" t="s">
        <v>25</v>
      </c>
      <c r="I67" s="33" t="s">
        <v>7</v>
      </c>
      <c r="J67" s="33" t="s">
        <v>25</v>
      </c>
      <c r="K67" s="33" t="s">
        <v>7</v>
      </c>
      <c r="L67" s="74"/>
    </row>
    <row r="68" spans="2:12" x14ac:dyDescent="0.25">
      <c r="B68" s="1">
        <v>2020</v>
      </c>
      <c r="C68" s="1" t="s">
        <v>10</v>
      </c>
      <c r="D68" s="62">
        <v>44229</v>
      </c>
      <c r="E68" s="36">
        <v>512.08523181999999</v>
      </c>
      <c r="F68" s="44">
        <f>1000*0.06542569871</f>
        <v>65.425698709999992</v>
      </c>
      <c r="G68" s="44">
        <f>1000*0.06542569871</f>
        <v>65.425698709999992</v>
      </c>
      <c r="H68" s="44">
        <f>0.07196826858*1000</f>
        <v>71.96826858</v>
      </c>
      <c r="I68" s="44">
        <f>0.07196826858*1000</f>
        <v>71.96826858</v>
      </c>
      <c r="J68" s="44">
        <f>0.1373939673*1000</f>
        <v>137.39396730000001</v>
      </c>
      <c r="K68" s="44">
        <f>0.1373939673*1000</f>
        <v>137.39396730000001</v>
      </c>
      <c r="L68" s="62">
        <v>44258</v>
      </c>
    </row>
    <row r="69" spans="2:12" x14ac:dyDescent="0.25">
      <c r="B69" s="1">
        <v>2020</v>
      </c>
      <c r="C69" s="1" t="s">
        <v>18</v>
      </c>
      <c r="D69" s="60" t="s">
        <v>37</v>
      </c>
      <c r="E69" s="36">
        <v>665</v>
      </c>
      <c r="F69" s="44">
        <v>72.218204900000003</v>
      </c>
      <c r="G69" s="44">
        <v>84.962593999999996</v>
      </c>
      <c r="H69" s="44">
        <v>79.440025390000002</v>
      </c>
      <c r="I69" s="44">
        <v>93.458853399999995</v>
      </c>
      <c r="J69" s="44">
        <v>151.65823029000001</v>
      </c>
      <c r="K69" s="44">
        <v>178.42144739999998</v>
      </c>
      <c r="L69" s="60" t="s">
        <v>38</v>
      </c>
    </row>
    <row r="70" spans="2:12" x14ac:dyDescent="0.25">
      <c r="B70" s="1">
        <v>2020</v>
      </c>
      <c r="C70" s="1" t="s">
        <v>18</v>
      </c>
      <c r="D70" s="60">
        <v>44130</v>
      </c>
      <c r="E70" s="36">
        <v>1000</v>
      </c>
      <c r="F70" s="44">
        <v>108.59906709000001</v>
      </c>
      <c r="G70" s="44">
        <v>127.76360834</v>
      </c>
      <c r="H70" s="44">
        <v>119.45897380999999</v>
      </c>
      <c r="I70" s="44">
        <v>140.53996918000001</v>
      </c>
      <c r="J70" s="44">
        <v>228.05804089</v>
      </c>
      <c r="K70" s="44">
        <v>268.30357751999998</v>
      </c>
      <c r="L70" s="60">
        <v>44188</v>
      </c>
    </row>
    <row r="71" spans="2:12" x14ac:dyDescent="0.25">
      <c r="B71" s="1">
        <v>2020</v>
      </c>
      <c r="C71" s="1" t="s">
        <v>18</v>
      </c>
      <c r="D71" s="60" t="s">
        <v>35</v>
      </c>
      <c r="E71" s="36">
        <v>770</v>
      </c>
      <c r="F71" s="44">
        <v>83.622380230000005</v>
      </c>
      <c r="G71" s="44">
        <v>98.379270860000005</v>
      </c>
      <c r="H71" s="44">
        <v>91.984618249999997</v>
      </c>
      <c r="I71" s="44">
        <v>108.21719793999999</v>
      </c>
      <c r="J71" s="44">
        <v>175.60699847999999</v>
      </c>
      <c r="K71" s="44">
        <v>206.59646878999999</v>
      </c>
      <c r="L71" s="60" t="s">
        <v>36</v>
      </c>
    </row>
    <row r="72" spans="2:12" x14ac:dyDescent="0.25">
      <c r="B72" s="1">
        <v>2020</v>
      </c>
      <c r="C72" s="1" t="s">
        <v>18</v>
      </c>
      <c r="D72" s="59" t="s">
        <v>32</v>
      </c>
      <c r="E72" s="36">
        <v>890</v>
      </c>
      <c r="F72" s="44">
        <v>96.656005370000003</v>
      </c>
      <c r="G72" s="44">
        <v>113.7129475</v>
      </c>
      <c r="H72" s="44">
        <v>106.32160591</v>
      </c>
      <c r="I72" s="44">
        <v>125.08424225</v>
      </c>
      <c r="J72" s="44">
        <v>202.97761127999999</v>
      </c>
      <c r="K72" s="44">
        <v>238.79718973999999</v>
      </c>
      <c r="L72" s="60" t="s">
        <v>33</v>
      </c>
    </row>
    <row r="73" spans="2:12" s="6" customFormat="1" ht="12.75" customHeight="1" x14ac:dyDescent="0.3">
      <c r="B73" s="12">
        <v>2020</v>
      </c>
      <c r="C73" s="12" t="s">
        <v>14</v>
      </c>
      <c r="D73" s="18"/>
      <c r="E73" s="37">
        <v>3837.08523182</v>
      </c>
      <c r="F73" s="45">
        <v>426.52135629999998</v>
      </c>
      <c r="G73" s="45">
        <v>490.24411941</v>
      </c>
      <c r="H73" s="45">
        <v>469.17349193999996</v>
      </c>
      <c r="I73" s="45">
        <v>539.26853134999999</v>
      </c>
      <c r="J73" s="45">
        <v>895.69484824000006</v>
      </c>
      <c r="K73" s="45">
        <v>1029.5126507499999</v>
      </c>
      <c r="L73" s="14"/>
    </row>
    <row r="74" spans="2:12" ht="15.5" x14ac:dyDescent="0.25">
      <c r="E74" s="13"/>
      <c r="F74" s="13"/>
      <c r="G74" s="13"/>
      <c r="H74" s="13"/>
      <c r="I74" s="13"/>
      <c r="J74" s="13"/>
    </row>
    <row r="75" spans="2:12" ht="13" x14ac:dyDescent="0.25">
      <c r="B75" s="69" t="s">
        <v>8</v>
      </c>
      <c r="C75" s="72" t="s">
        <v>19</v>
      </c>
      <c r="D75" s="72" t="s">
        <v>5</v>
      </c>
      <c r="E75" s="72" t="s">
        <v>16</v>
      </c>
      <c r="F75" s="75" t="s">
        <v>15</v>
      </c>
      <c r="G75" s="75"/>
      <c r="H75" s="75"/>
      <c r="I75" s="75"/>
      <c r="J75" s="75"/>
      <c r="K75" s="75"/>
      <c r="L75" s="72" t="s">
        <v>6</v>
      </c>
    </row>
    <row r="76" spans="2:12" ht="13" x14ac:dyDescent="0.25">
      <c r="B76" s="70"/>
      <c r="C76" s="73"/>
      <c r="D76" s="73"/>
      <c r="E76" s="73"/>
      <c r="F76" s="75" t="s">
        <v>0</v>
      </c>
      <c r="G76" s="75"/>
      <c r="H76" s="75" t="s">
        <v>1</v>
      </c>
      <c r="I76" s="75"/>
      <c r="J76" s="75" t="s">
        <v>2</v>
      </c>
      <c r="K76" s="75"/>
      <c r="L76" s="73"/>
    </row>
    <row r="77" spans="2:12" ht="13" x14ac:dyDescent="0.25">
      <c r="B77" s="71"/>
      <c r="C77" s="74"/>
      <c r="D77" s="74"/>
      <c r="E77" s="74"/>
      <c r="F77" s="33" t="s">
        <v>25</v>
      </c>
      <c r="G77" s="33" t="s">
        <v>7</v>
      </c>
      <c r="H77" s="33" t="s">
        <v>25</v>
      </c>
      <c r="I77" s="33" t="s">
        <v>7</v>
      </c>
      <c r="J77" s="33" t="s">
        <v>25</v>
      </c>
      <c r="K77" s="33" t="s">
        <v>7</v>
      </c>
      <c r="L77" s="74"/>
    </row>
    <row r="78" spans="2:12" x14ac:dyDescent="0.25">
      <c r="B78" s="1">
        <v>2019</v>
      </c>
      <c r="C78" s="1" t="s">
        <v>10</v>
      </c>
      <c r="D78" s="58">
        <v>43826</v>
      </c>
      <c r="E78" s="36">
        <v>6790</v>
      </c>
      <c r="F78" s="44">
        <v>867.01797107000004</v>
      </c>
      <c r="G78" s="44">
        <v>867.01797107000004</v>
      </c>
      <c r="H78" s="44">
        <v>953.71976819000008</v>
      </c>
      <c r="I78" s="44">
        <v>953.71976819000008</v>
      </c>
      <c r="J78" s="44">
        <v>1820.73773927</v>
      </c>
      <c r="K78" s="44">
        <v>1820.73773927</v>
      </c>
      <c r="L78" s="61" t="s">
        <v>34</v>
      </c>
    </row>
    <row r="79" spans="2:12" x14ac:dyDescent="0.25">
      <c r="B79" s="1">
        <v>2019</v>
      </c>
      <c r="C79" s="1" t="s">
        <v>18</v>
      </c>
      <c r="D79" s="58">
        <v>43826</v>
      </c>
      <c r="E79" s="36">
        <v>1010</v>
      </c>
      <c r="F79" s="44">
        <v>109.62222801</v>
      </c>
      <c r="G79" s="44">
        <v>128.96732707000001</v>
      </c>
      <c r="H79" s="44">
        <v>120.58445080999999</v>
      </c>
      <c r="I79" s="44">
        <v>141.86405976999998</v>
      </c>
      <c r="J79" s="44">
        <v>230.20667882000001</v>
      </c>
      <c r="K79" s="44">
        <v>270.83138683999999</v>
      </c>
      <c r="L79" s="61" t="s">
        <v>34</v>
      </c>
    </row>
    <row r="80" spans="2:12" x14ac:dyDescent="0.25">
      <c r="B80" s="1">
        <v>2019</v>
      </c>
      <c r="C80" s="1" t="s">
        <v>18</v>
      </c>
      <c r="D80" s="58">
        <v>43738</v>
      </c>
      <c r="E80" s="36">
        <v>1000</v>
      </c>
      <c r="F80" s="44">
        <v>108.51188798</v>
      </c>
      <c r="G80" s="44">
        <v>127.66104468</v>
      </c>
      <c r="H80" s="44">
        <v>119.36307678</v>
      </c>
      <c r="I80" s="44">
        <v>140.42714915000002</v>
      </c>
      <c r="J80" s="44">
        <v>227.87496475999998</v>
      </c>
      <c r="K80" s="44">
        <v>268.08819383999997</v>
      </c>
      <c r="L80" s="58">
        <v>43768</v>
      </c>
    </row>
    <row r="81" spans="2:12" x14ac:dyDescent="0.25">
      <c r="B81" s="1">
        <v>2019</v>
      </c>
      <c r="C81" s="1" t="s">
        <v>18</v>
      </c>
      <c r="D81" s="58">
        <v>43644</v>
      </c>
      <c r="E81" s="36">
        <v>1000</v>
      </c>
      <c r="F81" s="44">
        <v>108.49393658000001</v>
      </c>
      <c r="G81" s="44">
        <v>127.63992537999999</v>
      </c>
      <c r="H81" s="44">
        <v>119.34333023000001</v>
      </c>
      <c r="I81" s="44">
        <v>140.40391792</v>
      </c>
      <c r="J81" s="44">
        <v>227.83726679999998</v>
      </c>
      <c r="K81" s="44">
        <v>268.04384329999999</v>
      </c>
      <c r="L81" s="58">
        <v>43677</v>
      </c>
    </row>
    <row r="82" spans="2:12" x14ac:dyDescent="0.25">
      <c r="B82" s="1">
        <v>2019</v>
      </c>
      <c r="C82" s="1" t="s">
        <v>18</v>
      </c>
      <c r="D82" s="58">
        <v>43553</v>
      </c>
      <c r="E82" s="36">
        <v>1000</v>
      </c>
      <c r="F82" s="44">
        <v>108.4474845</v>
      </c>
      <c r="G82" s="44">
        <v>127.58527587999998</v>
      </c>
      <c r="H82" s="44">
        <v>119.29223295</v>
      </c>
      <c r="I82" s="44">
        <v>140.34380347000001</v>
      </c>
      <c r="J82" s="44">
        <v>227.73971745</v>
      </c>
      <c r="K82" s="44">
        <v>267.92907936</v>
      </c>
      <c r="L82" s="58">
        <v>43584</v>
      </c>
    </row>
    <row r="83" spans="2:12" s="6" customFormat="1" ht="12.75" customHeight="1" x14ac:dyDescent="0.3">
      <c r="B83" s="12">
        <v>2019</v>
      </c>
      <c r="C83" s="12" t="s">
        <v>14</v>
      </c>
      <c r="D83" s="18"/>
      <c r="E83" s="37">
        <v>10800</v>
      </c>
      <c r="F83" s="45">
        <v>1302.0935081400003</v>
      </c>
      <c r="G83" s="45">
        <v>1378.8715440800001</v>
      </c>
      <c r="H83" s="45">
        <v>1432.3028589599999</v>
      </c>
      <c r="I83" s="45">
        <v>1516.7586985000003</v>
      </c>
      <c r="J83" s="45">
        <v>2734.3963671000001</v>
      </c>
      <c r="K83" s="45">
        <v>2895.6302426100001</v>
      </c>
      <c r="L83" s="14"/>
    </row>
    <row r="84" spans="2:12" ht="15.5" x14ac:dyDescent="0.25">
      <c r="E84" s="13"/>
      <c r="F84" s="13"/>
      <c r="G84" s="13"/>
      <c r="H84" s="13"/>
      <c r="I84" s="13"/>
      <c r="J84" s="13"/>
    </row>
    <row r="85" spans="2:12" ht="13" x14ac:dyDescent="0.25">
      <c r="B85" s="69" t="s">
        <v>8</v>
      </c>
      <c r="C85" s="72" t="s">
        <v>19</v>
      </c>
      <c r="D85" s="72" t="s">
        <v>5</v>
      </c>
      <c r="E85" s="72" t="s">
        <v>16</v>
      </c>
      <c r="F85" s="75" t="s">
        <v>15</v>
      </c>
      <c r="G85" s="75"/>
      <c r="H85" s="75"/>
      <c r="I85" s="75"/>
      <c r="J85" s="75"/>
      <c r="K85" s="75"/>
      <c r="L85" s="72" t="s">
        <v>6</v>
      </c>
    </row>
    <row r="86" spans="2:12" ht="13" x14ac:dyDescent="0.25">
      <c r="B86" s="70"/>
      <c r="C86" s="73"/>
      <c r="D86" s="73"/>
      <c r="E86" s="73"/>
      <c r="F86" s="75" t="s">
        <v>0</v>
      </c>
      <c r="G86" s="75"/>
      <c r="H86" s="75" t="s">
        <v>1</v>
      </c>
      <c r="I86" s="75"/>
      <c r="J86" s="75" t="s">
        <v>2</v>
      </c>
      <c r="K86" s="75"/>
      <c r="L86" s="73"/>
    </row>
    <row r="87" spans="2:12" ht="13" x14ac:dyDescent="0.25">
      <c r="B87" s="71"/>
      <c r="C87" s="74"/>
      <c r="D87" s="74"/>
      <c r="E87" s="74"/>
      <c r="F87" s="33" t="s">
        <v>25</v>
      </c>
      <c r="G87" s="33" t="s">
        <v>7</v>
      </c>
      <c r="H87" s="33" t="s">
        <v>25</v>
      </c>
      <c r="I87" s="33" t="s">
        <v>7</v>
      </c>
      <c r="J87" s="33" t="s">
        <v>25</v>
      </c>
      <c r="K87" s="33" t="s">
        <v>7</v>
      </c>
      <c r="L87" s="74"/>
    </row>
    <row r="88" spans="2:12" x14ac:dyDescent="0.25">
      <c r="B88" s="1">
        <v>2018</v>
      </c>
      <c r="C88" s="1" t="s">
        <v>18</v>
      </c>
      <c r="D88" s="58">
        <v>43462</v>
      </c>
      <c r="E88" s="36">
        <v>2880</v>
      </c>
      <c r="F88" s="38">
        <v>312.30265806</v>
      </c>
      <c r="G88" s="38">
        <v>367.41489183999994</v>
      </c>
      <c r="H88" s="38">
        <v>343.53292387000005</v>
      </c>
      <c r="I88" s="38">
        <v>404.15638102999998</v>
      </c>
      <c r="J88" s="38">
        <v>655.83558194000011</v>
      </c>
      <c r="K88" s="38">
        <v>771.57127287000003</v>
      </c>
      <c r="L88" s="58">
        <v>43522</v>
      </c>
    </row>
    <row r="89" spans="2:12" x14ac:dyDescent="0.25">
      <c r="B89" s="1">
        <v>2018</v>
      </c>
      <c r="C89" s="1" t="s">
        <v>10</v>
      </c>
      <c r="D89" s="58">
        <v>43462</v>
      </c>
      <c r="E89" s="36">
        <v>1920</v>
      </c>
      <c r="F89" s="38">
        <v>244.94326123000002</v>
      </c>
      <c r="G89" s="38">
        <v>244.94326123000002</v>
      </c>
      <c r="H89" s="38">
        <v>269.43758735</v>
      </c>
      <c r="I89" s="38">
        <v>269.43758735</v>
      </c>
      <c r="J89" s="38">
        <v>514.38084858000002</v>
      </c>
      <c r="K89" s="38">
        <v>514.38084858000002</v>
      </c>
      <c r="L89" s="58">
        <v>43522</v>
      </c>
    </row>
    <row r="90" spans="2:12" x14ac:dyDescent="0.25">
      <c r="B90" s="1">
        <v>2018</v>
      </c>
      <c r="C90" s="1" t="s">
        <v>18</v>
      </c>
      <c r="D90" s="58" t="s">
        <v>30</v>
      </c>
      <c r="E90" s="36">
        <v>600</v>
      </c>
      <c r="F90" s="38">
        <v>65.0237379</v>
      </c>
      <c r="G90" s="38">
        <v>76.498515179999998</v>
      </c>
      <c r="H90" s="38">
        <v>71.526111690000008</v>
      </c>
      <c r="I90" s="38">
        <v>84.148366690000003</v>
      </c>
      <c r="J90" s="38">
        <v>136.54984959000001</v>
      </c>
      <c r="K90" s="38">
        <v>160.64688187000002</v>
      </c>
      <c r="L90" s="58" t="s">
        <v>31</v>
      </c>
    </row>
    <row r="91" spans="2:12" x14ac:dyDescent="0.25">
      <c r="B91" s="1">
        <v>2018</v>
      </c>
      <c r="C91" s="19" t="s">
        <v>10</v>
      </c>
      <c r="D91" s="58" t="s">
        <v>28</v>
      </c>
      <c r="E91" s="36">
        <v>600</v>
      </c>
      <c r="F91" s="38">
        <v>76.495562329999998</v>
      </c>
      <c r="G91" s="38">
        <v>76.495562329999998</v>
      </c>
      <c r="H91" s="38">
        <v>84.14511856</v>
      </c>
      <c r="I91" s="38">
        <v>84.14511856</v>
      </c>
      <c r="J91" s="38">
        <v>160.64068089</v>
      </c>
      <c r="K91" s="38">
        <v>160.64068089</v>
      </c>
      <c r="L91" s="58" t="s">
        <v>29</v>
      </c>
    </row>
    <row r="92" spans="2:12" x14ac:dyDescent="0.25">
      <c r="B92" s="1">
        <v>2018</v>
      </c>
      <c r="C92" s="1" t="s">
        <v>18</v>
      </c>
      <c r="D92" s="58" t="s">
        <v>26</v>
      </c>
      <c r="E92" s="36">
        <v>600</v>
      </c>
      <c r="F92" s="38">
        <v>64.880823759999998</v>
      </c>
      <c r="G92" s="38">
        <v>76.330380889999986</v>
      </c>
      <c r="H92" s="38">
        <v>71.368906130000013</v>
      </c>
      <c r="I92" s="38">
        <v>83.96341898</v>
      </c>
      <c r="J92" s="38">
        <v>136.24972989</v>
      </c>
      <c r="K92" s="38">
        <v>160.29379987000002</v>
      </c>
      <c r="L92" s="58" t="s">
        <v>27</v>
      </c>
    </row>
    <row r="93" spans="2:12" s="6" customFormat="1" ht="12.75" customHeight="1" x14ac:dyDescent="0.3">
      <c r="B93" s="12">
        <v>2018</v>
      </c>
      <c r="C93" s="12" t="s">
        <v>14</v>
      </c>
      <c r="D93" s="18"/>
      <c r="E93" s="37">
        <v>6600</v>
      </c>
      <c r="F93" s="40">
        <v>763.64604328000007</v>
      </c>
      <c r="G93" s="40">
        <v>841.68261146999998</v>
      </c>
      <c r="H93" s="40">
        <v>840.01064760000008</v>
      </c>
      <c r="I93" s="40">
        <v>925.85087261000001</v>
      </c>
      <c r="J93" s="40">
        <v>1603.6566908900002</v>
      </c>
      <c r="K93" s="40">
        <v>1767.5334840800001</v>
      </c>
      <c r="L93" s="14"/>
    </row>
    <row r="94" spans="2:12" ht="15.5" x14ac:dyDescent="0.25">
      <c r="E94" s="13"/>
      <c r="F94" s="13"/>
      <c r="G94" s="13"/>
      <c r="H94" s="13"/>
      <c r="I94" s="13"/>
      <c r="J94" s="13"/>
    </row>
    <row r="95" spans="2:12" ht="13" x14ac:dyDescent="0.25">
      <c r="B95" s="69" t="s">
        <v>8</v>
      </c>
      <c r="C95" s="72" t="s">
        <v>19</v>
      </c>
      <c r="D95" s="72" t="s">
        <v>5</v>
      </c>
      <c r="E95" s="72" t="s">
        <v>16</v>
      </c>
      <c r="F95" s="75" t="s">
        <v>15</v>
      </c>
      <c r="G95" s="75"/>
      <c r="H95" s="75"/>
      <c r="I95" s="75"/>
      <c r="J95" s="75"/>
      <c r="K95" s="75"/>
      <c r="L95" s="72" t="s">
        <v>6</v>
      </c>
    </row>
    <row r="96" spans="2:12" ht="13" x14ac:dyDescent="0.25">
      <c r="B96" s="70"/>
      <c r="C96" s="73"/>
      <c r="D96" s="73"/>
      <c r="E96" s="73"/>
      <c r="F96" s="75" t="s">
        <v>0</v>
      </c>
      <c r="G96" s="75"/>
      <c r="H96" s="75" t="s">
        <v>1</v>
      </c>
      <c r="I96" s="75"/>
      <c r="J96" s="75" t="s">
        <v>2</v>
      </c>
      <c r="K96" s="75"/>
      <c r="L96" s="73"/>
    </row>
    <row r="97" spans="2:12" ht="13" x14ac:dyDescent="0.25">
      <c r="B97" s="71"/>
      <c r="C97" s="74"/>
      <c r="D97" s="74"/>
      <c r="E97" s="74"/>
      <c r="F97" s="33" t="s">
        <v>25</v>
      </c>
      <c r="G97" s="33" t="s">
        <v>7</v>
      </c>
      <c r="H97" s="33" t="s">
        <v>25</v>
      </c>
      <c r="I97" s="33" t="s">
        <v>7</v>
      </c>
      <c r="J97" s="33" t="s">
        <v>25</v>
      </c>
      <c r="K97" s="33" t="s">
        <v>7</v>
      </c>
      <c r="L97" s="74"/>
    </row>
    <row r="98" spans="2:12" ht="12.75" customHeight="1" x14ac:dyDescent="0.25">
      <c r="B98" s="1">
        <v>2017</v>
      </c>
      <c r="C98" s="1" t="s">
        <v>18</v>
      </c>
      <c r="D98" s="35">
        <v>43097</v>
      </c>
      <c r="E98" s="26">
        <v>2300</v>
      </c>
      <c r="F98" s="38">
        <v>248.91010821</v>
      </c>
      <c r="G98" s="38">
        <v>292.83542141999999</v>
      </c>
      <c r="H98" s="38">
        <v>273.80111901999999</v>
      </c>
      <c r="I98" s="38">
        <v>322.11896356</v>
      </c>
      <c r="J98" s="38">
        <v>522.71122722999996</v>
      </c>
      <c r="K98" s="38">
        <v>614.95438497999999</v>
      </c>
      <c r="L98" s="35">
        <v>43157</v>
      </c>
    </row>
    <row r="99" spans="2:12" ht="12.75" customHeight="1" x14ac:dyDescent="0.25">
      <c r="B99" s="1">
        <v>2017</v>
      </c>
      <c r="C99" s="1" t="s">
        <v>10</v>
      </c>
      <c r="D99" s="35">
        <v>43097</v>
      </c>
      <c r="E99" s="26">
        <v>2500</v>
      </c>
      <c r="F99" s="38">
        <v>318.29937109999997</v>
      </c>
      <c r="G99" s="38">
        <v>318.29937109999997</v>
      </c>
      <c r="H99" s="38">
        <v>350.12930821999998</v>
      </c>
      <c r="I99" s="38">
        <v>350.12930821999998</v>
      </c>
      <c r="J99" s="38">
        <v>668.42867932000001</v>
      </c>
      <c r="K99" s="38">
        <v>668.42867932000001</v>
      </c>
      <c r="L99" s="35">
        <v>43157</v>
      </c>
    </row>
    <row r="100" spans="2:12" ht="12.75" customHeight="1" x14ac:dyDescent="0.25">
      <c r="B100" s="1">
        <v>2017</v>
      </c>
      <c r="C100" s="1" t="s">
        <v>18</v>
      </c>
      <c r="D100" s="35">
        <v>43007</v>
      </c>
      <c r="E100" s="26">
        <v>500</v>
      </c>
      <c r="F100" s="38">
        <v>54.05298226</v>
      </c>
      <c r="G100" s="38">
        <v>63.591743830000006</v>
      </c>
      <c r="H100" s="38">
        <v>59.458280479999999</v>
      </c>
      <c r="I100" s="38">
        <v>69.950918209999998</v>
      </c>
      <c r="J100" s="38">
        <v>113.51126273999999</v>
      </c>
      <c r="K100" s="38">
        <v>133.54266204000001</v>
      </c>
      <c r="L100" s="35">
        <v>43034</v>
      </c>
    </row>
    <row r="101" spans="2:12" ht="12.75" customHeight="1" x14ac:dyDescent="0.25">
      <c r="B101" s="1">
        <v>2017</v>
      </c>
      <c r="C101" s="1" t="s">
        <v>18</v>
      </c>
      <c r="D101" s="35">
        <v>42941</v>
      </c>
      <c r="E101" s="26">
        <v>500</v>
      </c>
      <c r="F101" s="38">
        <v>53.99879954</v>
      </c>
      <c r="G101" s="38">
        <v>63.527999459999997</v>
      </c>
      <c r="H101" s="38">
        <v>59.3986795</v>
      </c>
      <c r="I101" s="38">
        <v>69.880799409999995</v>
      </c>
      <c r="J101" s="38">
        <v>113.39747903999999</v>
      </c>
      <c r="K101" s="38">
        <v>133.40879887</v>
      </c>
      <c r="L101" s="35">
        <v>42972</v>
      </c>
    </row>
    <row r="102" spans="2:12" ht="12.75" customHeight="1" x14ac:dyDescent="0.25">
      <c r="B102" s="1">
        <v>2017</v>
      </c>
      <c r="C102" s="1" t="s">
        <v>18</v>
      </c>
      <c r="D102" s="35">
        <v>42850</v>
      </c>
      <c r="E102" s="26">
        <v>500</v>
      </c>
      <c r="F102" s="38">
        <v>53.871301000000003</v>
      </c>
      <c r="G102" s="38">
        <v>63.378001180000005</v>
      </c>
      <c r="H102" s="38">
        <v>59.258431110000004</v>
      </c>
      <c r="I102" s="38">
        <v>69.71580130000001</v>
      </c>
      <c r="J102" s="38">
        <v>113.12973211000001</v>
      </c>
      <c r="K102" s="38">
        <v>133.09380247999999</v>
      </c>
      <c r="L102" s="35">
        <v>42881</v>
      </c>
    </row>
    <row r="103" spans="2:12" s="6" customFormat="1" ht="12.75" customHeight="1" x14ac:dyDescent="0.3">
      <c r="B103" s="12">
        <v>2017</v>
      </c>
      <c r="C103" s="12" t="s">
        <v>14</v>
      </c>
      <c r="D103" s="18"/>
      <c r="E103" s="27">
        <v>6300</v>
      </c>
      <c r="F103" s="40">
        <v>729.13256210999998</v>
      </c>
      <c r="G103" s="39">
        <v>801.63253699000006</v>
      </c>
      <c r="H103" s="39">
        <v>802.04581832999997</v>
      </c>
      <c r="I103" s="39">
        <v>881.7957907</v>
      </c>
      <c r="J103" s="39">
        <v>1531.17838044</v>
      </c>
      <c r="K103" s="40">
        <v>1683.4283276900001</v>
      </c>
      <c r="L103" s="14"/>
    </row>
    <row r="104" spans="2:12" ht="12.75" customHeight="1" x14ac:dyDescent="0.25">
      <c r="E104" s="13"/>
      <c r="F104" s="13"/>
      <c r="G104" s="13"/>
      <c r="H104" s="13"/>
      <c r="I104" s="13"/>
      <c r="J104" s="13"/>
    </row>
    <row r="105" spans="2:12" ht="13" x14ac:dyDescent="0.25">
      <c r="B105" s="69" t="s">
        <v>8</v>
      </c>
      <c r="C105" s="72" t="s">
        <v>19</v>
      </c>
      <c r="D105" s="72" t="s">
        <v>5</v>
      </c>
      <c r="E105" s="72" t="s">
        <v>16</v>
      </c>
      <c r="F105" s="75" t="s">
        <v>15</v>
      </c>
      <c r="G105" s="75"/>
      <c r="H105" s="75"/>
      <c r="I105" s="75"/>
      <c r="J105" s="75"/>
      <c r="K105" s="75"/>
      <c r="L105" s="72" t="s">
        <v>6</v>
      </c>
    </row>
    <row r="106" spans="2:12" ht="13" x14ac:dyDescent="0.25">
      <c r="B106" s="70"/>
      <c r="C106" s="73"/>
      <c r="D106" s="73"/>
      <c r="E106" s="73"/>
      <c r="F106" s="75" t="s">
        <v>0</v>
      </c>
      <c r="G106" s="75"/>
      <c r="H106" s="75" t="s">
        <v>1</v>
      </c>
      <c r="I106" s="75"/>
      <c r="J106" s="75" t="s">
        <v>2</v>
      </c>
      <c r="K106" s="75"/>
      <c r="L106" s="73"/>
    </row>
    <row r="107" spans="2:12" ht="13" x14ac:dyDescent="0.25">
      <c r="B107" s="71"/>
      <c r="C107" s="74"/>
      <c r="D107" s="74"/>
      <c r="E107" s="74"/>
      <c r="F107" s="33" t="s">
        <v>25</v>
      </c>
      <c r="G107" s="33" t="s">
        <v>7</v>
      </c>
      <c r="H107" s="33" t="s">
        <v>25</v>
      </c>
      <c r="I107" s="33" t="s">
        <v>7</v>
      </c>
      <c r="J107" s="33" t="s">
        <v>25</v>
      </c>
      <c r="K107" s="33" t="s">
        <v>7</v>
      </c>
      <c r="L107" s="74"/>
    </row>
    <row r="108" spans="2:12" ht="12.75" customHeight="1" x14ac:dyDescent="0.25">
      <c r="B108" s="1">
        <v>2016</v>
      </c>
      <c r="C108" s="1" t="s">
        <v>18</v>
      </c>
      <c r="D108" s="35">
        <v>42733</v>
      </c>
      <c r="E108" s="26">
        <v>3350</v>
      </c>
      <c r="F108" s="38">
        <v>361.35130366999999</v>
      </c>
      <c r="G108" s="38">
        <v>425.11918078999997</v>
      </c>
      <c r="H108" s="38">
        <v>397.48643403</v>
      </c>
      <c r="I108" s="38">
        <v>467.63109886000001</v>
      </c>
      <c r="J108" s="38">
        <v>758.83773770999994</v>
      </c>
      <c r="K108" s="38">
        <v>892.75027964999992</v>
      </c>
      <c r="L108" s="35">
        <v>42789</v>
      </c>
    </row>
    <row r="109" spans="2:12" ht="12.75" customHeight="1" x14ac:dyDescent="0.25">
      <c r="B109" s="1">
        <v>2016</v>
      </c>
      <c r="C109" s="1" t="s">
        <v>10</v>
      </c>
      <c r="D109" s="35">
        <v>42733</v>
      </c>
      <c r="E109" s="26">
        <v>1400</v>
      </c>
      <c r="F109" s="38">
        <v>177.66174720000001</v>
      </c>
      <c r="G109" s="38">
        <v>177.66174720000001</v>
      </c>
      <c r="H109" s="38">
        <v>195.42792191999999</v>
      </c>
      <c r="I109" s="38">
        <v>195.42792191999999</v>
      </c>
      <c r="J109" s="38">
        <v>373.08966912</v>
      </c>
      <c r="K109" s="38">
        <v>373.08966912</v>
      </c>
      <c r="L109" s="35">
        <v>42789</v>
      </c>
    </row>
    <row r="110" spans="2:12" ht="12.75" customHeight="1" x14ac:dyDescent="0.25">
      <c r="B110" s="1">
        <v>2016</v>
      </c>
      <c r="C110" s="1" t="s">
        <v>18</v>
      </c>
      <c r="D110" s="35">
        <v>42550</v>
      </c>
      <c r="E110" s="26">
        <v>500</v>
      </c>
      <c r="F110" s="38">
        <v>53.914639360000002</v>
      </c>
      <c r="G110" s="38">
        <v>63.428987480000004</v>
      </c>
      <c r="H110" s="38">
        <v>59.306103300000004</v>
      </c>
      <c r="I110" s="38">
        <v>69.771886229999993</v>
      </c>
      <c r="J110" s="38">
        <v>113.22074264999999</v>
      </c>
      <c r="K110" s="38">
        <v>133.20087371</v>
      </c>
      <c r="L110" s="35">
        <v>42608</v>
      </c>
    </row>
    <row r="111" spans="2:12" s="6" customFormat="1" ht="12.75" customHeight="1" x14ac:dyDescent="0.3">
      <c r="B111" s="12">
        <v>2016</v>
      </c>
      <c r="C111" s="12" t="s">
        <v>14</v>
      </c>
      <c r="D111" s="18"/>
      <c r="E111" s="27">
        <v>5250</v>
      </c>
      <c r="F111" s="40">
        <v>592.92769023000005</v>
      </c>
      <c r="G111" s="39">
        <v>666.20991546999994</v>
      </c>
      <c r="H111" s="39">
        <v>652.22045924999998</v>
      </c>
      <c r="I111" s="39">
        <v>732.83090701000003</v>
      </c>
      <c r="J111" s="39">
        <v>1245.14814948</v>
      </c>
      <c r="K111" s="40">
        <v>1399.0408224799999</v>
      </c>
      <c r="L111" s="14"/>
    </row>
    <row r="112" spans="2:12" ht="12.75" customHeight="1" x14ac:dyDescent="0.25">
      <c r="E112" s="13"/>
      <c r="F112" s="13"/>
      <c r="G112" s="13"/>
      <c r="H112" s="13"/>
      <c r="I112" s="13"/>
      <c r="J112" s="13"/>
    </row>
    <row r="113" spans="2:12" ht="13" x14ac:dyDescent="0.25">
      <c r="B113" s="69" t="s">
        <v>8</v>
      </c>
      <c r="C113" s="72" t="s">
        <v>19</v>
      </c>
      <c r="D113" s="72" t="s">
        <v>5</v>
      </c>
      <c r="E113" s="72" t="s">
        <v>16</v>
      </c>
      <c r="F113" s="75" t="s">
        <v>15</v>
      </c>
      <c r="G113" s="75"/>
      <c r="H113" s="75"/>
      <c r="I113" s="75"/>
      <c r="J113" s="75"/>
      <c r="K113" s="75"/>
      <c r="L113" s="72" t="s">
        <v>6</v>
      </c>
    </row>
    <row r="114" spans="2:12" ht="13" x14ac:dyDescent="0.25">
      <c r="B114" s="70"/>
      <c r="C114" s="73"/>
      <c r="D114" s="73"/>
      <c r="E114" s="73"/>
      <c r="F114" s="75" t="s">
        <v>0</v>
      </c>
      <c r="G114" s="75"/>
      <c r="H114" s="75" t="s">
        <v>1</v>
      </c>
      <c r="I114" s="75"/>
      <c r="J114" s="75" t="s">
        <v>2</v>
      </c>
      <c r="K114" s="75"/>
      <c r="L114" s="73"/>
    </row>
    <row r="115" spans="2:12" ht="13" x14ac:dyDescent="0.25">
      <c r="B115" s="71"/>
      <c r="C115" s="74"/>
      <c r="D115" s="74"/>
      <c r="E115" s="74"/>
      <c r="F115" s="33" t="s">
        <v>25</v>
      </c>
      <c r="G115" s="33" t="s">
        <v>7</v>
      </c>
      <c r="H115" s="33" t="s">
        <v>25</v>
      </c>
      <c r="I115" s="33" t="s">
        <v>7</v>
      </c>
      <c r="J115" s="33" t="s">
        <v>25</v>
      </c>
      <c r="K115" s="33" t="s">
        <v>7</v>
      </c>
      <c r="L115" s="74"/>
    </row>
    <row r="116" spans="2:12" x14ac:dyDescent="0.25">
      <c r="B116" s="1">
        <v>2015</v>
      </c>
      <c r="C116" s="1" t="s">
        <v>18</v>
      </c>
      <c r="D116" s="10">
        <v>42368</v>
      </c>
      <c r="E116" s="41">
        <v>1400</v>
      </c>
      <c r="F116" s="24">
        <v>150.78873249999998</v>
      </c>
      <c r="G116" s="24">
        <v>177.4</v>
      </c>
      <c r="H116" s="24">
        <v>165.86760575</v>
      </c>
      <c r="I116" s="24">
        <v>195.14</v>
      </c>
      <c r="J116" s="24">
        <v>316.65633824999998</v>
      </c>
      <c r="K116" s="24">
        <v>372.54</v>
      </c>
      <c r="L116" s="22">
        <v>42425</v>
      </c>
    </row>
    <row r="117" spans="2:12" x14ac:dyDescent="0.25">
      <c r="B117" s="1">
        <v>2015</v>
      </c>
      <c r="C117" s="1" t="s">
        <v>10</v>
      </c>
      <c r="D117" s="22">
        <v>42368</v>
      </c>
      <c r="E117" s="42">
        <v>1600</v>
      </c>
      <c r="F117" s="32">
        <v>202.74</v>
      </c>
      <c r="G117" s="32">
        <v>202.74</v>
      </c>
      <c r="H117" s="32">
        <v>223.02</v>
      </c>
      <c r="I117" s="32">
        <v>223.02</v>
      </c>
      <c r="J117" s="32">
        <v>425.76</v>
      </c>
      <c r="K117" s="32">
        <v>425.76</v>
      </c>
      <c r="L117" s="22">
        <v>42425</v>
      </c>
    </row>
    <row r="118" spans="2:12" x14ac:dyDescent="0.25">
      <c r="B118" s="1">
        <v>2015</v>
      </c>
      <c r="C118" s="1" t="s">
        <v>10</v>
      </c>
      <c r="D118" s="10">
        <v>42256</v>
      </c>
      <c r="E118" s="41">
        <v>3050</v>
      </c>
      <c r="F118" s="24">
        <v>385.81156569109999</v>
      </c>
      <c r="G118" s="24">
        <v>385.81156569109999</v>
      </c>
      <c r="H118" s="24">
        <v>424.39</v>
      </c>
      <c r="I118" s="24">
        <v>424.39</v>
      </c>
      <c r="J118" s="24">
        <v>810.2</v>
      </c>
      <c r="K118" s="24">
        <v>810.2</v>
      </c>
      <c r="L118" s="22">
        <v>42282</v>
      </c>
    </row>
    <row r="119" spans="2:12" x14ac:dyDescent="0.25">
      <c r="B119" s="1">
        <v>2015</v>
      </c>
      <c r="C119" s="1" t="s">
        <v>10</v>
      </c>
      <c r="D119" s="10">
        <v>42090</v>
      </c>
      <c r="E119" s="41">
        <v>150</v>
      </c>
      <c r="F119" s="24">
        <v>18.95</v>
      </c>
      <c r="G119" s="24">
        <v>18.95</v>
      </c>
      <c r="H119" s="24">
        <v>20.84</v>
      </c>
      <c r="I119" s="24">
        <v>20.84</v>
      </c>
      <c r="J119" s="24">
        <v>39.79</v>
      </c>
      <c r="K119" s="24">
        <v>39.79</v>
      </c>
      <c r="L119" s="22">
        <v>42244</v>
      </c>
    </row>
    <row r="120" spans="2:12" ht="13" x14ac:dyDescent="0.3">
      <c r="B120" s="12">
        <v>2015</v>
      </c>
      <c r="C120" s="12" t="s">
        <v>14</v>
      </c>
      <c r="D120" s="18" t="s">
        <v>3</v>
      </c>
      <c r="E120" s="43">
        <v>6200</v>
      </c>
      <c r="F120" s="25">
        <v>758.29029819109996</v>
      </c>
      <c r="G120" s="25">
        <v>784.90156569110002</v>
      </c>
      <c r="H120" s="25">
        <v>834.11760575000005</v>
      </c>
      <c r="I120" s="25">
        <v>863.39</v>
      </c>
      <c r="J120" s="25">
        <v>1592.4063382499999</v>
      </c>
      <c r="K120" s="25">
        <v>1648.29</v>
      </c>
      <c r="L120" s="18"/>
    </row>
    <row r="121" spans="2:12" ht="15.5" x14ac:dyDescent="0.25">
      <c r="E121" s="13"/>
      <c r="F121" s="13"/>
      <c r="G121" s="13"/>
      <c r="H121" s="13"/>
      <c r="I121" s="13"/>
      <c r="J121" s="13"/>
    </row>
    <row r="122" spans="2:12" ht="12.75" customHeight="1" x14ac:dyDescent="0.25">
      <c r="B122" s="69" t="s">
        <v>8</v>
      </c>
      <c r="C122" s="72" t="s">
        <v>19</v>
      </c>
      <c r="D122" s="72" t="s">
        <v>5</v>
      </c>
      <c r="E122" s="72" t="s">
        <v>23</v>
      </c>
      <c r="F122" s="75" t="s">
        <v>15</v>
      </c>
      <c r="G122" s="75"/>
      <c r="H122" s="75"/>
      <c r="I122" s="75"/>
      <c r="J122" s="75"/>
      <c r="K122" s="75"/>
      <c r="L122" s="72" t="s">
        <v>6</v>
      </c>
    </row>
    <row r="123" spans="2:12" ht="13" x14ac:dyDescent="0.25">
      <c r="B123" s="70"/>
      <c r="C123" s="73"/>
      <c r="D123" s="73"/>
      <c r="E123" s="73"/>
      <c r="F123" s="75" t="s">
        <v>0</v>
      </c>
      <c r="G123" s="75"/>
      <c r="H123" s="75" t="s">
        <v>1</v>
      </c>
      <c r="I123" s="75"/>
      <c r="J123" s="75" t="s">
        <v>2</v>
      </c>
      <c r="K123" s="75"/>
      <c r="L123" s="73"/>
    </row>
    <row r="124" spans="2:12" ht="13" x14ac:dyDescent="0.25">
      <c r="B124" s="71"/>
      <c r="C124" s="74"/>
      <c r="D124" s="74"/>
      <c r="E124" s="74"/>
      <c r="F124" s="33" t="s">
        <v>25</v>
      </c>
      <c r="G124" s="33" t="s">
        <v>7</v>
      </c>
      <c r="H124" s="33" t="s">
        <v>25</v>
      </c>
      <c r="I124" s="33" t="s">
        <v>7</v>
      </c>
      <c r="J124" s="33" t="s">
        <v>25</v>
      </c>
      <c r="K124" s="33" t="s">
        <v>7</v>
      </c>
      <c r="L124" s="74"/>
    </row>
    <row r="125" spans="2:12" x14ac:dyDescent="0.25">
      <c r="B125" s="1">
        <v>2014</v>
      </c>
      <c r="C125" s="1" t="s">
        <v>18</v>
      </c>
      <c r="D125" s="10">
        <v>41638</v>
      </c>
      <c r="E125" s="36">
        <v>690</v>
      </c>
      <c r="F125" s="44">
        <v>74.130204970000008</v>
      </c>
      <c r="G125" s="44">
        <v>87.212005849999997</v>
      </c>
      <c r="H125" s="44">
        <v>81.543225469999996</v>
      </c>
      <c r="I125" s="44">
        <v>95.933206429999998</v>
      </c>
      <c r="J125" s="44">
        <v>155.67343044</v>
      </c>
      <c r="K125" s="44">
        <v>183.14521228000001</v>
      </c>
      <c r="L125" s="22">
        <v>42061</v>
      </c>
    </row>
    <row r="126" spans="2:12" x14ac:dyDescent="0.25">
      <c r="B126" s="1">
        <v>2014</v>
      </c>
      <c r="C126" s="1" t="s">
        <v>10</v>
      </c>
      <c r="D126" s="10">
        <v>41542</v>
      </c>
      <c r="E126" s="36">
        <v>220</v>
      </c>
      <c r="F126" s="44">
        <v>27.77</v>
      </c>
      <c r="G126" s="44">
        <v>27.77</v>
      </c>
      <c r="H126" s="44">
        <v>58.32</v>
      </c>
      <c r="I126" s="44">
        <v>58.32</v>
      </c>
      <c r="J126" s="44">
        <v>116.64</v>
      </c>
      <c r="K126" s="44">
        <v>116.64</v>
      </c>
      <c r="L126" s="22">
        <v>42061</v>
      </c>
    </row>
    <row r="127" spans="2:12" x14ac:dyDescent="0.25">
      <c r="B127" s="1">
        <v>2014</v>
      </c>
      <c r="C127" s="1" t="s">
        <v>10</v>
      </c>
      <c r="D127" s="10">
        <v>41450</v>
      </c>
      <c r="E127" s="36">
        <v>400</v>
      </c>
      <c r="F127" s="44">
        <v>50.5</v>
      </c>
      <c r="G127" s="44">
        <v>50.5</v>
      </c>
      <c r="H127" s="44">
        <v>55.55</v>
      </c>
      <c r="I127" s="44">
        <v>55.55</v>
      </c>
      <c r="J127" s="44">
        <v>106.05</v>
      </c>
      <c r="K127" s="44">
        <v>106.05</v>
      </c>
      <c r="L127" s="22">
        <v>41879</v>
      </c>
    </row>
    <row r="128" spans="2:12" ht="13" x14ac:dyDescent="0.3">
      <c r="B128" s="76" t="s">
        <v>21</v>
      </c>
      <c r="C128" s="77"/>
      <c r="D128" s="77"/>
      <c r="E128" s="77"/>
      <c r="F128" s="77"/>
      <c r="G128" s="77"/>
      <c r="H128" s="77"/>
      <c r="I128" s="77"/>
      <c r="J128" s="77"/>
      <c r="K128" s="77"/>
      <c r="L128" s="78"/>
    </row>
    <row r="129" spans="2:24" x14ac:dyDescent="0.25">
      <c r="B129" s="1">
        <v>2014</v>
      </c>
      <c r="C129" s="1" t="s">
        <v>10</v>
      </c>
      <c r="D129" s="10">
        <v>41358</v>
      </c>
      <c r="E129" s="26">
        <v>220</v>
      </c>
      <c r="F129" s="44">
        <v>0.53027873199999997</v>
      </c>
      <c r="G129" s="44">
        <v>0.53027873199999997</v>
      </c>
      <c r="H129" s="44">
        <v>0.58330660600000006</v>
      </c>
      <c r="I129" s="44">
        <v>0.58330660600000006</v>
      </c>
      <c r="J129" s="44">
        <v>58.330660604000002</v>
      </c>
      <c r="K129" s="44">
        <v>58.330660604000002</v>
      </c>
      <c r="L129" s="22">
        <v>41879</v>
      </c>
    </row>
    <row r="130" spans="2:24" ht="13" x14ac:dyDescent="0.3">
      <c r="B130" s="1">
        <v>2014</v>
      </c>
      <c r="C130" s="12" t="s">
        <v>14</v>
      </c>
      <c r="D130" s="10" t="s">
        <v>3</v>
      </c>
      <c r="E130" s="46">
        <v>1530</v>
      </c>
      <c r="F130" s="45">
        <v>152.930483702</v>
      </c>
      <c r="G130" s="45">
        <v>166.01228458200001</v>
      </c>
      <c r="H130" s="45">
        <v>195.99653207599999</v>
      </c>
      <c r="I130" s="45">
        <v>210.386513036</v>
      </c>
      <c r="J130" s="45">
        <v>436.694091044</v>
      </c>
      <c r="K130" s="45">
        <v>464.16587288400001</v>
      </c>
      <c r="L130" s="47"/>
    </row>
    <row r="131" spans="2:24" ht="15.5" x14ac:dyDescent="0.25">
      <c r="B131" s="23" t="s">
        <v>22</v>
      </c>
      <c r="E131" s="13"/>
      <c r="F131" s="13"/>
      <c r="G131" s="13"/>
      <c r="H131" s="13"/>
      <c r="I131" s="13"/>
      <c r="J131" s="13"/>
    </row>
    <row r="132" spans="2:24" ht="15.75" customHeight="1" x14ac:dyDescent="0.25">
      <c r="B132" s="69" t="s">
        <v>8</v>
      </c>
      <c r="C132" s="72" t="s">
        <v>19</v>
      </c>
      <c r="D132" s="72" t="s">
        <v>5</v>
      </c>
      <c r="E132" s="72" t="s">
        <v>16</v>
      </c>
      <c r="F132" s="75" t="s">
        <v>15</v>
      </c>
      <c r="G132" s="75"/>
      <c r="H132" s="75"/>
      <c r="I132" s="75"/>
      <c r="J132" s="75"/>
      <c r="K132" s="75"/>
      <c r="L132" s="72" t="s">
        <v>6</v>
      </c>
    </row>
    <row r="133" spans="2:24" ht="15.75" customHeight="1" x14ac:dyDescent="0.25">
      <c r="B133" s="70"/>
      <c r="C133" s="73"/>
      <c r="D133" s="73"/>
      <c r="E133" s="73"/>
      <c r="F133" s="75" t="s">
        <v>0</v>
      </c>
      <c r="G133" s="75"/>
      <c r="H133" s="75" t="s">
        <v>1</v>
      </c>
      <c r="I133" s="75"/>
      <c r="J133" s="75" t="s">
        <v>2</v>
      </c>
      <c r="K133" s="75"/>
      <c r="L133" s="73"/>
    </row>
    <row r="134" spans="2:24" ht="15.75" customHeight="1" x14ac:dyDescent="0.25">
      <c r="B134" s="71"/>
      <c r="C134" s="74"/>
      <c r="D134" s="74"/>
      <c r="E134" s="74"/>
      <c r="F134" s="33" t="s">
        <v>25</v>
      </c>
      <c r="G134" s="33" t="s">
        <v>7</v>
      </c>
      <c r="H134" s="33" t="s">
        <v>25</v>
      </c>
      <c r="I134" s="33" t="s">
        <v>7</v>
      </c>
      <c r="J134" s="33" t="s">
        <v>25</v>
      </c>
      <c r="K134" s="33" t="s">
        <v>7</v>
      </c>
      <c r="L134" s="74"/>
    </row>
    <row r="135" spans="2:24" ht="15.75" customHeight="1" x14ac:dyDescent="0.25">
      <c r="B135" s="1">
        <v>2013</v>
      </c>
      <c r="C135" s="1" t="s">
        <v>10</v>
      </c>
      <c r="D135" s="10">
        <v>41635</v>
      </c>
      <c r="E135" s="48">
        <v>1000</v>
      </c>
      <c r="F135" s="49">
        <v>2.4060590720000001</v>
      </c>
      <c r="G135" s="49">
        <v>2.4060590720000001</v>
      </c>
      <c r="H135" s="49">
        <v>2.6466649799999997</v>
      </c>
      <c r="I135" s="49">
        <v>2.6466649799999997</v>
      </c>
      <c r="J135" s="49">
        <v>264.666497978</v>
      </c>
      <c r="K135" s="49">
        <v>264.666497978</v>
      </c>
      <c r="L135" s="22">
        <v>41696</v>
      </c>
    </row>
    <row r="136" spans="2:24" ht="15.75" customHeight="1" x14ac:dyDescent="0.3">
      <c r="B136" s="28">
        <v>2013</v>
      </c>
      <c r="C136" s="30" t="s">
        <v>24</v>
      </c>
      <c r="D136" s="29">
        <v>41579</v>
      </c>
      <c r="E136" s="50">
        <v>6000</v>
      </c>
      <c r="F136" s="51"/>
      <c r="G136" s="51">
        <v>15.1098</v>
      </c>
      <c r="H136" s="51"/>
      <c r="I136" s="51">
        <v>15.1098</v>
      </c>
      <c r="J136" s="51"/>
      <c r="K136" s="51">
        <v>1586.5260000000001</v>
      </c>
      <c r="L136" s="29">
        <v>41668</v>
      </c>
    </row>
    <row r="137" spans="2:24" ht="15.75" customHeight="1" x14ac:dyDescent="0.25">
      <c r="B137" s="1">
        <v>2013</v>
      </c>
      <c r="C137" s="1" t="s">
        <v>10</v>
      </c>
      <c r="D137" s="10">
        <v>41543</v>
      </c>
      <c r="E137" s="48">
        <v>450</v>
      </c>
      <c r="F137" s="49">
        <v>1.0821496719999999</v>
      </c>
      <c r="G137" s="49">
        <v>1.0821496719999999</v>
      </c>
      <c r="H137" s="49">
        <v>1.190364639</v>
      </c>
      <c r="I137" s="49">
        <v>1.190364639</v>
      </c>
      <c r="J137" s="49">
        <v>119.03646389399999</v>
      </c>
      <c r="K137" s="49">
        <v>119.03646389399999</v>
      </c>
      <c r="L137" s="22">
        <v>41696</v>
      </c>
    </row>
    <row r="138" spans="2:24" ht="15.75" customHeight="1" x14ac:dyDescent="0.25">
      <c r="B138" s="1">
        <v>2013</v>
      </c>
      <c r="C138" s="1" t="s">
        <v>10</v>
      </c>
      <c r="D138" s="10">
        <v>41450</v>
      </c>
      <c r="E138" s="48">
        <v>650</v>
      </c>
      <c r="F138" s="49">
        <v>1.560306559</v>
      </c>
      <c r="G138" s="49">
        <v>1.560306559</v>
      </c>
      <c r="H138" s="49">
        <v>1.716337215</v>
      </c>
      <c r="I138" s="49">
        <v>1.716337215</v>
      </c>
      <c r="J138" s="49">
        <v>171.633721501</v>
      </c>
      <c r="K138" s="49">
        <v>171.633721501</v>
      </c>
      <c r="L138" s="22">
        <v>41515</v>
      </c>
    </row>
    <row r="139" spans="2:24" x14ac:dyDescent="0.25">
      <c r="B139" s="1">
        <v>2013</v>
      </c>
      <c r="C139" s="1" t="s">
        <v>18</v>
      </c>
      <c r="D139" s="10">
        <v>41355</v>
      </c>
      <c r="E139" s="48">
        <v>300</v>
      </c>
      <c r="F139" s="49">
        <v>0.612042482</v>
      </c>
      <c r="G139" s="49">
        <v>0.72004997900000001</v>
      </c>
      <c r="H139" s="49">
        <v>0.67324673000000002</v>
      </c>
      <c r="I139" s="49">
        <v>0.79205497700000005</v>
      </c>
      <c r="J139" s="49">
        <v>67.324673032000007</v>
      </c>
      <c r="K139" s="49">
        <v>79.205497684999997</v>
      </c>
      <c r="L139" s="22">
        <v>41515</v>
      </c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</row>
    <row r="140" spans="2:24" ht="13" x14ac:dyDescent="0.3">
      <c r="B140" s="12"/>
      <c r="C140" s="12" t="s">
        <v>14</v>
      </c>
      <c r="D140" s="10"/>
      <c r="E140" s="52">
        <v>8400</v>
      </c>
      <c r="F140" s="53">
        <v>5.660557785</v>
      </c>
      <c r="G140" s="53">
        <v>20.878365282000001</v>
      </c>
      <c r="H140" s="53">
        <v>6.226613564</v>
      </c>
      <c r="I140" s="53">
        <v>21.455221810999998</v>
      </c>
      <c r="J140" s="53">
        <v>622.66135640499999</v>
      </c>
      <c r="K140" s="53">
        <v>2221.0681810579999</v>
      </c>
      <c r="L140" s="14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</row>
    <row r="141" spans="2:24" ht="15.75" customHeight="1" x14ac:dyDescent="0.25">
      <c r="E141" s="13"/>
      <c r="F141" s="13"/>
      <c r="G141" s="13"/>
      <c r="H141" s="13"/>
      <c r="I141" s="13"/>
      <c r="J141" s="13"/>
    </row>
    <row r="142" spans="2:24" ht="15.75" customHeight="1" x14ac:dyDescent="0.25">
      <c r="B142" s="69" t="s">
        <v>8</v>
      </c>
      <c r="C142" s="72" t="s">
        <v>19</v>
      </c>
      <c r="D142" s="72" t="s">
        <v>5</v>
      </c>
      <c r="E142" s="72" t="s">
        <v>16</v>
      </c>
      <c r="F142" s="75" t="s">
        <v>15</v>
      </c>
      <c r="G142" s="75"/>
      <c r="H142" s="75"/>
      <c r="I142" s="75"/>
      <c r="J142" s="75"/>
      <c r="K142" s="75"/>
      <c r="L142" s="72" t="s">
        <v>6</v>
      </c>
    </row>
    <row r="143" spans="2:24" ht="15.75" customHeight="1" x14ac:dyDescent="0.25">
      <c r="B143" s="70"/>
      <c r="C143" s="73"/>
      <c r="D143" s="73"/>
      <c r="E143" s="73"/>
      <c r="F143" s="75" t="s">
        <v>0</v>
      </c>
      <c r="G143" s="75"/>
      <c r="H143" s="75" t="s">
        <v>1</v>
      </c>
      <c r="I143" s="75"/>
      <c r="J143" s="75" t="s">
        <v>2</v>
      </c>
      <c r="K143" s="75"/>
      <c r="L143" s="73"/>
    </row>
    <row r="144" spans="2:24" ht="15.75" customHeight="1" x14ac:dyDescent="0.25">
      <c r="B144" s="71"/>
      <c r="C144" s="74"/>
      <c r="D144" s="74"/>
      <c r="E144" s="74"/>
      <c r="F144" s="33" t="s">
        <v>25</v>
      </c>
      <c r="G144" s="33" t="s">
        <v>7</v>
      </c>
      <c r="H144" s="33" t="s">
        <v>25</v>
      </c>
      <c r="I144" s="33" t="s">
        <v>7</v>
      </c>
      <c r="J144" s="33" t="s">
        <v>25</v>
      </c>
      <c r="K144" s="33" t="s">
        <v>7</v>
      </c>
      <c r="L144" s="74"/>
    </row>
    <row r="145" spans="2:21" ht="12.75" customHeight="1" x14ac:dyDescent="0.25">
      <c r="B145" s="1">
        <v>2012</v>
      </c>
      <c r="C145" s="55" t="s">
        <v>18</v>
      </c>
      <c r="D145" s="10">
        <v>41262</v>
      </c>
      <c r="E145" s="36">
        <v>450</v>
      </c>
      <c r="F145" s="49">
        <v>0.91830871999999997</v>
      </c>
      <c r="G145" s="49">
        <v>1.0803632000000001</v>
      </c>
      <c r="H145" s="54">
        <v>1.010139592</v>
      </c>
      <c r="I145" s="54">
        <v>1.1883995199999999</v>
      </c>
      <c r="J145" s="54">
        <v>101.013959169</v>
      </c>
      <c r="K145" s="54">
        <v>118.83995196399999</v>
      </c>
      <c r="L145" s="22">
        <v>41331</v>
      </c>
    </row>
    <row r="146" spans="2:21" ht="12.75" customHeight="1" x14ac:dyDescent="0.25">
      <c r="B146" s="1">
        <v>2012</v>
      </c>
      <c r="C146" s="19" t="s">
        <v>10</v>
      </c>
      <c r="D146" s="10">
        <v>41262</v>
      </c>
      <c r="E146" s="36">
        <v>250</v>
      </c>
      <c r="F146" s="49">
        <v>0.60020177760000004</v>
      </c>
      <c r="G146" s="49">
        <v>0.60020177760000004</v>
      </c>
      <c r="H146" s="54">
        <v>0.66022195539999995</v>
      </c>
      <c r="I146" s="54">
        <v>0.66022195539999995</v>
      </c>
      <c r="J146" s="54">
        <v>66.022195538000005</v>
      </c>
      <c r="K146" s="54">
        <v>66.022195538000005</v>
      </c>
      <c r="L146" s="22">
        <v>41331</v>
      </c>
    </row>
    <row r="147" spans="2:21" x14ac:dyDescent="0.25">
      <c r="B147" s="1">
        <v>2012</v>
      </c>
      <c r="C147" s="1" t="s">
        <v>10</v>
      </c>
      <c r="D147" s="10">
        <v>41178</v>
      </c>
      <c r="E147" s="36">
        <v>500</v>
      </c>
      <c r="F147" s="54">
        <v>1.2003540399999999</v>
      </c>
      <c r="G147" s="54">
        <v>1.2003540399999999</v>
      </c>
      <c r="H147" s="54">
        <v>1.3203894439999999</v>
      </c>
      <c r="I147" s="54">
        <v>1.3203894439999999</v>
      </c>
      <c r="J147" s="54">
        <v>132.03894439999999</v>
      </c>
      <c r="K147" s="54">
        <v>132.03894439999999</v>
      </c>
      <c r="L147" s="22">
        <v>41331</v>
      </c>
      <c r="N147" s="21"/>
      <c r="O147" s="21"/>
      <c r="P147" s="21"/>
      <c r="Q147" s="21"/>
      <c r="R147" s="21"/>
      <c r="S147" s="21"/>
      <c r="T147" s="21"/>
      <c r="U147" s="21"/>
    </row>
    <row r="148" spans="2:21" x14ac:dyDescent="0.25">
      <c r="B148" s="1">
        <v>2012</v>
      </c>
      <c r="C148" s="19" t="s">
        <v>20</v>
      </c>
      <c r="D148" s="10">
        <v>41087</v>
      </c>
      <c r="E148" s="36">
        <v>1070</v>
      </c>
      <c r="F148" s="54">
        <v>2.5075149459999997</v>
      </c>
      <c r="G148" s="54">
        <v>2.5687324</v>
      </c>
      <c r="H148" s="54">
        <v>2.7582664399999999</v>
      </c>
      <c r="I148" s="54">
        <v>2.82560564</v>
      </c>
      <c r="J148" s="54">
        <v>275.82664403000001</v>
      </c>
      <c r="K148" s="54">
        <v>282.560564</v>
      </c>
      <c r="L148" s="22">
        <v>41150</v>
      </c>
      <c r="N148" s="21"/>
      <c r="O148" s="21"/>
      <c r="P148" s="21"/>
      <c r="Q148" s="21"/>
      <c r="R148" s="21"/>
      <c r="S148" s="21"/>
      <c r="T148" s="21"/>
      <c r="U148" s="21"/>
    </row>
    <row r="149" spans="2:21" x14ac:dyDescent="0.25">
      <c r="B149" s="1">
        <v>2012</v>
      </c>
      <c r="C149" s="1" t="s">
        <v>18</v>
      </c>
      <c r="D149" s="10">
        <v>40996</v>
      </c>
      <c r="E149" s="36">
        <v>400</v>
      </c>
      <c r="F149" s="54">
        <v>0.81600081599999996</v>
      </c>
      <c r="G149" s="54">
        <v>0.96000096000000001</v>
      </c>
      <c r="H149" s="54">
        <v>0.89760090100000001</v>
      </c>
      <c r="I149" s="54">
        <v>1.05600106</v>
      </c>
      <c r="J149" s="54">
        <v>89.760089930000007</v>
      </c>
      <c r="K149" s="54">
        <v>105.60010579999999</v>
      </c>
      <c r="L149" s="22">
        <v>41150</v>
      </c>
      <c r="N149" s="21"/>
      <c r="O149" s="21"/>
      <c r="P149" s="21"/>
      <c r="Q149" s="21"/>
      <c r="R149" s="21"/>
      <c r="S149" s="21"/>
      <c r="T149" s="21"/>
      <c r="U149" s="21"/>
    </row>
    <row r="150" spans="2:21" ht="13" x14ac:dyDescent="0.3">
      <c r="B150" s="12"/>
      <c r="C150" s="12" t="s">
        <v>14</v>
      </c>
      <c r="D150" s="10"/>
      <c r="E150" s="37">
        <v>2670</v>
      </c>
      <c r="F150" s="45">
        <v>6.0423802995999996</v>
      </c>
      <c r="G150" s="45">
        <v>6.4096523776000005</v>
      </c>
      <c r="H150" s="45">
        <v>6.6466183323999992</v>
      </c>
      <c r="I150" s="45">
        <v>7.0506176193999996</v>
      </c>
      <c r="J150" s="45">
        <v>664.66183306700009</v>
      </c>
      <c r="K150" s="45">
        <v>705.06176170200001</v>
      </c>
      <c r="L150" s="22"/>
      <c r="N150" s="21"/>
      <c r="O150" s="21"/>
      <c r="P150" s="21"/>
      <c r="Q150" s="21"/>
      <c r="R150" s="21"/>
      <c r="S150" s="21"/>
      <c r="T150" s="21"/>
      <c r="U150" s="21"/>
    </row>
    <row r="151" spans="2:21" ht="15.5" x14ac:dyDescent="0.25">
      <c r="D151" s="20"/>
      <c r="E151" s="13"/>
      <c r="F151" s="13"/>
      <c r="G151" s="13"/>
      <c r="H151" s="13"/>
      <c r="I151" s="13"/>
      <c r="J151" s="13"/>
    </row>
    <row r="152" spans="2:21" ht="13" x14ac:dyDescent="0.25">
      <c r="B152" s="69" t="s">
        <v>8</v>
      </c>
      <c r="C152" s="72" t="s">
        <v>19</v>
      </c>
      <c r="D152" s="72" t="s">
        <v>5</v>
      </c>
      <c r="E152" s="72" t="s">
        <v>16</v>
      </c>
      <c r="F152" s="75" t="s">
        <v>15</v>
      </c>
      <c r="G152" s="75"/>
      <c r="H152" s="75"/>
      <c r="I152" s="75"/>
      <c r="J152" s="75"/>
      <c r="K152" s="75"/>
      <c r="L152" s="72" t="s">
        <v>6</v>
      </c>
    </row>
    <row r="153" spans="2:21" ht="13" x14ac:dyDescent="0.25">
      <c r="B153" s="70"/>
      <c r="C153" s="73"/>
      <c r="D153" s="73"/>
      <c r="E153" s="73"/>
      <c r="F153" s="75" t="s">
        <v>0</v>
      </c>
      <c r="G153" s="75"/>
      <c r="H153" s="75" t="s">
        <v>1</v>
      </c>
      <c r="I153" s="75"/>
      <c r="J153" s="75" t="s">
        <v>2</v>
      </c>
      <c r="K153" s="75"/>
      <c r="L153" s="73"/>
    </row>
    <row r="154" spans="2:21" ht="13" x14ac:dyDescent="0.25">
      <c r="B154" s="71"/>
      <c r="C154" s="74"/>
      <c r="D154" s="74"/>
      <c r="E154" s="74"/>
      <c r="F154" s="33" t="s">
        <v>25</v>
      </c>
      <c r="G154" s="33" t="s">
        <v>7</v>
      </c>
      <c r="H154" s="33" t="s">
        <v>25</v>
      </c>
      <c r="I154" s="33" t="s">
        <v>7</v>
      </c>
      <c r="J154" s="33" t="s">
        <v>25</v>
      </c>
      <c r="K154" s="33" t="s">
        <v>7</v>
      </c>
      <c r="L154" s="74"/>
    </row>
    <row r="155" spans="2:21" x14ac:dyDescent="0.25">
      <c r="B155" s="1">
        <v>2011</v>
      </c>
      <c r="C155" s="1" t="s">
        <v>10</v>
      </c>
      <c r="D155" s="10">
        <v>40898</v>
      </c>
      <c r="E155" s="36">
        <v>775</v>
      </c>
      <c r="F155" s="54">
        <v>1.8590399</v>
      </c>
      <c r="G155" s="54">
        <v>1.8590399</v>
      </c>
      <c r="H155" s="54">
        <v>2.0449438999999998</v>
      </c>
      <c r="I155" s="54">
        <v>2.0449438999999998</v>
      </c>
      <c r="J155" s="54">
        <v>204.49439100000001</v>
      </c>
      <c r="K155" s="54">
        <v>204.49439100000001</v>
      </c>
      <c r="L155" s="22">
        <v>40967</v>
      </c>
    </row>
    <row r="156" spans="2:21" x14ac:dyDescent="0.25">
      <c r="B156" s="1">
        <v>2011</v>
      </c>
      <c r="C156" s="1" t="s">
        <v>18</v>
      </c>
      <c r="D156" s="10">
        <v>40808</v>
      </c>
      <c r="E156" s="36">
        <v>400</v>
      </c>
      <c r="F156" s="54">
        <v>0.81405079700000005</v>
      </c>
      <c r="G156" s="54">
        <v>0.95770681999999996</v>
      </c>
      <c r="H156" s="54">
        <v>0.89545587500000001</v>
      </c>
      <c r="I156" s="54">
        <v>1.0534775000000001</v>
      </c>
      <c r="J156" s="54">
        <v>89.545587585000007</v>
      </c>
      <c r="K156" s="54">
        <v>105.3477501</v>
      </c>
      <c r="L156" s="22">
        <v>40967</v>
      </c>
    </row>
    <row r="157" spans="2:21" ht="12.75" customHeight="1" x14ac:dyDescent="0.25">
      <c r="B157" s="1">
        <v>2011</v>
      </c>
      <c r="C157" s="19" t="s">
        <v>20</v>
      </c>
      <c r="D157" s="10">
        <v>40715</v>
      </c>
      <c r="E157" s="36">
        <v>650</v>
      </c>
      <c r="F157" s="54">
        <v>1.3587465000000001</v>
      </c>
      <c r="G157" s="54">
        <v>1.5562735999999999</v>
      </c>
      <c r="H157" s="54">
        <v>1.4946211999999999</v>
      </c>
      <c r="I157" s="54">
        <v>1.7119009999999999</v>
      </c>
      <c r="J157" s="54">
        <v>149.4621195</v>
      </c>
      <c r="K157" s="54">
        <v>171.1900929</v>
      </c>
      <c r="L157" s="22">
        <v>40784</v>
      </c>
    </row>
    <row r="158" spans="2:21" x14ac:dyDescent="0.25">
      <c r="B158" s="1">
        <v>2011</v>
      </c>
      <c r="C158" s="1" t="s">
        <v>10</v>
      </c>
      <c r="D158" s="10">
        <v>40693</v>
      </c>
      <c r="E158" s="36">
        <v>750</v>
      </c>
      <c r="F158" s="54">
        <v>1.7957002800000001</v>
      </c>
      <c r="G158" s="54">
        <v>1.7957002800000001</v>
      </c>
      <c r="H158" s="54">
        <v>1.9752703</v>
      </c>
      <c r="I158" s="54">
        <v>1.9752703</v>
      </c>
      <c r="J158" s="54">
        <v>197.5270304</v>
      </c>
      <c r="K158" s="54">
        <v>197.5270304</v>
      </c>
      <c r="L158" s="22">
        <v>40784</v>
      </c>
    </row>
    <row r="159" spans="2:21" x14ac:dyDescent="0.25">
      <c r="B159" s="1">
        <v>2011</v>
      </c>
      <c r="C159" s="1" t="s">
        <v>18</v>
      </c>
      <c r="D159" s="10">
        <v>40626</v>
      </c>
      <c r="E159" s="36">
        <v>600</v>
      </c>
      <c r="F159" s="54">
        <v>1.22107619</v>
      </c>
      <c r="G159" s="54">
        <v>1.4365602200000001</v>
      </c>
      <c r="H159" s="54">
        <v>1.34318381</v>
      </c>
      <c r="I159" s="54">
        <v>1.5802162500000001</v>
      </c>
      <c r="J159" s="54">
        <v>134.31838091</v>
      </c>
      <c r="K159" s="54">
        <v>158.0216246</v>
      </c>
      <c r="L159" s="22">
        <v>40784</v>
      </c>
      <c r="N159" s="21"/>
      <c r="O159" s="21"/>
      <c r="P159" s="21"/>
      <c r="Q159" s="21"/>
      <c r="R159" s="21"/>
      <c r="S159" s="21"/>
      <c r="T159" s="21"/>
      <c r="U159" s="21"/>
    </row>
    <row r="160" spans="2:21" ht="13" x14ac:dyDescent="0.3">
      <c r="B160" s="12">
        <v>2011</v>
      </c>
      <c r="C160" s="12" t="s">
        <v>14</v>
      </c>
      <c r="D160" s="18"/>
      <c r="E160" s="37">
        <v>3175</v>
      </c>
      <c r="F160" s="45">
        <v>7.0486136669999997</v>
      </c>
      <c r="G160" s="45">
        <v>7.6052808200000008</v>
      </c>
      <c r="H160" s="45">
        <v>7.7534750849999998</v>
      </c>
      <c r="I160" s="45">
        <v>8.3658089499999999</v>
      </c>
      <c r="J160" s="45">
        <v>775.34750939499997</v>
      </c>
      <c r="K160" s="45">
        <v>836.58088900000007</v>
      </c>
      <c r="L160" s="22"/>
      <c r="N160" s="21"/>
      <c r="O160" s="21"/>
      <c r="P160" s="21"/>
      <c r="Q160" s="21"/>
      <c r="R160" s="21"/>
      <c r="S160" s="21"/>
      <c r="T160" s="21"/>
      <c r="U160" s="21"/>
    </row>
    <row r="161" spans="2:21" ht="13" x14ac:dyDescent="0.3">
      <c r="B161" s="15"/>
      <c r="C161" s="15"/>
      <c r="D161" s="15"/>
      <c r="E161" s="16"/>
      <c r="F161" s="16"/>
      <c r="G161" s="17"/>
      <c r="H161" s="17"/>
      <c r="I161" s="17"/>
      <c r="J161" s="17"/>
      <c r="K161" s="17"/>
      <c r="L161" s="15"/>
      <c r="N161" s="21"/>
      <c r="O161" s="21"/>
      <c r="P161" s="21"/>
      <c r="Q161" s="21"/>
      <c r="R161" s="21"/>
      <c r="S161" s="21"/>
      <c r="T161" s="21"/>
      <c r="U161" s="21"/>
    </row>
    <row r="162" spans="2:21" ht="13" x14ac:dyDescent="0.25">
      <c r="B162" s="69" t="s">
        <v>8</v>
      </c>
      <c r="C162" s="72" t="s">
        <v>19</v>
      </c>
      <c r="D162" s="72" t="s">
        <v>5</v>
      </c>
      <c r="E162" s="72" t="s">
        <v>16</v>
      </c>
      <c r="F162" s="75" t="s">
        <v>15</v>
      </c>
      <c r="G162" s="75"/>
      <c r="H162" s="75"/>
      <c r="I162" s="75"/>
      <c r="J162" s="75"/>
      <c r="K162" s="75"/>
      <c r="L162" s="72" t="s">
        <v>6</v>
      </c>
    </row>
    <row r="163" spans="2:21" ht="13" x14ac:dyDescent="0.25">
      <c r="B163" s="70"/>
      <c r="C163" s="73"/>
      <c r="D163" s="73"/>
      <c r="E163" s="73"/>
      <c r="F163" s="75" t="s">
        <v>0</v>
      </c>
      <c r="G163" s="75"/>
      <c r="H163" s="75" t="s">
        <v>1</v>
      </c>
      <c r="I163" s="75"/>
      <c r="J163" s="75" t="s">
        <v>2</v>
      </c>
      <c r="K163" s="75"/>
      <c r="L163" s="73"/>
    </row>
    <row r="164" spans="2:21" ht="13" x14ac:dyDescent="0.25">
      <c r="B164" s="71"/>
      <c r="C164" s="74"/>
      <c r="D164" s="74"/>
      <c r="E164" s="74"/>
      <c r="F164" s="33" t="s">
        <v>25</v>
      </c>
      <c r="G164" s="33" t="s">
        <v>7</v>
      </c>
      <c r="H164" s="33" t="s">
        <v>25</v>
      </c>
      <c r="I164" s="33" t="s">
        <v>7</v>
      </c>
      <c r="J164" s="33" t="s">
        <v>25</v>
      </c>
      <c r="K164" s="33" t="s">
        <v>7</v>
      </c>
      <c r="L164" s="74"/>
    </row>
    <row r="165" spans="2:21" x14ac:dyDescent="0.25">
      <c r="B165" s="1">
        <v>2010</v>
      </c>
      <c r="C165" s="1" t="s">
        <v>18</v>
      </c>
      <c r="D165" s="10">
        <v>40534</v>
      </c>
      <c r="E165" s="36">
        <v>430</v>
      </c>
      <c r="F165" s="54">
        <v>0.87510460999999995</v>
      </c>
      <c r="G165" s="54">
        <v>1.02953483</v>
      </c>
      <c r="H165" s="54">
        <v>0.96261505999999997</v>
      </c>
      <c r="I165" s="54">
        <v>1.1324883100000001</v>
      </c>
      <c r="J165" s="54">
        <v>96.261506479999994</v>
      </c>
      <c r="K165" s="54">
        <v>113.24883115</v>
      </c>
      <c r="L165" s="22">
        <v>40599</v>
      </c>
    </row>
    <row r="166" spans="2:21" x14ac:dyDescent="0.25">
      <c r="B166" s="1">
        <v>2010</v>
      </c>
      <c r="C166" s="1" t="s">
        <v>10</v>
      </c>
      <c r="D166" s="10">
        <v>40534</v>
      </c>
      <c r="E166" s="36">
        <v>1280</v>
      </c>
      <c r="F166" s="54">
        <v>3.06466181</v>
      </c>
      <c r="G166" s="54">
        <v>3.06466181</v>
      </c>
      <c r="H166" s="54">
        <v>3.3711279900000002</v>
      </c>
      <c r="I166" s="54">
        <v>3.3711279900000002</v>
      </c>
      <c r="J166" s="54">
        <v>337.11279904999998</v>
      </c>
      <c r="K166" s="54">
        <v>337.11279904999998</v>
      </c>
      <c r="L166" s="22">
        <v>40599</v>
      </c>
    </row>
    <row r="167" spans="2:21" ht="12.75" customHeight="1" x14ac:dyDescent="0.25">
      <c r="B167" s="1">
        <v>2010</v>
      </c>
      <c r="C167" s="1" t="s">
        <v>18</v>
      </c>
      <c r="D167" s="10">
        <v>40443</v>
      </c>
      <c r="E167" s="36">
        <v>530</v>
      </c>
      <c r="F167" s="54">
        <v>1.0786173004999999</v>
      </c>
      <c r="G167" s="54">
        <v>1.2689615299999999</v>
      </c>
      <c r="H167" s="54">
        <v>1.1864790279999999</v>
      </c>
      <c r="I167" s="54">
        <v>1.39585768</v>
      </c>
      <c r="J167" s="54">
        <v>118.6479029275</v>
      </c>
      <c r="K167" s="54">
        <v>139.58576815000001</v>
      </c>
      <c r="L167" s="22">
        <v>40599</v>
      </c>
    </row>
    <row r="168" spans="2:21" x14ac:dyDescent="0.25">
      <c r="B168" s="1">
        <v>2010</v>
      </c>
      <c r="C168" s="1" t="s">
        <v>18</v>
      </c>
      <c r="D168" s="10">
        <v>40359</v>
      </c>
      <c r="E168" s="36">
        <v>400</v>
      </c>
      <c r="F168" s="54">
        <v>0.81405070000000002</v>
      </c>
      <c r="G168" s="54">
        <v>0.95770679999999997</v>
      </c>
      <c r="H168" s="54">
        <v>0.89545569999999997</v>
      </c>
      <c r="I168" s="54">
        <v>1.39585768</v>
      </c>
      <c r="J168" s="54">
        <v>89.545587310000002</v>
      </c>
      <c r="K168" s="54">
        <v>139.58576815000001</v>
      </c>
      <c r="L168" s="22">
        <v>40415</v>
      </c>
      <c r="N168" s="21"/>
      <c r="O168" s="21"/>
      <c r="P168" s="21"/>
      <c r="Q168" s="21"/>
      <c r="R168" s="21"/>
      <c r="S168" s="21"/>
      <c r="T168" s="21"/>
      <c r="U168" s="21"/>
    </row>
    <row r="169" spans="2:21" x14ac:dyDescent="0.25">
      <c r="B169" s="1">
        <v>2010</v>
      </c>
      <c r="C169" s="1" t="s">
        <v>10</v>
      </c>
      <c r="D169" s="10">
        <v>40359</v>
      </c>
      <c r="E169" s="36">
        <v>500</v>
      </c>
      <c r="F169" s="54">
        <v>1.19713352</v>
      </c>
      <c r="G169" s="54">
        <v>1.19713352</v>
      </c>
      <c r="H169" s="54">
        <v>1.3168468719999999</v>
      </c>
      <c r="I169" s="54">
        <v>1.3168468719999999</v>
      </c>
      <c r="J169" s="54">
        <v>131.68468720000001</v>
      </c>
      <c r="K169" s="54">
        <v>131.68468720000001</v>
      </c>
      <c r="L169" s="22">
        <v>40415</v>
      </c>
      <c r="N169" s="21"/>
      <c r="O169" s="21"/>
      <c r="P169" s="21"/>
      <c r="Q169" s="21"/>
      <c r="R169" s="21"/>
      <c r="S169" s="21"/>
      <c r="T169" s="21"/>
      <c r="U169" s="21"/>
    </row>
    <row r="170" spans="2:21" x14ac:dyDescent="0.25">
      <c r="B170" s="1">
        <v>2010</v>
      </c>
      <c r="C170" s="1" t="s">
        <v>18</v>
      </c>
      <c r="D170" s="10">
        <v>40259</v>
      </c>
      <c r="E170" s="36">
        <v>400</v>
      </c>
      <c r="F170" s="54">
        <v>0.81405070000000002</v>
      </c>
      <c r="G170" s="54">
        <v>0.95770679999999997</v>
      </c>
      <c r="H170" s="54">
        <v>0.89545569999999997</v>
      </c>
      <c r="I170" s="54">
        <v>1.0534774</v>
      </c>
      <c r="J170" s="54">
        <v>89.545587299999994</v>
      </c>
      <c r="K170" s="54">
        <v>105.34774969999999</v>
      </c>
      <c r="L170" s="22">
        <v>40415</v>
      </c>
      <c r="N170" s="21"/>
      <c r="O170" s="21"/>
      <c r="P170" s="21"/>
      <c r="Q170" s="21"/>
      <c r="R170" s="21"/>
      <c r="S170" s="21"/>
      <c r="T170" s="21"/>
      <c r="U170" s="21"/>
    </row>
    <row r="171" spans="2:21" ht="13" x14ac:dyDescent="0.3">
      <c r="B171" s="12">
        <v>2010</v>
      </c>
      <c r="C171" s="12" t="s">
        <v>14</v>
      </c>
      <c r="D171" s="12" t="s">
        <v>3</v>
      </c>
      <c r="E171" s="37">
        <v>3540</v>
      </c>
      <c r="F171" s="56">
        <v>7.8436186404999999</v>
      </c>
      <c r="G171" s="56">
        <v>8.4757052900000005</v>
      </c>
      <c r="H171" s="56">
        <v>8.6279803499999996</v>
      </c>
      <c r="I171" s="56">
        <v>9.665655932</v>
      </c>
      <c r="J171" s="56">
        <v>862.79807026749984</v>
      </c>
      <c r="K171" s="56">
        <v>966.56560339999999</v>
      </c>
      <c r="L171" s="12" t="s">
        <v>3</v>
      </c>
      <c r="N171" s="21"/>
      <c r="O171" s="21"/>
      <c r="P171" s="21"/>
      <c r="Q171" s="21"/>
      <c r="R171" s="21"/>
      <c r="S171" s="21"/>
      <c r="T171" s="21"/>
      <c r="U171" s="21"/>
    </row>
    <row r="172" spans="2:21" x14ac:dyDescent="0.25">
      <c r="B172" s="2"/>
      <c r="C172" s="2"/>
      <c r="D172" s="2"/>
      <c r="E172" s="4"/>
      <c r="F172" s="4"/>
      <c r="G172" s="5"/>
      <c r="H172" s="5"/>
      <c r="I172" s="2"/>
      <c r="J172" s="2"/>
      <c r="K172" s="2"/>
      <c r="L172" s="2"/>
    </row>
    <row r="173" spans="2:21" ht="13" x14ac:dyDescent="0.25">
      <c r="B173" s="69" t="s">
        <v>8</v>
      </c>
      <c r="C173" s="72" t="s">
        <v>19</v>
      </c>
      <c r="D173" s="72" t="s">
        <v>5</v>
      </c>
      <c r="E173" s="72" t="s">
        <v>16</v>
      </c>
      <c r="F173" s="75" t="s">
        <v>15</v>
      </c>
      <c r="G173" s="75"/>
      <c r="H173" s="75"/>
      <c r="I173" s="75"/>
      <c r="J173" s="75"/>
      <c r="K173" s="75"/>
      <c r="L173" s="72" t="s">
        <v>6</v>
      </c>
    </row>
    <row r="174" spans="2:21" ht="13" x14ac:dyDescent="0.25">
      <c r="B174" s="70"/>
      <c r="C174" s="73"/>
      <c r="D174" s="73"/>
      <c r="E174" s="73"/>
      <c r="F174" s="75" t="s">
        <v>0</v>
      </c>
      <c r="G174" s="75"/>
      <c r="H174" s="75" t="s">
        <v>1</v>
      </c>
      <c r="I174" s="75"/>
      <c r="J174" s="75" t="s">
        <v>2</v>
      </c>
      <c r="K174" s="75"/>
      <c r="L174" s="73"/>
    </row>
    <row r="175" spans="2:21" ht="13" x14ac:dyDescent="0.25">
      <c r="B175" s="71"/>
      <c r="C175" s="74"/>
      <c r="D175" s="74"/>
      <c r="E175" s="74"/>
      <c r="F175" s="33" t="s">
        <v>25</v>
      </c>
      <c r="G175" s="33" t="s">
        <v>7</v>
      </c>
      <c r="H175" s="33" t="s">
        <v>25</v>
      </c>
      <c r="I175" s="33" t="s">
        <v>7</v>
      </c>
      <c r="J175" s="33" t="s">
        <v>25</v>
      </c>
      <c r="K175" s="33" t="s">
        <v>7</v>
      </c>
      <c r="L175" s="74"/>
    </row>
    <row r="176" spans="2:21" ht="12.75" customHeight="1" x14ac:dyDescent="0.25">
      <c r="B176" s="1">
        <v>2009</v>
      </c>
      <c r="C176" s="1" t="s">
        <v>18</v>
      </c>
      <c r="D176" s="10">
        <v>40170</v>
      </c>
      <c r="E176" s="36">
        <v>200</v>
      </c>
      <c r="F176" s="54">
        <v>0.40702539679999999</v>
      </c>
      <c r="G176" s="54">
        <v>0.47885340799999998</v>
      </c>
      <c r="H176" s="54">
        <v>0.44772793647999998</v>
      </c>
      <c r="I176" s="54">
        <v>0.52673874879999993</v>
      </c>
      <c r="J176" s="54">
        <v>44.772793647999997</v>
      </c>
      <c r="K176" s="54">
        <v>52.67387488</v>
      </c>
      <c r="L176" s="22">
        <v>40231</v>
      </c>
    </row>
    <row r="177" spans="2:21" x14ac:dyDescent="0.25">
      <c r="B177" s="1">
        <v>2009</v>
      </c>
      <c r="C177" s="1" t="s">
        <v>10</v>
      </c>
      <c r="D177" s="10">
        <v>40170</v>
      </c>
      <c r="E177" s="36">
        <v>327.39999999999998</v>
      </c>
      <c r="F177" s="54">
        <v>0.78388302889999995</v>
      </c>
      <c r="G177" s="54">
        <v>0.78388302889999995</v>
      </c>
      <c r="H177" s="54">
        <v>0.86227133179999993</v>
      </c>
      <c r="I177" s="54">
        <v>0.86227133179999993</v>
      </c>
      <c r="J177" s="54">
        <v>86.227133179500001</v>
      </c>
      <c r="K177" s="54">
        <v>86.227133179500001</v>
      </c>
      <c r="L177" s="22">
        <v>40231</v>
      </c>
    </row>
    <row r="178" spans="2:21" x14ac:dyDescent="0.25">
      <c r="B178" s="1">
        <v>2009</v>
      </c>
      <c r="C178" s="1" t="s">
        <v>10</v>
      </c>
      <c r="D178" s="10">
        <v>40170</v>
      </c>
      <c r="E178" s="36">
        <v>422.6</v>
      </c>
      <c r="F178" s="54">
        <v>1.0118172511000001</v>
      </c>
      <c r="G178" s="54">
        <v>1.0118172511000001</v>
      </c>
      <c r="H178" s="54">
        <v>1.1129989763000001</v>
      </c>
      <c r="I178" s="54">
        <v>1.1129989763000001</v>
      </c>
      <c r="J178" s="54">
        <v>111.29989762550001</v>
      </c>
      <c r="K178" s="54">
        <v>111.29989762550001</v>
      </c>
      <c r="L178" s="22">
        <v>40231</v>
      </c>
      <c r="N178" s="21"/>
      <c r="O178" s="21"/>
      <c r="P178" s="21"/>
      <c r="Q178" s="21"/>
      <c r="R178" s="21"/>
      <c r="S178" s="21"/>
      <c r="T178" s="21"/>
      <c r="U178" s="21"/>
    </row>
    <row r="179" spans="2:21" x14ac:dyDescent="0.25">
      <c r="B179" s="1">
        <v>2009</v>
      </c>
      <c r="C179" s="1" t="s">
        <v>18</v>
      </c>
      <c r="D179" s="10">
        <v>39994</v>
      </c>
      <c r="E179" s="36">
        <v>285</v>
      </c>
      <c r="F179" s="54">
        <v>0.71066417500000001</v>
      </c>
      <c r="G179" s="54">
        <v>0.83607549999999997</v>
      </c>
      <c r="H179" s="54">
        <v>0.78173063499999995</v>
      </c>
      <c r="I179" s="54">
        <v>0.91968309999999998</v>
      </c>
      <c r="J179" s="54" t="s">
        <v>3</v>
      </c>
      <c r="K179" s="54" t="s">
        <v>3</v>
      </c>
      <c r="L179" s="22">
        <v>40231</v>
      </c>
      <c r="N179" s="21"/>
      <c r="O179" s="21"/>
      <c r="P179" s="21"/>
      <c r="Q179" s="21"/>
      <c r="R179" s="21"/>
      <c r="S179" s="21"/>
      <c r="T179" s="21"/>
      <c r="U179" s="21"/>
    </row>
    <row r="180" spans="2:21" x14ac:dyDescent="0.25">
      <c r="B180" s="1">
        <v>2009</v>
      </c>
      <c r="C180" s="1" t="s">
        <v>18</v>
      </c>
      <c r="D180" s="10">
        <v>39931</v>
      </c>
      <c r="E180" s="36">
        <v>340</v>
      </c>
      <c r="F180" s="54">
        <v>0.84780992340499983</v>
      </c>
      <c r="G180" s="54">
        <v>0.99742343929999988</v>
      </c>
      <c r="H180" s="54">
        <v>0.93259091571999997</v>
      </c>
      <c r="I180" s="54">
        <v>1.0971657832000001</v>
      </c>
      <c r="J180" s="54" t="s">
        <v>3</v>
      </c>
      <c r="K180" s="54" t="s">
        <v>3</v>
      </c>
      <c r="L180" s="22">
        <v>40231</v>
      </c>
      <c r="N180" s="21"/>
      <c r="O180" s="21"/>
      <c r="P180" s="21"/>
      <c r="Q180" s="21"/>
      <c r="R180" s="21"/>
      <c r="S180" s="21"/>
      <c r="T180" s="21"/>
      <c r="U180" s="21"/>
    </row>
    <row r="181" spans="2:21" ht="13" x14ac:dyDescent="0.3">
      <c r="B181" s="12">
        <v>2009</v>
      </c>
      <c r="C181" s="12" t="s">
        <v>14</v>
      </c>
      <c r="D181" s="12" t="s">
        <v>3</v>
      </c>
      <c r="E181" s="37">
        <v>1575</v>
      </c>
      <c r="F181" s="45">
        <v>3.7611997752049997</v>
      </c>
      <c r="G181" s="45">
        <v>4.1080526272999993</v>
      </c>
      <c r="H181" s="45">
        <v>4.1373197952999998</v>
      </c>
      <c r="I181" s="45">
        <v>4.5188579401000002</v>
      </c>
      <c r="J181" s="45">
        <v>242.29982445299999</v>
      </c>
      <c r="K181" s="45">
        <v>250.20090568500001</v>
      </c>
      <c r="L181" s="12" t="s">
        <v>3</v>
      </c>
      <c r="N181" s="21"/>
      <c r="O181" s="21"/>
      <c r="P181" s="21"/>
      <c r="Q181" s="21"/>
      <c r="R181" s="21"/>
      <c r="S181" s="21"/>
      <c r="T181" s="21"/>
      <c r="U181" s="21"/>
    </row>
    <row r="183" spans="2:21" ht="13" x14ac:dyDescent="0.25">
      <c r="B183" s="69" t="s">
        <v>8</v>
      </c>
      <c r="C183" s="72" t="s">
        <v>19</v>
      </c>
      <c r="D183" s="72" t="s">
        <v>5</v>
      </c>
      <c r="E183" s="72" t="s">
        <v>16</v>
      </c>
      <c r="F183" s="75" t="s">
        <v>15</v>
      </c>
      <c r="G183" s="75"/>
      <c r="H183" s="75"/>
      <c r="I183" s="75"/>
      <c r="J183" s="75"/>
      <c r="K183" s="75"/>
      <c r="L183" s="72" t="s">
        <v>6</v>
      </c>
    </row>
    <row r="184" spans="2:21" ht="13" x14ac:dyDescent="0.25">
      <c r="B184" s="70"/>
      <c r="C184" s="73"/>
      <c r="D184" s="73"/>
      <c r="E184" s="73"/>
      <c r="F184" s="75" t="s">
        <v>0</v>
      </c>
      <c r="G184" s="75"/>
      <c r="H184" s="75" t="s">
        <v>1</v>
      </c>
      <c r="I184" s="75"/>
      <c r="J184" s="75" t="s">
        <v>2</v>
      </c>
      <c r="K184" s="75"/>
      <c r="L184" s="73"/>
    </row>
    <row r="185" spans="2:21" ht="13" x14ac:dyDescent="0.25">
      <c r="B185" s="71"/>
      <c r="C185" s="74"/>
      <c r="D185" s="74"/>
      <c r="E185" s="74"/>
      <c r="F185" s="33" t="s">
        <v>25</v>
      </c>
      <c r="G185" s="33" t="s">
        <v>7</v>
      </c>
      <c r="H185" s="33" t="s">
        <v>25</v>
      </c>
      <c r="I185" s="33" t="s">
        <v>7</v>
      </c>
      <c r="J185" s="33" t="s">
        <v>25</v>
      </c>
      <c r="K185" s="33" t="s">
        <v>7</v>
      </c>
      <c r="L185" s="74"/>
    </row>
    <row r="186" spans="2:21" x14ac:dyDescent="0.25">
      <c r="B186" s="1">
        <v>2008</v>
      </c>
      <c r="C186" s="1" t="s">
        <v>18</v>
      </c>
      <c r="D186" s="10">
        <v>39801</v>
      </c>
      <c r="E186" s="36">
        <v>480</v>
      </c>
      <c r="F186" s="54">
        <v>1.19690812</v>
      </c>
      <c r="G186" s="54">
        <v>1.4081272</v>
      </c>
      <c r="H186" s="54">
        <v>1.3165989149999997</v>
      </c>
      <c r="I186" s="54">
        <v>1.5489398999999999</v>
      </c>
      <c r="J186" s="24" t="s">
        <v>3</v>
      </c>
      <c r="K186" s="24" t="s">
        <v>3</v>
      </c>
      <c r="L186" s="22">
        <v>39897</v>
      </c>
    </row>
    <row r="187" spans="2:21" x14ac:dyDescent="0.25">
      <c r="B187" s="1">
        <v>2008</v>
      </c>
      <c r="C187" s="1" t="s">
        <v>10</v>
      </c>
      <c r="D187" s="10">
        <v>39801</v>
      </c>
      <c r="E187" s="36">
        <v>752.80688537000003</v>
      </c>
      <c r="F187" s="54">
        <v>2.2084330000000003</v>
      </c>
      <c r="G187" s="54">
        <v>2.2084330000000003</v>
      </c>
      <c r="H187" s="54">
        <v>2.4292762999999997</v>
      </c>
      <c r="I187" s="54">
        <v>2.4292762999999997</v>
      </c>
      <c r="J187" s="24" t="s">
        <v>3</v>
      </c>
      <c r="K187" s="24" t="s">
        <v>3</v>
      </c>
      <c r="L187" s="22">
        <v>39897</v>
      </c>
      <c r="N187" s="21"/>
      <c r="O187" s="21"/>
      <c r="P187" s="21"/>
      <c r="Q187" s="21"/>
      <c r="R187" s="21"/>
      <c r="S187" s="21"/>
      <c r="T187" s="21"/>
      <c r="U187" s="21"/>
    </row>
    <row r="188" spans="2:21" x14ac:dyDescent="0.25">
      <c r="B188" s="1">
        <v>2008</v>
      </c>
      <c r="C188" s="1" t="s">
        <v>10</v>
      </c>
      <c r="D188" s="10">
        <v>39801</v>
      </c>
      <c r="E188" s="36">
        <v>217.19311463</v>
      </c>
      <c r="F188" s="54">
        <v>0.63715739999999998</v>
      </c>
      <c r="G188" s="54">
        <v>0.63715739999999998</v>
      </c>
      <c r="H188" s="54">
        <v>0.70087310000000003</v>
      </c>
      <c r="I188" s="54">
        <v>0.70087310000000003</v>
      </c>
      <c r="J188" s="24" t="s">
        <v>3</v>
      </c>
      <c r="K188" s="24" t="s">
        <v>3</v>
      </c>
      <c r="L188" s="22">
        <v>39897</v>
      </c>
      <c r="N188" s="21"/>
      <c r="O188" s="21"/>
      <c r="P188" s="21"/>
      <c r="Q188" s="21"/>
      <c r="R188" s="21"/>
      <c r="S188" s="21"/>
      <c r="T188" s="21"/>
      <c r="U188" s="21"/>
    </row>
    <row r="189" spans="2:21" x14ac:dyDescent="0.25">
      <c r="B189" s="1">
        <v>2008</v>
      </c>
      <c r="C189" s="1" t="s">
        <v>10</v>
      </c>
      <c r="D189" s="10">
        <v>39801</v>
      </c>
      <c r="E189" s="36">
        <v>3.0449604199999998</v>
      </c>
      <c r="F189" s="54">
        <v>8.9327E-3</v>
      </c>
      <c r="G189" s="54">
        <v>8.9327E-3</v>
      </c>
      <c r="H189" s="54">
        <v>9.8259999999999997E-3</v>
      </c>
      <c r="I189" s="54">
        <v>9.8259999999999997E-3</v>
      </c>
      <c r="J189" s="24" t="s">
        <v>3</v>
      </c>
      <c r="K189" s="24" t="s">
        <v>3</v>
      </c>
      <c r="L189" s="22">
        <v>39897</v>
      </c>
      <c r="N189" s="21"/>
      <c r="O189" s="21"/>
      <c r="P189" s="21"/>
      <c r="Q189" s="21"/>
      <c r="R189" s="21"/>
      <c r="S189" s="21"/>
      <c r="T189" s="21"/>
      <c r="U189" s="21"/>
    </row>
    <row r="190" spans="2:21" ht="13" x14ac:dyDescent="0.3">
      <c r="B190" s="12">
        <v>2008</v>
      </c>
      <c r="C190" s="12" t="s">
        <v>14</v>
      </c>
      <c r="D190" s="12" t="s">
        <v>3</v>
      </c>
      <c r="E190" s="37">
        <v>1453.0449604200003</v>
      </c>
      <c r="F190" s="45">
        <v>4.0514312200000004</v>
      </c>
      <c r="G190" s="45">
        <v>4.2626502999999998</v>
      </c>
      <c r="H190" s="45">
        <v>4.4565743150000001</v>
      </c>
      <c r="I190" s="45">
        <v>4.6889152999999997</v>
      </c>
      <c r="J190" s="24" t="s">
        <v>3</v>
      </c>
      <c r="K190" s="24" t="s">
        <v>3</v>
      </c>
      <c r="L190" s="12" t="s">
        <v>3</v>
      </c>
      <c r="N190" s="21"/>
      <c r="O190" s="21"/>
      <c r="P190" s="21"/>
      <c r="Q190" s="21"/>
      <c r="R190" s="21"/>
      <c r="S190" s="21"/>
      <c r="T190" s="21"/>
      <c r="U190" s="21"/>
    </row>
    <row r="191" spans="2:21" x14ac:dyDescent="0.25">
      <c r="B191" s="2"/>
      <c r="C191" s="2"/>
      <c r="D191" s="3"/>
      <c r="E191" s="4"/>
      <c r="F191" s="4"/>
      <c r="G191" s="5"/>
      <c r="H191" s="5"/>
      <c r="I191" s="5"/>
      <c r="J191" s="5"/>
      <c r="K191" s="5"/>
      <c r="L191" s="3"/>
      <c r="N191" s="21"/>
      <c r="O191" s="21"/>
      <c r="P191" s="21"/>
      <c r="Q191" s="21"/>
      <c r="R191" s="21"/>
      <c r="S191" s="21"/>
      <c r="T191" s="21"/>
      <c r="U191" s="21"/>
    </row>
    <row r="192" spans="2:21" ht="13" x14ac:dyDescent="0.25">
      <c r="B192" s="69" t="s">
        <v>8</v>
      </c>
      <c r="C192" s="72" t="s">
        <v>19</v>
      </c>
      <c r="D192" s="72" t="s">
        <v>5</v>
      </c>
      <c r="E192" s="72" t="s">
        <v>16</v>
      </c>
      <c r="F192" s="75" t="s">
        <v>15</v>
      </c>
      <c r="G192" s="75"/>
      <c r="H192" s="75"/>
      <c r="I192" s="75"/>
      <c r="J192" s="75"/>
      <c r="K192" s="75"/>
      <c r="L192" s="72" t="s">
        <v>6</v>
      </c>
    </row>
    <row r="193" spans="2:12" ht="13" x14ac:dyDescent="0.25">
      <c r="B193" s="70"/>
      <c r="C193" s="73"/>
      <c r="D193" s="73"/>
      <c r="E193" s="73"/>
      <c r="F193" s="75" t="s">
        <v>0</v>
      </c>
      <c r="G193" s="75"/>
      <c r="H193" s="75" t="s">
        <v>1</v>
      </c>
      <c r="I193" s="75"/>
      <c r="J193" s="75" t="s">
        <v>2</v>
      </c>
      <c r="K193" s="75"/>
      <c r="L193" s="73"/>
    </row>
    <row r="194" spans="2:12" ht="13" x14ac:dyDescent="0.25">
      <c r="B194" s="71"/>
      <c r="C194" s="74"/>
      <c r="D194" s="74"/>
      <c r="E194" s="74"/>
      <c r="F194" s="33" t="s">
        <v>25</v>
      </c>
      <c r="G194" s="33" t="s">
        <v>7</v>
      </c>
      <c r="H194" s="33" t="s">
        <v>25</v>
      </c>
      <c r="I194" s="33" t="s">
        <v>7</v>
      </c>
      <c r="J194" s="33" t="s">
        <v>25</v>
      </c>
      <c r="K194" s="33" t="s">
        <v>7</v>
      </c>
      <c r="L194" s="74"/>
    </row>
    <row r="195" spans="2:12" x14ac:dyDescent="0.25">
      <c r="B195" s="1">
        <v>2007</v>
      </c>
      <c r="C195" s="1" t="s">
        <v>18</v>
      </c>
      <c r="D195" s="10">
        <v>39442</v>
      </c>
      <c r="E195" s="36">
        <v>264.60000000000002</v>
      </c>
      <c r="F195" s="57">
        <v>1.6187360900000001</v>
      </c>
      <c r="G195" s="57">
        <v>1.9043954000000001</v>
      </c>
      <c r="H195" s="57">
        <v>1.7806096650000001</v>
      </c>
      <c r="I195" s="57">
        <v>2.0948348999999999</v>
      </c>
      <c r="J195" s="31" t="s">
        <v>3</v>
      </c>
      <c r="K195" s="31" t="s">
        <v>3</v>
      </c>
      <c r="L195" s="22">
        <v>39526</v>
      </c>
    </row>
    <row r="196" spans="2:12" x14ac:dyDescent="0.25">
      <c r="B196" s="1">
        <v>2007</v>
      </c>
      <c r="C196" s="1" t="s">
        <v>10</v>
      </c>
      <c r="D196" s="10">
        <v>39442</v>
      </c>
      <c r="E196" s="36">
        <v>240.72753620349999</v>
      </c>
      <c r="F196" s="57">
        <v>1.7325789999999999</v>
      </c>
      <c r="G196" s="57">
        <v>1.7325789999999999</v>
      </c>
      <c r="H196" s="57">
        <v>1.9058368999999999</v>
      </c>
      <c r="I196" s="57">
        <v>1.9058368999999999</v>
      </c>
      <c r="J196" s="31" t="s">
        <v>3</v>
      </c>
      <c r="K196" s="31" t="s">
        <v>3</v>
      </c>
      <c r="L196" s="22">
        <v>39512</v>
      </c>
    </row>
    <row r="197" spans="2:12" x14ac:dyDescent="0.25">
      <c r="B197" s="1">
        <v>2007</v>
      </c>
      <c r="C197" s="1" t="s">
        <v>10</v>
      </c>
      <c r="D197" s="10">
        <v>39437</v>
      </c>
      <c r="E197" s="36">
        <v>647.05010605999985</v>
      </c>
      <c r="F197" s="57">
        <v>4.6569888000000006</v>
      </c>
      <c r="G197" s="57">
        <v>4.6569888000000006</v>
      </c>
      <c r="H197" s="57">
        <v>5.1226876999999993</v>
      </c>
      <c r="I197" s="57">
        <v>5.1226876999999993</v>
      </c>
      <c r="J197" s="31" t="s">
        <v>3</v>
      </c>
      <c r="K197" s="31" t="s">
        <v>3</v>
      </c>
      <c r="L197" s="22">
        <v>39512</v>
      </c>
    </row>
    <row r="198" spans="2:12" x14ac:dyDescent="0.25">
      <c r="B198" s="1">
        <v>2007</v>
      </c>
      <c r="C198" s="1" t="s">
        <v>10</v>
      </c>
      <c r="D198" s="10">
        <v>39437</v>
      </c>
      <c r="E198" s="36">
        <v>327.62836381450006</v>
      </c>
      <c r="F198" s="57">
        <v>2.3580269999999999</v>
      </c>
      <c r="G198" s="57">
        <v>2.3580269999999999</v>
      </c>
      <c r="H198" s="57">
        <v>2.5938297000000001</v>
      </c>
      <c r="I198" s="57">
        <v>2.5938297000000001</v>
      </c>
      <c r="J198" s="31" t="s">
        <v>3</v>
      </c>
      <c r="K198" s="31" t="s">
        <v>3</v>
      </c>
      <c r="L198" s="22">
        <v>39512</v>
      </c>
    </row>
    <row r="199" spans="2:12" x14ac:dyDescent="0.25">
      <c r="B199" s="1">
        <v>2007</v>
      </c>
      <c r="C199" s="1" t="s">
        <v>18</v>
      </c>
      <c r="D199" s="10">
        <v>39262</v>
      </c>
      <c r="E199" s="36">
        <v>263</v>
      </c>
      <c r="F199" s="57">
        <v>1.6089478299999997</v>
      </c>
      <c r="G199" s="57">
        <v>1.8928798</v>
      </c>
      <c r="H199" s="57">
        <v>1.7698426300000001</v>
      </c>
      <c r="I199" s="57">
        <v>2.0821678000000001</v>
      </c>
      <c r="J199" s="31" t="s">
        <v>3</v>
      </c>
      <c r="K199" s="31" t="s">
        <v>3</v>
      </c>
      <c r="L199" s="22">
        <v>39356</v>
      </c>
    </row>
    <row r="200" spans="2:12" x14ac:dyDescent="0.25">
      <c r="B200" s="1">
        <v>2007</v>
      </c>
      <c r="C200" s="1" t="s">
        <v>10</v>
      </c>
      <c r="D200" s="10">
        <v>39262</v>
      </c>
      <c r="E200" s="36">
        <v>521.76174882999999</v>
      </c>
      <c r="F200" s="57">
        <v>3.7552558</v>
      </c>
      <c r="G200" s="57">
        <v>3.7552558</v>
      </c>
      <c r="H200" s="57">
        <v>4.1307812999999998</v>
      </c>
      <c r="I200" s="57">
        <v>4.1307812999999998</v>
      </c>
      <c r="J200" s="31" t="s">
        <v>3</v>
      </c>
      <c r="K200" s="31" t="s">
        <v>3</v>
      </c>
      <c r="L200" s="22">
        <v>39356</v>
      </c>
    </row>
    <row r="201" spans="2:12" ht="13" x14ac:dyDescent="0.3">
      <c r="B201" s="12">
        <v>2007</v>
      </c>
      <c r="C201" s="12" t="s">
        <v>14</v>
      </c>
      <c r="D201" s="12" t="s">
        <v>3</v>
      </c>
      <c r="E201" s="37">
        <v>2264.7677549079999</v>
      </c>
      <c r="F201" s="45">
        <v>15.730534520000001</v>
      </c>
      <c r="G201" s="45">
        <v>16.3001258</v>
      </c>
      <c r="H201" s="45">
        <v>17.303587895</v>
      </c>
      <c r="I201" s="45">
        <v>17.930138299999999</v>
      </c>
      <c r="J201" s="31" t="s">
        <v>3</v>
      </c>
      <c r="K201" s="31" t="s">
        <v>3</v>
      </c>
      <c r="L201" s="12" t="s">
        <v>3</v>
      </c>
    </row>
    <row r="202" spans="2:12" ht="13" x14ac:dyDescent="0.3">
      <c r="B202" s="2"/>
      <c r="C202" s="11" t="s">
        <v>17</v>
      </c>
      <c r="D202" s="2"/>
      <c r="E202" s="5"/>
      <c r="F202" s="5"/>
      <c r="G202" s="5"/>
      <c r="H202" s="5"/>
      <c r="I202" s="5"/>
      <c r="J202" s="5"/>
      <c r="K202" s="5"/>
      <c r="L202" s="2"/>
    </row>
    <row r="204" spans="2:12" ht="13" x14ac:dyDescent="0.3">
      <c r="C204" s="6" t="s">
        <v>12</v>
      </c>
    </row>
    <row r="205" spans="2:12" ht="13" x14ac:dyDescent="0.3">
      <c r="C205" s="6" t="s">
        <v>13</v>
      </c>
    </row>
    <row r="206" spans="2:12" ht="13" x14ac:dyDescent="0.3">
      <c r="C206" s="6" t="s">
        <v>9</v>
      </c>
    </row>
  </sheetData>
  <mergeCells count="183">
    <mergeCell ref="E3:I3"/>
    <mergeCell ref="L95:L97"/>
    <mergeCell ref="F96:G96"/>
    <mergeCell ref="H96:I96"/>
    <mergeCell ref="J96:K96"/>
    <mergeCell ref="E4:I4"/>
    <mergeCell ref="B14:B16"/>
    <mergeCell ref="C14:C16"/>
    <mergeCell ref="D14:D16"/>
    <mergeCell ref="E14:E16"/>
    <mergeCell ref="F14:K14"/>
    <mergeCell ref="L14:L16"/>
    <mergeCell ref="F15:G15"/>
    <mergeCell ref="H15:I15"/>
    <mergeCell ref="J15:K15"/>
    <mergeCell ref="B85:B87"/>
    <mergeCell ref="C85:C87"/>
    <mergeCell ref="D85:D87"/>
    <mergeCell ref="E85:E87"/>
    <mergeCell ref="F85:K85"/>
    <mergeCell ref="L85:L87"/>
    <mergeCell ref="F86:G86"/>
    <mergeCell ref="H86:I86"/>
    <mergeCell ref="J86:K86"/>
    <mergeCell ref="L105:L107"/>
    <mergeCell ref="F123:G123"/>
    <mergeCell ref="L113:L115"/>
    <mergeCell ref="L122:L124"/>
    <mergeCell ref="B122:B124"/>
    <mergeCell ref="B56:B58"/>
    <mergeCell ref="C56:C58"/>
    <mergeCell ref="D56:D58"/>
    <mergeCell ref="E56:E58"/>
    <mergeCell ref="F56:K56"/>
    <mergeCell ref="B95:B97"/>
    <mergeCell ref="C95:C97"/>
    <mergeCell ref="D95:D97"/>
    <mergeCell ref="E95:E97"/>
    <mergeCell ref="F95:K95"/>
    <mergeCell ref="L56:L58"/>
    <mergeCell ref="F57:G57"/>
    <mergeCell ref="H57:I57"/>
    <mergeCell ref="J57:K57"/>
    <mergeCell ref="F105:K105"/>
    <mergeCell ref="F106:G106"/>
    <mergeCell ref="H106:I106"/>
    <mergeCell ref="J106:K106"/>
    <mergeCell ref="B105:B107"/>
    <mergeCell ref="L183:L185"/>
    <mergeCell ref="D173:D175"/>
    <mergeCell ref="L192:L194"/>
    <mergeCell ref="E173:E175"/>
    <mergeCell ref="L173:L175"/>
    <mergeCell ref="D162:D164"/>
    <mergeCell ref="D183:D185"/>
    <mergeCell ref="L162:L164"/>
    <mergeCell ref="J184:K184"/>
    <mergeCell ref="F193:G193"/>
    <mergeCell ref="E162:E164"/>
    <mergeCell ref="F173:K173"/>
    <mergeCell ref="B192:B194"/>
    <mergeCell ref="C192:C194"/>
    <mergeCell ref="D192:D194"/>
    <mergeCell ref="E192:E194"/>
    <mergeCell ref="B173:B175"/>
    <mergeCell ref="C173:C175"/>
    <mergeCell ref="B183:B185"/>
    <mergeCell ref="C183:C185"/>
    <mergeCell ref="E183:E185"/>
    <mergeCell ref="B162:B164"/>
    <mergeCell ref="B142:B144"/>
    <mergeCell ref="C142:C144"/>
    <mergeCell ref="D142:D144"/>
    <mergeCell ref="E142:E144"/>
    <mergeCell ref="L142:L144"/>
    <mergeCell ref="F152:K152"/>
    <mergeCell ref="F153:G153"/>
    <mergeCell ref="C162:C164"/>
    <mergeCell ref="F142:K142"/>
    <mergeCell ref="C152:C154"/>
    <mergeCell ref="D152:D154"/>
    <mergeCell ref="E152:E154"/>
    <mergeCell ref="L152:L154"/>
    <mergeCell ref="B152:B154"/>
    <mergeCell ref="F143:G143"/>
    <mergeCell ref="H143:I143"/>
    <mergeCell ref="J143:K143"/>
    <mergeCell ref="H153:I153"/>
    <mergeCell ref="B132:B134"/>
    <mergeCell ref="C132:C134"/>
    <mergeCell ref="D132:D134"/>
    <mergeCell ref="E132:E134"/>
    <mergeCell ref="B128:L128"/>
    <mergeCell ref="C122:C124"/>
    <mergeCell ref="D122:D124"/>
    <mergeCell ref="E122:E124"/>
    <mergeCell ref="C113:C115"/>
    <mergeCell ref="L132:L134"/>
    <mergeCell ref="D113:D115"/>
    <mergeCell ref="E113:E115"/>
    <mergeCell ref="H123:I123"/>
    <mergeCell ref="J123:K123"/>
    <mergeCell ref="F132:K132"/>
    <mergeCell ref="F133:G133"/>
    <mergeCell ref="H133:I133"/>
    <mergeCell ref="F122:K122"/>
    <mergeCell ref="J133:K133"/>
    <mergeCell ref="F113:K113"/>
    <mergeCell ref="F114:G114"/>
    <mergeCell ref="H114:I114"/>
    <mergeCell ref="J114:K114"/>
    <mergeCell ref="B113:B115"/>
    <mergeCell ref="C105:C107"/>
    <mergeCell ref="D105:D107"/>
    <mergeCell ref="E105:E107"/>
    <mergeCell ref="H193:I193"/>
    <mergeCell ref="J193:K193"/>
    <mergeCell ref="F174:G174"/>
    <mergeCell ref="H174:I174"/>
    <mergeCell ref="J174:K174"/>
    <mergeCell ref="F183:K183"/>
    <mergeCell ref="F184:G184"/>
    <mergeCell ref="H184:I184"/>
    <mergeCell ref="J153:K153"/>
    <mergeCell ref="F162:K162"/>
    <mergeCell ref="F163:G163"/>
    <mergeCell ref="H163:I163"/>
    <mergeCell ref="J163:K163"/>
    <mergeCell ref="F192:K192"/>
    <mergeCell ref="B75:B77"/>
    <mergeCell ref="C75:C77"/>
    <mergeCell ref="D75:D77"/>
    <mergeCell ref="E75:E77"/>
    <mergeCell ref="F75:K75"/>
    <mergeCell ref="L75:L77"/>
    <mergeCell ref="F76:G76"/>
    <mergeCell ref="H76:I76"/>
    <mergeCell ref="J76:K76"/>
    <mergeCell ref="B65:B67"/>
    <mergeCell ref="C65:C67"/>
    <mergeCell ref="D65:D67"/>
    <mergeCell ref="E65:E67"/>
    <mergeCell ref="F65:K65"/>
    <mergeCell ref="L65:L67"/>
    <mergeCell ref="F66:G66"/>
    <mergeCell ref="H66:I66"/>
    <mergeCell ref="J66:K66"/>
    <mergeCell ref="B44:B46"/>
    <mergeCell ref="C44:C46"/>
    <mergeCell ref="D44:D46"/>
    <mergeCell ref="E44:E46"/>
    <mergeCell ref="F44:K44"/>
    <mergeCell ref="L44:L46"/>
    <mergeCell ref="F45:G45"/>
    <mergeCell ref="H45:I45"/>
    <mergeCell ref="J45:K45"/>
    <mergeCell ref="B34:B36"/>
    <mergeCell ref="C34:C36"/>
    <mergeCell ref="D34:D36"/>
    <mergeCell ref="E34:E36"/>
    <mergeCell ref="F34:K34"/>
    <mergeCell ref="L34:L36"/>
    <mergeCell ref="F35:G35"/>
    <mergeCell ref="H35:I35"/>
    <mergeCell ref="J35:K35"/>
    <mergeCell ref="B24:B26"/>
    <mergeCell ref="C24:C26"/>
    <mergeCell ref="D24:D26"/>
    <mergeCell ref="E24:E26"/>
    <mergeCell ref="F24:K24"/>
    <mergeCell ref="L24:L26"/>
    <mergeCell ref="F25:G25"/>
    <mergeCell ref="H25:I25"/>
    <mergeCell ref="J25:K25"/>
    <mergeCell ref="B6:B8"/>
    <mergeCell ref="C6:C8"/>
    <mergeCell ref="D6:D8"/>
    <mergeCell ref="E6:E8"/>
    <mergeCell ref="F6:K6"/>
    <mergeCell ref="L6:L8"/>
    <mergeCell ref="F7:G7"/>
    <mergeCell ref="H7:I7"/>
    <mergeCell ref="J7:K7"/>
  </mergeCells>
  <phoneticPr fontId="2" type="noConversion"/>
  <pageMargins left="0.75" right="0.75" top="1" bottom="1" header="0.5" footer="0.5"/>
  <pageSetup paperSize="9"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Histórico</vt:lpstr>
    </vt:vector>
  </TitlesOfParts>
  <Company>Santander Banespa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t655227</dc:creator>
  <cp:lastModifiedBy>Anna Gabriela Antoniolli Martins (E)</cp:lastModifiedBy>
  <cp:lastPrinted>2010-06-30T23:03:38Z</cp:lastPrinted>
  <dcterms:created xsi:type="dcterms:W3CDTF">2010-05-12T20:34:18Z</dcterms:created>
  <dcterms:modified xsi:type="dcterms:W3CDTF">2026-07-10T21:31:56Z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hinkcellXlWorkbookDoNotDelete" linkTarget="&lt;?xml version=&quot;1.0&quot; encoding=&quot;UTF-16&quot; standalone=&quot;yes&quot;?&gt;&#10;&lt;root reqver=&quot;16160&quot;&gt;&lt;version val=&quot;17971&quot;/&gt;&lt;CXlWorkbook id=&quot;1&quot;&gt;&lt;m_cxllink/&gt;&lt;/CXlWorkbook&gt;&lt;/root&gt;">
    <vt:bool>false</vt:bool>
  </property>
  <property fmtid="{D5CDD505-2E9C-101B-9397-08002B2CF9AE}" pid="3" name="MSIP_Label_41b88ec2-a72b-4523-9e84-0458a1764731_Enabled">
    <vt:lpwstr>true</vt:lpwstr>
  </property>
  <property fmtid="{D5CDD505-2E9C-101B-9397-08002B2CF9AE}" pid="4" name="MSIP_Label_41b88ec2-a72b-4523-9e84-0458a1764731_SetDate">
    <vt:lpwstr>2021-07-28T20:32:52Z</vt:lpwstr>
  </property>
  <property fmtid="{D5CDD505-2E9C-101B-9397-08002B2CF9AE}" pid="5" name="MSIP_Label_41b88ec2-a72b-4523-9e84-0458a1764731_Method">
    <vt:lpwstr>Privileged</vt:lpwstr>
  </property>
  <property fmtid="{D5CDD505-2E9C-101B-9397-08002B2CF9AE}" pid="6" name="MSIP_Label_41b88ec2-a72b-4523-9e84-0458a1764731_Name">
    <vt:lpwstr>Public O365</vt:lpwstr>
  </property>
  <property fmtid="{D5CDD505-2E9C-101B-9397-08002B2CF9AE}" pid="7" name="MSIP_Label_41b88ec2-a72b-4523-9e84-0458a1764731_SiteId">
    <vt:lpwstr>35595a02-4d6d-44ac-99e1-f9ab4cd872db</vt:lpwstr>
  </property>
  <property fmtid="{D5CDD505-2E9C-101B-9397-08002B2CF9AE}" pid="8" name="MSIP_Label_41b88ec2-a72b-4523-9e84-0458a1764731_ActionId">
    <vt:lpwstr>10c37b4d-5de3-42f8-a271-01eb97aece47</vt:lpwstr>
  </property>
  <property fmtid="{D5CDD505-2E9C-101B-9397-08002B2CF9AE}" pid="9" name="MSIP_Label_41b88ec2-a72b-4523-9e84-0458a1764731_ContentBits">
    <vt:lpwstr>0</vt:lpwstr>
  </property>
</Properties>
</file>