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"/>
    </mc:Choice>
  </mc:AlternateContent>
  <xr:revisionPtr revIDLastSave="0" documentId="13_ncr:1_{3E7F8336-2148-40DA-AD46-C0EF9FF126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taques Operacionais" sheetId="2" r:id="rId1"/>
    <sheet name="Destaques Financeiros" sheetId="1" r:id="rId2"/>
    <sheet name="Histórico Anual" sheetId="3" r:id="rId3"/>
    <sheet name="Outras Informaçõ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14" i="3"/>
  <c r="B13" i="3"/>
  <c r="B12" i="3"/>
  <c r="B11" i="3" l="1"/>
  <c r="B7" i="3" l="1"/>
  <c r="B8" i="3"/>
  <c r="B5" i="3"/>
  <c r="B10" i="3" l="1"/>
  <c r="B6" i="3"/>
  <c r="B9" i="3" l="1"/>
  <c r="C5" i="3" l="1"/>
  <c r="C14" i="1" l="1"/>
  <c r="B15" i="1"/>
  <c r="B14" i="1"/>
  <c r="B13" i="1" s="1"/>
  <c r="B12" i="1"/>
  <c r="B17" i="1" l="1"/>
  <c r="B17" i="3" s="1"/>
  <c r="B16" i="1"/>
  <c r="B16" i="3" s="1"/>
  <c r="B11" i="1"/>
  <c r="B10" i="1"/>
  <c r="B9" i="1"/>
  <c r="B8" i="1"/>
  <c r="B7" i="1"/>
  <c r="B6" i="1"/>
  <c r="B5" i="1"/>
  <c r="B43" i="2"/>
  <c r="B40" i="2"/>
  <c r="B39" i="2"/>
  <c r="B38" i="2"/>
  <c r="B34" i="2"/>
  <c r="B33" i="2"/>
  <c r="B31" i="2"/>
  <c r="B28" i="2"/>
  <c r="B30" i="2"/>
  <c r="B26" i="2"/>
  <c r="B18" i="1" l="1"/>
  <c r="B18" i="3" s="1"/>
  <c r="C15" i="1"/>
  <c r="C13" i="1" s="1"/>
  <c r="C12" i="1"/>
  <c r="C16" i="1" l="1"/>
  <c r="C18" i="1" s="1"/>
  <c r="C10" i="1" l="1"/>
  <c r="C8" i="1"/>
  <c r="C5" i="1"/>
  <c r="C6" i="1" l="1"/>
  <c r="C7" i="1"/>
  <c r="C9" i="1"/>
  <c r="C11" i="1" l="1"/>
  <c r="C17" i="1" l="1"/>
  <c r="E5" i="1" l="1"/>
  <c r="B9" i="4"/>
  <c r="E17" i="1"/>
  <c r="E16" i="1"/>
  <c r="F14" i="1"/>
  <c r="C14" i="3" s="1"/>
  <c r="E14" i="1"/>
  <c r="E15" i="1"/>
  <c r="E12" i="1"/>
  <c r="E11" i="1"/>
  <c r="E10" i="1"/>
  <c r="E9" i="1"/>
  <c r="E8" i="1"/>
  <c r="E7" i="1"/>
  <c r="E6" i="1"/>
  <c r="F5" i="1"/>
  <c r="B8" i="4"/>
  <c r="B7" i="4"/>
  <c r="F11" i="1"/>
  <c r="C11" i="3" s="1"/>
  <c r="F16" i="1"/>
  <c r="C16" i="3" s="1"/>
  <c r="F17" i="1"/>
  <c r="C17" i="3" s="1"/>
  <c r="C12" i="3"/>
  <c r="F12" i="1"/>
  <c r="F15" i="1"/>
  <c r="C15" i="3" s="1"/>
  <c r="G13" i="1"/>
  <c r="G18" i="1" s="1"/>
  <c r="F10" i="1"/>
  <c r="F9" i="1"/>
  <c r="F8" i="1"/>
  <c r="F7" i="1"/>
  <c r="F6" i="1"/>
  <c r="C8" i="3"/>
  <c r="C10" i="3"/>
  <c r="C7" i="3"/>
  <c r="C6" i="3"/>
  <c r="C9" i="3"/>
  <c r="H12" i="1"/>
  <c r="H16" i="1"/>
  <c r="H17" i="1"/>
  <c r="H14" i="1"/>
  <c r="H8" i="1"/>
  <c r="I5" i="1"/>
  <c r="H11" i="1"/>
  <c r="H15" i="1"/>
  <c r="H13" i="1" s="1"/>
  <c r="H18" i="1" s="1"/>
  <c r="H10" i="1"/>
  <c r="H9" i="1"/>
  <c r="H7" i="1"/>
  <c r="H6" i="1"/>
  <c r="H5" i="1"/>
  <c r="I17" i="1"/>
  <c r="I16" i="1"/>
  <c r="I15" i="1"/>
  <c r="I14" i="1"/>
  <c r="I12" i="1"/>
  <c r="D12" i="3"/>
  <c r="D11" i="3"/>
  <c r="D10" i="3"/>
  <c r="D8" i="3"/>
  <c r="D7" i="3"/>
  <c r="D6" i="3"/>
  <c r="D5" i="3"/>
  <c r="J17" i="1"/>
  <c r="D17" i="3" s="1"/>
  <c r="J16" i="1"/>
  <c r="D16" i="3" s="1"/>
  <c r="J15" i="1"/>
  <c r="D15" i="3" s="1"/>
  <c r="J14" i="1"/>
  <c r="D14" i="3"/>
  <c r="J12" i="1"/>
  <c r="J5" i="1"/>
  <c r="J10" i="1"/>
  <c r="J8" i="1"/>
  <c r="J7" i="1"/>
  <c r="J9" i="1"/>
  <c r="J6" i="1"/>
  <c r="D9" i="3"/>
  <c r="J11" i="1"/>
  <c r="K17" i="1"/>
  <c r="K16" i="1"/>
  <c r="K15" i="1"/>
  <c r="K14" i="1"/>
  <c r="K12" i="1"/>
  <c r="K11" i="1"/>
  <c r="K10" i="1"/>
  <c r="K9" i="1"/>
  <c r="K8" i="1"/>
  <c r="K7" i="1"/>
  <c r="K6" i="1"/>
  <c r="K5" i="1"/>
  <c r="L17" i="1"/>
  <c r="L15" i="1"/>
  <c r="L14" i="1"/>
  <c r="L12" i="1"/>
  <c r="L16" i="1"/>
  <c r="L11" i="1"/>
  <c r="L10" i="1"/>
  <c r="L9" i="1"/>
  <c r="L8" i="1"/>
  <c r="L7" i="1"/>
  <c r="L6" i="1"/>
  <c r="L5" i="1"/>
  <c r="M17" i="1"/>
  <c r="M16" i="1"/>
  <c r="M15" i="1"/>
  <c r="M14" i="1"/>
  <c r="M13" i="1" s="1"/>
  <c r="M12" i="1"/>
  <c r="M11" i="1"/>
  <c r="M5" i="1"/>
  <c r="M6" i="1"/>
  <c r="M7" i="1"/>
  <c r="M8" i="1"/>
  <c r="M10" i="1"/>
  <c r="M9" i="1"/>
  <c r="E12" i="3"/>
  <c r="E11" i="3"/>
  <c r="E10" i="3"/>
  <c r="E9" i="3"/>
  <c r="E8" i="3"/>
  <c r="E7" i="3"/>
  <c r="E6" i="3"/>
  <c r="E5" i="3"/>
  <c r="N17" i="1"/>
  <c r="E17" i="3" s="1"/>
  <c r="N16" i="1"/>
  <c r="E16" i="3" s="1"/>
  <c r="N15" i="1"/>
  <c r="E15" i="3" s="1"/>
  <c r="N14" i="1"/>
  <c r="E14" i="3" s="1"/>
  <c r="N12" i="1"/>
  <c r="N11" i="1"/>
  <c r="N5" i="1"/>
  <c r="N7" i="1"/>
  <c r="N6" i="1"/>
  <c r="N8" i="1"/>
  <c r="N9" i="1"/>
  <c r="N10" i="1"/>
  <c r="O17" i="1"/>
  <c r="O12" i="1"/>
  <c r="O14" i="1"/>
  <c r="O15" i="1"/>
  <c r="O11" i="1"/>
  <c r="O6" i="1"/>
  <c r="O10" i="1"/>
  <c r="O7" i="1"/>
  <c r="O8" i="1"/>
  <c r="O9" i="1"/>
  <c r="O5" i="1"/>
  <c r="O16" i="1"/>
  <c r="P16" i="1"/>
  <c r="P17" i="1"/>
  <c r="P15" i="1"/>
  <c r="P14" i="1"/>
  <c r="P12" i="1"/>
  <c r="P11" i="1"/>
  <c r="P5" i="1"/>
  <c r="Q17" i="1"/>
  <c r="Q16" i="1"/>
  <c r="Q15" i="1"/>
  <c r="Q14" i="1"/>
  <c r="Q12" i="1"/>
  <c r="Q6" i="1"/>
  <c r="Q7" i="1"/>
  <c r="Q9" i="1"/>
  <c r="Q8" i="1"/>
  <c r="Q10" i="1"/>
  <c r="Q5" i="1"/>
  <c r="F11" i="3"/>
  <c r="F16" i="3"/>
  <c r="R17" i="1"/>
  <c r="R16" i="1"/>
  <c r="R15" i="1"/>
  <c r="F15" i="3" s="1"/>
  <c r="R14" i="1"/>
  <c r="R12" i="1"/>
  <c r="F12" i="3" s="1"/>
  <c r="R5" i="1"/>
  <c r="S17" i="1"/>
  <c r="S15" i="1"/>
  <c r="S14" i="1"/>
  <c r="S13" i="1" s="1"/>
  <c r="S12" i="1"/>
  <c r="S16" i="1"/>
  <c r="S5" i="1"/>
  <c r="T15" i="1"/>
  <c r="T14" i="1"/>
  <c r="T12" i="1"/>
  <c r="T6" i="1"/>
  <c r="T5" i="1"/>
  <c r="U15" i="1"/>
  <c r="U14" i="1"/>
  <c r="U12" i="1"/>
  <c r="U17" i="1"/>
  <c r="U16" i="1"/>
  <c r="V16" i="1"/>
  <c r="U5" i="1"/>
  <c r="V15" i="1"/>
  <c r="G15" i="3" s="1"/>
  <c r="V14" i="1"/>
  <c r="V12" i="1"/>
  <c r="G12" i="3" s="1"/>
  <c r="G5" i="3"/>
  <c r="G16" i="3"/>
  <c r="V5" i="1"/>
  <c r="X16" i="1"/>
  <c r="Y16" i="1"/>
  <c r="W16" i="1"/>
  <c r="W11" i="1"/>
  <c r="W10" i="1"/>
  <c r="W9" i="1"/>
  <c r="W8" i="1"/>
  <c r="W7" i="1"/>
  <c r="W6" i="1"/>
  <c r="W5" i="1"/>
  <c r="X15" i="1"/>
  <c r="X14" i="1"/>
  <c r="X12" i="1"/>
  <c r="X17" i="1"/>
  <c r="X11" i="1"/>
  <c r="X10" i="1"/>
  <c r="X9" i="1"/>
  <c r="X8" i="1"/>
  <c r="X7" i="1"/>
  <c r="X6" i="1"/>
  <c r="X5" i="1"/>
  <c r="Y17" i="1"/>
  <c r="Y15" i="1"/>
  <c r="Y14" i="1"/>
  <c r="Y12" i="1"/>
  <c r="Y11" i="1"/>
  <c r="Y10" i="1"/>
  <c r="Y9" i="1"/>
  <c r="Y8" i="1"/>
  <c r="Y7" i="1"/>
  <c r="Y6" i="1"/>
  <c r="Y5" i="1"/>
  <c r="H11" i="3"/>
  <c r="H15" i="3"/>
  <c r="H14" i="3"/>
  <c r="H12" i="3"/>
  <c r="H5" i="3"/>
  <c r="H16" i="3"/>
  <c r="H7" i="3"/>
  <c r="H8" i="3"/>
  <c r="H9" i="3" s="1"/>
  <c r="H10" i="3"/>
  <c r="H6" i="3"/>
  <c r="H48" i="3"/>
  <c r="H46" i="3"/>
  <c r="H45" i="3"/>
  <c r="H44" i="3"/>
  <c r="H43" i="3"/>
  <c r="H42" i="3"/>
  <c r="H40" i="3"/>
  <c r="H39" i="3"/>
  <c r="H38" i="3"/>
  <c r="H17" i="3"/>
  <c r="Z17" i="1"/>
  <c r="Z12" i="1"/>
  <c r="Z15" i="1"/>
  <c r="Z14" i="1"/>
  <c r="Z11" i="1"/>
  <c r="Z16" i="1"/>
  <c r="Z10" i="1"/>
  <c r="Z9" i="1"/>
  <c r="Z8" i="1"/>
  <c r="Z7" i="1"/>
  <c r="Z6" i="1"/>
  <c r="Z5" i="1"/>
  <c r="AA16" i="1"/>
  <c r="AA15" i="1"/>
  <c r="AA14" i="1"/>
  <c r="AA13" i="1" s="1"/>
  <c r="AA12" i="1"/>
  <c r="AA11" i="1"/>
  <c r="AA10" i="1"/>
  <c r="AA9" i="1"/>
  <c r="AA8" i="1"/>
  <c r="AA7" i="1"/>
  <c r="AA6" i="1"/>
  <c r="AA5" i="1"/>
  <c r="AB17" i="1"/>
  <c r="AB15" i="1"/>
  <c r="AB14" i="1"/>
  <c r="AB12" i="1"/>
  <c r="AB16" i="1"/>
  <c r="AB11" i="1"/>
  <c r="AB10" i="1"/>
  <c r="AB9" i="1"/>
  <c r="AB8" i="1"/>
  <c r="AB7" i="1"/>
  <c r="AB6" i="1"/>
  <c r="AB5" i="1"/>
  <c r="AC16" i="1"/>
  <c r="AC15" i="1"/>
  <c r="AC14" i="1"/>
  <c r="AC12" i="1"/>
  <c r="AC11" i="1"/>
  <c r="AC10" i="1"/>
  <c r="AC9" i="1"/>
  <c r="AC8" i="1"/>
  <c r="AC7" i="1"/>
  <c r="AC6" i="1"/>
  <c r="AC5" i="1"/>
  <c r="I48" i="3"/>
  <c r="I46" i="3"/>
  <c r="I45" i="3"/>
  <c r="I44" i="3"/>
  <c r="I43" i="3"/>
  <c r="I42" i="3"/>
  <c r="I40" i="3"/>
  <c r="I39" i="3"/>
  <c r="I38" i="3"/>
  <c r="I17" i="3"/>
  <c r="I16" i="3"/>
  <c r="I11" i="3"/>
  <c r="I15" i="3"/>
  <c r="I14" i="3"/>
  <c r="I13" i="3"/>
  <c r="I12" i="3"/>
  <c r="I10" i="3"/>
  <c r="I8" i="3"/>
  <c r="I7" i="3"/>
  <c r="I6" i="3"/>
  <c r="I5" i="3"/>
  <c r="AD16" i="1"/>
  <c r="AD17" i="1"/>
  <c r="AD15" i="1"/>
  <c r="AD14" i="1"/>
  <c r="AD12" i="1"/>
  <c r="AD11" i="1"/>
  <c r="AD10" i="1"/>
  <c r="AD9" i="1"/>
  <c r="AD8" i="1"/>
  <c r="AD7" i="1"/>
  <c r="AD6" i="1"/>
  <c r="AD5" i="1"/>
  <c r="AE17" i="1"/>
  <c r="AE16" i="1"/>
  <c r="AE15" i="1"/>
  <c r="AE14" i="1"/>
  <c r="AE12" i="1"/>
  <c r="AE11" i="1"/>
  <c r="AE10" i="1"/>
  <c r="AE9" i="1"/>
  <c r="AE8" i="1"/>
  <c r="AE7" i="1"/>
  <c r="AE6" i="1"/>
  <c r="AE5" i="1"/>
  <c r="AF16" i="1"/>
  <c r="AF11" i="1"/>
  <c r="AF17" i="1"/>
  <c r="AF15" i="1"/>
  <c r="AF14" i="1"/>
  <c r="AF12" i="1"/>
  <c r="AF10" i="1"/>
  <c r="AF9" i="1"/>
  <c r="AF8" i="1"/>
  <c r="AF7" i="1"/>
  <c r="AF6" i="1"/>
  <c r="AF5" i="1"/>
  <c r="AG17" i="1"/>
  <c r="AG16" i="1"/>
  <c r="AG15" i="1"/>
  <c r="AG14" i="1"/>
  <c r="AG12" i="1"/>
  <c r="AG11" i="1"/>
  <c r="AG10" i="1"/>
  <c r="AG9" i="1"/>
  <c r="AG8" i="1"/>
  <c r="AG7" i="1"/>
  <c r="AG6" i="1"/>
  <c r="AG5" i="1"/>
  <c r="J48" i="3"/>
  <c r="J46" i="3"/>
  <c r="J45" i="3"/>
  <c r="J44" i="3"/>
  <c r="J43" i="3"/>
  <c r="J42" i="3"/>
  <c r="J40" i="3"/>
  <c r="J39" i="3"/>
  <c r="J38" i="3"/>
  <c r="K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H17" i="1"/>
  <c r="AH15" i="1"/>
  <c r="AH14" i="1"/>
  <c r="AH12" i="1"/>
  <c r="AH16" i="1"/>
  <c r="AH11" i="1"/>
  <c r="AH10" i="1"/>
  <c r="AH9" i="1"/>
  <c r="AH8" i="1"/>
  <c r="AH7" i="1"/>
  <c r="AH6" i="1"/>
  <c r="AH5" i="1"/>
  <c r="AI15" i="1"/>
  <c r="AI14" i="1"/>
  <c r="AI12" i="1"/>
  <c r="AI11" i="1"/>
  <c r="AI10" i="1"/>
  <c r="AI9" i="1"/>
  <c r="AI8" i="1"/>
  <c r="AI7" i="1"/>
  <c r="AI6" i="1"/>
  <c r="AI5" i="1"/>
  <c r="AI16" i="1"/>
  <c r="AJ16" i="1"/>
  <c r="AJ13" i="1"/>
  <c r="AJ11" i="1"/>
  <c r="AJ10" i="1"/>
  <c r="AJ9" i="1"/>
  <c r="AJ8" i="1"/>
  <c r="AJ7" i="1"/>
  <c r="AJ6" i="1"/>
  <c r="AJ5" i="1"/>
  <c r="AK16" i="1"/>
  <c r="AK13" i="1"/>
  <c r="AL13" i="1"/>
  <c r="AK11" i="1"/>
  <c r="AK10" i="1"/>
  <c r="AK9" i="1"/>
  <c r="AK8" i="1"/>
  <c r="AK7" i="1"/>
  <c r="AK6" i="1"/>
  <c r="AK5" i="1"/>
  <c r="AL16" i="1"/>
  <c r="AL18" i="1" s="1"/>
  <c r="AL11" i="1"/>
  <c r="AL10" i="1"/>
  <c r="AL9" i="1"/>
  <c r="AL8" i="1"/>
  <c r="AL7" i="1"/>
  <c r="AL6" i="1"/>
  <c r="AL5" i="1"/>
  <c r="AM13" i="1"/>
  <c r="AM18" i="1" s="1"/>
  <c r="AM17" i="1"/>
  <c r="AM11" i="1"/>
  <c r="AM9" i="1"/>
  <c r="AN13" i="1"/>
  <c r="AN18" i="1" s="1"/>
  <c r="AN17" i="1"/>
  <c r="AO17" i="1"/>
  <c r="AN11" i="1"/>
  <c r="AN9" i="1"/>
  <c r="AO13" i="1"/>
  <c r="AO18" i="1" s="1"/>
  <c r="AO11" i="1"/>
  <c r="AO9" i="1"/>
  <c r="L13" i="3"/>
  <c r="L18" i="3"/>
  <c r="L9" i="3"/>
  <c r="AP17" i="1"/>
  <c r="AP13" i="1"/>
  <c r="AP18" i="1" s="1"/>
  <c r="AP11" i="1"/>
  <c r="AP9" i="1"/>
  <c r="AQ13" i="1"/>
  <c r="AQ18" i="1" s="1"/>
  <c r="AQ11" i="1"/>
  <c r="AQ9" i="1"/>
  <c r="AR13" i="1"/>
  <c r="AR18" i="1" s="1"/>
  <c r="AR9" i="1"/>
  <c r="AR11" i="1"/>
  <c r="M13" i="3"/>
  <c r="M18" i="3" s="1"/>
  <c r="M9" i="3"/>
  <c r="AS13" i="1"/>
  <c r="AS18" i="1" s="1"/>
  <c r="AT13" i="1"/>
  <c r="AT18" i="1" s="1"/>
  <c r="AU13" i="1"/>
  <c r="AU18" i="1" s="1"/>
  <c r="AS11" i="1"/>
  <c r="AS9" i="1"/>
  <c r="N9" i="3"/>
  <c r="O9" i="3"/>
  <c r="P9" i="3"/>
  <c r="Q9" i="3"/>
  <c r="R9" i="3"/>
  <c r="S9" i="3"/>
  <c r="T9" i="3"/>
  <c r="AT11" i="1"/>
  <c r="AT9" i="1"/>
  <c r="AU11" i="1"/>
  <c r="AU9" i="1"/>
  <c r="AV9" i="1"/>
  <c r="AV11" i="1"/>
  <c r="AV13" i="1"/>
  <c r="AV18" i="1" s="1"/>
  <c r="AW13" i="1"/>
  <c r="AW18" i="1" s="1"/>
  <c r="AW11" i="1"/>
  <c r="AW9" i="1"/>
  <c r="AX11" i="1"/>
  <c r="AX13" i="1"/>
  <c r="O13" i="3"/>
  <c r="O18" i="3"/>
  <c r="N13" i="3"/>
  <c r="N18" i="3"/>
  <c r="BB11" i="1"/>
  <c r="BG18" i="1"/>
  <c r="BH18" i="1"/>
  <c r="AC17" i="1"/>
  <c r="W13" i="1"/>
  <c r="G8" i="3"/>
  <c r="G10" i="3"/>
  <c r="G7" i="3"/>
  <c r="G6" i="3"/>
  <c r="G9" i="3"/>
  <c r="G11" i="3"/>
  <c r="V7" i="1"/>
  <c r="V6" i="1"/>
  <c r="V8" i="1"/>
  <c r="V10" i="1"/>
  <c r="V9" i="1"/>
  <c r="U7" i="1"/>
  <c r="U6" i="1"/>
  <c r="U10" i="1"/>
  <c r="U8" i="1"/>
  <c r="U9" i="1"/>
  <c r="T16" i="1"/>
  <c r="T10" i="1"/>
  <c r="T8" i="1"/>
  <c r="T7" i="1"/>
  <c r="T9" i="1"/>
  <c r="S9" i="1"/>
  <c r="S7" i="1"/>
  <c r="S8" i="1"/>
  <c r="S10" i="1"/>
  <c r="S6" i="1"/>
  <c r="F5" i="3"/>
  <c r="F9" i="3"/>
  <c r="R6" i="1"/>
  <c r="R7" i="1"/>
  <c r="R9" i="1"/>
  <c r="R8" i="1"/>
  <c r="R10" i="1"/>
  <c r="F6" i="3"/>
  <c r="F10" i="3"/>
  <c r="F8" i="3"/>
  <c r="F17" i="3" s="1"/>
  <c r="F7" i="3"/>
  <c r="P6" i="1"/>
  <c r="P7" i="1"/>
  <c r="P9" i="1"/>
  <c r="P8" i="1"/>
  <c r="P10" i="1"/>
  <c r="I10" i="1"/>
  <c r="I8" i="1"/>
  <c r="I7" i="1"/>
  <c r="I9" i="1"/>
  <c r="I6" i="1"/>
  <c r="I11" i="1"/>
  <c r="I18" i="3"/>
  <c r="F14" i="3"/>
  <c r="H13" i="3"/>
  <c r="H18" i="3" s="1"/>
  <c r="J18" i="3"/>
  <c r="AJ18" i="1" l="1"/>
  <c r="AA18" i="1"/>
  <c r="S18" i="1"/>
  <c r="I9" i="3"/>
  <c r="AH13" i="1"/>
  <c r="AC13" i="1"/>
  <c r="AC18" i="1" s="1"/>
  <c r="AB13" i="1"/>
  <c r="AB18" i="1" s="1"/>
  <c r="K13" i="1"/>
  <c r="K18" i="1" s="1"/>
  <c r="AK18" i="1"/>
  <c r="AF13" i="1"/>
  <c r="J13" i="1"/>
  <c r="J18" i="1" s="1"/>
  <c r="D18" i="3" s="1"/>
  <c r="AD13" i="1"/>
  <c r="Z13" i="1"/>
  <c r="Z18" i="1" s="1"/>
  <c r="Y13" i="1"/>
  <c r="Y18" i="1" s="1"/>
  <c r="X13" i="1"/>
  <c r="X18" i="1" s="1"/>
  <c r="V13" i="1"/>
  <c r="T13" i="1"/>
  <c r="T18" i="1" s="1"/>
  <c r="AI13" i="1"/>
  <c r="AI18" i="1" s="1"/>
  <c r="AH18" i="1"/>
  <c r="W18" i="1"/>
  <c r="I13" i="1"/>
  <c r="I18" i="1" s="1"/>
  <c r="F13" i="1"/>
  <c r="C13" i="3" s="1"/>
  <c r="AG13" i="1"/>
  <c r="AG18" i="1" s="1"/>
  <c r="AE13" i="1"/>
  <c r="AE18" i="1" s="1"/>
  <c r="AD18" i="1"/>
  <c r="O13" i="1"/>
  <c r="O18" i="1" s="1"/>
  <c r="M18" i="1"/>
  <c r="U13" i="1"/>
  <c r="U18" i="1" s="1"/>
  <c r="E13" i="1"/>
  <c r="AF18" i="1"/>
  <c r="V18" i="1"/>
  <c r="G13" i="3"/>
  <c r="G18" i="3" s="1"/>
  <c r="R13" i="1"/>
  <c r="F13" i="3" s="1"/>
  <c r="F18" i="3" s="1"/>
  <c r="G14" i="3"/>
  <c r="P13" i="1"/>
  <c r="P18" i="1" s="1"/>
  <c r="Q13" i="1"/>
  <c r="Q18" i="1" s="1"/>
  <c r="L13" i="1"/>
  <c r="L18" i="1" s="1"/>
  <c r="E18" i="1"/>
  <c r="F18" i="1"/>
  <c r="C18" i="3" s="1"/>
  <c r="N13" i="1"/>
  <c r="D13" i="3"/>
  <c r="R18" i="1" l="1"/>
  <c r="N18" i="1"/>
  <c r="E18" i="3" s="1"/>
  <c r="E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Martini</author>
  </authors>
  <commentList>
    <comment ref="A11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Fabiana Martini:</t>
        </r>
        <r>
          <rPr>
            <sz val="9"/>
            <color indexed="81"/>
            <rFont val="Segoe UI"/>
            <charset val="1"/>
          </rPr>
          <t xml:space="preserve">
acumulado</t>
        </r>
      </text>
    </comment>
  </commentList>
</comments>
</file>

<file path=xl/sharedStrings.xml><?xml version="1.0" encoding="utf-8"?>
<sst xmlns="http://schemas.openxmlformats.org/spreadsheetml/2006/main" count="384" uniqueCount="161">
  <si>
    <t>Ativo Total</t>
  </si>
  <si>
    <t>Listagem em Bolsas</t>
  </si>
  <si>
    <t>Código </t>
  </si>
  <si>
    <t>Quantidade</t>
  </si>
  <si>
    <t>Destaques Operacionais</t>
  </si>
  <si>
    <t>2005 - Consolidado</t>
  </si>
  <si>
    <t>2004 - Consolidado</t>
  </si>
  <si>
    <t>2T07</t>
  </si>
  <si>
    <t>1T07</t>
  </si>
  <si>
    <t>3T07</t>
  </si>
  <si>
    <t>4T07</t>
  </si>
  <si>
    <t>Destaques Financeiros - (Em milhares de  R$)</t>
  </si>
  <si>
    <t>  - Receita Líquida Consolidada</t>
  </si>
  <si>
    <r>
      <t xml:space="preserve">  - Receita Bruta Total </t>
    </r>
    <r>
      <rPr>
        <sz val="8"/>
        <color indexed="8"/>
        <rFont val="Arial"/>
        <family val="2"/>
      </rPr>
      <t>(Sem eliminação vendas entre empresas)</t>
    </r>
  </si>
  <si>
    <t>  - Lucro Bruto Consolidado</t>
  </si>
  <si>
    <t>EBITDA Consolidado</t>
  </si>
  <si>
    <t>  - Margem EBITDA Consolidada (%)</t>
  </si>
  <si>
    <t>  - Lucro Consolidado por Ação (R$/Ação)</t>
  </si>
  <si>
    <t>  - Dívida Líquida Consolidada</t>
  </si>
  <si>
    <t>  - Dívida Líquida  / (EBITDA UDM*) - Consolidados</t>
  </si>
  <si>
    <t>  - Dívida Líquida / Patrimônio Líquido - Consolidados</t>
  </si>
  <si>
    <t>* Últimos Doze Meses</t>
  </si>
  <si>
    <t>RAPT3, RAPT4</t>
  </si>
  <si>
    <t xml:space="preserve"> - ON</t>
  </si>
  <si>
    <t xml:space="preserve"> - PN</t>
  </si>
  <si>
    <t xml:space="preserve"> - Total</t>
  </si>
  <si>
    <t xml:space="preserve"> - Capital Social (Em Milhares de Reais)</t>
  </si>
  <si>
    <t>2006 - Consolidado</t>
  </si>
  <si>
    <t>2007 - Consolidado</t>
  </si>
  <si>
    <t>Lucro Líquido Consolidado</t>
  </si>
  <si>
    <t>Patrimônio Líquido Consolidado</t>
  </si>
  <si>
    <t>  - Semi-Reboques/Reboques Randon Controladora (un.)</t>
  </si>
  <si>
    <t>  - Semi-Reboques/Reboques Randon Argentina (un.)</t>
  </si>
  <si>
    <t>  - Veículos Especiais (un.)</t>
  </si>
  <si>
    <t>  - Materiais de Fricção (ton.)</t>
  </si>
  <si>
    <t>Volumes Físicos Faturados</t>
  </si>
  <si>
    <t>  - Freios S-Came/Z-Came/Quadraulic (un.)</t>
  </si>
  <si>
    <t>  - Aparelhos de Levantamento (un.)</t>
  </si>
  <si>
    <t>  - Quinta-Roda (un.)</t>
  </si>
  <si>
    <t>  - Suspensões (un.)</t>
  </si>
  <si>
    <t>  - Cubos/Tambores (un.)</t>
  </si>
  <si>
    <t>Bovespa (Bolsa de Valores de São Paulo)</t>
  </si>
  <si>
    <t>1T08</t>
  </si>
  <si>
    <t>  - Vagões (un.)</t>
  </si>
  <si>
    <t>2T08</t>
  </si>
  <si>
    <t>  - Semi-Reboques/Reboques Randon SP (un.)</t>
  </si>
  <si>
    <t>3T08</t>
  </si>
  <si>
    <t>4T08</t>
  </si>
  <si>
    <t>2008 - Consolidado</t>
  </si>
  <si>
    <t>1T09</t>
  </si>
  <si>
    <r>
      <t xml:space="preserve">(*) </t>
    </r>
    <r>
      <rPr>
        <sz val="8"/>
        <rFont val="Calibri"/>
        <family val="2"/>
      </rPr>
      <t>Estas unidades representam apenas transferências inter-company entre unidade Caxias e SP. Com a transformação da Unidade SP de filial para controlada, as unidades que até então saiam da empresa com nota de transferência passaram a ser faturadas e portanto contemplando a estatística de faturamento. No entanto se referem apenas a transferências de produtos entre Caxias e SP e vice-versa. Sendo assim estamos adequamos a estatística e procedendo abertura destes números para melhor entendimento.</t>
    </r>
  </si>
  <si>
    <t>2T09</t>
  </si>
  <si>
    <t>  - Dívida Líquida Consolidada - Instituições Financeiras</t>
  </si>
  <si>
    <t xml:space="preserve">             Implementos - Transf. Caxias/SP (*)</t>
  </si>
  <si>
    <t>3T09</t>
  </si>
  <si>
    <t>4T09</t>
  </si>
  <si>
    <t>2009 - Consolidado</t>
  </si>
  <si>
    <t>1T2010</t>
  </si>
  <si>
    <t>Veículos e Implementos</t>
  </si>
  <si>
    <t>Veículos Rebocados (un.)</t>
  </si>
  <si>
    <t>Veículos Especiais (un.)</t>
  </si>
  <si>
    <t>Vagões (un.)</t>
  </si>
  <si>
    <t>Autopeças</t>
  </si>
  <si>
    <t>Freios (un.)</t>
  </si>
  <si>
    <t>Sistemas de Acoplamento (un.)</t>
  </si>
  <si>
    <t>Sistemas de Suspensão e Rodagem (un.)</t>
  </si>
  <si>
    <t>Fundidos (ton.)</t>
  </si>
  <si>
    <t>Cotas de Consórcio Vendidas</t>
  </si>
  <si>
    <r>
      <t xml:space="preserve">(*) </t>
    </r>
    <r>
      <rPr>
        <sz val="8"/>
        <rFont val="Calibri"/>
        <family val="2"/>
      </rPr>
      <t>Estas unidades representam apenas transferências inter-company entre unidade Caxias e SP. Com a transformação da Unidade SP de filial para controlada, as unidades que até então saiam da empresa com nota de transferência passaram a ser faturadas e portanto contemplando a estatística de faturamento. No entanto se referem apenas a transferências de produtos entre Caxias e SP e vice-versa. Sendo assim estamos adequamos a estatística e procedendo abertura destes números para melhor entendimento.</t>
    </r>
  </si>
  <si>
    <t>-</t>
  </si>
  <si>
    <t>2T2010</t>
  </si>
  <si>
    <t>3T2010</t>
  </si>
  <si>
    <t>2010 - Consolidado</t>
  </si>
  <si>
    <t>  - Dívida Líquida / Patrimônio Líquido</t>
  </si>
  <si>
    <t xml:space="preserve">   Patrimonio Líquido</t>
  </si>
  <si>
    <t xml:space="preserve">   Participação Acionistas não controladores</t>
  </si>
  <si>
    <t>Serviços Financeiros</t>
  </si>
  <si>
    <t>4T2010</t>
  </si>
  <si>
    <t>Materiais e fricção (ton.) *</t>
  </si>
  <si>
    <t>1T2011</t>
  </si>
  <si>
    <t>2T2011</t>
  </si>
  <si>
    <t>IFRS</t>
  </si>
  <si>
    <t>3T2011</t>
  </si>
  <si>
    <t>4T2011</t>
  </si>
  <si>
    <t>2011 - Consolidado</t>
  </si>
  <si>
    <t>1T2012</t>
  </si>
  <si>
    <t>2T2012</t>
  </si>
  <si>
    <t>3T2012</t>
  </si>
  <si>
    <t>4T2012</t>
  </si>
  <si>
    <t>2012 - Consolidado</t>
  </si>
  <si>
    <t>1T2013</t>
  </si>
  <si>
    <t>2T2013</t>
  </si>
  <si>
    <t xml:space="preserve">     A partir de 2010 a empresa mudou a forma de apresentação, visando adequar as informações à divisão da empresa por segmento de atuação. </t>
  </si>
  <si>
    <t xml:space="preserve">    * A partir de 2010 passou a ser considerado também as toneladas faturadas das controladas da Fras-le.</t>
  </si>
  <si>
    <t>3T2013</t>
  </si>
  <si>
    <t>4T2013</t>
  </si>
  <si>
    <t>2013 - Consolidado</t>
  </si>
  <si>
    <t>1T2014</t>
  </si>
  <si>
    <t>2T2014</t>
  </si>
  <si>
    <t>3T2014</t>
  </si>
  <si>
    <t>4T2014</t>
  </si>
  <si>
    <t>2014 - Consolidado</t>
  </si>
  <si>
    <t>1T2015</t>
  </si>
  <si>
    <t>2T2015</t>
  </si>
  <si>
    <t>3T2015</t>
  </si>
  <si>
    <t>4T2015</t>
  </si>
  <si>
    <t>2015 - Consolidado</t>
  </si>
  <si>
    <t>1T2016</t>
  </si>
  <si>
    <t>2T2016</t>
  </si>
  <si>
    <t>Destaques Financeiros - (Em milhares de R$)</t>
  </si>
  <si>
    <t>Ações</t>
  </si>
  <si>
    <t>3T2016</t>
  </si>
  <si>
    <t>  - Resultado Líquido Consolidado</t>
  </si>
  <si>
    <t>4T2016</t>
  </si>
  <si>
    <t>2016 - Consolidado</t>
  </si>
  <si>
    <t>1T2017</t>
  </si>
  <si>
    <t>2T2017</t>
  </si>
  <si>
    <t>3T2017</t>
  </si>
  <si>
    <t>4T2017</t>
  </si>
  <si>
    <t>2017 - Consolidado</t>
  </si>
  <si>
    <t>1T2018</t>
  </si>
  <si>
    <t>2T2018</t>
  </si>
  <si>
    <t>3T2018</t>
  </si>
  <si>
    <t>4T2018</t>
  </si>
  <si>
    <t>2018 - Consolidado</t>
  </si>
  <si>
    <t>1T2019</t>
  </si>
  <si>
    <t>2T2019</t>
  </si>
  <si>
    <t>3T2019</t>
  </si>
  <si>
    <t>4T2019</t>
  </si>
  <si>
    <t>2019 - Consolidado</t>
  </si>
  <si>
    <t xml:space="preserve"> </t>
  </si>
  <si>
    <t>1T2020</t>
  </si>
  <si>
    <t xml:space="preserve">Materiais de fricção (un.) </t>
  </si>
  <si>
    <t>Produtos diversos Fras-le (un.)</t>
  </si>
  <si>
    <t>2T2020</t>
  </si>
  <si>
    <t>3T2020</t>
  </si>
  <si>
    <t>4T2020</t>
  </si>
  <si>
    <t>2020 - Consolidado</t>
  </si>
  <si>
    <t>1T2021</t>
  </si>
  <si>
    <t>2T2021</t>
  </si>
  <si>
    <t>3T2021</t>
  </si>
  <si>
    <t>2021 - Consolidado</t>
  </si>
  <si>
    <t>4T2021</t>
  </si>
  <si>
    <t>1T2022</t>
  </si>
  <si>
    <t xml:space="preserve">A partir do 1T10 a empresa mudou a forma de apresentação, visando adequar as informações à divisão da empresa por segmento de atuação. </t>
  </si>
  <si>
    <t>Componentes Sistemas de Freio (mil/un.)</t>
  </si>
  <si>
    <t>Comp. Sist. Suspensão, Direção e Powertrain (mil/un.)</t>
  </si>
  <si>
    <t>Fundição e Usinagem (ton.)</t>
  </si>
  <si>
    <t>Eixos e Supensões (un.)</t>
  </si>
  <si>
    <t>Eixos e Supensões (un.) Atualizado</t>
  </si>
  <si>
    <t>Cubo e Tabor (un.)</t>
  </si>
  <si>
    <t>Cubo e Tabor (un.) Atualizado</t>
  </si>
  <si>
    <t>Montadora</t>
  </si>
  <si>
    <t>Autopeças Veículos Comerciais</t>
  </si>
  <si>
    <t>Controle de Movimentos Veículos Comerciais e Leves</t>
  </si>
  <si>
    <t>Serviços Financeiros e Digtais</t>
  </si>
  <si>
    <t>Linhas em vermelho, números reportados até 2021.</t>
  </si>
  <si>
    <t>2T2022</t>
  </si>
  <si>
    <t>3T2022</t>
  </si>
  <si>
    <t>4T2022</t>
  </si>
  <si>
    <t>2022 -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</si>
</sst>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#,##0.00000_);\(#,##0.00000\)"/>
    <numFmt numFmtId="168" formatCode="_(* #,##0_);_(* \(#,##0\);_(* &quot;-&quot;??_);_(@_)"/>
  </numFmts>
  <fonts count="4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color indexed="30"/>
      <name val="Arial"/>
      <family val="2"/>
    </font>
    <font>
      <b/>
      <sz val="10"/>
      <color indexed="30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color indexed="8"/>
      <name val="Verdana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6F93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537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right" wrapText="1"/>
    </xf>
    <xf numFmtId="37" fontId="12" fillId="2" borderId="1" xfId="0" applyNumberFormat="1" applyFont="1" applyFill="1" applyBorder="1" applyAlignment="1">
      <alignment horizontal="right" wrapText="1"/>
    </xf>
    <xf numFmtId="39" fontId="10" fillId="2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wrapText="1"/>
    </xf>
    <xf numFmtId="3" fontId="10" fillId="0" borderId="0" xfId="0" applyNumberFormat="1" applyFont="1"/>
    <xf numFmtId="3" fontId="15" fillId="2" borderId="1" xfId="0" applyNumberFormat="1" applyFont="1" applyFill="1" applyBorder="1" applyAlignment="1">
      <alignment horizontal="right" wrapText="1"/>
    </xf>
    <xf numFmtId="3" fontId="15" fillId="2" borderId="0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center" wrapText="1"/>
    </xf>
    <xf numFmtId="168" fontId="23" fillId="4" borderId="0" xfId="2" applyNumberFormat="1" applyFont="1" applyFill="1" applyBorder="1" applyAlignment="1">
      <alignment horizontal="right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right" wrapText="1"/>
    </xf>
    <xf numFmtId="0" fontId="26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3" fontId="28" fillId="2" borderId="1" xfId="0" applyNumberFormat="1" applyFont="1" applyFill="1" applyBorder="1" applyAlignment="1">
      <alignment wrapText="1"/>
    </xf>
    <xf numFmtId="0" fontId="28" fillId="2" borderId="1" xfId="0" applyFont="1" applyFill="1" applyBorder="1" applyAlignment="1">
      <alignment wrapText="1"/>
    </xf>
    <xf numFmtId="3" fontId="28" fillId="2" borderId="1" xfId="0" applyNumberFormat="1" applyFont="1" applyFill="1" applyBorder="1" applyAlignment="1">
      <alignment horizontal="right" wrapText="1"/>
    </xf>
    <xf numFmtId="3" fontId="28" fillId="5" borderId="1" xfId="0" applyNumberFormat="1" applyFont="1" applyFill="1" applyBorder="1" applyAlignment="1">
      <alignment wrapText="1"/>
    </xf>
    <xf numFmtId="0" fontId="29" fillId="2" borderId="0" xfId="0" applyFont="1" applyFill="1"/>
    <xf numFmtId="0" fontId="30" fillId="4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indent="1"/>
    </xf>
    <xf numFmtId="2" fontId="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0" xfId="0" applyBorder="1"/>
    <xf numFmtId="165" fontId="23" fillId="4" borderId="0" xfId="1" applyNumberFormat="1" applyFont="1" applyFill="1" applyBorder="1" applyAlignment="1">
      <alignment horizontal="right"/>
    </xf>
    <xf numFmtId="3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 wrapText="1"/>
    </xf>
    <xf numFmtId="3" fontId="32" fillId="5" borderId="0" xfId="0" applyNumberFormat="1" applyFont="1" applyFill="1" applyAlignment="1">
      <alignment horizontal="right"/>
    </xf>
    <xf numFmtId="0" fontId="33" fillId="0" borderId="0" xfId="0" applyFont="1"/>
    <xf numFmtId="0" fontId="32" fillId="5" borderId="0" xfId="0" applyFont="1" applyFill="1" applyAlignment="1">
      <alignment horizontal="right"/>
    </xf>
    <xf numFmtId="3" fontId="18" fillId="2" borderId="1" xfId="0" applyNumberFormat="1" applyFont="1" applyFill="1" applyBorder="1" applyAlignment="1">
      <alignment horizontal="right" wrapText="1"/>
    </xf>
    <xf numFmtId="10" fontId="10" fillId="2" borderId="1" xfId="1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right" vertical="center"/>
    </xf>
    <xf numFmtId="0" fontId="33" fillId="0" borderId="0" xfId="0" applyFont="1" applyBorder="1"/>
    <xf numFmtId="0" fontId="3" fillId="2" borderId="0" xfId="0" applyFont="1" applyFill="1" applyAlignment="1">
      <alignment horizontal="center"/>
    </xf>
    <xf numFmtId="3" fontId="11" fillId="2" borderId="1" xfId="0" applyNumberFormat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168" fontId="4" fillId="2" borderId="1" xfId="2" applyNumberFormat="1" applyFont="1" applyFill="1" applyBorder="1" applyAlignment="1">
      <alignment wrapText="1"/>
    </xf>
    <xf numFmtId="3" fontId="32" fillId="0" borderId="0" xfId="0" applyNumberFormat="1" applyFont="1" applyFill="1" applyAlignment="1">
      <alignment horizontal="right"/>
    </xf>
    <xf numFmtId="168" fontId="32" fillId="0" borderId="0" xfId="2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64" fontId="4" fillId="2" borderId="1" xfId="2" applyFont="1" applyFill="1" applyBorder="1" applyAlignment="1">
      <alignment wrapText="1"/>
    </xf>
    <xf numFmtId="164" fontId="11" fillId="2" borderId="1" xfId="2" applyFont="1" applyFill="1" applyBorder="1" applyAlignment="1">
      <alignment wrapText="1"/>
    </xf>
    <xf numFmtId="164" fontId="14" fillId="2" borderId="1" xfId="2" applyFont="1" applyFill="1" applyBorder="1" applyAlignment="1">
      <alignment wrapText="1"/>
    </xf>
    <xf numFmtId="3" fontId="34" fillId="5" borderId="0" xfId="0" applyNumberFormat="1" applyFont="1" applyFill="1" applyAlignment="1">
      <alignment horizontal="right"/>
    </xf>
    <xf numFmtId="0" fontId="34" fillId="5" borderId="0" xfId="0" applyFont="1" applyFill="1" applyAlignment="1">
      <alignment horizontal="right"/>
    </xf>
    <xf numFmtId="0" fontId="24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right" vertical="center"/>
    </xf>
    <xf numFmtId="0" fontId="35" fillId="2" borderId="0" xfId="0" applyFont="1" applyFill="1"/>
    <xf numFmtId="0" fontId="24" fillId="4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right" wrapText="1"/>
    </xf>
    <xf numFmtId="164" fontId="11" fillId="0" borderId="1" xfId="2" applyFont="1" applyFill="1" applyBorder="1" applyAlignment="1">
      <alignment wrapText="1"/>
    </xf>
    <xf numFmtId="164" fontId="14" fillId="0" borderId="1" xfId="2" applyFont="1" applyFill="1" applyBorder="1" applyAlignment="1">
      <alignment wrapText="1"/>
    </xf>
    <xf numFmtId="164" fontId="4" fillId="0" borderId="1" xfId="2" applyFont="1" applyFill="1" applyBorder="1" applyAlignment="1">
      <alignment wrapText="1"/>
    </xf>
    <xf numFmtId="168" fontId="3" fillId="2" borderId="0" xfId="2" applyNumberFormat="1" applyFont="1" applyFill="1"/>
    <xf numFmtId="168" fontId="25" fillId="3" borderId="1" xfId="2" applyNumberFormat="1" applyFont="1" applyFill="1" applyBorder="1" applyAlignment="1">
      <alignment wrapText="1"/>
    </xf>
    <xf numFmtId="168" fontId="26" fillId="2" borderId="1" xfId="2" applyNumberFormat="1" applyFont="1" applyFill="1" applyBorder="1" applyAlignment="1">
      <alignment wrapText="1"/>
    </xf>
    <xf numFmtId="168" fontId="28" fillId="2" borderId="1" xfId="2" applyNumberFormat="1" applyFont="1" applyFill="1" applyBorder="1" applyAlignment="1">
      <alignment wrapText="1"/>
    </xf>
    <xf numFmtId="168" fontId="29" fillId="2" borderId="0" xfId="2" applyNumberFormat="1" applyFont="1" applyFill="1"/>
    <xf numFmtId="168" fontId="36" fillId="0" borderId="0" xfId="2" applyNumberFormat="1" applyFont="1" applyFill="1" applyBorder="1" applyAlignment="1">
      <alignment horizontal="left" indent="1"/>
    </xf>
    <xf numFmtId="168" fontId="37" fillId="5" borderId="0" xfId="2" applyNumberFormat="1" applyFont="1" applyFill="1" applyAlignment="1">
      <alignment horizontal="left" indent="1"/>
    </xf>
    <xf numFmtId="168" fontId="37" fillId="0" borderId="0" xfId="2" applyNumberFormat="1" applyFont="1" applyAlignment="1">
      <alignment horizontal="left" indent="1"/>
    </xf>
    <xf numFmtId="168" fontId="33" fillId="0" borderId="0" xfId="2" applyNumberFormat="1" applyFont="1"/>
    <xf numFmtId="168" fontId="14" fillId="2" borderId="1" xfId="2" applyNumberFormat="1" applyFont="1" applyFill="1" applyBorder="1" applyAlignment="1">
      <alignment horizontal="right" wrapText="1"/>
    </xf>
    <xf numFmtId="168" fontId="20" fillId="2" borderId="1" xfId="2" applyNumberFormat="1" applyFont="1" applyFill="1" applyBorder="1" applyAlignment="1">
      <alignment horizontal="right" wrapText="1"/>
    </xf>
    <xf numFmtId="38" fontId="20" fillId="2" borderId="1" xfId="0" applyNumberFormat="1" applyFont="1" applyFill="1" applyBorder="1" applyAlignment="1">
      <alignment wrapText="1"/>
    </xf>
    <xf numFmtId="168" fontId="37" fillId="8" borderId="0" xfId="2" applyNumberFormat="1" applyFont="1" applyFill="1" applyBorder="1" applyAlignment="1">
      <alignment horizontal="left" indent="1"/>
    </xf>
    <xf numFmtId="168" fontId="35" fillId="0" borderId="0" xfId="2" applyNumberFormat="1" applyFont="1" applyFill="1" applyBorder="1" applyAlignment="1">
      <alignment horizontal="right"/>
    </xf>
    <xf numFmtId="168" fontId="24" fillId="6" borderId="0" xfId="2" applyNumberFormat="1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 vertical="center"/>
    </xf>
    <xf numFmtId="168" fontId="24" fillId="4" borderId="0" xfId="2" applyNumberFormat="1" applyFont="1" applyFill="1" applyBorder="1" applyAlignment="1">
      <alignment horizontal="right" vertical="center"/>
    </xf>
    <xf numFmtId="3" fontId="36" fillId="5" borderId="0" xfId="0" applyNumberFormat="1" applyFont="1" applyFill="1" applyBorder="1" applyAlignment="1">
      <alignment horizontal="right"/>
    </xf>
    <xf numFmtId="168" fontId="36" fillId="5" borderId="0" xfId="2" applyNumberFormat="1" applyFont="1" applyFill="1" applyBorder="1" applyAlignment="1">
      <alignment horizontal="right"/>
    </xf>
    <xf numFmtId="3" fontId="35" fillId="5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8" fontId="36" fillId="0" borderId="0" xfId="2" applyNumberFormat="1" applyFont="1" applyFill="1" applyBorder="1" applyAlignment="1">
      <alignment horizontal="right"/>
    </xf>
    <xf numFmtId="168" fontId="37" fillId="5" borderId="0" xfId="2" applyNumberFormat="1" applyFont="1" applyFill="1" applyAlignment="1">
      <alignment horizontal="right"/>
    </xf>
    <xf numFmtId="168" fontId="35" fillId="5" borderId="0" xfId="2" applyNumberFormat="1" applyFont="1" applyFill="1" applyBorder="1" applyAlignment="1">
      <alignment horizontal="right"/>
    </xf>
    <xf numFmtId="168" fontId="37" fillId="0" borderId="0" xfId="2" applyNumberFormat="1" applyFont="1" applyAlignment="1">
      <alignment horizontal="right"/>
    </xf>
    <xf numFmtId="168" fontId="37" fillId="8" borderId="0" xfId="2" applyNumberFormat="1" applyFont="1" applyFill="1" applyAlignment="1">
      <alignment horizontal="right"/>
    </xf>
    <xf numFmtId="168" fontId="37" fillId="8" borderId="0" xfId="2" applyNumberFormat="1" applyFont="1" applyFill="1" applyBorder="1" applyAlignment="1">
      <alignment horizontal="right"/>
    </xf>
    <xf numFmtId="168" fontId="35" fillId="8" borderId="0" xfId="2" applyNumberFormat="1" applyFont="1" applyFill="1" applyBorder="1" applyAlignment="1">
      <alignment horizontal="right"/>
    </xf>
    <xf numFmtId="168" fontId="37" fillId="0" borderId="0" xfId="2" applyNumberFormat="1" applyFont="1" applyFill="1" applyAlignment="1">
      <alignment horizontal="right"/>
    </xf>
    <xf numFmtId="0" fontId="35" fillId="0" borderId="0" xfId="0" applyFont="1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 wrapText="1"/>
    </xf>
    <xf numFmtId="165" fontId="5" fillId="2" borderId="1" xfId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168" fontId="11" fillId="2" borderId="1" xfId="2" applyNumberFormat="1" applyFont="1" applyFill="1" applyBorder="1" applyAlignment="1">
      <alignment horizontal="right" wrapText="1"/>
    </xf>
    <xf numFmtId="38" fontId="38" fillId="2" borderId="1" xfId="0" applyNumberFormat="1" applyFont="1" applyFill="1" applyBorder="1" applyAlignment="1">
      <alignment horizontal="right" wrapText="1"/>
    </xf>
    <xf numFmtId="38" fontId="11" fillId="2" borderId="1" xfId="0" applyNumberFormat="1" applyFont="1" applyFill="1" applyBorder="1" applyAlignment="1">
      <alignment horizontal="right" wrapText="1"/>
    </xf>
    <xf numFmtId="168" fontId="11" fillId="0" borderId="1" xfId="2" applyNumberFormat="1" applyFont="1" applyFill="1" applyBorder="1" applyAlignment="1">
      <alignment horizontal="right" wrapText="1"/>
    </xf>
    <xf numFmtId="38" fontId="14" fillId="2" borderId="1" xfId="0" applyNumberFormat="1" applyFont="1" applyFill="1" applyBorder="1" applyAlignment="1">
      <alignment horizontal="right" wrapText="1"/>
    </xf>
    <xf numFmtId="38" fontId="20" fillId="2" borderId="1" xfId="0" applyNumberFormat="1" applyFont="1" applyFill="1" applyBorder="1" applyAlignment="1">
      <alignment horizontal="right" wrapText="1"/>
    </xf>
    <xf numFmtId="168" fontId="4" fillId="2" borderId="1" xfId="2" applyNumberFormat="1" applyFont="1" applyFill="1" applyBorder="1" applyAlignment="1">
      <alignment horizontal="right" wrapText="1"/>
    </xf>
    <xf numFmtId="40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3" fontId="4" fillId="5" borderId="1" xfId="0" applyNumberFormat="1" applyFont="1" applyFill="1" applyBorder="1" applyAlignment="1">
      <alignment horizontal="right" wrapText="1"/>
    </xf>
    <xf numFmtId="3" fontId="4" fillId="5" borderId="1" xfId="0" applyNumberFormat="1" applyFont="1" applyFill="1" applyBorder="1" applyAlignment="1">
      <alignment wrapText="1"/>
    </xf>
    <xf numFmtId="3" fontId="4" fillId="0" borderId="0" xfId="0" applyNumberFormat="1" applyFont="1"/>
    <xf numFmtId="37" fontId="11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167" fontId="4" fillId="2" borderId="1" xfId="0" applyNumberFormat="1" applyFont="1" applyFill="1" applyBorder="1" applyAlignment="1">
      <alignment horizontal="right" wrapText="1"/>
    </xf>
    <xf numFmtId="37" fontId="38" fillId="0" borderId="1" xfId="0" applyNumberFormat="1" applyFont="1" applyFill="1" applyBorder="1" applyAlignment="1">
      <alignment horizontal="right" wrapText="1"/>
    </xf>
    <xf numFmtId="37" fontId="11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39" fontId="4" fillId="2" borderId="1" xfId="0" applyNumberFormat="1" applyFont="1" applyFill="1" applyBorder="1" applyAlignment="1">
      <alignment horizontal="right" wrapText="1"/>
    </xf>
    <xf numFmtId="168" fontId="3" fillId="2" borderId="0" xfId="0" applyNumberFormat="1" applyFont="1" applyFill="1"/>
    <xf numFmtId="164" fontId="3" fillId="2" borderId="0" xfId="0" applyNumberFormat="1" applyFont="1" applyFill="1"/>
    <xf numFmtId="2" fontId="3" fillId="2" borderId="0" xfId="0" applyNumberFormat="1" applyFont="1" applyFill="1"/>
    <xf numFmtId="164" fontId="4" fillId="2" borderId="1" xfId="2" applyNumberFormat="1" applyFont="1" applyFill="1" applyBorder="1" applyAlignment="1">
      <alignment horizontal="right" wrapText="1"/>
    </xf>
    <xf numFmtId="3" fontId="36" fillId="5" borderId="0" xfId="0" applyNumberFormat="1" applyFont="1" applyFill="1" applyBorder="1" applyAlignment="1">
      <alignment horizontal="right" indent="1"/>
    </xf>
    <xf numFmtId="3" fontId="36" fillId="0" borderId="0" xfId="0" applyNumberFormat="1" applyFont="1" applyFill="1" applyBorder="1" applyAlignment="1">
      <alignment horizontal="right" indent="1"/>
    </xf>
    <xf numFmtId="168" fontId="37" fillId="5" borderId="0" xfId="2" applyNumberFormat="1" applyFont="1" applyFill="1" applyAlignment="1">
      <alignment horizontal="right" indent="1"/>
    </xf>
    <xf numFmtId="168" fontId="37" fillId="0" borderId="0" xfId="2" applyNumberFormat="1" applyFont="1" applyAlignment="1">
      <alignment horizontal="right" indent="1"/>
    </xf>
    <xf numFmtId="168" fontId="37" fillId="8" borderId="0" xfId="2" applyNumberFormat="1" applyFont="1" applyFill="1" applyBorder="1" applyAlignment="1">
      <alignment horizontal="right" indent="1"/>
    </xf>
    <xf numFmtId="38" fontId="11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8" fontId="11" fillId="2" borderId="1" xfId="2" applyNumberFormat="1" applyFont="1" applyFill="1" applyBorder="1" applyAlignment="1">
      <alignment wrapText="1"/>
    </xf>
    <xf numFmtId="38" fontId="14" fillId="2" borderId="1" xfId="0" applyNumberFormat="1" applyFont="1" applyFill="1" applyBorder="1" applyAlignment="1">
      <alignment wrapText="1"/>
    </xf>
    <xf numFmtId="168" fontId="11" fillId="0" borderId="1" xfId="2" applyNumberFormat="1" applyFont="1" applyFill="1" applyBorder="1" applyAlignment="1">
      <alignment wrapText="1"/>
    </xf>
    <xf numFmtId="40" fontId="4" fillId="2" borderId="1" xfId="0" applyNumberFormat="1" applyFont="1" applyFill="1" applyBorder="1" applyAlignment="1">
      <alignment wrapText="1"/>
    </xf>
    <xf numFmtId="164" fontId="3" fillId="2" borderId="0" xfId="2" applyFont="1" applyFill="1"/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36" fillId="5" borderId="0" xfId="0" applyFont="1" applyFill="1" applyBorder="1" applyAlignment="1">
      <alignment horizontal="right" indent="1"/>
    </xf>
    <xf numFmtId="0" fontId="35" fillId="2" borderId="0" xfId="0" applyFont="1" applyFill="1" applyAlignment="1">
      <alignment horizontal="right"/>
    </xf>
    <xf numFmtId="0" fontId="36" fillId="0" borderId="0" xfId="0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wrapText="1"/>
    </xf>
    <xf numFmtId="40" fontId="4" fillId="0" borderId="1" xfId="0" applyNumberFormat="1" applyFont="1" applyFill="1" applyBorder="1" applyAlignment="1">
      <alignment wrapText="1"/>
    </xf>
    <xf numFmtId="168" fontId="37" fillId="0" borderId="0" xfId="2" applyNumberFormat="1" applyFont="1" applyFill="1" applyAlignment="1">
      <alignment horizontal="left" indent="1"/>
    </xf>
    <xf numFmtId="168" fontId="37" fillId="0" borderId="0" xfId="2" applyNumberFormat="1" applyFont="1" applyFill="1" applyAlignment="1">
      <alignment horizontal="right" indent="1"/>
    </xf>
    <xf numFmtId="168" fontId="37" fillId="0" borderId="0" xfId="2" applyNumberFormat="1" applyFont="1" applyFill="1" applyBorder="1" applyAlignment="1">
      <alignment horizontal="right" indent="1"/>
    </xf>
    <xf numFmtId="168" fontId="37" fillId="0" borderId="0" xfId="2" applyNumberFormat="1" applyFont="1" applyFill="1" applyBorder="1" applyAlignment="1">
      <alignment horizontal="left" indent="1"/>
    </xf>
    <xf numFmtId="0" fontId="40" fillId="0" borderId="0" xfId="0" applyFont="1"/>
    <xf numFmtId="3" fontId="41" fillId="5" borderId="0" xfId="0" applyNumberFormat="1" applyFont="1" applyFill="1" applyBorder="1" applyAlignment="1">
      <alignment horizontal="right" indent="1"/>
    </xf>
    <xf numFmtId="0" fontId="42" fillId="0" borderId="0" xfId="0" applyFont="1"/>
    <xf numFmtId="168" fontId="4" fillId="0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wrapText="1"/>
    </xf>
    <xf numFmtId="38" fontId="11" fillId="0" borderId="1" xfId="0" applyNumberFormat="1" applyFont="1" applyFill="1" applyBorder="1" applyAlignment="1">
      <alignment wrapText="1"/>
    </xf>
    <xf numFmtId="38" fontId="14" fillId="0" borderId="1" xfId="0" applyNumberFormat="1" applyFont="1" applyFill="1" applyBorder="1" applyAlignment="1">
      <alignment wrapText="1"/>
    </xf>
    <xf numFmtId="168" fontId="36" fillId="0" borderId="0" xfId="2" applyNumberFormat="1" applyFont="1" applyFill="1" applyBorder="1" applyAlignment="1">
      <alignment horizontal="right" indent="1"/>
    </xf>
    <xf numFmtId="0" fontId="39" fillId="0" borderId="0" xfId="0" applyFont="1" applyAlignment="1">
      <alignment horizontal="left" vertical="top"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9" fillId="9" borderId="5" xfId="0" applyFont="1" applyFill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8" fillId="2" borderId="0" xfId="0" applyFont="1" applyFill="1" applyAlignment="1">
      <alignment wrapText="1"/>
    </xf>
    <xf numFmtId="0" fontId="9" fillId="2" borderId="0" xfId="0" applyFont="1" applyFill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1876425</xdr:colOff>
      <xdr:row>22</xdr:row>
      <xdr:rowOff>66675</xdr:rowOff>
    </xdr:to>
    <xdr:pic>
      <xdr:nvPicPr>
        <xdr:cNvPr id="2795" name="Picture 5">
          <a:extLst>
            <a:ext uri="{FF2B5EF4-FFF2-40B4-BE49-F238E27FC236}">
              <a16:creationId xmlns:a16="http://schemas.microsoft.com/office/drawing/2014/main" id="{784E810E-476D-419A-863D-2D1F8DD9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28575</xdr:colOff>
      <xdr:row>4</xdr:row>
      <xdr:rowOff>19050</xdr:rowOff>
    </xdr:from>
    <xdr:to>
      <xdr:col>51</xdr:col>
      <xdr:colOff>0</xdr:colOff>
      <xdr:row>16</xdr:row>
      <xdr:rowOff>171450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A15C0D0-877F-4B50-BBBE-D1D606D1592A}"/>
            </a:ext>
          </a:extLst>
        </xdr:cNvPr>
        <xdr:cNvCxnSpPr/>
      </xdr:nvCxnSpPr>
      <xdr:spPr>
        <a:xfrm>
          <a:off x="2571750" y="781050"/>
          <a:ext cx="10001250" cy="2438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2</xdr:row>
      <xdr:rowOff>57150</xdr:rowOff>
    </xdr:to>
    <xdr:pic>
      <xdr:nvPicPr>
        <xdr:cNvPr id="1450" name="Picture 7">
          <a:extLst>
            <a:ext uri="{FF2B5EF4-FFF2-40B4-BE49-F238E27FC236}">
              <a16:creationId xmlns:a16="http://schemas.microsoft.com/office/drawing/2014/main" id="{4ACD6B8E-0177-464E-835F-6762B025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2</xdr:row>
      <xdr:rowOff>57150</xdr:rowOff>
    </xdr:to>
    <xdr:pic>
      <xdr:nvPicPr>
        <xdr:cNvPr id="4848" name="Picture 7">
          <a:extLst>
            <a:ext uri="{FF2B5EF4-FFF2-40B4-BE49-F238E27FC236}">
              <a16:creationId xmlns:a16="http://schemas.microsoft.com/office/drawing/2014/main" id="{582F3BBE-A3AC-47E7-B271-569B70BF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19</xdr:row>
      <xdr:rowOff>47625</xdr:rowOff>
    </xdr:from>
    <xdr:to>
      <xdr:col>16</xdr:col>
      <xdr:colOff>0</xdr:colOff>
      <xdr:row>32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B8E9013-AD83-4D75-830A-53371C566C2E}"/>
            </a:ext>
          </a:extLst>
        </xdr:cNvPr>
        <xdr:cNvCxnSpPr/>
      </xdr:nvCxnSpPr>
      <xdr:spPr>
        <a:xfrm>
          <a:off x="3267075" y="3667125"/>
          <a:ext cx="6057900" cy="2428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2</xdr:row>
      <xdr:rowOff>57150</xdr:rowOff>
    </xdr:to>
    <xdr:pic>
      <xdr:nvPicPr>
        <xdr:cNvPr id="3495" name="Picture 5">
          <a:extLst>
            <a:ext uri="{FF2B5EF4-FFF2-40B4-BE49-F238E27FC236}">
              <a16:creationId xmlns:a16="http://schemas.microsoft.com/office/drawing/2014/main" id="{2FCF5363-5131-4E4D-888A-1DE7F07B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22/3T22/1_Tabela_de_Numeros_3T22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RI\Relatorios\Relatorios_Trimestrais\Release\2019\4T19\1_Tabela_de_Numeros_4T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19/3T19/1_Tabela_de_Numeros_3T2019_v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19/2T19/1_Tabela_de_Numeros_2T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RI\Relatorios\Relatorios_Trimestrais\Release\2019\1T19\1_Tabela_de_Numeros_1T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MERC/Relatorios%20RI/Relat&#243;rios%20Trimestrais/2018/4T2018/1_Tabela%20de%20N&#250;meros_4T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orios%20RI\Relat&#243;rios%20Trimestrais\2018\3T2018\1_Tabela%20de%20N&#250;meros_3T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MERC\Relat&#243;rios%20Trimestrais\2018\2T2018\Tabela%20de%20N&#250;meros%202T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MERC\Relat&#243;rios%20Trimestrais\2018\1T2018\Tabela%20de%20N&#250;meros%201T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Relat&#243;rios%20Trimestrais/2017/4T2017/Tabela%20de%20N&#250;meros%204T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7\3T2017\Tabela%20de%20N&#250;meros%203T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22/1T22/1_Tabela_de_Numeros_1T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7\2T2017\Tabela%20de%20N&#250;meros%202T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7\1T2017\Tabela%20de%20N&#250;meros%201T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4T2016\Tabela%20de%20N&#250;meros%204T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3T2016\Tabela%20de%20N&#250;meros%203T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2T2016\Tabela%20de%20N&#250;meros%202T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Relat&#243;rios%20Trimestrais/2016/1T2016/Tabela%20de%20N&#250;meros%201T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Relat&#243;rios%20Trimestrais/2015/4T2015/Tabela%20de%20N&#250;meros%204T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Relat&#243;rios%20Trimestrais/2015/3T2015/Tabela%20de%20N&#250;meros%203T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2T2015\Tabela%20de%20N&#250;meros%202T20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1T2015\Tabela%20de%20N&#250;meros%201T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21/4T21/1_Tabela_de_Numeros_4T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4T2014\Tabela%20de%20N&#250;meros%204T201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3T2014\Tabela%20de%20N&#250;meros%203T20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2T2014\Tabela%20de%20N&#250;meros%202T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Relat&#243;rios%20Trimestrais/2014/1T2014/Tabela%20de%20N&#250;meros%201T201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3\4T%202013%20-%20Relat&#243;rio%20Dezembro%20de%202013\Tabela%20de%20N&#250;meros%204T201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orios%20RI\Relat&#243;rios%20Trimestrais\2018\2T2018\Tabela%20de%20N&#250;meros%202T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2/09-%20Bal.%20Cons.%20Setembro%202022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2/03-%20Bal.%20Cons.%20Mar&#231;o%202022.xlsb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1/12-%20Bal.%20Cons.%20Dezembro%202021%20-%20V2%20Oficial%20(sem%20v&#237;nculos).xlsb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Mensais\Informacoes_Contabeis\Balan&#231;os\2021\06-%20Bal.%20Cons.%20Junho%20202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Trimestrais\Release\2021\2T21\1_Tabela_de_Numeros_2T202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Mensais\Informacoes_Contabeis\Balan&#231;os\2021\03-%20Bal.%20Cons.%20Mar&#231;o%202021.xlsb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Mensais\Informacoes_Contabeis\Balan&#231;os\2020\12-%20Bal.%20Cons.%20Dezembro%202020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Mensais\Informacoes_Contabeis\Balan&#231;os\2020\09-%20Bal.%20Cons.%20Setembro%202020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Mensais\Informacoes_Contabeis\Balan&#231;os\2020\06-%20Bal.%20Cons.%20Junho%202020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0/03-%20Bal.%20Cons.%20Mar&#231;o%202020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19/12_Bal_Cons_Dezembro_2019.xlsb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19/09_Bal_Cons_Setembro_2019.xlsb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19/06_Bal_Cons_Junho_2019.xlsb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19/03_Bal_Cons_Mar&#231;o_2019.xlsb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MERC/aCAROLINE/Financeiro/Balan&#231;os/2018/12-%20Bal.%20Cons.%20Dezembro%202018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Trimestrais\Release\2021\1T21\1_Tabela_de_Numeros_1T2021_DCB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/PUBMERC/aCAROLINE/Financeiro/Balan&#231;os/2018/09-%20Bal.%20Cons.%20Setembro%202018.xlsb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aCAROLINE\Financeiro\Balan&#231;os\2018\06-%20Bal.%20Cons.%20Junho%202018%20(003)%20(Altera&#231;&#227;o%20BAL%20impostos%20recuperar).xlsb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MERC\aCAROLINE\Financeiro\Balan&#231;os\2018\03-%20Bal.%20Cons.%20Mar&#231;o%202018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aCAROLINE\Financeiro\Balan&#231;os\2017\12-%20Bal.%20Cons.%20Dezembro%202017%20(pr&#233;via).xlsb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7\2T2017\Dem%20Junho2017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7\1T2017\Dem%20Mar&#231;o2017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4T2016\Dem%20Dezembro2016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3T2016\Dem%20Setembro2016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2T2016\Dem%20Junho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6\1T2016\Dem%20Mar&#231;o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Trimestrais\Release\2020\4T20\1_Tabela_de_Numeros_4T2020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4T2015\Dem%20Dezembro2015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3T2015\Dem%20Setembro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2T2015\Dem%20Junho2015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5\1t2015\Dem%20Mar&#231;o2015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4t2014\Dem%20Dezembro%202014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3T2014\Dem%20Setembro%202014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1/12-%20Bal.%20Cons.%20Dezembro%202021.xlsb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7\2T2017\Graficos%202T2017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7\1T2017\Graficos%201T2017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7\4T16%20e%202016\Graficos%204T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Trimestrais\Release\2020\3T20\1_Tabela_de_Numeros_3T2020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6\2T2016\Graficos%202T2016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6\1T2016\Graficos%201T2016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6\Resultados%202015%20e%204T2015\Graficos%204T2015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5\3T2015\Graficos%203T2015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5\2T2015\Graficos%202T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5\Resultados%201T2015\Graficos%201T2015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Teleconfer&#234;ncias\2015\Resultados%202014%20e%204T2014\Graficos%204T2014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MERC\PUBMERC\Relat&#243;rios%20Trimestrais\2014\4T2014\Dem%20Dezembro2014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Trimestrais/Release/2022/4T22/1_Tabela_de_Numeros_4T22%20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olding/MERC/PubRI/Relatorios/Relatorios_Mensais/Informacoes_Contabeis/Balan&#231;os/2022/12-%20Bal.%20Cons.%20Dezembro%202022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H-FS-12\Holding$\MERC\PubRI\Relatorios\Relatorios_Trimestrais\Release\2020\2T20\1_Tabela_de_Numeros_2T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ndon.com.br\empresasrandon\Holding\MERC\PubRI\Relatorios\Relatorios_Trimestrais\Release\2020\1_Tabela_de_Numeros_1T2020_gr&#225;ficos%20no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Mercado"/>
      <sheetName val="RL Consolidada"/>
      <sheetName val="G.RL por Vertical"/>
      <sheetName val="Mercado Externo"/>
      <sheetName val="G.ME"/>
      <sheetName val="CPV"/>
      <sheetName val="Despesas Operacionais"/>
      <sheetName val="EBITDA"/>
      <sheetName val="G.EBITDA"/>
      <sheetName val="Resultado Financeiro"/>
      <sheetName val="Resultado Líquido"/>
      <sheetName val="G.Resultado Líquido"/>
      <sheetName val="FCF"/>
      <sheetName val="Investimentos"/>
      <sheetName val="Dívida"/>
      <sheetName val="G.Dívida"/>
      <sheetName val="Montadora"/>
      <sheetName val="G.Montadora"/>
      <sheetName val="Autopeças"/>
      <sheetName val="G.Autopeças"/>
      <sheetName val="Controle de Mov."/>
      <sheetName val="G.Controle de Mov."/>
      <sheetName val="Serviços"/>
      <sheetName val="G.Serviços"/>
      <sheetName val="Tecnol. Av. e HQ"/>
      <sheetName val="Consolidado"/>
      <sheetName val="G.Tecnol. Av. e HQ "/>
      <sheetName val="DRE Consolidado"/>
      <sheetName val="DRE por Vertical"/>
      <sheetName val="DRE Trimestral"/>
    </sheetNames>
    <sheetDataSet>
      <sheetData sheetId="0" refreshError="1"/>
      <sheetData sheetId="1">
        <row r="232">
          <cell r="N232">
            <v>3055829.9494636566</v>
          </cell>
        </row>
        <row r="234">
          <cell r="N234">
            <v>742422.90027765278</v>
          </cell>
        </row>
        <row r="243">
          <cell r="N243">
            <v>419260.63900844171</v>
          </cell>
        </row>
        <row r="256">
          <cell r="N256">
            <v>147679.65638948217</v>
          </cell>
        </row>
        <row r="263">
          <cell r="N263">
            <v>0.13720025195840108</v>
          </cell>
        </row>
        <row r="267">
          <cell r="N267">
            <v>4386741.5692924773</v>
          </cell>
        </row>
        <row r="272">
          <cell r="N272">
            <v>3257928.6771058054</v>
          </cell>
        </row>
        <row r="274">
          <cell r="N274">
            <v>2.2600336275651101</v>
          </cell>
        </row>
      </sheetData>
      <sheetData sheetId="2">
        <row r="14">
          <cell r="C14">
            <v>0.44940387672389082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IFRS 16"/>
      <sheetName val="Mercado Externo"/>
      <sheetName val="Despesas Operacionais"/>
      <sheetName val="EBITDA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DRE por Segmento"/>
      <sheetName val="DRE Trimestral"/>
      <sheetName val="Perfomance de Ações"/>
      <sheetName val="Market Cap"/>
    </sheetNames>
    <sheetDataSet>
      <sheetData sheetId="0"/>
      <sheetData sheetId="1">
        <row r="144">
          <cell r="P144">
            <v>1285323.4592716375</v>
          </cell>
          <cell r="Q144">
            <v>5092364.6892459542</v>
          </cell>
        </row>
        <row r="146">
          <cell r="P146">
            <v>304172.11885436153</v>
          </cell>
          <cell r="Q146">
            <v>1258862.9719336503</v>
          </cell>
        </row>
        <row r="154">
          <cell r="P154">
            <v>160620.17589416957</v>
          </cell>
          <cell r="Q154">
            <v>690716.9756345842</v>
          </cell>
        </row>
        <row r="168">
          <cell r="P168">
            <v>52873.921262728334</v>
          </cell>
          <cell r="Q168">
            <v>247616.53974979051</v>
          </cell>
        </row>
        <row r="175">
          <cell r="P175">
            <v>0.12496478978543599</v>
          </cell>
          <cell r="Q175">
            <v>0.13563776708554257</v>
          </cell>
        </row>
        <row r="179">
          <cell r="P179">
            <v>1806026.7745983205</v>
          </cell>
          <cell r="Q179">
            <v>7291686.211902081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Y5">
            <v>867856.85993264965</v>
          </cell>
        </row>
      </sheetData>
      <sheetData sheetId="12"/>
      <sheetData sheetId="13">
        <row r="18">
          <cell r="E18">
            <v>0.72330000000000005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DRE por Segmento"/>
      <sheetName val="Cálculo do % da Receita"/>
      <sheetName val="IFRS 16"/>
      <sheetName val="Vol. Físico Distr. Receita"/>
      <sheetName val="Principais Números"/>
      <sheetName val="Mercado Externo"/>
      <sheetName val="Fat entre Empresas trim"/>
      <sheetName val="Despesas Operacionais"/>
      <sheetName val="DRE Trimestral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EBITDA"/>
      <sheetName val="Perfomance de Ações"/>
      <sheetName val="Market Cap"/>
    </sheetNames>
    <sheetDataSet>
      <sheetData sheetId="0"/>
      <sheetData sheetId="1">
        <row r="144">
          <cell r="N144">
            <v>1371328.8034992947</v>
          </cell>
        </row>
        <row r="146">
          <cell r="N146">
            <v>338604.71533603809</v>
          </cell>
        </row>
        <row r="154">
          <cell r="N154">
            <v>192135.59834863633</v>
          </cell>
        </row>
        <row r="168">
          <cell r="N168">
            <v>78539.149283594714</v>
          </cell>
        </row>
        <row r="175">
          <cell r="N175">
            <v>0.14010906637296133</v>
          </cell>
        </row>
        <row r="179">
          <cell r="N179">
            <v>1975383.5942975793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X5">
            <v>1086675.491300964</v>
          </cell>
        </row>
      </sheetData>
      <sheetData sheetId="13"/>
      <sheetData sheetId="14">
        <row r="18">
          <cell r="E18">
            <v>0.56887340030555222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Mercado Externo"/>
      <sheetName val="Despesas Operacionais"/>
      <sheetName val="DRE Trimestral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IFRS 16"/>
      <sheetName val="DRE por Segmento"/>
      <sheetName val="EBITDA"/>
      <sheetName val="Perfomance de Ações"/>
      <sheetName val="Market Cap"/>
    </sheetNames>
    <sheetDataSet>
      <sheetData sheetId="0"/>
      <sheetData sheetId="1">
        <row r="144">
          <cell r="L144">
            <v>1302121.5510743957</v>
          </cell>
        </row>
        <row r="146">
          <cell r="L146">
            <v>347211.5171192275</v>
          </cell>
        </row>
        <row r="154">
          <cell r="L154">
            <v>203655.25209006789</v>
          </cell>
        </row>
        <row r="168">
          <cell r="L168">
            <v>84538.340471859396</v>
          </cell>
        </row>
        <row r="175">
          <cell r="L175">
            <v>0.15640264299598572</v>
          </cell>
        </row>
        <row r="179">
          <cell r="L179">
            <v>1873903.7727308937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U5">
            <v>1100223.6927437398</v>
          </cell>
          <cell r="W5">
            <v>1164928.5979600004</v>
          </cell>
        </row>
      </sheetData>
      <sheetData sheetId="11"/>
      <sheetData sheetId="12">
        <row r="18">
          <cell r="E18">
            <v>0.34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Mercado Externo"/>
      <sheetName val="Despesas Operacionais"/>
      <sheetName val="DRE Trimestral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IFRS 16"/>
      <sheetName val="DRE por Segmento"/>
      <sheetName val="EBITDA"/>
      <sheetName val="Perfomance de Ações"/>
      <sheetName val="Market Cap"/>
    </sheetNames>
    <sheetDataSet>
      <sheetData sheetId="0"/>
      <sheetData sheetId="1">
        <row r="144">
          <cell r="K144">
            <v>1133590.8754006266</v>
          </cell>
        </row>
        <row r="146">
          <cell r="K146">
            <v>268874.62062402332</v>
          </cell>
        </row>
        <row r="154">
          <cell r="K154">
            <v>134305.94930171041</v>
          </cell>
        </row>
        <row r="168">
          <cell r="K168">
            <v>31665.128731608049</v>
          </cell>
        </row>
        <row r="175">
          <cell r="K175">
            <v>0.1184783260135583</v>
          </cell>
        </row>
        <row r="179">
          <cell r="K179">
            <v>1636372.0702752876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V5">
            <v>1201443.9651027499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DRE por Segmento"/>
      <sheetName val="DRE Consolidado"/>
      <sheetName val="DRE Trimestral"/>
      <sheetName val="Exportações"/>
      <sheetName val="Desempenho Comparativo"/>
      <sheetName val="Investimentos"/>
      <sheetName val="EBITDA"/>
      <sheetName val="Dívida"/>
      <sheetName val="Dívida Líquida Sem Banco sem aj"/>
      <sheetName val="Result Financ Líquido"/>
      <sheetName val="Fat entre Empresas trim"/>
      <sheetName val="Vol. Físico Distr. Receita"/>
      <sheetName val="Perfomance de Ações"/>
    </sheetNames>
    <sheetDataSet>
      <sheetData sheetId="0"/>
      <sheetData sheetId="1">
        <row r="144">
          <cell r="P144">
            <v>1212226.9876029759</v>
          </cell>
        </row>
        <row r="146">
          <cell r="P146">
            <v>279479.48338310054</v>
          </cell>
        </row>
        <row r="154">
          <cell r="P154">
            <v>124614.2087936868</v>
          </cell>
        </row>
        <row r="168">
          <cell r="P168">
            <v>35434.865354581656</v>
          </cell>
        </row>
        <row r="175">
          <cell r="P175">
            <v>0.10279775163238652</v>
          </cell>
        </row>
        <row r="179">
          <cell r="P179">
            <v>1696804.7478822332</v>
          </cell>
        </row>
      </sheetData>
      <sheetData sheetId="2">
        <row r="2">
          <cell r="E2">
            <v>6044161.3100464232</v>
          </cell>
        </row>
        <row r="6">
          <cell r="E6">
            <v>4262602.1179362312</v>
          </cell>
        </row>
        <row r="7">
          <cell r="E7">
            <v>1012514.3815346304</v>
          </cell>
        </row>
        <row r="9">
          <cell r="E9">
            <v>151718.5646524592</v>
          </cell>
        </row>
        <row r="11">
          <cell r="E11">
            <v>559818.75375612802</v>
          </cell>
        </row>
        <row r="12">
          <cell r="E12">
            <v>0.13133263163374215</v>
          </cell>
        </row>
      </sheetData>
      <sheetData sheetId="3"/>
      <sheetData sheetId="4"/>
      <sheetData sheetId="5"/>
      <sheetData sheetId="6"/>
      <sheetData sheetId="7">
        <row r="18">
          <cell r="E18">
            <v>0.44</v>
          </cell>
        </row>
      </sheetData>
      <sheetData sheetId="8">
        <row r="19">
          <cell r="W19">
            <v>137440.09268999999</v>
          </cell>
        </row>
      </sheetData>
      <sheetData sheetId="9"/>
      <sheetData sheetId="10">
        <row r="5">
          <cell r="U5">
            <v>1100223.6927437398</v>
          </cell>
        </row>
      </sheetData>
      <sheetData sheetId="11"/>
      <sheetData sheetId="12"/>
      <sheetData sheetId="13"/>
      <sheetData sheetId="14"/>
      <sheetData sheetId="15">
        <row r="18">
          <cell r="C18">
            <v>17.193132502040815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DRE por Segmento"/>
      <sheetName val="DRE Consolidado"/>
      <sheetName val="DRE Trimestral"/>
      <sheetName val="Exportações"/>
      <sheetName val="Desempenho Comparativo"/>
      <sheetName val="Investimentos"/>
      <sheetName val="EBITDA"/>
      <sheetName val="Dívida"/>
      <sheetName val="Dívida Líquida Sem Banco sem aj"/>
      <sheetName val="Result Financ Líquido"/>
      <sheetName val="Fat entre Empresas trim"/>
      <sheetName val="Vol. Físico Distr. Receita"/>
    </sheetNames>
    <sheetDataSet>
      <sheetData sheetId="0" refreshError="1"/>
      <sheetData sheetId="1" refreshError="1">
        <row r="144">
          <cell r="N144">
            <v>1109873.0719063072</v>
          </cell>
        </row>
        <row r="146">
          <cell r="N146">
            <v>272273.9326551311</v>
          </cell>
        </row>
        <row r="154">
          <cell r="N154">
            <v>149418.31683398402</v>
          </cell>
        </row>
        <row r="168">
          <cell r="N168">
            <v>41650.317735805496</v>
          </cell>
        </row>
        <row r="175">
          <cell r="N175">
            <v>0.13462649073676919</v>
          </cell>
        </row>
        <row r="179">
          <cell r="N179">
            <v>1597273.8791076541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T5">
            <v>896596.91154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 (2)"/>
      <sheetName val="Vol. Físico Distr. Receita"/>
      <sheetName val="Fat entre Empresas trim"/>
      <sheetName val="Fat entre Empresas ano"/>
      <sheetName val="Gráfico Exportações"/>
      <sheetName val="Graf Expo"/>
      <sheetName val="Exportações"/>
      <sheetName val="Operações no Exterior"/>
      <sheetName val="EBITDA"/>
      <sheetName val="Ebitda não recorrentes"/>
      <sheetName val="EBITDA Gráfico"/>
      <sheetName val="LL Gráfico"/>
      <sheetName val="LB Gráfico"/>
      <sheetName val="Dívida Líquida Sem Banco"/>
      <sheetName val="GRAF EBITDA"/>
      <sheetName val="GRAF LL"/>
      <sheetName val="DRE Consolidado"/>
      <sheetName val="Dívida"/>
      <sheetName val="Dívida Líquida Sem Banco sem aj"/>
      <sheetName val="Desempenho Comparativo"/>
      <sheetName val="DRE Ajustado (2)"/>
      <sheetName val="Investimentos"/>
      <sheetName val="DRE Consolidado Segmento"/>
      <sheetName val="DRE ACUM Segmento "/>
      <sheetName val="Lucro Bruto"/>
      <sheetName val="Result Financ Líquido"/>
      <sheetName val="DRE Trimestral"/>
      <sheetName val="Mercado"/>
    </sheetNames>
    <sheetDataSet>
      <sheetData sheetId="0" refreshError="1">
        <row r="5">
          <cell r="C5">
            <v>1450576.1273897726</v>
          </cell>
        </row>
        <row r="9">
          <cell r="C9">
            <v>1018862.7684143081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 entre Empresas trim"/>
      <sheetName val="Fat entre Empresas ano"/>
      <sheetName val="Gráfico Exportações"/>
      <sheetName val="Exportações"/>
      <sheetName val="Operações no Exterior"/>
      <sheetName val="EBITDA"/>
      <sheetName val="Ebitda não recorrentes"/>
      <sheetName val="EBITDA Gráfico"/>
      <sheetName val="LL Gráfico"/>
      <sheetName val="LB Gráfico"/>
      <sheetName val="Dívida Líquida Sem Banco"/>
      <sheetName val="Dívida"/>
      <sheetName val="Dívida Líquida Sem Banco sem aj"/>
      <sheetName val="Desempenho Comparativo"/>
      <sheetName val="DRE Ajustado (2)"/>
      <sheetName val="Investimentos"/>
      <sheetName val="DRE Consolidado"/>
      <sheetName val="DRE Consolidado Segmento"/>
      <sheetName val="DRE ACUM Segmento "/>
      <sheetName val="Result Financ Líquido"/>
      <sheetName val="Performance das ações"/>
      <sheetName val="Vol. Físico Distr. Receita (2)"/>
      <sheetName val="Graf Expo"/>
      <sheetName val="GRAF EBITDA"/>
      <sheetName val="GRAF LL"/>
      <sheetName val="Lucro Bruto"/>
      <sheetName val="Mercado"/>
      <sheetName val="Plan1"/>
    </sheetNames>
    <sheetDataSet>
      <sheetData sheetId="0" refreshError="1">
        <row r="5">
          <cell r="C5">
            <v>1299506.5556667636</v>
          </cell>
        </row>
        <row r="9">
          <cell r="C9">
            <v>921639.29001263948</v>
          </cell>
        </row>
        <row r="10">
          <cell r="C10">
            <v>217097.58730079699</v>
          </cell>
        </row>
        <row r="12">
          <cell r="C12">
            <v>43194.713524332372</v>
          </cell>
        </row>
        <row r="14">
          <cell r="C14">
            <v>159497.53997875797</v>
          </cell>
        </row>
        <row r="15">
          <cell r="C15">
            <v>0.17305852919591849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 entre Empresas trim"/>
      <sheetName val="Fat entre Empresas ano"/>
      <sheetName val="Gráfico Exportações"/>
      <sheetName val="Exportações"/>
      <sheetName val="Operações no Exterior"/>
      <sheetName val="EBITDA"/>
      <sheetName val="Ebitda não recorrentes"/>
      <sheetName val="EBITDA Gráfico"/>
      <sheetName val="LL Gráfico"/>
      <sheetName val="LB Gráfico"/>
      <sheetName val="Dívida Líquida Sem Banco"/>
      <sheetName val="Dívida"/>
      <sheetName val="Dívida Líquida Sem Banco sem aj"/>
      <sheetName val="Desempenho Comparativo"/>
      <sheetName val="DRE Ajustado (2)"/>
      <sheetName val="Investimentos"/>
      <sheetName val="DRE Consolidado"/>
      <sheetName val="DRE Consolidado Segmento"/>
      <sheetName val="DRE ACUM Segmento "/>
      <sheetName val="Result Financ Líquido"/>
      <sheetName val="Performance das ações"/>
    </sheetNames>
    <sheetDataSet>
      <sheetData sheetId="0" refreshError="1">
        <row r="5">
          <cell r="C5">
            <v>1223088.6197251442</v>
          </cell>
          <cell r="F5">
            <v>4215629.81573937</v>
          </cell>
        </row>
        <row r="9">
          <cell r="C9">
            <v>853212.73560620239</v>
          </cell>
          <cell r="F9">
            <v>2936758.6459645783</v>
          </cell>
        </row>
        <row r="10">
          <cell r="C10">
            <v>202867.41073382593</v>
          </cell>
          <cell r="F10">
            <v>697004.3382949963</v>
          </cell>
        </row>
        <row r="12">
          <cell r="C12">
            <v>3574.6091574029997</v>
          </cell>
          <cell r="F12">
            <v>46711.890079520155</v>
          </cell>
        </row>
        <row r="14">
          <cell r="C14">
            <v>78372.482734309262</v>
          </cell>
          <cell r="F14">
            <v>308227.60798898496</v>
          </cell>
        </row>
        <row r="15">
          <cell r="C15">
            <v>9.1855734758373123E-2</v>
          </cell>
          <cell r="F15">
            <v>0.1049550355159498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4">
          <cell r="Q34">
            <v>532481.24302621966</v>
          </cell>
        </row>
      </sheetData>
      <sheetData sheetId="14" refreshError="1"/>
      <sheetData sheetId="15" refreshError="1">
        <row r="18">
          <cell r="F18">
            <v>0.13645259647207802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1">
          <cell r="C21">
            <v>1432243293.1500001</v>
          </cell>
        </row>
        <row r="22">
          <cell r="C22">
            <v>475816146.0733155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uramento entre Empresas"/>
      <sheetName val="Gráfico Exportações"/>
      <sheetName val="Exportações"/>
      <sheetName val="Operações no Exterior"/>
      <sheetName val="EBITDA"/>
      <sheetName val="Ebitda não recorrentes"/>
      <sheetName val="EBITDA Gráfico"/>
      <sheetName val="LL Gráfico"/>
      <sheetName val="LB Gráfico"/>
      <sheetName val="Dívida"/>
      <sheetName val="Dívida Líquida Sem Banco"/>
      <sheetName val="Dívida Líquida Sem Banco sem aj"/>
      <sheetName val="Desempenho Comparativo"/>
      <sheetName val="Investimentos"/>
      <sheetName val="DRE Ajustado (2)"/>
      <sheetName val="DRE Consolidado"/>
      <sheetName val="DRE Consolidado Segmento"/>
      <sheetName val="DRE ACUM Segmento "/>
      <sheetName val="Result Financ Líquido"/>
      <sheetName val="Performance das ações"/>
    </sheetNames>
    <sheetDataSet>
      <sheetData sheetId="0" refreshError="1">
        <row r="5">
          <cell r="C5">
            <v>1116812.258709372</v>
          </cell>
        </row>
        <row r="9">
          <cell r="C9">
            <v>773703.00343532464</v>
          </cell>
        </row>
        <row r="10">
          <cell r="C10">
            <v>193760.36940824616</v>
          </cell>
        </row>
        <row r="12">
          <cell r="C12">
            <v>22570.695531318874</v>
          </cell>
        </row>
        <row r="14">
          <cell r="C14">
            <v>94746.792830326172</v>
          </cell>
        </row>
        <row r="15">
          <cell r="C15">
            <v>0.12245886652842268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4">
          <cell r="O34">
            <v>568991.13888535497</v>
          </cell>
          <cell r="P34">
            <v>521369.55807615066</v>
          </cell>
          <cell r="Q34">
            <v>532481.24302621966</v>
          </cell>
        </row>
      </sheetData>
      <sheetData sheetId="12" refreshError="1"/>
      <sheetData sheetId="13" refreshError="1"/>
      <sheetData sheetId="14" refreshError="1">
        <row r="18">
          <cell r="C18"/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Gráficos Release"/>
      <sheetName val="Principais Números"/>
      <sheetName val="Mercado"/>
      <sheetName val="Receita Líquida Consolidada"/>
      <sheetName val="Gráficos RL por Vertical"/>
      <sheetName val="Mercado Externo"/>
      <sheetName val="Gráficos ME"/>
      <sheetName val="CPV"/>
      <sheetName val="Despesas Operacionais"/>
      <sheetName val="EBITDA"/>
      <sheetName val="Gráfico EBITDA"/>
      <sheetName val="Resultado Financeiro"/>
      <sheetName val="Resultado Líquido"/>
      <sheetName val="Gráfico Resultado Líquido"/>
      <sheetName val="FCF"/>
      <sheetName val="Investimentos"/>
      <sheetName val="Dívida"/>
      <sheetName val="Gráficos Dívida"/>
      <sheetName val="Vertical Montadora"/>
      <sheetName val="Gráficos Montadora"/>
      <sheetName val="Vertical Autopeças VC"/>
      <sheetName val="Gráficos Autopeças"/>
      <sheetName val="Vertical Controle de Movimentos"/>
      <sheetName val="Gráficos Controle de Movimentos"/>
      <sheetName val="Vertical Serviços"/>
      <sheetName val="Gráficos Serviços"/>
      <sheetName val="Vertical Tecnol. Avançada e HQ"/>
      <sheetName val="Consolidado"/>
      <sheetName val="Gráficos V. Tecnol. Avan. e HQ "/>
      <sheetName val="DRE Consolidado"/>
      <sheetName val="DRE Trimestral"/>
      <sheetName val="DRE por Vertical"/>
      <sheetName val="Perfomance de Ações"/>
      <sheetName val="Market Cap"/>
    </sheetNames>
    <sheetDataSet>
      <sheetData sheetId="0"/>
      <sheetData sheetId="1">
        <row r="232">
          <cell r="I232">
            <v>9057456.7179260291</v>
          </cell>
          <cell r="K232">
            <v>2476346.6586342589</v>
          </cell>
        </row>
        <row r="234">
          <cell r="K234">
            <v>644575.04556644778</v>
          </cell>
        </row>
        <row r="242">
          <cell r="K242">
            <v>401349.54306598654</v>
          </cell>
        </row>
        <row r="256">
          <cell r="K256">
            <v>130074.40329637629</v>
          </cell>
        </row>
        <row r="263">
          <cell r="K263">
            <v>0.16207324675913373</v>
          </cell>
        </row>
        <row r="267">
          <cell r="K267">
            <v>3695493.183951884</v>
          </cell>
        </row>
        <row r="272">
          <cell r="K272">
            <v>3129358.156115857</v>
          </cell>
        </row>
        <row r="274">
          <cell r="K274">
            <v>2.2690049089104347</v>
          </cell>
        </row>
      </sheetData>
      <sheetData sheetId="2"/>
      <sheetData sheetId="3">
        <row r="14">
          <cell r="C14">
            <v>0.39496612145699922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uramento entre Empresas"/>
      <sheetName val="Gráfico Exportações"/>
      <sheetName val="Exportações"/>
      <sheetName val="Operações no Exterior"/>
      <sheetName val="EBITDA"/>
      <sheetName val="Ebitda não recorrentes"/>
      <sheetName val="EBITDA Gráfico"/>
      <sheetName val="LL Gráfico"/>
      <sheetName val="Dívida"/>
      <sheetName val="Dívida Líquida Sem Banco"/>
      <sheetName val="Dívida Líquida Sem Banco sem aj"/>
      <sheetName val="Desempenho Comparativo"/>
      <sheetName val="Investimentos"/>
      <sheetName val="DRE Ajustado (2)"/>
      <sheetName val="DRE Consolidado"/>
      <sheetName val="DRE Consolidado Segmento"/>
      <sheetName val="DRE ACUM Segmento "/>
      <sheetName val="Performance das ações"/>
      <sheetName val="Result Financ Líquido"/>
    </sheetNames>
    <sheetDataSet>
      <sheetData sheetId="0" refreshError="1">
        <row r="5">
          <cell r="C5">
            <v>1034240.4563876307</v>
          </cell>
        </row>
        <row r="9">
          <cell r="C9">
            <v>730106.94365737704</v>
          </cell>
        </row>
        <row r="10">
          <cell r="C10">
            <v>181949.08327334726</v>
          </cell>
        </row>
        <row r="12">
          <cell r="C12">
            <v>18987.111219608225</v>
          </cell>
        </row>
        <row r="14">
          <cell r="C14">
            <v>86882.330925012764</v>
          </cell>
        </row>
        <row r="15">
          <cell r="C15">
            <v>0.11899945847629784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8">
          <cell r="C18"/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uramento entre Empresas"/>
      <sheetName val="Gráfico Exportações"/>
      <sheetName val="Exportações"/>
      <sheetName val="Operações no Exterior"/>
      <sheetName val="EBITDA"/>
      <sheetName val="Ebitda não recorrentes"/>
      <sheetName val="EBITDA Gráfico"/>
      <sheetName val="LL Gráfico"/>
      <sheetName val="Dívida"/>
      <sheetName val="Dívida Líquida Sem Banco"/>
      <sheetName val="Desempenho Comparativo"/>
      <sheetName val="Investimentos"/>
      <sheetName val="DRE Ajustado (2)"/>
      <sheetName val="DRE Consolidado"/>
      <sheetName val="DRE Consolidado Segmento"/>
      <sheetName val="DRE Acum. Segmento"/>
      <sheetName val="DRE Acum. Seg (ing)"/>
      <sheetName val="Performance das ações"/>
      <sheetName val="Result Financ Líquido"/>
      <sheetName val="Faturamento entre Empresas Ingl"/>
    </sheetNames>
    <sheetDataSet>
      <sheetData sheetId="0" refreshError="1">
        <row r="5">
          <cell r="C5">
            <v>841488.48091722291</v>
          </cell>
        </row>
        <row r="9">
          <cell r="C9">
            <v>579735.96326567407</v>
          </cell>
        </row>
        <row r="10">
          <cell r="C10">
            <v>118427.47487957693</v>
          </cell>
        </row>
        <row r="12">
          <cell r="C12">
            <v>1579.4741711900606</v>
          </cell>
        </row>
        <row r="14">
          <cell r="C14">
            <v>48226.001499336759</v>
          </cell>
        </row>
        <row r="15">
          <cell r="C15">
            <v>8.3186147755398704E-2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8">
          <cell r="C18"/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uramento entre Empresas"/>
      <sheetName val="Faturamento entre Empresas Ingl"/>
      <sheetName val="Gráfico Exportações"/>
      <sheetName val="Exportações"/>
      <sheetName val="Operações no Exterior"/>
      <sheetName val="EBITDA"/>
      <sheetName val="EBITDA Gráfico"/>
      <sheetName val="LL Gráfico"/>
      <sheetName val="Dívida"/>
      <sheetName val="Dívida Líquida Sem Banco"/>
      <sheetName val="Desempenho Comparativo"/>
      <sheetName val="Investimentos"/>
      <sheetName val="DRE Ajustado (2)"/>
      <sheetName val="DRE Consolidado"/>
      <sheetName val="DRE Consolidado Segmento"/>
      <sheetName val="DRE Cons Seg (Ing)"/>
      <sheetName val="DRE Acum. Segmento"/>
      <sheetName val="Ebitda não recorrentes"/>
      <sheetName val="DRE Acum. Seg (ing)"/>
      <sheetName val="Performance das ações"/>
      <sheetName val="Result Financ Líquido"/>
    </sheetNames>
    <sheetDataSet>
      <sheetData sheetId="0" refreshError="1">
        <row r="5">
          <cell r="C5">
            <v>866780.46505</v>
          </cell>
          <cell r="F5">
            <v>3680156.1647900003</v>
          </cell>
        </row>
        <row r="9">
          <cell r="C9">
            <v>622387.89858892874</v>
          </cell>
          <cell r="F9">
            <v>2623976.3761907071</v>
          </cell>
        </row>
        <row r="10">
          <cell r="C10">
            <v>115474.09326000071</v>
          </cell>
          <cell r="F10">
            <v>520907.38024999975</v>
          </cell>
        </row>
        <row r="12">
          <cell r="C12">
            <v>-48489.756741714598</v>
          </cell>
          <cell r="F12">
            <v>-67204.820392280657</v>
          </cell>
        </row>
        <row r="14">
          <cell r="C14">
            <v>1034.1486200004219</v>
          </cell>
          <cell r="F14">
            <v>142717.17620618112</v>
          </cell>
        </row>
        <row r="15">
          <cell r="C15">
            <v>1.6615821457085409E-3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4">
          <cell r="N34">
            <v>613528.95945999981</v>
          </cell>
        </row>
      </sheetData>
      <sheetData sheetId="11" refreshError="1"/>
      <sheetData sheetId="12" refreshError="1">
        <row r="18">
          <cell r="C18"/>
          <cell r="F18">
            <v>-0.21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"/>
      <sheetName val="Faturamento entre Empresas"/>
      <sheetName val="Faturamento entre Empresas Ingl"/>
      <sheetName val="Gráfico Exportações"/>
      <sheetName val="Exportações"/>
      <sheetName val="Operações no Exterior"/>
      <sheetName val="EBITDA"/>
      <sheetName val="EBITDA Gráfico"/>
      <sheetName val="LL Gráfico"/>
      <sheetName val="Dívida"/>
      <sheetName val="Dívida Líquida Sem Banco"/>
      <sheetName val="Desempenho Comparativo"/>
      <sheetName val="Investimentos"/>
      <sheetName val="DRE Ajustado (2)"/>
      <sheetName val="DRE Consolidado"/>
      <sheetName val="DRE Consolidado Segmento"/>
      <sheetName val="DRE Cons Seg (Ing)"/>
      <sheetName val="DRE Acum. Segmento"/>
      <sheetName val="DRE Acum. Seg (ing)"/>
      <sheetName val="Ebitda não recorrentes"/>
      <sheetName val="Performance das ações"/>
      <sheetName val="Result Financ Líquido"/>
    </sheetNames>
    <sheetDataSet>
      <sheetData sheetId="0" refreshError="1">
        <row r="5">
          <cell r="C5">
            <v>808710.98530000006</v>
          </cell>
        </row>
        <row r="9">
          <cell r="C9">
            <v>570222.41453989502</v>
          </cell>
        </row>
        <row r="10">
          <cell r="C10">
            <v>112049.95206546306</v>
          </cell>
        </row>
        <row r="12">
          <cell r="C12">
            <v>-16026.354174941369</v>
          </cell>
        </row>
        <row r="14">
          <cell r="C14">
            <v>19902.073957301258</v>
          </cell>
        </row>
        <row r="15">
          <cell r="C15">
            <v>3.4902300312694617E-2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4">
          <cell r="M34">
            <v>636639.6695099998</v>
          </cell>
        </row>
      </sheetData>
      <sheetData sheetId="11" refreshError="1"/>
      <sheetData sheetId="12" refreshError="1">
        <row r="18">
          <cell r="C18"/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Operações no Exterior"/>
      <sheetName val="EBITDA"/>
      <sheetName val="EBITDA Grafico"/>
      <sheetName val="LL Grafico"/>
      <sheetName val="Dívida"/>
      <sheetName val="Dívida Líquida Sem Banco"/>
      <sheetName val="Desempenho Comparativo"/>
      <sheetName val="Investimentos"/>
      <sheetName val="DRE Ajustado"/>
      <sheetName val="DRE Ajustado (2)"/>
      <sheetName val="DRE Consolidado"/>
      <sheetName val="DRE Consolidado Segmento"/>
      <sheetName val="DRE Consolidado Segmento Acum."/>
      <sheetName val="DRE Cons Seg (Ing)"/>
      <sheetName val="Ebitda não recorrentes"/>
      <sheetName val="DRE Acum. Segmento"/>
      <sheetName val="DRE Cons Seg Acum. Ingl."/>
      <sheetName val="Desempenho Ações"/>
      <sheetName val="DRE Acum. Segmento (Ing)"/>
      <sheetName val="Desempenho Ações (Ingles)"/>
      <sheetName val="Performance das Ações"/>
      <sheetName val="Result Financ Líquido"/>
      <sheetName val="Plan1"/>
    </sheetNames>
    <sheetDataSet>
      <sheetData sheetId="0" refreshError="1">
        <row r="5">
          <cell r="C5">
            <v>984151.73248000001</v>
          </cell>
        </row>
        <row r="9">
          <cell r="C9">
            <v>696752.20434327808</v>
          </cell>
        </row>
        <row r="10">
          <cell r="C10">
            <v>162365.91078406727</v>
          </cell>
        </row>
        <row r="12">
          <cell r="C12">
            <v>6867.137676855009</v>
          </cell>
        </row>
        <row r="14">
          <cell r="C14">
            <v>75300.259596692296</v>
          </cell>
        </row>
        <row r="15">
          <cell r="C15">
            <v>0.10807322765152405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5">
          <cell r="L35">
            <v>658109.41517999978</v>
          </cell>
        </row>
      </sheetData>
      <sheetData sheetId="16" refreshError="1"/>
      <sheetData sheetId="17" refreshError="1">
        <row r="18">
          <cell r="C18"/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Operações no Exterior"/>
      <sheetName val="EBITDA"/>
      <sheetName val="EBITDA Grafico"/>
      <sheetName val="LL Grafico"/>
      <sheetName val="Dívida"/>
      <sheetName val="Dívida Líquida Sem Banco"/>
      <sheetName val="Desempenho Comparativo"/>
      <sheetName val="Investimentos"/>
      <sheetName val="DRE Ajustado"/>
      <sheetName val="DRE Ajustado (2)"/>
      <sheetName val="Ebitda não recorrentes"/>
      <sheetName val="DRE Consolidado"/>
      <sheetName val="DRE Consolidado Segmento"/>
      <sheetName val="DRE Consolidado Segmento Acum."/>
      <sheetName val="DRE Cons Seg (Ing)"/>
      <sheetName val="DRE Acum. Segmento"/>
      <sheetName val="DRE Cons Seg Acum. Ingl."/>
      <sheetName val="Desempenho Ações"/>
      <sheetName val="DRE Acum. Segmento (Ing)"/>
      <sheetName val="Desempenho Ações (Ingles)"/>
      <sheetName val="Performance das Ações"/>
      <sheetName val="Result Financ Líquido"/>
    </sheetNames>
    <sheetDataSet>
      <sheetData sheetId="0" refreshError="1">
        <row r="5">
          <cell r="C5">
            <v>1020512.98198</v>
          </cell>
        </row>
        <row r="9">
          <cell r="C9">
            <v>734613.85871860536</v>
          </cell>
        </row>
        <row r="10">
          <cell r="C10">
            <v>131017.4241404692</v>
          </cell>
        </row>
        <row r="12">
          <cell r="C12">
            <v>-9555.8471524796969</v>
          </cell>
        </row>
        <row r="14">
          <cell r="C14">
            <v>46480.694032187144</v>
          </cell>
        </row>
        <row r="15">
          <cell r="C15">
            <v>6.3272280369531697E-2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5">
          <cell r="K35">
            <v>1192431.8493661457</v>
          </cell>
        </row>
      </sheetData>
      <sheetData sheetId="16" refreshError="1"/>
      <sheetData sheetId="17" refreshError="1">
        <row r="18">
          <cell r="C18">
            <v>-3.171680737041787E-2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DRE Ajustado (2)"/>
      <sheetName val="EBITDA Grafico"/>
      <sheetName val="LL Grafico"/>
      <sheetName val="Dívida"/>
      <sheetName val="Dívida Líquida Sem Banco"/>
      <sheetName val="Desempenho Comparativo"/>
      <sheetName val="Investimentos"/>
      <sheetName val="DRE Ajustado"/>
      <sheetName val="DRE Consolidado"/>
      <sheetName val="DRE Consolidado Segmento"/>
      <sheetName val="DRE Consolidado Segmento Acum."/>
      <sheetName val="DRE Cons Seg (Ing)"/>
      <sheetName val="Ebitda não recorrentes"/>
      <sheetName val="DRE Acum. Segmento"/>
      <sheetName val="DRE Cons Seg Acum. Ingl."/>
      <sheetName val="Desempenho Ações"/>
      <sheetName val="DRE Acum. Segmento (Ing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1091578.9134200001</v>
          </cell>
          <cell r="F5">
            <v>4236905.3351029996</v>
          </cell>
        </row>
        <row r="9">
          <cell r="C9">
            <v>814872.21187307511</v>
          </cell>
          <cell r="F9">
            <v>3099401.277653215</v>
          </cell>
        </row>
        <row r="10">
          <cell r="C10">
            <v>159086.52999765312</v>
          </cell>
          <cell r="F10">
            <v>640926.75198713446</v>
          </cell>
        </row>
        <row r="12">
          <cell r="C12">
            <v>-20998.955547211262</v>
          </cell>
          <cell r="F12">
            <v>-24628.441359998666</v>
          </cell>
        </row>
        <row r="14">
          <cell r="C14">
            <v>21429.711423151195</v>
          </cell>
          <cell r="F14">
            <v>161878.73969396975</v>
          </cell>
        </row>
        <row r="15">
          <cell r="C15">
            <v>2.6298247885877223E-2</v>
          </cell>
        </row>
      </sheetData>
      <sheetData sheetId="1" refreshError="1"/>
      <sheetData sheetId="2" refreshError="1">
        <row r="6">
          <cell r="C6">
            <v>0.548974663201094</v>
          </cell>
        </row>
        <row r="7">
          <cell r="G7">
            <v>10584</v>
          </cell>
        </row>
        <row r="8">
          <cell r="G8">
            <v>355</v>
          </cell>
        </row>
        <row r="9">
          <cell r="G9">
            <v>1999</v>
          </cell>
        </row>
        <row r="11">
          <cell r="G11">
            <v>69649.383168794317</v>
          </cell>
        </row>
        <row r="12">
          <cell r="G12">
            <v>446065</v>
          </cell>
        </row>
        <row r="13">
          <cell r="G13">
            <v>51613</v>
          </cell>
        </row>
        <row r="14">
          <cell r="G14">
            <v>161231</v>
          </cell>
        </row>
        <row r="15">
          <cell r="G15">
            <v>15066</v>
          </cell>
        </row>
        <row r="17">
          <cell r="G17">
            <v>12643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J7">
            <v>1357268.6440900003</v>
          </cell>
        </row>
      </sheetData>
      <sheetData sheetId="16" refreshError="1"/>
      <sheetData sheetId="17" refreshError="1">
        <row r="5">
          <cell r="C5">
            <v>1091578.9134200001</v>
          </cell>
        </row>
        <row r="18">
          <cell r="C18">
            <v>-6.96976225596114E-2</v>
          </cell>
          <cell r="F18">
            <v>-8.1744247054643282E-2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Ajustado"/>
      <sheetName val="DRE Ajustado (2)"/>
      <sheetName val="DRE Consolidado"/>
      <sheetName val="DRE Consolidado Segmento"/>
      <sheetName val="DRE Consolidado Segmento Acum."/>
      <sheetName val="DRE Cons Seg (Ing)"/>
      <sheetName val="Ebitda não recorrentes"/>
      <sheetName val="DRE Acum. Segmento"/>
      <sheetName val="DRE Cons Seg Acum. Ingl."/>
      <sheetName val="Desempenho Ações"/>
      <sheetName val="DRE Acum. Segmento (Ing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1134789.5784</v>
          </cell>
        </row>
        <row r="9">
          <cell r="C9">
            <v>852979.90767235658</v>
          </cell>
        </row>
        <row r="10">
          <cell r="C10">
            <v>173562.89499126695</v>
          </cell>
        </row>
        <row r="12">
          <cell r="C12">
            <v>-4461.1576606231565</v>
          </cell>
        </row>
        <row r="14">
          <cell r="C14">
            <v>42455.195056030454</v>
          </cell>
        </row>
        <row r="15">
          <cell r="C15">
            <v>4.9772796139927578E-2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I7">
            <v>1446889.1149499991</v>
          </cell>
        </row>
      </sheetData>
      <sheetData sheetId="15" refreshError="1">
        <row r="5">
          <cell r="C5">
            <v>1134789.5784</v>
          </cell>
        </row>
        <row r="18">
          <cell r="C18">
            <v>-1.4807026097558679E-2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Cons Seg (Ing)"/>
      <sheetName val="DRE Acum. Segmento"/>
      <sheetName val="DRE Cons Seg Acum. Ingl."/>
      <sheetName val="Desempenho Ações"/>
      <sheetName val="DRE Acum. Segmento (Ing)"/>
      <sheetName val="Desempenho Ações Novo"/>
      <sheetName val="Desempenho Ações Novo (Inglês)"/>
      <sheetName val="Desempenho Ações (Ingles)"/>
      <sheetName val="Operações no Exterior"/>
      <sheetName val="Performance das Ações"/>
      <sheetName val="Result Financ Líquido"/>
      <sheetName val="Plan1"/>
    </sheetNames>
    <sheetDataSet>
      <sheetData sheetId="0" refreshError="1">
        <row r="5">
          <cell r="C5">
            <v>1015784.934173</v>
          </cell>
        </row>
        <row r="9">
          <cell r="C9">
            <v>734726.56033999985</v>
          </cell>
        </row>
        <row r="10">
          <cell r="C10">
            <v>156282.91674509071</v>
          </cell>
        </row>
        <row r="12">
          <cell r="C12">
            <v>274.47588467950374</v>
          </cell>
        </row>
        <row r="14">
          <cell r="C14">
            <v>47024.706590164809</v>
          </cell>
        </row>
        <row r="15">
          <cell r="C15">
            <v>6.4003003468941971E-2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1270312.7856600001</v>
          </cell>
        </row>
      </sheetData>
      <sheetData sheetId="15" refreshError="1">
        <row r="18">
          <cell r="C18">
            <v>9.1101276771110898E-4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Vol Fís Distr. Receita Inglês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Cons Seg (Ing)"/>
      <sheetName val="DRE Cons Seg Acum. Ingl."/>
      <sheetName val="Desempenho Ações"/>
      <sheetName val="Desempenho Ações Novo"/>
      <sheetName val="Desempenho Ações Novo (Ingles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133806.58585999999</v>
          </cell>
        </row>
        <row r="9">
          <cell r="C9">
            <v>696822.59777489991</v>
          </cell>
        </row>
        <row r="10">
          <cell r="C10">
            <v>151994.41025312233</v>
          </cell>
        </row>
        <row r="12">
          <cell r="C12">
            <v>557.13387999991983</v>
          </cell>
        </row>
        <row r="14">
          <cell r="C14">
            <v>50969.126624623284</v>
          </cell>
        </row>
        <row r="15">
          <cell r="C15">
            <v>7.3145054117616667E-2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7">
          <cell r="C17">
            <v>1.8491827746434336E-3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Gráficos Release"/>
      <sheetName val="Mercado"/>
      <sheetName val="Principais Números"/>
      <sheetName val="Receita Líquida por divisão"/>
      <sheetName val="Mercado Externo"/>
      <sheetName val="Gráficos ME"/>
      <sheetName val="CPV"/>
      <sheetName val="Despesas Operacionais"/>
      <sheetName val="EBITDA."/>
      <sheetName val="EBITDA"/>
      <sheetName val="Result Financ Líquido"/>
      <sheetName val="Lucro Líquido"/>
      <sheetName val="FCF"/>
      <sheetName val="Investimentos nova"/>
      <sheetName val="Investimentos"/>
      <sheetName val="Dívida"/>
      <sheetName val="Dívida Líquida Sem Banco sem aj"/>
      <sheetName val="ROIC"/>
      <sheetName val="Dívida (2)"/>
      <sheetName val="Divisão Montadora"/>
      <sheetName val="Divisão Autopeças"/>
      <sheetName val="Divisão Serviços"/>
      <sheetName val="Vol. Físico Distr. Receita"/>
      <sheetName val="Desempenho Comparativo"/>
      <sheetName val="Cálculo do % da Receita"/>
      <sheetName val="DRE Consolidado"/>
      <sheetName val="DRE Trimestral"/>
      <sheetName val="DRE por Segmento"/>
      <sheetName val="Perfomance de Ações"/>
      <sheetName val="Market Cap"/>
    </sheetNames>
    <sheetDataSet>
      <sheetData sheetId="0"/>
      <sheetData sheetId="1">
        <row r="144">
          <cell r="P144">
            <v>2544488.7535508806</v>
          </cell>
          <cell r="Q144">
            <v>9057885.118636027</v>
          </cell>
        </row>
        <row r="146">
          <cell r="P146">
            <v>596882.83451420302</v>
          </cell>
          <cell r="Q146">
            <v>2268434.4375039903</v>
          </cell>
        </row>
        <row r="154">
          <cell r="P154">
            <v>258831.2833872521</v>
          </cell>
          <cell r="Q154">
            <v>1327310.202294688</v>
          </cell>
        </row>
        <row r="168">
          <cell r="P168">
            <v>153164.29677964555</v>
          </cell>
          <cell r="Q168">
            <v>697875.66445671534</v>
          </cell>
        </row>
        <row r="175">
          <cell r="P175">
            <v>0.10172231377562518</v>
          </cell>
          <cell r="Q175">
            <v>0.14653643592408022</v>
          </cell>
        </row>
        <row r="179">
          <cell r="P179">
            <v>3764615.8037608503</v>
          </cell>
          <cell r="Q179">
            <v>13233767.726491705</v>
          </cell>
        </row>
      </sheetData>
      <sheetData sheetId="2"/>
      <sheetData sheetId="3"/>
      <sheetData sheetId="4">
        <row r="14">
          <cell r="H14">
            <v>2.1190736798665291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6">
          <cell r="C106">
            <v>212815006</v>
          </cell>
        </row>
        <row r="107">
          <cell r="C107">
            <v>116515527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Distribuição Partic. Receita(%)"/>
      <sheetName val="Vol Fís Distr. Receita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DRE Consolidado"/>
      <sheetName val="DRE Acum. Segmento"/>
      <sheetName val="DRE Consolidado Segmento"/>
      <sheetName val="DRE Cons Seg (Ing)"/>
      <sheetName val="EBITDA"/>
      <sheetName val="EBITDA Grafico"/>
      <sheetName val="LL Grafico"/>
      <sheetName val="Dívida"/>
      <sheetName val="Desempenho Comparativo"/>
      <sheetName val="Investimentos"/>
      <sheetName val="DRE Consolidado Segmento Acum."/>
      <sheetName val="DRE Cons Seg Acum. Ingl."/>
      <sheetName val="Desempenho Ações"/>
      <sheetName val="Plan1"/>
      <sheetName val="Desempenho Ações Novo"/>
      <sheetName val="Desempenho Ações Novo (IN)"/>
      <sheetName val="Desempenho Ações (Ingles)"/>
      <sheetName val="Operações no Exterior"/>
      <sheetName val="Performance das Ações"/>
      <sheetName val="Result Financ Líquido"/>
      <sheetName val="Desempenho Ações Novo (2)"/>
    </sheetNames>
    <sheetDataSet>
      <sheetData sheetId="0" refreshError="1">
        <row r="5">
          <cell r="C5">
            <v>1308060.79902</v>
          </cell>
          <cell r="F5">
            <v>5457303.8800400002</v>
          </cell>
        </row>
        <row r="9">
          <cell r="C9">
            <v>911467.25863852457</v>
          </cell>
          <cell r="F9">
            <v>3778752.5188200003</v>
          </cell>
        </row>
        <row r="10">
          <cell r="C10">
            <v>215558.53734821221</v>
          </cell>
          <cell r="F10">
            <v>943006.88910712628</v>
          </cell>
        </row>
        <row r="12">
          <cell r="C12">
            <v>39558.138595785407</v>
          </cell>
          <cell r="F12">
            <v>201956.36955000044</v>
          </cell>
        </row>
        <row r="14">
          <cell r="C14">
            <v>103409.98640658541</v>
          </cell>
          <cell r="F14">
            <v>490462.66420714918</v>
          </cell>
        </row>
        <row r="15">
          <cell r="C15">
            <v>0.11345441695958537</v>
          </cell>
          <cell r="F15">
            <v>0.12979486266020593</v>
          </cell>
        </row>
      </sheetData>
      <sheetData sheetId="1" refreshError="1"/>
      <sheetData sheetId="2" refreshError="1"/>
      <sheetData sheetId="3" refreshError="1">
        <row r="7">
          <cell r="B7">
            <v>3970</v>
          </cell>
          <cell r="G7">
            <v>16619</v>
          </cell>
        </row>
        <row r="8">
          <cell r="G8">
            <v>580</v>
          </cell>
        </row>
        <row r="9">
          <cell r="G9">
            <v>1356</v>
          </cell>
        </row>
        <row r="11">
          <cell r="G11">
            <v>76615.270801040228</v>
          </cell>
        </row>
        <row r="12">
          <cell r="G12">
            <v>720413.89488243428</v>
          </cell>
        </row>
        <row r="13">
          <cell r="G13">
            <v>86525</v>
          </cell>
        </row>
        <row r="14">
          <cell r="G14">
            <v>213799</v>
          </cell>
        </row>
        <row r="15">
          <cell r="G15">
            <v>23629</v>
          </cell>
        </row>
        <row r="17">
          <cell r="G17">
            <v>11036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G7">
            <v>1057812.6972999997</v>
          </cell>
        </row>
      </sheetData>
      <sheetData sheetId="19" refreshError="1">
        <row r="17">
          <cell r="C17">
            <v>0.13129739747346633</v>
          </cell>
          <cell r="F17">
            <v>0.67031328233249465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Acum. Segmento"/>
      <sheetName val="DRE Cons Seg (Ing)"/>
      <sheetName val="DRE Cons Seg Acum. Ingl."/>
      <sheetName val="Desempenho Ações"/>
      <sheetName val="Desempenho Ações Novo"/>
      <sheetName val="Desempenho Ações Novo (2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1256629.26938</v>
          </cell>
        </row>
        <row r="9">
          <cell r="C9">
            <v>886976.51849960361</v>
          </cell>
        </row>
        <row r="10">
          <cell r="C10">
            <v>204599.80931773121</v>
          </cell>
        </row>
        <row r="12">
          <cell r="C12">
            <v>32747.144810306698</v>
          </cell>
        </row>
        <row r="14">
          <cell r="C14">
            <v>95954.038189931191</v>
          </cell>
        </row>
        <row r="15">
          <cell r="C15">
            <v>0.10818103544865609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G7">
            <v>1110269.1658899998</v>
          </cell>
        </row>
      </sheetData>
      <sheetData sheetId="15" refreshError="1">
        <row r="17">
          <cell r="C17">
            <v>0.10869103150212651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Acum. Segmento"/>
      <sheetName val="DRE Cons Seg (Ing)"/>
      <sheetName val="DRE Cons Seg Acum. Ingl."/>
      <sheetName val="Desempenho Ações"/>
      <sheetName val="Desempenho Ações Novo"/>
      <sheetName val="Desempenho Ações Novo (Inglês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1438831.92178</v>
          </cell>
        </row>
        <row r="9">
          <cell r="C9">
            <v>1014377.3061699999</v>
          </cell>
        </row>
        <row r="10">
          <cell r="C10">
            <v>261271.78484040676</v>
          </cell>
        </row>
        <row r="12">
          <cell r="C12">
            <v>67409.653480260793</v>
          </cell>
        </row>
        <row r="14">
          <cell r="C14">
            <v>140739.75883437748</v>
          </cell>
        </row>
        <row r="15">
          <cell r="C15">
            <v>0.13874497978052247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G7">
            <v>1156415.3744399997</v>
          </cell>
        </row>
      </sheetData>
      <sheetData sheetId="15" refreshError="1">
        <row r="17">
          <cell r="C17">
            <v>0.22373934620597655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Vol Fís Distr. Receita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Cons Seg (Ing)"/>
      <sheetName val="DRE Cons Seg Acum. Ingl."/>
      <sheetName val="Desempenho Ações"/>
      <sheetName val="Desempenho Ações Novo"/>
      <sheetName val="Desempenho Ações Novo (Ingles)"/>
      <sheetName val="Desempenho Ações (Ingles)"/>
      <sheetName val="Operações no Exterior"/>
      <sheetName val="Performance das Ações"/>
      <sheetName val="Result Financ Líquido"/>
    </sheetNames>
    <sheetDataSet>
      <sheetData sheetId="0" refreshError="1">
        <row r="5">
          <cell r="C5">
            <v>1453781.8898600002</v>
          </cell>
        </row>
        <row r="9">
          <cell r="C9">
            <v>965931.43552213523</v>
          </cell>
        </row>
        <row r="10">
          <cell r="C10">
            <v>261576.75760077537</v>
          </cell>
        </row>
        <row r="12">
          <cell r="C12">
            <v>62241.430340000064</v>
          </cell>
        </row>
        <row r="14">
          <cell r="C14">
            <v>150358.8807762553</v>
          </cell>
        </row>
        <row r="15">
          <cell r="C15">
            <v>0.15566206383476758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F7">
            <v>1128013.1225727999</v>
          </cell>
        </row>
      </sheetData>
      <sheetData sheetId="15" refreshError="1">
        <row r="17">
          <cell r="C17">
            <v>0.25823187536950681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ume Físico Faturado"/>
      <sheetName val="Distribuição Partic. Receita(%)"/>
      <sheetName val="Graficos Participação Receita"/>
      <sheetName val="Graficos Participação Port."/>
      <sheetName val="Graficos Participação Inglês"/>
      <sheetName val="Faturamento entre empresas"/>
      <sheetName val="Faturamento entre empresas ing"/>
      <sheetName val="Gráfico Exportações"/>
      <sheetName val="Exportações"/>
      <sheetName val="EBITDA"/>
      <sheetName val="EBITDA Grafico"/>
      <sheetName val="LL Grafico"/>
      <sheetName val="Dívida"/>
      <sheetName val="Desempenho Comparativo"/>
      <sheetName val="Investimentos"/>
      <sheetName val="DRE Consolidado"/>
      <sheetName val="DRE Consolidado Segmento"/>
      <sheetName val="DRE Consolidado Segmento Acum."/>
      <sheetName val="DRE Cons Seg (Ing)"/>
      <sheetName val="DRE Cons Seg Acum. Ingl."/>
      <sheetName val="Desempenho Ações"/>
      <sheetName val="Desempenho Ações (Ingles)"/>
      <sheetName val="Veículos Rebocados Gráf."/>
      <sheetName val="Operações no Exterior"/>
    </sheetNames>
    <sheetDataSet>
      <sheetData sheetId="0" refreshError="1">
        <row r="5">
          <cell r="C5">
            <v>1658964.6541899994</v>
          </cell>
        </row>
        <row r="9">
          <cell r="C9">
            <v>1085398.0539000004</v>
          </cell>
        </row>
        <row r="10">
          <cell r="C10">
            <v>244515.28739911807</v>
          </cell>
        </row>
        <row r="12">
          <cell r="C12">
            <v>47816.93266159328</v>
          </cell>
        </row>
        <row r="14">
          <cell r="C14">
            <v>117028.79325745819</v>
          </cell>
        </row>
        <row r="15">
          <cell r="C15">
            <v>0.10782108263134979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1">
          <cell r="F11">
            <v>1193197.3326430002</v>
          </cell>
        </row>
        <row r="17">
          <cell r="C17">
            <v>0.19838644658661039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is Números"/>
      <sheetName val="Vol. Físico Distr. Receita (2)"/>
      <sheetName val="Vol. Físico Distr. Receita"/>
      <sheetName val="Fat entre Empresas trim"/>
      <sheetName val="Fat entre Empresas ano"/>
      <sheetName val="Gráfico Exportações"/>
      <sheetName val="Graf Expo"/>
      <sheetName val="Exportações"/>
      <sheetName val="Operações no Exterior"/>
      <sheetName val="EBITDA"/>
      <sheetName val="Ebitda não recorrentes"/>
      <sheetName val="EBITDA Gráfico"/>
      <sheetName val="LL Gráfico"/>
      <sheetName val="LB Gráfico"/>
      <sheetName val="Dívida Líquida Sem Banco"/>
      <sheetName val="GRAF EBITDA"/>
      <sheetName val="GRAF LL"/>
      <sheetName val="DRE Consolidado"/>
      <sheetName val="Dívida"/>
      <sheetName val="Dívida Líquida Sem Banco sem aj"/>
      <sheetName val="Desempenho Comparativo"/>
      <sheetName val="DRE Ajustado (2)"/>
      <sheetName val="Investimentos"/>
      <sheetName val="DRE Consolidado Segmento"/>
      <sheetName val="DRE ACUM Segmento "/>
      <sheetName val="Lucro Bruto"/>
      <sheetName val="Result Financ Líquido"/>
      <sheetName val="DRE Trimestral"/>
      <sheetName val="Mercado"/>
    </sheetNames>
    <sheetDataSet>
      <sheetData sheetId="0" refreshError="1">
        <row r="10">
          <cell r="C10">
            <v>243663.37819560169</v>
          </cell>
        </row>
        <row r="12">
          <cell r="C12">
            <v>31438.668037739681</v>
          </cell>
        </row>
        <row r="14">
          <cell r="C14">
            <v>126288.68814969927</v>
          </cell>
        </row>
        <row r="15">
          <cell r="C15">
            <v>0.12395063600787649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T34">
            <v>810835.93854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- Segmento"/>
      <sheetName val="DRE - Segmento Comex"/>
      <sheetName val="DRE Comp"/>
      <sheetName val="Elim. Doar"/>
      <sheetName val="Eli Bal "/>
      <sheetName val="Equiv. Consolidada "/>
      <sheetName val="Equiv. Patrim."/>
      <sheetName val="Resul. Inter Relac"/>
      <sheetName val="AVP"/>
      <sheetName val="IFRS16"/>
      <sheetName val="Lucros não Real. Estoque"/>
      <sheetName val="Est. não realiz. controladora"/>
      <sheetName val="Result IN1520"/>
      <sheetName val="DRE - Segmento (TRIM)"/>
      <sheetName val="Dif. Equiv. R. Argentina"/>
      <sheetName val="Dif. Equiv. Suspensys"/>
      <sheetName val="Equiv. Fras-le"/>
      <sheetName val="Plan2"/>
    </sheetNames>
    <sheetDataSet>
      <sheetData sheetId="0" refreshError="1"/>
      <sheetData sheetId="1" refreshError="1"/>
      <sheetData sheetId="2">
        <row r="11">
          <cell r="L11">
            <v>1022011132.5599999</v>
          </cell>
        </row>
        <row r="112">
          <cell r="AB112">
            <v>11976908422.011795</v>
          </cell>
        </row>
        <row r="179">
          <cell r="AB179">
            <v>1117926356.5832744</v>
          </cell>
        </row>
        <row r="182">
          <cell r="AB182">
            <v>2771964882.6400003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C2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- Segmento"/>
      <sheetName val="DRE Comp"/>
      <sheetName val="Elim. Doar"/>
      <sheetName val="Eli Bal "/>
      <sheetName val="Equiv. Consolidada "/>
      <sheetName val="Equiv. Patrim."/>
      <sheetName val="AVP"/>
      <sheetName val="Resul. Inter Relac"/>
      <sheetName val="IFRS16"/>
      <sheetName val="Lucros não Real. Estoque"/>
      <sheetName val="Est. não realiz. controladora"/>
      <sheetName val="Result IN1520"/>
      <sheetName val="DRE - Segmento (TRIM)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9">
          <cell r="E9">
            <v>6721942.4799999995</v>
          </cell>
        </row>
      </sheetData>
      <sheetData sheetId="2">
        <row r="90">
          <cell r="C90">
            <v>628603830.78999984</v>
          </cell>
        </row>
        <row r="112">
          <cell r="Y112">
            <v>11161782497.18655</v>
          </cell>
        </row>
        <row r="179">
          <cell r="Y179">
            <v>761831415.08664858</v>
          </cell>
        </row>
        <row r="182">
          <cell r="Y182">
            <v>2624877202.0199995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AL"/>
      <sheetName val="DRE Cons Mensal"/>
      <sheetName val="DRE - Segmento"/>
      <sheetName val="DRE - Segmento (TRIM)"/>
      <sheetName val="DRE Comp"/>
      <sheetName val="AVP"/>
      <sheetName val="Elim. Doar"/>
      <sheetName val="Eli Bal "/>
      <sheetName val="Equiv. Consolidada "/>
      <sheetName val="Equiv. Patrim."/>
      <sheetName val="Resul. Inter Relac"/>
      <sheetName val="Lucros não Real. Estoque"/>
      <sheetName val="Est. não realiz. controladora"/>
      <sheetName val="Resultado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112">
          <cell r="Y112">
            <v>10769555133.781918</v>
          </cell>
        </row>
        <row r="179">
          <cell r="Y179">
            <v>754551726.16797864</v>
          </cell>
        </row>
        <row r="182">
          <cell r="Y182">
            <v>2520327258.1199999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. Inter Relac"/>
      <sheetName val="Resultado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21">
          <cell r="Y21">
            <v>2306036376.7281728</v>
          </cell>
        </row>
        <row r="28">
          <cell r="AC28">
            <v>1.4319822155655189</v>
          </cell>
        </row>
      </sheetData>
      <sheetData sheetId="2">
        <row r="110">
          <cell r="Y110">
            <v>9168896067.4397869</v>
          </cell>
        </row>
        <row r="175">
          <cell r="Y175">
            <v>694157482.27941811</v>
          </cell>
        </row>
        <row r="178">
          <cell r="Y178">
            <v>2283578923.3299999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Gráficos Release"/>
      <sheetName val="Mercado"/>
      <sheetName val="Principais Números"/>
      <sheetName val="Receita Líquida por divisão"/>
      <sheetName val="Mercado Externo"/>
      <sheetName val="Gráficos ME"/>
      <sheetName val="CPV"/>
      <sheetName val="Despesas Operacionais"/>
      <sheetName val="EBITDA."/>
      <sheetName val="EBITDA"/>
      <sheetName val="Result Financ Líquido"/>
      <sheetName val="Lucro Líquido"/>
      <sheetName val="FCF"/>
      <sheetName val="Investimentos nova"/>
      <sheetName val="Investimentos"/>
      <sheetName val="Dívida"/>
      <sheetName val="Dívida Líquida Sem Banco sem aj"/>
      <sheetName val="ROIC"/>
      <sheetName val="Dívida (2)"/>
      <sheetName val="Divisão Montadora"/>
      <sheetName val="Divisão Autopeças"/>
      <sheetName val="Divisão Serviços"/>
      <sheetName val="Vol. Físico Distr. Receita"/>
      <sheetName val="Cálculo do % da Receita"/>
      <sheetName val="Desempenho Comparativo"/>
      <sheetName val="DRE Consolidado"/>
      <sheetName val="DRE Trimestral"/>
      <sheetName val="DRE por Segmento"/>
      <sheetName val="Perfomance de Ações"/>
      <sheetName val="Market Cap"/>
    </sheetNames>
    <sheetDataSet>
      <sheetData sheetId="0"/>
      <sheetData sheetId="1">
        <row r="144">
          <cell r="T144">
            <v>2113800.0179456789</v>
          </cell>
        </row>
        <row r="146">
          <cell r="T146">
            <v>520565.62277640915</v>
          </cell>
        </row>
        <row r="154">
          <cell r="T154">
            <v>322645.27698581741</v>
          </cell>
        </row>
        <row r="168">
          <cell r="T168">
            <v>122146.09216676427</v>
          </cell>
        </row>
        <row r="175">
          <cell r="T175">
            <v>0.15263755996150666</v>
          </cell>
        </row>
        <row r="179">
          <cell r="T179">
            <v>3048653.0836963286</v>
          </cell>
        </row>
      </sheetData>
      <sheetData sheetId="2"/>
      <sheetData sheetId="3"/>
      <sheetData sheetId="4">
        <row r="14">
          <cell r="H14">
            <v>0.77797647295752659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. Inter Relac"/>
      <sheetName val="Resultado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21">
          <cell r="U21">
            <v>2032649698.3899999</v>
          </cell>
        </row>
        <row r="28">
          <cell r="Y28">
            <v>1.4099295992620613</v>
          </cell>
        </row>
      </sheetData>
      <sheetData sheetId="2">
        <row r="110">
          <cell r="Z110">
            <v>9497796354.2986526</v>
          </cell>
        </row>
        <row r="176">
          <cell r="Z176">
            <v>671665306.46258378</v>
          </cell>
        </row>
        <row r="178">
          <cell r="Z178">
            <v>2183368622.1700001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3">
          <cell r="U3">
            <v>1666954602.7501802</v>
          </cell>
        </row>
        <row r="21">
          <cell r="U21">
            <v>1515641787.2898192</v>
          </cell>
        </row>
        <row r="28">
          <cell r="Y28">
            <v>1.2636930106319939</v>
          </cell>
        </row>
      </sheetData>
      <sheetData sheetId="2">
        <row r="11">
          <cell r="P11">
            <v>554039423.05066776</v>
          </cell>
        </row>
        <row r="110">
          <cell r="Z110">
            <v>8981081350.227787</v>
          </cell>
        </row>
        <row r="175">
          <cell r="Z175">
            <v>616786909.76531529</v>
          </cell>
        </row>
        <row r="178">
          <cell r="Z178">
            <v>2059420541.3400002</v>
          </cell>
        </row>
      </sheetData>
      <sheetData sheetId="3"/>
      <sheetData sheetId="4"/>
      <sheetData sheetId="5"/>
      <sheetData sheetId="6">
        <row r="7">
          <cell r="B7" t="str">
            <v>Randon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3">
          <cell r="U3">
            <v>1652386439.8467257</v>
          </cell>
        </row>
        <row r="4">
          <cell r="U4">
            <v>624298619.23000002</v>
          </cell>
        </row>
        <row r="5">
          <cell r="U5">
            <v>13817710.57</v>
          </cell>
        </row>
        <row r="6">
          <cell r="U6">
            <v>68021941.560000002</v>
          </cell>
        </row>
        <row r="7">
          <cell r="U7">
            <v>0</v>
          </cell>
        </row>
        <row r="8">
          <cell r="U8">
            <v>0</v>
          </cell>
        </row>
        <row r="10">
          <cell r="U10">
            <v>905848536.86000013</v>
          </cell>
        </row>
        <row r="11">
          <cell r="U11">
            <v>894001.55999999994</v>
          </cell>
        </row>
        <row r="12">
          <cell r="U12">
            <v>62903696.350000001</v>
          </cell>
        </row>
        <row r="13">
          <cell r="U13">
            <v>2801435115.8099995</v>
          </cell>
        </row>
        <row r="14">
          <cell r="U14">
            <v>0</v>
          </cell>
        </row>
        <row r="15">
          <cell r="U15">
            <v>8263859.5099999933</v>
          </cell>
        </row>
        <row r="16">
          <cell r="U16">
            <v>174039477.61999997</v>
          </cell>
        </row>
        <row r="40">
          <cell r="Y40">
            <v>2.3062826878120712</v>
          </cell>
        </row>
      </sheetData>
      <sheetData sheetId="2">
        <row r="110">
          <cell r="Z110">
            <v>7922553704.6647654</v>
          </cell>
        </row>
        <row r="175">
          <cell r="Z175">
            <v>552737185.30962026</v>
          </cell>
        </row>
        <row r="178">
          <cell r="Z178">
            <v>1743360526.6600001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 Líquida"/>
      <sheetName val="Investimentos"/>
      <sheetName val="B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37">
          <cell r="Y37">
            <v>1.8816205080101116</v>
          </cell>
        </row>
      </sheetData>
      <sheetData sheetId="2"/>
      <sheetData sheetId="3">
        <row r="110">
          <cell r="Z110">
            <v>6906563457.2494965</v>
          </cell>
        </row>
        <row r="174">
          <cell r="Z174">
            <v>522914995.13742632</v>
          </cell>
        </row>
        <row r="179">
          <cell r="Z179">
            <v>1744563027.1900001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Investimentos"/>
      <sheetName val="B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Result IN1520"/>
      <sheetName val="IFRS16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37">
          <cell r="X37">
            <v>1.6647725301209695</v>
          </cell>
        </row>
      </sheetData>
      <sheetData sheetId="2"/>
      <sheetData sheetId="3">
        <row r="110">
          <cell r="Z110">
            <v>6369896716.2578506</v>
          </cell>
        </row>
        <row r="174">
          <cell r="Z174">
            <v>513572242.47802782</v>
          </cell>
        </row>
        <row r="179">
          <cell r="Z179">
            <v>1726080309.3699999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Investimentos"/>
      <sheetName val="B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Result IN1520"/>
      <sheetName val="IFRS16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38">
          <cell r="U38">
            <v>1.25645798575505</v>
          </cell>
        </row>
      </sheetData>
      <sheetData sheetId="2"/>
      <sheetData sheetId="3">
        <row r="110">
          <cell r="Z110">
            <v>6328113661.1343861</v>
          </cell>
        </row>
        <row r="173">
          <cell r="Z173">
            <v>483418341.68573081</v>
          </cell>
        </row>
        <row r="178">
          <cell r="Z178">
            <v>1692543237.0500002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vestimentos"/>
      <sheetName val="Dívida Líquida"/>
      <sheetName val="B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. Inter Relac"/>
      <sheetName val="Result IN1520"/>
      <sheetName val="Elim.IFRS 16"/>
      <sheetName val="IFRS16"/>
      <sheetName val="Dif. Equiv. R. Argentina"/>
      <sheetName val="Dif. Equiv. Suspensys"/>
      <sheetName val="Equiv. Fras-le"/>
      <sheetName val="Plan2"/>
      <sheetName val="Plan3"/>
    </sheetNames>
    <sheetDataSet>
      <sheetData sheetId="0"/>
      <sheetData sheetId="1"/>
      <sheetData sheetId="2">
        <row r="38">
          <cell r="U38">
            <v>1.6597788598881689</v>
          </cell>
        </row>
      </sheetData>
      <sheetData sheetId="3">
        <row r="110">
          <cell r="Z110">
            <v>6298762445.2127981</v>
          </cell>
        </row>
        <row r="173">
          <cell r="Z173">
            <v>485105098.4456799</v>
          </cell>
        </row>
        <row r="178">
          <cell r="Z178">
            <v>1695277117.1599998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vestimentos"/>
      <sheetName val="Dívida Líquida"/>
      <sheetName val="BAL"/>
      <sheetName val="DRE Comp"/>
      <sheetName val="AVP"/>
      <sheetName val="DRE - Segmento"/>
      <sheetName val="Eli Bal "/>
      <sheetName val="Elim. Doar"/>
      <sheetName val="Equiv. Consolidada "/>
      <sheetName val="Equiv. Patrim."/>
      <sheetName val="Lucros não Real. Estoque"/>
      <sheetName val="Est. não realiz. controladora"/>
      <sheetName val="Resultado"/>
      <sheetName val="Result IN1520"/>
      <sheetName val="Resul. Inter Relac"/>
      <sheetName val="Elim.IFRS 16"/>
      <sheetName val="IFRS16"/>
      <sheetName val="Dif. Equiv. R. Argentina"/>
      <sheetName val="Dif. Equiv. Suspensys"/>
      <sheetName val="Equiv. Fras-le"/>
      <sheetName val="Plan2"/>
      <sheetName val="Resumo"/>
    </sheetNames>
    <sheetDataSet>
      <sheetData sheetId="0"/>
      <sheetData sheetId="1"/>
      <sheetData sheetId="2">
        <row r="35">
          <cell r="Y35">
            <v>1.9034976120318614</v>
          </cell>
        </row>
      </sheetData>
      <sheetData sheetId="3">
        <row r="110">
          <cell r="Z110">
            <v>6108130270.1088772</v>
          </cell>
        </row>
        <row r="173">
          <cell r="Z173">
            <v>490013739.49660945</v>
          </cell>
        </row>
        <row r="176">
          <cell r="Z176">
            <v>1655660082.6199999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vestimentos"/>
      <sheetName val="Dívida Líquida"/>
      <sheetName val="BAL"/>
      <sheetName val="DRE Comp"/>
      <sheetName val="AVP"/>
      <sheetName val="DRE - Segmento"/>
      <sheetName val="Eli Bal "/>
      <sheetName val="Elim. Doar"/>
      <sheetName val="Elim.IFRS 16"/>
      <sheetName val="Equiv. Consolidada "/>
      <sheetName val="Equiv. Patrim."/>
      <sheetName val="Lucros não Real. Estoque"/>
      <sheetName val="Est. não realiz. controladora"/>
      <sheetName val="Resultado"/>
      <sheetName val="Result IN1520"/>
      <sheetName val="Resul. Inter Relac"/>
      <sheetName val="Dif. Equiv. R. Argentina"/>
      <sheetName val="Dif. Equiv. Suspensys"/>
      <sheetName val="Equiv. Fras-le"/>
      <sheetName val="Plan2"/>
    </sheetNames>
    <sheetDataSet>
      <sheetData sheetId="0"/>
      <sheetData sheetId="1"/>
      <sheetData sheetId="2">
        <row r="35">
          <cell r="X35">
            <v>2.2472557476939041</v>
          </cell>
        </row>
      </sheetData>
      <sheetData sheetId="3">
        <row r="110">
          <cell r="Y110">
            <v>5783414746.6471968</v>
          </cell>
        </row>
        <row r="173">
          <cell r="Y173">
            <v>488956731.36102188</v>
          </cell>
        </row>
        <row r="176">
          <cell r="Y176">
            <v>1571943421.21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vestimentos"/>
      <sheetName val="Dívida Líquida"/>
      <sheetName val="BAL"/>
      <sheetName val="DRE - Segmento"/>
      <sheetName val="DRE Comp"/>
      <sheetName val="AVP"/>
      <sheetName val="Eli Bal "/>
      <sheetName val="Elim. Doar"/>
      <sheetName val="Equiv. Consolidada "/>
      <sheetName val="Lucros não Real. Estoque"/>
      <sheetName val="Est. não realiz. controladora"/>
      <sheetName val="Resultado"/>
      <sheetName val="Equiv. Patrim."/>
      <sheetName val="Equiv. Patrim. Teste"/>
      <sheetName val="Result IN1520"/>
      <sheetName val="Resul. Inter Relac"/>
      <sheetName val="Dif. Equiv. R. Argentina"/>
      <sheetName val="Dif. Equiv. Suspensys"/>
      <sheetName val="Equiv. Fras-le"/>
      <sheetName val="Plan2"/>
    </sheetNames>
    <sheetDataSet>
      <sheetData sheetId="0"/>
      <sheetData sheetId="1"/>
      <sheetData sheetId="2">
        <row r="35">
          <cell r="X35">
            <v>1.9653212497111636</v>
          </cell>
        </row>
      </sheetData>
      <sheetData sheetId="3">
        <row r="109">
          <cell r="Y109">
            <v>5838143340.0834379</v>
          </cell>
        </row>
        <row r="171">
          <cell r="Y171">
            <v>517648904.31306511</v>
          </cell>
        </row>
        <row r="176">
          <cell r="Y176">
            <v>1527311635.04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Mercado"/>
      <sheetName val="Principais Números"/>
      <sheetName val="Receita Líquida por divisão"/>
      <sheetName val="Gráficos ME"/>
      <sheetName val="Gráficos Release"/>
      <sheetName val="CPV"/>
      <sheetName val="Mercado Externo"/>
      <sheetName val="Despesas Operacionais"/>
      <sheetName val="EBITDA."/>
      <sheetName val="EBITDA"/>
      <sheetName val="Result Financ Líquido"/>
      <sheetName val="Lucro Líquido"/>
      <sheetName val="FCF"/>
      <sheetName val="Investimentos nova"/>
      <sheetName val="Investimentos"/>
      <sheetName val="Dívida"/>
      <sheetName val="Dívida (2)"/>
      <sheetName val="Dívida Líquida Sem Banco sem aj"/>
      <sheetName val="ROIC"/>
      <sheetName val="Divisão Montadora"/>
      <sheetName val="Divisão Autopeças"/>
      <sheetName val="Divisão Serviços"/>
      <sheetName val="Vol. Físico Distr. Receita"/>
      <sheetName val="Cálculo do % da Receita"/>
      <sheetName val="Desempenho Comparativo"/>
      <sheetName val="DRE Consolidado"/>
      <sheetName val="DRE por Segmento"/>
      <sheetName val="DRE Trimestral"/>
      <sheetName val="Perfomance de Ações"/>
      <sheetName val="Market Cap"/>
    </sheetNames>
    <sheetDataSet>
      <sheetData sheetId="0"/>
      <sheetData sheetId="1">
        <row r="144">
          <cell r="T144">
            <v>1913107.4477222434</v>
          </cell>
        </row>
        <row r="146">
          <cell r="T146">
            <v>512350.74797926424</v>
          </cell>
        </row>
        <row r="154">
          <cell r="T154">
            <v>349272.96845829056</v>
          </cell>
        </row>
        <row r="168">
          <cell r="T168">
            <v>134065.31433379807</v>
          </cell>
        </row>
        <row r="175">
          <cell r="T175">
            <v>0.18256840141108488</v>
          </cell>
        </row>
        <row r="179">
          <cell r="T179">
            <v>2763452.8025219273</v>
          </cell>
        </row>
      </sheetData>
      <sheetData sheetId="2"/>
      <sheetData sheetId="3">
        <row r="70">
          <cell r="C70">
            <v>0.40708437542229975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Investimentos"/>
      <sheetName val="Dívida Líquida"/>
      <sheetName val="BAL"/>
      <sheetName val="DRE Comp"/>
      <sheetName val="AVP"/>
      <sheetName val="DRE - Segmento"/>
      <sheetName val="Eli Bal "/>
      <sheetName val="Elim. Doar"/>
      <sheetName val="Equiv. Consolidada "/>
      <sheetName val="Lucros não Real. Estoque"/>
      <sheetName val="Est. não realiz. controladora"/>
      <sheetName val="Resultado"/>
      <sheetName val="Equiv. Patrim."/>
      <sheetName val="Result IN1520"/>
      <sheetName val="Resul. Inter Relac"/>
      <sheetName val="Dif. Equiv. R. Argentina"/>
      <sheetName val="Dif. Equiv. Suspensys"/>
      <sheetName val="Equiv. Fras-le"/>
    </sheetNames>
    <sheetDataSet>
      <sheetData sheetId="0"/>
      <sheetData sheetId="1"/>
      <sheetData sheetId="2" refreshError="1">
        <row r="35">
          <cell r="X35">
            <v>1.7457885831868039</v>
          </cell>
        </row>
      </sheetData>
      <sheetData sheetId="3" refreshError="1">
        <row r="109">
          <cell r="Y109">
            <v>5907204782.9659309</v>
          </cell>
        </row>
        <row r="171">
          <cell r="Y171">
            <v>528499379.42719841</v>
          </cell>
        </row>
        <row r="174">
          <cell r="Y174">
            <v>1510925132.6399999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AL"/>
      <sheetName val="DRE Comp"/>
      <sheetName val="AVP"/>
      <sheetName val="DRE - Segmento"/>
      <sheetName val="Eli Bal "/>
      <sheetName val="Elim. Doar"/>
      <sheetName val="Equiv. Consolidada "/>
      <sheetName val="Lucros não Real. Estoque"/>
      <sheetName val="Est. não realiz. controladora"/>
      <sheetName val="Resultado"/>
      <sheetName val="Equiv. Patrim."/>
      <sheetName val="Result IN1520"/>
      <sheetName val="Resul. Inter Relac"/>
      <sheetName val="Dif. Equiv. R. Argentina"/>
      <sheetName val="Dif. Equiv. Suspensys"/>
      <sheetName val="Equiv. Fras-le"/>
    </sheetNames>
    <sheetDataSet>
      <sheetData sheetId="0" refreshError="1"/>
      <sheetData sheetId="1" refreshError="1">
        <row r="106">
          <cell r="Y106">
            <v>5334543733.4917059</v>
          </cell>
        </row>
        <row r="168">
          <cell r="Y168">
            <v>516013726.23865342</v>
          </cell>
        </row>
        <row r="171">
          <cell r="Y171">
            <v>1466475665.4000001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 Líquida"/>
      <sheetName val="BAL"/>
      <sheetName val="Investimentos"/>
      <sheetName val="DRE Comp"/>
      <sheetName val="AVP"/>
      <sheetName val="DRE - Segmento"/>
      <sheetName val="Eli Bal "/>
      <sheetName val="Elim. Doar"/>
      <sheetName val="Equiv. Consolidada "/>
      <sheetName val="Lucros não Real. Estoque"/>
      <sheetName val="Est. não realiz. controladora"/>
      <sheetName val="Resultado"/>
      <sheetName val="Equiv. Patrim."/>
      <sheetName val="Result IN1520"/>
      <sheetName val="Resul. Inter Relac"/>
      <sheetName val="Dif. Equiv. R. Argentina"/>
      <sheetName val="Dif. Equiv. Suspensys"/>
      <sheetName val="Equiv. Fras-le"/>
    </sheetNames>
    <sheetDataSet>
      <sheetData sheetId="0"/>
      <sheetData sheetId="1">
        <row r="14">
          <cell r="Y14">
            <v>765170088.54999995</v>
          </cell>
        </row>
        <row r="35">
          <cell r="X35">
            <v>1.8240086898666135</v>
          </cell>
        </row>
      </sheetData>
      <sheetData sheetId="2">
        <row r="106">
          <cell r="Y106">
            <v>4940326610.3014545</v>
          </cell>
        </row>
        <row r="166">
          <cell r="Y166">
            <v>521230004.08526897</v>
          </cell>
        </row>
        <row r="171">
          <cell r="Y171">
            <v>1480097979.1199999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 Líquida"/>
      <sheetName val="Investimentos"/>
      <sheetName val="BAL"/>
      <sheetName val="DRE Comp"/>
      <sheetName val="AVP"/>
      <sheetName val="DRE - Segmento"/>
      <sheetName val="Eli Bal "/>
      <sheetName val="Elim. Doar"/>
      <sheetName val="Equiv. Consolidada "/>
      <sheetName val="Lucros não Real. Estoque"/>
      <sheetName val="Est. não realiz. controladora"/>
      <sheetName val="Resultado"/>
      <sheetName val="Equiv. Patrim."/>
      <sheetName val="Result IN1520"/>
      <sheetName val="Resul. Inter Relac"/>
      <sheetName val="Dif. Equiv. R. Argentina"/>
      <sheetName val="Dif. Equiv. Suspensys"/>
      <sheetName val="Equiv. Fras-le"/>
    </sheetNames>
    <sheetDataSet>
      <sheetData sheetId="0" refreshError="1"/>
      <sheetData sheetId="1" refreshError="1"/>
      <sheetData sheetId="2" refreshError="1"/>
      <sheetData sheetId="3" refreshError="1">
        <row r="105">
          <cell r="Y105">
            <v>4970681383.3676834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4745196.1785412356</v>
          </cell>
        </row>
        <row r="44">
          <cell r="D44">
            <v>1434178.1747499998</v>
          </cell>
        </row>
        <row r="45">
          <cell r="D45">
            <v>488905.85086119157</v>
          </cell>
        </row>
      </sheetData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/>
      <sheetData sheetId="3" refreshError="1">
        <row r="9">
          <cell r="C9">
            <v>4823308.6288009584</v>
          </cell>
        </row>
        <row r="44">
          <cell r="C44">
            <v>1431652.1316499999</v>
          </cell>
        </row>
        <row r="45">
          <cell r="C45">
            <v>488626.4183049518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4868291.8023359999</v>
          </cell>
        </row>
        <row r="44">
          <cell r="D44">
            <v>1413156.7422799999</v>
          </cell>
        </row>
        <row r="45">
          <cell r="D45">
            <v>477126.84640374471</v>
          </cell>
        </row>
      </sheetData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4779419.5800036006</v>
          </cell>
        </row>
        <row r="43">
          <cell r="D43">
            <v>1466028.86781</v>
          </cell>
        </row>
        <row r="44">
          <cell r="D44">
            <v>477393.69378489035</v>
          </cell>
        </row>
      </sheetData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4888513.0327214533</v>
          </cell>
        </row>
        <row r="42">
          <cell r="D42">
            <v>1484202.4025300003</v>
          </cell>
        </row>
        <row r="43">
          <cell r="D43">
            <v>466989.22713968926</v>
          </cell>
        </row>
      </sheetData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4808627.0385813713</v>
          </cell>
        </row>
        <row r="42">
          <cell r="D42">
            <v>1335911.4283499999</v>
          </cell>
        </row>
        <row r="43">
          <cell r="D43">
            <v>318639.06810070371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IFRS 16"/>
      <sheetName val="Mercado Externo"/>
      <sheetName val="Despesas Operacionais"/>
      <sheetName val="EBITDA"/>
      <sheetName val="Result Financ Líquido"/>
      <sheetName val="Dívida"/>
      <sheetName val="Dívida Líquida Sem Banco sem aj"/>
      <sheetName val="Investimentos"/>
      <sheetName val="Desempenho Comparativo"/>
      <sheetName val="DRE Consolidado"/>
      <sheetName val="DRE Consolidado - sem veículos"/>
      <sheetName val="DRE por Segmento"/>
      <sheetName val="DRE por Segmento - sem veículos"/>
      <sheetName val="DRE Trimestral"/>
      <sheetName val="Perfomance de Ações"/>
      <sheetName val="Market Cap"/>
    </sheetNames>
    <sheetDataSet>
      <sheetData sheetId="0"/>
      <sheetData sheetId="1">
        <row r="144">
          <cell r="T144">
            <v>1808639.2706550155</v>
          </cell>
          <cell r="W144">
            <v>5424863.9665886248</v>
          </cell>
        </row>
        <row r="146">
          <cell r="T146">
            <v>483034.73847105552</v>
          </cell>
          <cell r="W146">
            <v>1355627.9256950771</v>
          </cell>
        </row>
        <row r="154">
          <cell r="T154">
            <v>668466.76251796819</v>
          </cell>
          <cell r="W154">
            <v>1199374.9861183106</v>
          </cell>
        </row>
        <row r="168">
          <cell r="T168">
            <v>490393.98380524846</v>
          </cell>
          <cell r="W168">
            <v>664674.24088042951</v>
          </cell>
        </row>
        <row r="175">
          <cell r="T175">
            <v>0.3695965101298927</v>
          </cell>
          <cell r="W175">
            <v>0.22108849060643385</v>
          </cell>
        </row>
        <row r="179">
          <cell r="Q179">
            <v>7696484.2105870433</v>
          </cell>
          <cell r="T179">
            <v>2604539.1457506539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6">
          <cell r="E36">
            <v>2.0182587834345425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5183866.3087296896</v>
          </cell>
        </row>
        <row r="41">
          <cell r="D41">
            <v>1587667.2199204385</v>
          </cell>
        </row>
        <row r="42">
          <cell r="D42">
            <v>1277332.8655599998</v>
          </cell>
        </row>
        <row r="43">
          <cell r="D43">
            <v>310334.35436043859</v>
          </cell>
        </row>
      </sheetData>
      <sheetData sheetId="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5659069.6836827472</v>
          </cell>
        </row>
        <row r="42">
          <cell r="D42">
            <v>1297003.5375500002</v>
          </cell>
        </row>
        <row r="43">
          <cell r="D43">
            <v>333775.99021054228</v>
          </cell>
        </row>
      </sheetData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5071705.8074648967</v>
          </cell>
        </row>
        <row r="42">
          <cell r="D42">
            <v>1395170.9815100003</v>
          </cell>
        </row>
        <row r="43">
          <cell r="D43">
            <v>323092.32361330686</v>
          </cell>
        </row>
      </sheetData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5226121.6469565751</v>
          </cell>
        </row>
        <row r="42">
          <cell r="D42">
            <v>1386480.36479</v>
          </cell>
        </row>
        <row r="43">
          <cell r="D43">
            <v>320658.12213545048</v>
          </cell>
        </row>
      </sheetData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  <sheetName val="Principais Números"/>
    </sheetNames>
    <sheetDataSet>
      <sheetData sheetId="0" refreshError="1"/>
      <sheetData sheetId="1" refreshError="1"/>
      <sheetData sheetId="2" refreshError="1">
        <row r="9">
          <cell r="D9">
            <v>4873529.0616971012</v>
          </cell>
        </row>
        <row r="42">
          <cell r="D42">
            <v>1431585.38127</v>
          </cell>
        </row>
        <row r="43">
          <cell r="D43">
            <v>311758.84164060827</v>
          </cell>
        </row>
      </sheetData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 refreshError="1"/>
      <sheetData sheetId="1" refreshError="1"/>
      <sheetData sheetId="2" refreshError="1">
        <row r="9">
          <cell r="D9">
            <v>4800161.7881599609</v>
          </cell>
        </row>
        <row r="42">
          <cell r="D42">
            <v>1454546.0403400001</v>
          </cell>
        </row>
        <row r="43">
          <cell r="D43">
            <v>332461.46690599935</v>
          </cell>
        </row>
      </sheetData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- Segmento"/>
      <sheetName val="DRE - Segmento (TRIM)"/>
      <sheetName val="DRE Comp"/>
      <sheetName val="AVP"/>
      <sheetName val="Elim. Doar"/>
      <sheetName val="Eli Bal "/>
      <sheetName val="Equiv. Consolidada "/>
      <sheetName val="Equiv. Patrim."/>
      <sheetName val="Resul. Inter Relac"/>
      <sheetName val="Lucros não Real. Estoque"/>
      <sheetName val="Est. não realiz. controladora"/>
      <sheetName val="Resultado"/>
      <sheetName val="IFRS16"/>
      <sheetName val="Result IN1520"/>
      <sheetName val="Dif. Equiv. R. Argentina"/>
      <sheetName val="Dif. Equiv. Suspensys"/>
      <sheetName val="Equiv. Fras-le"/>
      <sheetName val="Plan2"/>
    </sheetNames>
    <sheetDataSet>
      <sheetData sheetId="0"/>
      <sheetData sheetId="1">
        <row r="22">
          <cell r="Y22">
            <v>2535550239.9499993</v>
          </cell>
        </row>
        <row r="28">
          <cell r="AC28">
            <v>1.9102921348502222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Plan1"/>
      <sheetName val="não recorr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G12">
            <v>3.3411582870289731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Plan1"/>
      <sheetName val="não recorr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G12">
            <v>3.938677533661644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Plan1"/>
      <sheetName val="não recorr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G9">
            <v>4.2989146490233576</v>
          </cell>
        </row>
        <row r="12">
          <cell r="G12">
            <v>4.2989146490233576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IFRS 16"/>
      <sheetName val="Mercado Externo"/>
      <sheetName val="Despesas Operacionais"/>
      <sheetName val="EBITDA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DRE por Segmento"/>
      <sheetName val="DRE Trimestral"/>
      <sheetName val="Perfomance de Ações"/>
      <sheetName val="Market Cap"/>
    </sheetNames>
    <sheetDataSet>
      <sheetData sheetId="0">
        <row r="9">
          <cell r="F9" t="str">
            <v>3Q20</v>
          </cell>
        </row>
      </sheetData>
      <sheetData sheetId="1">
        <row r="12">
          <cell r="T12">
            <v>688768.19574692554</v>
          </cell>
        </row>
        <row r="144">
          <cell r="T144">
            <v>1515500.1288675524</v>
          </cell>
        </row>
        <row r="146">
          <cell r="T146">
            <v>419623.98823997809</v>
          </cell>
        </row>
        <row r="154">
          <cell r="T154">
            <v>269995.59010804188</v>
          </cell>
        </row>
        <row r="168">
          <cell r="T168">
            <v>116016.40378878053</v>
          </cell>
        </row>
        <row r="175">
          <cell r="T175">
            <v>0.17815609841603533</v>
          </cell>
        </row>
        <row r="179">
          <cell r="T179">
            <v>2120121.9351669261</v>
          </cell>
        </row>
      </sheetData>
      <sheetData sheetId="2"/>
      <sheetData sheetId="3">
        <row r="13">
          <cell r="D13">
            <v>90178.159149999992</v>
          </cell>
        </row>
      </sheetData>
      <sheetData sheetId="4">
        <row r="6">
          <cell r="C6">
            <v>0.33658078700623412</v>
          </cell>
        </row>
      </sheetData>
      <sheetData sheetId="5">
        <row r="4">
          <cell r="AJ4">
            <v>510088226.08228993</v>
          </cell>
        </row>
      </sheetData>
      <sheetData sheetId="6"/>
      <sheetData sheetId="7">
        <row r="7">
          <cell r="T7">
            <v>11410.403437279565</v>
          </cell>
        </row>
      </sheetData>
      <sheetData sheetId="8"/>
      <sheetData sheetId="9"/>
      <sheetData sheetId="10"/>
      <sheetData sheetId="11"/>
      <sheetData sheetId="12"/>
      <sheetData sheetId="13">
        <row r="18">
          <cell r="E18">
            <v>0.52764609752798652</v>
          </cell>
        </row>
      </sheetData>
      <sheetData sheetId="14">
        <row r="11">
          <cell r="N11">
            <v>21842.920131778003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Plan1"/>
      <sheetName val="não recorr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G11">
            <v>3.5445903452415397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Plan1"/>
      <sheetName val="não recorr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G11">
            <v>7.5762724612825068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Não recorrente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G8">
            <v>8.3828786837300235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Não recorrente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2">
          <cell r="I22">
            <v>5.9325501830025633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Não recorrente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4">
          <cell r="I24">
            <v>4.2719114640166884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Destino Exportações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Veículos Rebocados"/>
      <sheetName val="Plan1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3">
          <cell r="I23">
            <v>3.1830477068844942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%"/>
      <sheetName val="Receita Bruta"/>
      <sheetName val="Receita Bruta MI"/>
      <sheetName val="Receita Líquida Consolidada"/>
      <sheetName val="Exportações USD"/>
      <sheetName val="Destino Exportações"/>
      <sheetName val="Lucro Bruto X Margem Bruta"/>
      <sheetName val="Ebitda X Margem Ebtida"/>
      <sheetName val="Ebitda X Margem Eb (tri)"/>
      <sheetName val="Lucro Líqui X Margem Liquida"/>
      <sheetName val="Lucro Líqui x Margem Líqu (tri)"/>
      <sheetName val="Investimentos"/>
      <sheetName val="Patrimonio X ROE"/>
      <sheetName val="Endividamento X Ebtida"/>
      <sheetName val="Ações"/>
      <sheetName val="DRE Trimestral"/>
      <sheetName val="Dividendos"/>
      <sheetName val="Dívida Bruta"/>
      <sheetName val="Produção_Vendas"/>
      <sheetName val="Autopeças_Participação"/>
      <sheetName val="Autopeças_Participação Inglês"/>
      <sheetName val="Veículos Rebocados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3">
          <cell r="I23">
            <v>2.1567649782476153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Portugues"/>
      <sheetName val="Balanço Inglês"/>
      <sheetName val="Balanço Portugues Novo"/>
      <sheetName val="Balanço Ingles Novo"/>
    </sheetNames>
    <sheetDataSet>
      <sheetData sheetId="0"/>
      <sheetData sheetId="1"/>
      <sheetData sheetId="2">
        <row r="9">
          <cell r="D9">
            <v>4873529.0616971012</v>
          </cell>
        </row>
        <row r="41">
          <cell r="D41">
            <v>1743344.2229106082</v>
          </cell>
        </row>
        <row r="42">
          <cell r="D42">
            <v>1431585.38127</v>
          </cell>
        </row>
        <row r="43">
          <cell r="D43">
            <v>311758.84164060827</v>
          </cell>
        </row>
      </sheetData>
      <sheetData sheetId="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Mercado"/>
      <sheetName val="RL Consolidada"/>
      <sheetName val="G.RL por Vertical"/>
      <sheetName val="Mercado Externo"/>
      <sheetName val="G.ME"/>
      <sheetName val="CPV"/>
      <sheetName val="Despesas Operacionais"/>
      <sheetName val="EBITDA"/>
      <sheetName val="G.EBITDA"/>
      <sheetName val="Resultado Financeiro"/>
      <sheetName val="Resultado Líquido"/>
      <sheetName val="G.Resultado Líquido"/>
      <sheetName val="FCF"/>
      <sheetName val="Investimentos"/>
      <sheetName val="Dívida"/>
      <sheetName val="G.Dívida"/>
      <sheetName val="Montadora"/>
      <sheetName val="G.Montadora"/>
      <sheetName val="Autopeças"/>
      <sheetName val="G.Autopeças"/>
      <sheetName val="Controle de Mov."/>
      <sheetName val="G.Controle de Mov."/>
      <sheetName val="Serviços"/>
      <sheetName val="G.Serviços"/>
      <sheetName val="Tecnol. Av. e HQ"/>
      <sheetName val="Consolidado"/>
      <sheetName val="G.Tecnol. Av. e HQ "/>
      <sheetName val="DRE Consolidado"/>
      <sheetName val="DRE por Vertical"/>
      <sheetName val="DRE Trimestral"/>
    </sheetNames>
    <sheetDataSet>
      <sheetData sheetId="0"/>
      <sheetData sheetId="1">
        <row r="232">
          <cell r="P232">
            <v>2847923.1587776812</v>
          </cell>
          <cell r="Q232">
            <v>11152417.21581009</v>
          </cell>
        </row>
        <row r="234">
          <cell r="P234">
            <v>592343.67723722081</v>
          </cell>
          <cell r="Q234">
            <v>2624761.7935969112</v>
          </cell>
        </row>
        <row r="243">
          <cell r="P243">
            <v>322336.07271147444</v>
          </cell>
          <cell r="Q243">
            <v>1504964.1820292475</v>
          </cell>
        </row>
        <row r="256">
          <cell r="P256">
            <v>89439.79140843988</v>
          </cell>
          <cell r="Q256">
            <v>471719.14110101812</v>
          </cell>
        </row>
        <row r="263">
          <cell r="P263">
            <v>0.11318285457175746</v>
          </cell>
          <cell r="Q263">
            <v>0.13494511126213546</v>
          </cell>
        </row>
        <row r="267">
          <cell r="P267">
            <v>4156677.4847135441</v>
          </cell>
          <cell r="Q267">
            <v>16188683.433476243</v>
          </cell>
        </row>
        <row r="272">
          <cell r="P272">
            <v>2925300.8727870001</v>
          </cell>
        </row>
        <row r="274">
          <cell r="P274">
            <v>1.9437677705011012</v>
          </cell>
        </row>
        <row r="348">
          <cell r="P348">
            <v>6461</v>
          </cell>
        </row>
        <row r="349">
          <cell r="P349">
            <v>1999</v>
          </cell>
        </row>
        <row r="350">
          <cell r="P350">
            <v>100</v>
          </cell>
        </row>
        <row r="353">
          <cell r="P353">
            <v>231159</v>
          </cell>
        </row>
        <row r="354">
          <cell r="P354">
            <v>32637</v>
          </cell>
        </row>
        <row r="355">
          <cell r="P355">
            <v>45650</v>
          </cell>
        </row>
        <row r="356">
          <cell r="P356">
            <v>27478</v>
          </cell>
        </row>
        <row r="358">
          <cell r="P358">
            <v>25230.990279999998</v>
          </cell>
        </row>
        <row r="359">
          <cell r="P359">
            <v>2200.1357939073469</v>
          </cell>
        </row>
        <row r="360">
          <cell r="P360">
            <v>4031.8220000000001</v>
          </cell>
        </row>
        <row r="363">
          <cell r="P363">
            <v>6268</v>
          </cell>
        </row>
      </sheetData>
      <sheetData sheetId="2">
        <row r="14">
          <cell r="C14">
            <v>0.27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ívida"/>
      <sheetName val="BAL"/>
      <sheetName val="DRE Cons Mensal"/>
      <sheetName val="DRE - Segmento"/>
      <sheetName val="DRE - Segmento Comex"/>
      <sheetName val="DRE Comp"/>
      <sheetName val="Elim. Doar"/>
      <sheetName val="Eli Bal "/>
      <sheetName val="Equiv. Consolidada "/>
      <sheetName val="Equiv. Patrim."/>
      <sheetName val="Resul. Inter Relac"/>
      <sheetName val="AVP"/>
      <sheetName val="IFRS16"/>
      <sheetName val="Lucros não Real. Estoque"/>
      <sheetName val="Est. não realiz. controladora"/>
      <sheetName val="Result IN1520"/>
      <sheetName val="DRE - Segmento (TRIM)"/>
      <sheetName val="Dif. Equiv. R. Argentina"/>
      <sheetName val="Dif. Equiv. Suspensys"/>
      <sheetName val="Equiv. Fras-le"/>
      <sheetName val="Plan2"/>
    </sheetNames>
    <sheetDataSet>
      <sheetData sheetId="0"/>
      <sheetData sheetId="1"/>
      <sheetData sheetId="2">
        <row r="113">
          <cell r="AF113">
            <v>12882347958.798746</v>
          </cell>
        </row>
        <row r="181">
          <cell r="AF181">
            <v>1076501169.391921</v>
          </cell>
        </row>
        <row r="186">
          <cell r="AF186">
            <v>2744764833.7300005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Fat entre Empresas trim"/>
      <sheetName val="Vol. Físico Distr. Receita"/>
      <sheetName val="Cálculo do % da Receita"/>
      <sheetName val="IFRS 16"/>
      <sheetName val="Mercado Externo"/>
      <sheetName val="Despesas Operacionais"/>
      <sheetName val="EBITDA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DRE por Segmento"/>
      <sheetName val="DRE Trimestral"/>
      <sheetName val="Perfomance de Ações"/>
      <sheetName val="Market Cap"/>
    </sheetNames>
    <sheetDataSet>
      <sheetData sheetId="0">
        <row r="11">
          <cell r="F11" t="str">
            <v>2T20</v>
          </cell>
        </row>
      </sheetData>
      <sheetData sheetId="1">
        <row r="144">
          <cell r="L144">
            <v>932991.36707807495</v>
          </cell>
        </row>
        <row r="146">
          <cell r="L146">
            <v>200787.81130820393</v>
          </cell>
        </row>
        <row r="154">
          <cell r="L154">
            <v>153932.19157297141</v>
          </cell>
        </row>
        <row r="168">
          <cell r="L168">
            <v>55270.188997654848</v>
          </cell>
        </row>
        <row r="175">
          <cell r="L175">
            <v>0.16498779839201877</v>
          </cell>
        </row>
        <row r="179">
          <cell r="L179">
            <v>1297105.0217087609</v>
          </cell>
        </row>
      </sheetData>
      <sheetData sheetId="2"/>
      <sheetData sheetId="3">
        <row r="5">
          <cell r="B5">
            <v>428241.39056000003</v>
          </cell>
        </row>
      </sheetData>
      <sheetData sheetId="4">
        <row r="3">
          <cell r="A3"/>
        </row>
      </sheetData>
      <sheetData sheetId="5">
        <row r="4">
          <cell r="P4">
            <v>312807420.36448658</v>
          </cell>
        </row>
      </sheetData>
      <sheetData sheetId="6"/>
      <sheetData sheetId="7">
        <row r="13">
          <cell r="T13">
            <v>21997.568676357478</v>
          </cell>
        </row>
      </sheetData>
      <sheetData sheetId="8"/>
      <sheetData sheetId="9"/>
      <sheetData sheetId="10"/>
      <sheetData sheetId="11">
        <row r="5">
          <cell r="AA5">
            <v>1154691.0609610558</v>
          </cell>
        </row>
      </sheetData>
      <sheetData sheetId="12"/>
      <sheetData sheetId="13">
        <row r="18">
          <cell r="E18">
            <v>0.17250614684644205</v>
          </cell>
        </row>
      </sheetData>
      <sheetData sheetId="14"/>
      <sheetData sheetId="15">
        <row r="8">
          <cell r="H8">
            <v>2100724.5670660562</v>
          </cell>
        </row>
      </sheetData>
      <sheetData sheetId="16">
        <row r="7">
          <cell r="N7">
            <v>932991.36707807495</v>
          </cell>
        </row>
      </sheetData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RE por Segmento|Base de Dados"/>
      <sheetName val="Principais Números"/>
      <sheetName val="Principais Números (2)"/>
      <sheetName val="Fat entre Empresas trim"/>
      <sheetName val="Fat entre Empresas trim (2)"/>
      <sheetName val="Vol. Físico Distr. Receita"/>
      <sheetName val="Vol. Físico Distr. Receita (2)"/>
      <sheetName val="Cálculo do % da Receita"/>
      <sheetName val="IFRS 16"/>
      <sheetName val="Mercado Externo"/>
      <sheetName val="Despesas Operacionais"/>
      <sheetName val="Mercado Externo (2)"/>
      <sheetName val="Despesas Operacionais (2)"/>
      <sheetName val="EBITDA"/>
      <sheetName val="Result Financ Líquido"/>
      <sheetName val="Dívida"/>
      <sheetName val="Dívida Líquida Sem Banco sem aj"/>
      <sheetName val="Desempenho Comparativo"/>
      <sheetName val="Investimentos"/>
      <sheetName val="DRE Consolidado"/>
      <sheetName val="DRE por Segmento"/>
      <sheetName val="DRE Trimestral"/>
      <sheetName val="Perfomance de Ações"/>
      <sheetName val="Market Cap"/>
    </sheetNames>
    <sheetDataSet>
      <sheetData sheetId="0" refreshError="1"/>
      <sheetData sheetId="1" refreshError="1">
        <row r="144">
          <cell r="K144">
            <v>1167733.1999879812</v>
          </cell>
        </row>
        <row r="146">
          <cell r="K146">
            <v>252181.38767583942</v>
          </cell>
        </row>
        <row r="154">
          <cell r="K154">
            <v>106980.44191932899</v>
          </cell>
        </row>
        <row r="168">
          <cell r="K168">
            <v>2993.664288745691</v>
          </cell>
        </row>
        <row r="175">
          <cell r="K175">
            <v>9.1613770954212886E-2</v>
          </cell>
        </row>
        <row r="179">
          <cell r="K179">
            <v>1674718.1079607024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Z5">
            <v>1104395.8944439117</v>
          </cell>
        </row>
      </sheetData>
      <sheetData sheetId="17" refreshError="1"/>
      <sheetData sheetId="18" refreshError="1">
        <row r="18">
          <cell r="B18">
            <v>8.6999999999999994E-3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K46"/>
  <sheetViews>
    <sheetView showGridLines="0" tabSelected="1" topLeftCell="A21" workbookViewId="0">
      <selection activeCell="C30" sqref="C30"/>
    </sheetView>
  </sheetViews>
  <sheetFormatPr defaultColWidth="15.7109375" defaultRowHeight="15" customHeight="1" x14ac:dyDescent="0.2"/>
  <cols>
    <col min="1" max="1" width="51.140625" style="1" customWidth="1"/>
    <col min="2" max="2" width="11.42578125" style="1" customWidth="1"/>
    <col min="3" max="4" width="10.7109375" style="1" customWidth="1"/>
    <col min="5" max="5" width="11.7109375" style="1" customWidth="1"/>
    <col min="6" max="7" width="11.28515625" style="1" customWidth="1"/>
    <col min="8" max="9" width="11" style="1" bestFit="1" customWidth="1"/>
    <col min="10" max="10" width="10.85546875" style="1" bestFit="1" customWidth="1"/>
    <col min="11" max="11" width="11" style="1" bestFit="1" customWidth="1"/>
    <col min="12" max="12" width="10.85546875" style="1" bestFit="1" customWidth="1"/>
    <col min="13" max="13" width="10.85546875" style="1" customWidth="1"/>
    <col min="14" max="14" width="10.85546875" style="1" bestFit="1" customWidth="1"/>
    <col min="15" max="15" width="11" style="1" bestFit="1" customWidth="1"/>
    <col min="16" max="16" width="10.28515625" style="1" customWidth="1"/>
    <col min="17" max="17" width="11" style="1" customWidth="1"/>
    <col min="18" max="18" width="10.5703125" style="1" customWidth="1"/>
    <col min="19" max="19" width="10.85546875" style="1" customWidth="1"/>
    <col min="20" max="23" width="11" style="1" customWidth="1"/>
    <col min="24" max="25" width="11" style="75" customWidth="1"/>
    <col min="26" max="61" width="11" style="1" customWidth="1"/>
    <col min="62" max="63" width="8.7109375" style="1" customWidth="1"/>
    <col min="64" max="16384" width="15.7109375" style="1"/>
  </cols>
  <sheetData>
    <row r="1" spans="1:63" ht="15" hidden="1" customHeight="1" x14ac:dyDescent="0.2"/>
    <row r="2" spans="1:63" ht="15" hidden="1" customHeight="1" x14ac:dyDescent="0.2"/>
    <row r="3" spans="1:63" ht="15" hidden="1" customHeight="1" x14ac:dyDescent="0.2"/>
    <row r="4" spans="1:63" ht="15" hidden="1" customHeight="1" x14ac:dyDescent="0.2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76"/>
      <c r="Y4" s="76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5" t="s">
        <v>55</v>
      </c>
      <c r="BA4" s="25" t="s">
        <v>54</v>
      </c>
      <c r="BB4" s="25" t="s">
        <v>51</v>
      </c>
      <c r="BC4" s="25" t="s">
        <v>49</v>
      </c>
      <c r="BD4" s="25" t="s">
        <v>47</v>
      </c>
      <c r="BE4" s="25" t="s">
        <v>46</v>
      </c>
      <c r="BF4" s="25" t="s">
        <v>44</v>
      </c>
      <c r="BG4" s="25" t="s">
        <v>42</v>
      </c>
      <c r="BH4" s="25" t="s">
        <v>10</v>
      </c>
      <c r="BI4" s="25" t="s">
        <v>9</v>
      </c>
      <c r="BJ4" s="25" t="s">
        <v>7</v>
      </c>
      <c r="BK4" s="25" t="s">
        <v>8</v>
      </c>
    </row>
    <row r="5" spans="1:63" ht="15" hidden="1" customHeight="1" x14ac:dyDescent="0.2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77"/>
      <c r="Y5" s="77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7"/>
      <c r="BI5" s="28"/>
      <c r="BJ5" s="28"/>
      <c r="BK5" s="27"/>
    </row>
    <row r="6" spans="1:63" ht="15" hidden="1" customHeight="1" x14ac:dyDescent="0.2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78"/>
      <c r="Y6" s="78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8">
        <v>3893</v>
      </c>
      <c r="BA6" s="28">
        <v>3224</v>
      </c>
      <c r="BB6" s="28">
        <v>3476</v>
      </c>
      <c r="BC6" s="28">
        <v>2426</v>
      </c>
      <c r="BD6" s="28">
        <v>4145</v>
      </c>
      <c r="BE6" s="28">
        <v>5216</v>
      </c>
      <c r="BF6" s="28">
        <v>5805</v>
      </c>
      <c r="BG6" s="28">
        <v>5282</v>
      </c>
      <c r="BH6" s="28">
        <v>5215</v>
      </c>
      <c r="BI6" s="30">
        <v>5303</v>
      </c>
      <c r="BJ6" s="28">
        <v>5228</v>
      </c>
      <c r="BK6" s="28">
        <v>4579</v>
      </c>
    </row>
    <row r="7" spans="1:63" ht="15" hidden="1" customHeight="1" x14ac:dyDescent="0.2">
      <c r="A7" s="2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78"/>
      <c r="Y7" s="78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8">
        <v>887</v>
      </c>
      <c r="BA7" s="28">
        <v>754</v>
      </c>
      <c r="BB7" s="28">
        <v>1143</v>
      </c>
      <c r="BC7" s="28">
        <v>813</v>
      </c>
      <c r="BD7" s="28">
        <v>1189</v>
      </c>
      <c r="BE7" s="28">
        <v>1039</v>
      </c>
      <c r="BF7" s="28">
        <v>37</v>
      </c>
      <c r="BG7" s="28">
        <v>0</v>
      </c>
      <c r="BH7" s="28">
        <v>0</v>
      </c>
      <c r="BI7" s="30">
        <v>0</v>
      </c>
      <c r="BJ7" s="28">
        <v>0</v>
      </c>
      <c r="BK7" s="28">
        <v>0</v>
      </c>
    </row>
    <row r="8" spans="1:63" ht="15" hidden="1" customHeight="1" x14ac:dyDescent="0.2">
      <c r="A8" s="2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78"/>
      <c r="Y8" s="7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8">
        <v>1139</v>
      </c>
      <c r="BA8" s="28">
        <v>850</v>
      </c>
      <c r="BB8" s="28">
        <v>880</v>
      </c>
      <c r="BC8" s="28">
        <v>852</v>
      </c>
      <c r="BD8" s="28">
        <v>1035</v>
      </c>
      <c r="BE8" s="28">
        <v>1573</v>
      </c>
      <c r="BF8" s="28">
        <v>604</v>
      </c>
      <c r="BG8" s="28">
        <v>0</v>
      </c>
      <c r="BH8" s="28">
        <v>0</v>
      </c>
      <c r="BI8" s="30">
        <v>0</v>
      </c>
      <c r="BJ8" s="28">
        <v>0</v>
      </c>
      <c r="BK8" s="28">
        <v>0</v>
      </c>
    </row>
    <row r="9" spans="1:63" ht="15" hidden="1" customHeight="1" x14ac:dyDescent="0.2">
      <c r="A9" s="29" t="s">
        <v>32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78"/>
      <c r="Y9" s="7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>
        <v>80</v>
      </c>
      <c r="BA9" s="28">
        <v>98</v>
      </c>
      <c r="BB9" s="28">
        <v>93</v>
      </c>
      <c r="BC9" s="28">
        <v>152</v>
      </c>
      <c r="BD9" s="28">
        <v>268</v>
      </c>
      <c r="BE9" s="28">
        <v>312</v>
      </c>
      <c r="BF9" s="28">
        <v>325</v>
      </c>
      <c r="BG9" s="28">
        <v>308</v>
      </c>
      <c r="BH9" s="28">
        <v>236</v>
      </c>
      <c r="BI9" s="30">
        <v>250</v>
      </c>
      <c r="BJ9" s="28">
        <v>261</v>
      </c>
      <c r="BK9" s="28">
        <v>235</v>
      </c>
    </row>
    <row r="10" spans="1:63" ht="15" hidden="1" customHeight="1" x14ac:dyDescent="0.2">
      <c r="A10" s="29" t="s">
        <v>43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78"/>
      <c r="Y10" s="7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>
        <v>74</v>
      </c>
      <c r="BA10" s="28">
        <v>36</v>
      </c>
      <c r="BB10" s="28">
        <v>56</v>
      </c>
      <c r="BC10" s="28">
        <v>174</v>
      </c>
      <c r="BD10" s="28">
        <v>0</v>
      </c>
      <c r="BE10" s="28">
        <v>2</v>
      </c>
      <c r="BF10" s="28">
        <v>36</v>
      </c>
      <c r="BG10" s="28">
        <v>44</v>
      </c>
      <c r="BH10" s="28">
        <v>0</v>
      </c>
      <c r="BI10" s="30">
        <v>0</v>
      </c>
      <c r="BJ10" s="28">
        <v>0</v>
      </c>
      <c r="BK10" s="28">
        <v>0</v>
      </c>
    </row>
    <row r="11" spans="1:63" ht="15" hidden="1" customHeight="1" x14ac:dyDescent="0.2">
      <c r="A11" s="29" t="s">
        <v>33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78"/>
      <c r="Y11" s="7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>
        <v>175</v>
      </c>
      <c r="BA11" s="28">
        <v>131</v>
      </c>
      <c r="BB11" s="28">
        <v>114</v>
      </c>
      <c r="BC11" s="28">
        <v>85</v>
      </c>
      <c r="BD11" s="28">
        <v>84</v>
      </c>
      <c r="BE11" s="28">
        <v>170</v>
      </c>
      <c r="BF11" s="28">
        <v>139</v>
      </c>
      <c r="BG11" s="28">
        <v>117</v>
      </c>
      <c r="BH11" s="28">
        <v>124</v>
      </c>
      <c r="BI11" s="30">
        <v>119</v>
      </c>
      <c r="BJ11" s="28">
        <v>99</v>
      </c>
      <c r="BK11" s="28">
        <v>92</v>
      </c>
    </row>
    <row r="12" spans="1:63" ht="15" hidden="1" customHeight="1" x14ac:dyDescent="0.2">
      <c r="A12" s="29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78"/>
      <c r="Y12" s="7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8">
        <v>16899</v>
      </c>
      <c r="BA12" s="28">
        <v>15797</v>
      </c>
      <c r="BB12" s="28">
        <v>15055</v>
      </c>
      <c r="BC12" s="28">
        <v>12092</v>
      </c>
      <c r="BD12" s="28">
        <v>11383</v>
      </c>
      <c r="BE12" s="28">
        <v>15670</v>
      </c>
      <c r="BF12" s="28">
        <v>15018</v>
      </c>
      <c r="BG12" s="28">
        <v>13631</v>
      </c>
      <c r="BH12" s="28">
        <v>11080</v>
      </c>
      <c r="BI12" s="30">
        <v>16393</v>
      </c>
      <c r="BJ12" s="28">
        <v>14334</v>
      </c>
      <c r="BK12" s="28">
        <v>13493</v>
      </c>
    </row>
    <row r="13" spans="1:63" ht="15" hidden="1" customHeight="1" x14ac:dyDescent="0.2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78"/>
      <c r="Y13" s="7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8">
        <v>176391</v>
      </c>
      <c r="BA13" s="28">
        <v>158058</v>
      </c>
      <c r="BB13" s="28">
        <v>139064</v>
      </c>
      <c r="BC13" s="28">
        <v>114795</v>
      </c>
      <c r="BD13" s="28">
        <v>204162</v>
      </c>
      <c r="BE13" s="28">
        <v>244391</v>
      </c>
      <c r="BF13" s="28">
        <v>218271</v>
      </c>
      <c r="BG13" s="28">
        <v>191200</v>
      </c>
      <c r="BH13" s="28">
        <v>182546</v>
      </c>
      <c r="BI13" s="30">
        <v>197666</v>
      </c>
      <c r="BJ13" s="28">
        <v>170316</v>
      </c>
      <c r="BK13" s="28">
        <v>153048</v>
      </c>
    </row>
    <row r="14" spans="1:63" ht="15" hidden="1" customHeight="1" x14ac:dyDescent="0.2">
      <c r="A14" s="29" t="s">
        <v>37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78"/>
      <c r="Y14" s="7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8">
        <v>9591</v>
      </c>
      <c r="BA14" s="28">
        <v>7883</v>
      </c>
      <c r="BB14" s="28">
        <v>7033</v>
      </c>
      <c r="BC14" s="28">
        <v>5856</v>
      </c>
      <c r="BD14" s="28">
        <v>8273</v>
      </c>
      <c r="BE14" s="28">
        <v>13173</v>
      </c>
      <c r="BF14" s="28">
        <v>11028</v>
      </c>
      <c r="BG14" s="28">
        <v>9547</v>
      </c>
      <c r="BH14" s="28">
        <v>8689</v>
      </c>
      <c r="BI14" s="30">
        <v>10509</v>
      </c>
      <c r="BJ14" s="28">
        <v>8606</v>
      </c>
      <c r="BK14" s="28">
        <v>7246</v>
      </c>
    </row>
    <row r="15" spans="1:63" ht="15" hidden="1" customHeight="1" x14ac:dyDescent="0.2">
      <c r="A15" s="29" t="s">
        <v>38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78"/>
      <c r="Y15" s="7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8">
        <v>11459</v>
      </c>
      <c r="BA15" s="28">
        <v>8480</v>
      </c>
      <c r="BB15" s="28">
        <v>7448</v>
      </c>
      <c r="BC15" s="28">
        <v>7448</v>
      </c>
      <c r="BD15" s="28">
        <v>12385</v>
      </c>
      <c r="BE15" s="28">
        <v>16695</v>
      </c>
      <c r="BF15" s="28">
        <v>14458</v>
      </c>
      <c r="BG15" s="28">
        <v>13223</v>
      </c>
      <c r="BH15" s="28">
        <v>12241</v>
      </c>
      <c r="BI15" s="30">
        <v>13129</v>
      </c>
      <c r="BJ15" s="28">
        <v>11894</v>
      </c>
      <c r="BK15" s="28">
        <v>9324</v>
      </c>
    </row>
    <row r="16" spans="1:63" ht="15" hidden="1" customHeight="1" x14ac:dyDescent="0.2">
      <c r="A16" s="29" t="s">
        <v>39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78"/>
      <c r="Y16" s="7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8">
        <v>19666</v>
      </c>
      <c r="BA16" s="28">
        <v>16210</v>
      </c>
      <c r="BB16" s="28">
        <v>16870</v>
      </c>
      <c r="BC16" s="28">
        <v>13407</v>
      </c>
      <c r="BD16" s="28">
        <v>20126</v>
      </c>
      <c r="BE16" s="28">
        <v>27270</v>
      </c>
      <c r="BF16" s="28">
        <v>22277</v>
      </c>
      <c r="BG16" s="28">
        <v>20547</v>
      </c>
      <c r="BH16" s="28">
        <v>19584</v>
      </c>
      <c r="BI16" s="30">
        <v>19887</v>
      </c>
      <c r="BJ16" s="28">
        <v>16518</v>
      </c>
      <c r="BK16" s="28">
        <v>15159</v>
      </c>
    </row>
    <row r="17" spans="1:63" ht="15" hidden="1" customHeight="1" x14ac:dyDescent="0.2">
      <c r="A17" s="29" t="s">
        <v>40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78"/>
      <c r="Y17" s="7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31">
        <v>60378</v>
      </c>
      <c r="BA17" s="31">
        <v>54641</v>
      </c>
      <c r="BB17" s="31">
        <v>54319</v>
      </c>
      <c r="BC17" s="31">
        <v>44321</v>
      </c>
      <c r="BD17" s="31">
        <v>60731</v>
      </c>
      <c r="BE17" s="31">
        <v>77185</v>
      </c>
      <c r="BF17" s="31">
        <v>64528</v>
      </c>
      <c r="BG17" s="31">
        <v>58997</v>
      </c>
      <c r="BH17" s="28">
        <v>60441</v>
      </c>
      <c r="BI17" s="30">
        <v>68096</v>
      </c>
      <c r="BJ17" s="28">
        <v>50703</v>
      </c>
      <c r="BK17" s="28">
        <v>46474</v>
      </c>
    </row>
    <row r="18" spans="1:63" ht="15" hidden="1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79"/>
      <c r="Y18" s="79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</row>
    <row r="19" spans="1:63" ht="15" hidden="1" customHeight="1" x14ac:dyDescent="0.2">
      <c r="A19" s="171" t="s">
        <v>68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</row>
    <row r="20" spans="1:63" ht="22.5" hidden="1" customHeight="1" x14ac:dyDescent="0.2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</row>
    <row r="21" spans="1:63" ht="15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130</v>
      </c>
      <c r="O21" s="32"/>
      <c r="P21" s="32"/>
      <c r="Q21" s="32"/>
      <c r="R21" s="32"/>
      <c r="S21" s="32"/>
      <c r="T21" s="32"/>
      <c r="U21" s="32"/>
      <c r="V21" s="32"/>
      <c r="W21" s="32"/>
      <c r="X21" s="79"/>
      <c r="Y21" s="79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</row>
    <row r="22" spans="1:63" ht="1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79"/>
      <c r="Y22" s="79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</row>
    <row r="23" spans="1:63" ht="1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79"/>
      <c r="Y23" s="79"/>
      <c r="Z23" s="79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</row>
    <row r="24" spans="1:63" s="64" customFormat="1" ht="15" customHeight="1" x14ac:dyDescent="0.25">
      <c r="A24" s="62" t="s">
        <v>4</v>
      </c>
      <c r="B24" s="62" t="s">
        <v>159</v>
      </c>
      <c r="C24" s="62" t="s">
        <v>158</v>
      </c>
      <c r="D24" s="63" t="s">
        <v>157</v>
      </c>
      <c r="E24" s="63" t="s">
        <v>143</v>
      </c>
      <c r="F24" s="150" t="s">
        <v>142</v>
      </c>
      <c r="G24" s="150" t="s">
        <v>140</v>
      </c>
      <c r="H24" s="150" t="s">
        <v>139</v>
      </c>
      <c r="I24" s="150" t="s">
        <v>138</v>
      </c>
      <c r="J24" s="151" t="s">
        <v>136</v>
      </c>
      <c r="K24" s="151" t="s">
        <v>135</v>
      </c>
      <c r="L24" s="151" t="s">
        <v>134</v>
      </c>
      <c r="M24" s="151" t="s">
        <v>131</v>
      </c>
      <c r="N24" s="151" t="s">
        <v>128</v>
      </c>
      <c r="O24" s="63" t="s">
        <v>127</v>
      </c>
      <c r="P24" s="63" t="s">
        <v>126</v>
      </c>
      <c r="Q24" s="63" t="s">
        <v>125</v>
      </c>
      <c r="R24" s="63" t="s">
        <v>123</v>
      </c>
      <c r="S24" s="63" t="s">
        <v>122</v>
      </c>
      <c r="T24" s="63" t="s">
        <v>121</v>
      </c>
      <c r="U24" s="63" t="s">
        <v>120</v>
      </c>
      <c r="V24" s="63" t="s">
        <v>118</v>
      </c>
      <c r="W24" s="63" t="s">
        <v>117</v>
      </c>
      <c r="X24" s="89" t="s">
        <v>116</v>
      </c>
      <c r="Y24" s="89" t="s">
        <v>115</v>
      </c>
      <c r="Z24" s="63" t="s">
        <v>113</v>
      </c>
      <c r="AA24" s="63" t="s">
        <v>111</v>
      </c>
      <c r="AB24" s="63" t="s">
        <v>108</v>
      </c>
      <c r="AC24" s="63" t="s">
        <v>107</v>
      </c>
      <c r="AD24" s="63" t="s">
        <v>105</v>
      </c>
      <c r="AE24" s="63" t="s">
        <v>104</v>
      </c>
      <c r="AF24" s="63" t="s">
        <v>103</v>
      </c>
      <c r="AG24" s="63" t="s">
        <v>102</v>
      </c>
      <c r="AH24" s="63" t="s">
        <v>100</v>
      </c>
      <c r="AI24" s="63" t="s">
        <v>99</v>
      </c>
      <c r="AJ24" s="63" t="s">
        <v>98</v>
      </c>
      <c r="AK24" s="63" t="s">
        <v>97</v>
      </c>
      <c r="AL24" s="63" t="s">
        <v>95</v>
      </c>
      <c r="AM24" s="63" t="s">
        <v>94</v>
      </c>
      <c r="AN24" s="63" t="s">
        <v>91</v>
      </c>
      <c r="AO24" s="63" t="s">
        <v>90</v>
      </c>
      <c r="AP24" s="63" t="s">
        <v>88</v>
      </c>
      <c r="AQ24" s="63" t="s">
        <v>87</v>
      </c>
      <c r="AR24" s="63" t="s">
        <v>86</v>
      </c>
      <c r="AS24" s="63" t="s">
        <v>85</v>
      </c>
      <c r="AT24" s="63" t="s">
        <v>83</v>
      </c>
      <c r="AU24" s="63" t="s">
        <v>82</v>
      </c>
      <c r="AV24" s="63" t="s">
        <v>80</v>
      </c>
      <c r="AW24" s="63" t="s">
        <v>79</v>
      </c>
      <c r="AX24" s="63" t="s">
        <v>77</v>
      </c>
      <c r="AY24" s="63" t="s">
        <v>71</v>
      </c>
      <c r="AZ24" s="63" t="s">
        <v>70</v>
      </c>
      <c r="BA24" s="63" t="s">
        <v>57</v>
      </c>
      <c r="BB24" s="63" t="s">
        <v>55</v>
      </c>
      <c r="BC24" s="63" t="s">
        <v>54</v>
      </c>
      <c r="BD24" s="63" t="s">
        <v>51</v>
      </c>
      <c r="BE24" s="63" t="s">
        <v>49</v>
      </c>
      <c r="BF24" s="63" t="s">
        <v>47</v>
      </c>
      <c r="BG24" s="63" t="s">
        <v>46</v>
      </c>
      <c r="BH24" s="63" t="s">
        <v>44</v>
      </c>
      <c r="BI24" s="63" t="s">
        <v>42</v>
      </c>
    </row>
    <row r="25" spans="1:63" s="64" customFormat="1" ht="15" customHeight="1" x14ac:dyDescent="0.25">
      <c r="A25" s="65" t="s">
        <v>152</v>
      </c>
      <c r="B25" s="90"/>
      <c r="C25" s="90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90"/>
      <c r="P25" s="90"/>
      <c r="Q25" s="90"/>
      <c r="R25" s="90"/>
      <c r="S25" s="90"/>
      <c r="T25" s="90"/>
      <c r="U25" s="90"/>
      <c r="V25" s="90"/>
      <c r="W25" s="90"/>
      <c r="X25" s="91"/>
      <c r="Y25" s="91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23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63" s="64" customFormat="1" ht="15" customHeight="1" x14ac:dyDescent="0.25">
      <c r="A26" s="66" t="s">
        <v>59</v>
      </c>
      <c r="B26" s="138">
        <f>SUM('[78]DRE por Segmento|Base de Dados'!$P$348:$P$349)</f>
        <v>8460</v>
      </c>
      <c r="C26" s="154">
        <v>7776</v>
      </c>
      <c r="D26" s="154">
        <v>7245</v>
      </c>
      <c r="E26" s="154">
        <v>6861</v>
      </c>
      <c r="F26" s="138">
        <v>7908</v>
      </c>
      <c r="G26" s="81">
        <v>9142</v>
      </c>
      <c r="H26" s="138">
        <v>8278</v>
      </c>
      <c r="I26" s="138">
        <v>7918</v>
      </c>
      <c r="J26" s="138">
        <v>8531</v>
      </c>
      <c r="K26" s="138">
        <v>7455</v>
      </c>
      <c r="L26" s="138">
        <v>4974</v>
      </c>
      <c r="M26" s="138">
        <v>5650</v>
      </c>
      <c r="N26" s="138">
        <v>6390</v>
      </c>
      <c r="O26" s="138">
        <v>6924</v>
      </c>
      <c r="P26" s="92">
        <v>6957</v>
      </c>
      <c r="Q26" s="92">
        <v>5135</v>
      </c>
      <c r="R26" s="92">
        <v>6061</v>
      </c>
      <c r="S26" s="92">
        <v>6188</v>
      </c>
      <c r="T26" s="92">
        <v>4952</v>
      </c>
      <c r="U26" s="92">
        <v>3759</v>
      </c>
      <c r="V26" s="93">
        <v>4040</v>
      </c>
      <c r="W26" s="93">
        <v>3591</v>
      </c>
      <c r="X26" s="93">
        <v>3063</v>
      </c>
      <c r="Y26" s="93">
        <v>2423</v>
      </c>
      <c r="Z26" s="92">
        <v>2552</v>
      </c>
      <c r="AA26" s="60">
        <v>2300</v>
      </c>
      <c r="AB26" s="60">
        <v>2696</v>
      </c>
      <c r="AC26" s="60">
        <v>2303</v>
      </c>
      <c r="AD26" s="60">
        <v>2898</v>
      </c>
      <c r="AE26" s="60">
        <v>2989</v>
      </c>
      <c r="AF26" s="60">
        <v>2633</v>
      </c>
      <c r="AG26" s="60">
        <v>2064</v>
      </c>
      <c r="AH26" s="60">
        <v>3970</v>
      </c>
      <c r="AI26" s="60">
        <v>4000</v>
      </c>
      <c r="AJ26" s="60">
        <v>4851</v>
      </c>
      <c r="AK26" s="60">
        <v>3798</v>
      </c>
      <c r="AL26" s="60">
        <v>6638</v>
      </c>
      <c r="AM26" s="60">
        <v>7047</v>
      </c>
      <c r="AN26" s="60">
        <v>6434</v>
      </c>
      <c r="AO26" s="60">
        <v>5370</v>
      </c>
      <c r="AP26" s="60">
        <v>6100</v>
      </c>
      <c r="AQ26" s="60">
        <v>5480</v>
      </c>
      <c r="AR26" s="60">
        <v>5686</v>
      </c>
      <c r="AS26" s="60">
        <v>3840</v>
      </c>
      <c r="AT26" s="60">
        <v>6956</v>
      </c>
      <c r="AU26" s="60">
        <v>6561</v>
      </c>
      <c r="AV26" s="60">
        <v>6793</v>
      </c>
      <c r="AW26" s="60">
        <v>5368</v>
      </c>
      <c r="AX26" s="94">
        <v>6917</v>
      </c>
      <c r="AY26" s="94">
        <v>6495</v>
      </c>
      <c r="AZ26" s="94">
        <v>5738</v>
      </c>
      <c r="BA26" s="94">
        <v>4712</v>
      </c>
      <c r="BB26" s="95">
        <v>4860</v>
      </c>
      <c r="BC26" s="95">
        <v>4076</v>
      </c>
      <c r="BD26" s="95">
        <v>4712</v>
      </c>
      <c r="BE26" s="95">
        <v>3391</v>
      </c>
      <c r="BF26" s="95">
        <v>5602</v>
      </c>
      <c r="BG26" s="95">
        <v>6567</v>
      </c>
      <c r="BH26" s="95">
        <v>6167</v>
      </c>
      <c r="BI26" s="95">
        <v>5590</v>
      </c>
    </row>
    <row r="27" spans="1:63" s="64" customFormat="1" ht="15" customHeight="1" x14ac:dyDescent="0.25">
      <c r="A27" s="67" t="s">
        <v>60</v>
      </c>
      <c r="B27" s="140" t="s">
        <v>69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39">
        <v>50</v>
      </c>
      <c r="K27" s="139">
        <v>115</v>
      </c>
      <c r="L27" s="139">
        <v>102</v>
      </c>
      <c r="M27" s="139">
        <v>58</v>
      </c>
      <c r="N27" s="139">
        <v>91</v>
      </c>
      <c r="O27" s="139">
        <v>113</v>
      </c>
      <c r="P27" s="92">
        <v>97</v>
      </c>
      <c r="Q27" s="92">
        <v>97</v>
      </c>
      <c r="R27" s="92">
        <v>95</v>
      </c>
      <c r="S27" s="92">
        <v>133</v>
      </c>
      <c r="T27" s="92">
        <v>172</v>
      </c>
      <c r="U27" s="92">
        <v>68</v>
      </c>
      <c r="V27" s="96">
        <v>67</v>
      </c>
      <c r="W27" s="96">
        <v>83</v>
      </c>
      <c r="X27" s="96">
        <v>115</v>
      </c>
      <c r="Y27" s="96">
        <v>84</v>
      </c>
      <c r="Z27" s="92">
        <v>50</v>
      </c>
      <c r="AA27" s="60">
        <v>57</v>
      </c>
      <c r="AB27" s="60">
        <v>44</v>
      </c>
      <c r="AC27" s="60">
        <v>45</v>
      </c>
      <c r="AD27" s="60">
        <v>48</v>
      </c>
      <c r="AE27" s="60">
        <v>101</v>
      </c>
      <c r="AF27" s="60">
        <v>107</v>
      </c>
      <c r="AG27" s="60">
        <v>99</v>
      </c>
      <c r="AH27" s="60">
        <v>144</v>
      </c>
      <c r="AI27" s="60">
        <v>153</v>
      </c>
      <c r="AJ27" s="60">
        <v>152</v>
      </c>
      <c r="AK27" s="61">
        <v>131</v>
      </c>
      <c r="AL27" s="61">
        <v>284</v>
      </c>
      <c r="AM27" s="61">
        <v>451</v>
      </c>
      <c r="AN27" s="61">
        <v>268</v>
      </c>
      <c r="AO27" s="61">
        <v>313</v>
      </c>
      <c r="AP27" s="61">
        <v>192</v>
      </c>
      <c r="AQ27" s="61">
        <v>214</v>
      </c>
      <c r="AR27" s="61">
        <v>496</v>
      </c>
      <c r="AS27" s="61">
        <v>183</v>
      </c>
      <c r="AT27" s="61">
        <v>229</v>
      </c>
      <c r="AU27" s="61">
        <v>207</v>
      </c>
      <c r="AV27" s="61">
        <v>211</v>
      </c>
      <c r="AW27" s="61">
        <v>185</v>
      </c>
      <c r="AX27" s="94">
        <v>171</v>
      </c>
      <c r="AY27" s="94">
        <v>238</v>
      </c>
      <c r="AZ27" s="94">
        <v>270</v>
      </c>
      <c r="BA27" s="94">
        <v>284</v>
      </c>
      <c r="BB27" s="95">
        <v>175</v>
      </c>
      <c r="BC27" s="95">
        <v>131</v>
      </c>
      <c r="BD27" s="95">
        <v>114</v>
      </c>
      <c r="BE27" s="95">
        <v>85</v>
      </c>
      <c r="BF27" s="95">
        <v>84</v>
      </c>
      <c r="BG27" s="95">
        <v>170</v>
      </c>
      <c r="BH27" s="95">
        <v>139</v>
      </c>
      <c r="BI27" s="95">
        <v>117</v>
      </c>
    </row>
    <row r="28" spans="1:63" s="64" customFormat="1" ht="15" customHeight="1" x14ac:dyDescent="0.25">
      <c r="A28" s="67" t="s">
        <v>61</v>
      </c>
      <c r="B28" s="139">
        <f>'[78]DRE por Segmento|Base de Dados'!$P$350</f>
        <v>100</v>
      </c>
      <c r="C28" s="156">
        <v>123</v>
      </c>
      <c r="D28" s="156">
        <v>92</v>
      </c>
      <c r="E28" s="156">
        <v>27</v>
      </c>
      <c r="F28" s="139">
        <v>147</v>
      </c>
      <c r="G28" s="81">
        <v>171</v>
      </c>
      <c r="H28" s="139">
        <v>132</v>
      </c>
      <c r="I28" s="139">
        <v>9</v>
      </c>
      <c r="J28" s="139">
        <v>16</v>
      </c>
      <c r="K28" s="139">
        <v>5</v>
      </c>
      <c r="L28" s="139">
        <v>13</v>
      </c>
      <c r="M28" s="139">
        <v>0</v>
      </c>
      <c r="N28" s="139">
        <v>6</v>
      </c>
      <c r="O28" s="139">
        <v>74</v>
      </c>
      <c r="P28" s="92">
        <v>1</v>
      </c>
      <c r="Q28" s="92">
        <v>86</v>
      </c>
      <c r="R28" s="92">
        <v>70</v>
      </c>
      <c r="S28" s="92">
        <v>86</v>
      </c>
      <c r="T28" s="92">
        <v>128</v>
      </c>
      <c r="U28" s="92">
        <v>355</v>
      </c>
      <c r="V28" s="96">
        <v>328</v>
      </c>
      <c r="W28" s="96">
        <v>118</v>
      </c>
      <c r="X28" s="96">
        <v>269</v>
      </c>
      <c r="Y28" s="96">
        <v>169</v>
      </c>
      <c r="Z28" s="92">
        <v>318</v>
      </c>
      <c r="AA28" s="60">
        <v>111</v>
      </c>
      <c r="AB28" s="60">
        <v>429</v>
      </c>
      <c r="AC28" s="60">
        <v>726</v>
      </c>
      <c r="AD28" s="60">
        <v>602</v>
      </c>
      <c r="AE28" s="60">
        <v>611</v>
      </c>
      <c r="AF28" s="60">
        <v>382</v>
      </c>
      <c r="AG28" s="60">
        <v>404</v>
      </c>
      <c r="AH28" s="60">
        <v>362</v>
      </c>
      <c r="AI28" s="60">
        <v>160</v>
      </c>
      <c r="AJ28" s="60">
        <v>526</v>
      </c>
      <c r="AK28" s="61">
        <v>308</v>
      </c>
      <c r="AL28" s="61">
        <v>18</v>
      </c>
      <c r="AM28" s="61">
        <v>1</v>
      </c>
      <c r="AN28" s="61">
        <v>0</v>
      </c>
      <c r="AO28" s="61">
        <v>304</v>
      </c>
      <c r="AP28" s="61">
        <v>384</v>
      </c>
      <c r="AQ28" s="61">
        <v>120</v>
      </c>
      <c r="AR28" s="61">
        <v>8</v>
      </c>
      <c r="AS28" s="61">
        <v>350</v>
      </c>
      <c r="AT28" s="61">
        <v>100</v>
      </c>
      <c r="AU28" s="61">
        <v>85</v>
      </c>
      <c r="AV28" s="61">
        <v>306</v>
      </c>
      <c r="AW28" s="61">
        <v>422</v>
      </c>
      <c r="AX28" s="94">
        <v>380</v>
      </c>
      <c r="AY28" s="94">
        <v>219</v>
      </c>
      <c r="AZ28" s="94">
        <v>182</v>
      </c>
      <c r="BA28" s="94">
        <v>208</v>
      </c>
      <c r="BB28" s="95">
        <v>74</v>
      </c>
      <c r="BC28" s="95">
        <v>36</v>
      </c>
      <c r="BD28" s="95">
        <v>56</v>
      </c>
      <c r="BE28" s="95">
        <v>174</v>
      </c>
      <c r="BF28" s="95">
        <v>0</v>
      </c>
      <c r="BG28" s="95">
        <v>0</v>
      </c>
      <c r="BH28" s="95">
        <v>0</v>
      </c>
      <c r="BI28" s="95">
        <v>0</v>
      </c>
    </row>
    <row r="29" spans="1:63" s="64" customFormat="1" ht="15" customHeight="1" x14ac:dyDescent="0.25">
      <c r="A29" s="65" t="s">
        <v>153</v>
      </c>
      <c r="B29" s="90"/>
      <c r="C29" s="90"/>
      <c r="D29" s="65"/>
      <c r="E29" s="65"/>
      <c r="F29" s="65"/>
      <c r="G29" s="65"/>
      <c r="H29" s="65"/>
      <c r="I29" s="65"/>
      <c r="J29" s="65"/>
      <c r="K29" s="65"/>
      <c r="L29" s="65"/>
      <c r="M29" s="90"/>
      <c r="N29" s="90"/>
      <c r="O29" s="90"/>
      <c r="P29" s="90"/>
      <c r="Q29" s="90"/>
      <c r="R29" s="90"/>
      <c r="S29" s="90"/>
      <c r="T29" s="90"/>
      <c r="U29" s="90"/>
      <c r="V29" s="91"/>
      <c r="W29" s="91"/>
      <c r="X29" s="91"/>
      <c r="Y29" s="91"/>
      <c r="Z29" s="90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3" s="64" customFormat="1" ht="15" customHeight="1" x14ac:dyDescent="0.25">
      <c r="A30" s="82" t="s">
        <v>63</v>
      </c>
      <c r="B30" s="141">
        <f>'[78]DRE por Segmento|Base de Dados'!$P$353</f>
        <v>231159</v>
      </c>
      <c r="C30" s="141">
        <v>258136</v>
      </c>
      <c r="D30" s="82">
        <v>241242</v>
      </c>
      <c r="E30" s="82">
        <v>245526</v>
      </c>
      <c r="F30" s="82">
        <v>225250</v>
      </c>
      <c r="G30" s="82">
        <v>253893</v>
      </c>
      <c r="H30" s="82">
        <v>223471</v>
      </c>
      <c r="I30" s="82">
        <v>214918</v>
      </c>
      <c r="J30" s="82">
        <v>188265</v>
      </c>
      <c r="K30" s="82">
        <v>157078</v>
      </c>
      <c r="L30" s="82">
        <v>79904</v>
      </c>
      <c r="M30" s="141">
        <v>151072</v>
      </c>
      <c r="N30" s="141">
        <v>158640</v>
      </c>
      <c r="O30" s="141">
        <v>208911</v>
      </c>
      <c r="P30" s="97">
        <v>199993</v>
      </c>
      <c r="Q30" s="97">
        <v>182660</v>
      </c>
      <c r="R30" s="97">
        <v>155411</v>
      </c>
      <c r="S30" s="97">
        <v>173128</v>
      </c>
      <c r="T30" s="97">
        <v>147007</v>
      </c>
      <c r="U30" s="97">
        <v>138132</v>
      </c>
      <c r="V30" s="99">
        <v>121775</v>
      </c>
      <c r="W30" s="99">
        <v>128255</v>
      </c>
      <c r="X30" s="99">
        <v>120615</v>
      </c>
      <c r="Y30" s="99">
        <v>108944</v>
      </c>
      <c r="Z30" s="97">
        <v>84330</v>
      </c>
      <c r="AA30" s="98">
        <v>106466</v>
      </c>
      <c r="AB30" s="98">
        <v>114682</v>
      </c>
      <c r="AC30" s="98">
        <v>97933</v>
      </c>
      <c r="AD30" s="98">
        <v>68488</v>
      </c>
      <c r="AE30" s="98">
        <v>113297</v>
      </c>
      <c r="AF30" s="98">
        <v>123687</v>
      </c>
      <c r="AG30" s="98">
        <v>135750</v>
      </c>
      <c r="AH30" s="98">
        <v>152273</v>
      </c>
      <c r="AI30" s="98">
        <v>173865</v>
      </c>
      <c r="AJ30" s="98">
        <v>178080.89488243428</v>
      </c>
      <c r="AK30" s="98">
        <v>216195</v>
      </c>
      <c r="AL30" s="98">
        <v>198048</v>
      </c>
      <c r="AM30" s="98">
        <v>264376</v>
      </c>
      <c r="AN30" s="98">
        <v>252093</v>
      </c>
      <c r="AO30" s="98">
        <v>220944</v>
      </c>
      <c r="AP30" s="98">
        <v>192233</v>
      </c>
      <c r="AQ30" s="98">
        <v>203687</v>
      </c>
      <c r="AR30" s="98">
        <v>191394</v>
      </c>
      <c r="AS30" s="98">
        <v>158033</v>
      </c>
      <c r="AT30" s="98">
        <v>289597</v>
      </c>
      <c r="AU30" s="98">
        <v>294788</v>
      </c>
      <c r="AV30" s="98">
        <v>281992</v>
      </c>
      <c r="AW30" s="98">
        <v>255145</v>
      </c>
      <c r="AX30" s="98">
        <v>216462</v>
      </c>
      <c r="AY30" s="98">
        <v>208442</v>
      </c>
      <c r="AZ30" s="98">
        <v>243026</v>
      </c>
      <c r="BA30" s="98">
        <v>214839</v>
      </c>
      <c r="BB30" s="88">
        <v>176391</v>
      </c>
      <c r="BC30" s="88">
        <v>158058</v>
      </c>
      <c r="BD30" s="88">
        <v>139064</v>
      </c>
      <c r="BE30" s="88">
        <v>114795</v>
      </c>
      <c r="BF30" s="88">
        <v>204162</v>
      </c>
      <c r="BG30" s="88">
        <v>244391</v>
      </c>
      <c r="BH30" s="88">
        <v>218271</v>
      </c>
      <c r="BI30" s="88">
        <v>191200</v>
      </c>
    </row>
    <row r="31" spans="1:63" s="64" customFormat="1" ht="15" customHeight="1" x14ac:dyDescent="0.25">
      <c r="A31" s="82" t="s">
        <v>64</v>
      </c>
      <c r="B31" s="141">
        <f>'[78]DRE por Segmento|Base de Dados'!$P$354</f>
        <v>32637</v>
      </c>
      <c r="C31" s="141">
        <v>35600</v>
      </c>
      <c r="D31" s="82">
        <v>33642</v>
      </c>
      <c r="E31" s="82">
        <v>34426</v>
      </c>
      <c r="F31" s="82">
        <v>38803</v>
      </c>
      <c r="G31" s="82">
        <v>39833</v>
      </c>
      <c r="H31" s="82">
        <v>37432</v>
      </c>
      <c r="I31" s="82">
        <v>36929</v>
      </c>
      <c r="J31" s="82">
        <v>34581</v>
      </c>
      <c r="K31" s="82">
        <v>31178</v>
      </c>
      <c r="L31" s="82">
        <v>16850</v>
      </c>
      <c r="M31" s="141">
        <v>26534</v>
      </c>
      <c r="N31" s="141">
        <v>27556</v>
      </c>
      <c r="O31" s="141">
        <v>32999</v>
      </c>
      <c r="P31" s="97">
        <v>33459</v>
      </c>
      <c r="Q31" s="97">
        <v>30011</v>
      </c>
      <c r="R31" s="97">
        <v>30888</v>
      </c>
      <c r="S31" s="97">
        <v>33280</v>
      </c>
      <c r="T31" s="97">
        <v>28097</v>
      </c>
      <c r="U31" s="97">
        <v>26916</v>
      </c>
      <c r="V31" s="99">
        <v>20421</v>
      </c>
      <c r="W31" s="99">
        <v>22142</v>
      </c>
      <c r="X31" s="99">
        <v>18008</v>
      </c>
      <c r="Y31" s="99">
        <v>13908</v>
      </c>
      <c r="Z31" s="97">
        <v>10596</v>
      </c>
      <c r="AA31" s="98">
        <v>12402</v>
      </c>
      <c r="AB31" s="98">
        <v>13160</v>
      </c>
      <c r="AC31" s="98">
        <v>12979</v>
      </c>
      <c r="AD31" s="98">
        <v>12126</v>
      </c>
      <c r="AE31" s="98">
        <v>13023</v>
      </c>
      <c r="AF31" s="98">
        <v>12015</v>
      </c>
      <c r="AG31" s="98">
        <v>14449</v>
      </c>
      <c r="AH31" s="98">
        <v>18355</v>
      </c>
      <c r="AI31" s="98">
        <v>21466</v>
      </c>
      <c r="AJ31" s="98">
        <v>19799</v>
      </c>
      <c r="AK31" s="98">
        <v>26905</v>
      </c>
      <c r="AL31" s="98">
        <v>30297</v>
      </c>
      <c r="AM31" s="98">
        <v>30755</v>
      </c>
      <c r="AN31" s="98">
        <v>29787</v>
      </c>
      <c r="AO31" s="98">
        <v>26685</v>
      </c>
      <c r="AP31" s="98">
        <v>21879</v>
      </c>
      <c r="AQ31" s="98">
        <v>20611</v>
      </c>
      <c r="AR31" s="98">
        <v>19040</v>
      </c>
      <c r="AS31" s="98">
        <v>20286</v>
      </c>
      <c r="AT31" s="98">
        <v>27324</v>
      </c>
      <c r="AU31" s="98">
        <v>31167</v>
      </c>
      <c r="AV31" s="98">
        <v>28996</v>
      </c>
      <c r="AW31" s="98">
        <v>27556</v>
      </c>
      <c r="AX31" s="98">
        <v>25086</v>
      </c>
      <c r="AY31" s="98">
        <v>28472</v>
      </c>
      <c r="AZ31" s="98">
        <v>26091</v>
      </c>
      <c r="BA31" s="98">
        <v>22116</v>
      </c>
      <c r="BB31" s="88">
        <v>21050</v>
      </c>
      <c r="BC31" s="88">
        <v>16363</v>
      </c>
      <c r="BD31" s="88">
        <v>14481</v>
      </c>
      <c r="BE31" s="88">
        <v>13304</v>
      </c>
      <c r="BF31" s="88">
        <v>20658</v>
      </c>
      <c r="BG31" s="88">
        <v>29868</v>
      </c>
      <c r="BH31" s="88">
        <v>25486</v>
      </c>
      <c r="BI31" s="88">
        <v>22770</v>
      </c>
    </row>
    <row r="32" spans="1:63" s="104" customFormat="1" ht="15" customHeight="1" x14ac:dyDescent="0.25">
      <c r="A32" s="87" t="s">
        <v>148</v>
      </c>
      <c r="B32" s="142" t="s">
        <v>69</v>
      </c>
      <c r="C32" s="142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142">
        <v>7467</v>
      </c>
      <c r="O32" s="142">
        <v>8993</v>
      </c>
      <c r="P32" s="100">
        <v>8901</v>
      </c>
      <c r="Q32" s="100">
        <v>30011</v>
      </c>
      <c r="R32" s="100">
        <v>8109</v>
      </c>
      <c r="S32" s="100">
        <v>9161</v>
      </c>
      <c r="T32" s="100">
        <v>6896</v>
      </c>
      <c r="U32" s="100">
        <v>6687</v>
      </c>
      <c r="V32" s="101">
        <v>4904</v>
      </c>
      <c r="W32" s="101">
        <v>5145</v>
      </c>
      <c r="X32" s="101">
        <v>5113</v>
      </c>
      <c r="Y32" s="101">
        <v>3956</v>
      </c>
      <c r="Z32" s="100">
        <v>3290</v>
      </c>
      <c r="AA32" s="102">
        <v>3322</v>
      </c>
      <c r="AB32" s="102">
        <v>3485</v>
      </c>
      <c r="AC32" s="102">
        <v>3017</v>
      </c>
      <c r="AD32" s="102">
        <v>2088</v>
      </c>
      <c r="AE32" s="102">
        <v>3757</v>
      </c>
      <c r="AF32" s="102">
        <v>4098</v>
      </c>
      <c r="AG32" s="102">
        <v>5676</v>
      </c>
      <c r="AH32" s="102">
        <v>9246</v>
      </c>
      <c r="AI32" s="102">
        <v>10283</v>
      </c>
      <c r="AJ32" s="102">
        <v>9565</v>
      </c>
      <c r="AK32" s="102">
        <v>14105</v>
      </c>
      <c r="AL32" s="102">
        <v>18303</v>
      </c>
      <c r="AM32" s="102">
        <v>27170</v>
      </c>
      <c r="AN32" s="102">
        <v>22140</v>
      </c>
      <c r="AO32" s="102">
        <v>18398</v>
      </c>
      <c r="AP32" s="102">
        <v>15266</v>
      </c>
      <c r="AQ32" s="102">
        <v>17037</v>
      </c>
      <c r="AR32" s="102">
        <v>16350</v>
      </c>
      <c r="AS32" s="102">
        <v>17206</v>
      </c>
      <c r="AT32" s="102">
        <v>26137</v>
      </c>
      <c r="AU32" s="102">
        <v>30587</v>
      </c>
      <c r="AV32" s="102">
        <v>28822</v>
      </c>
      <c r="AW32" s="102">
        <v>26642</v>
      </c>
      <c r="AX32" s="102">
        <v>22742</v>
      </c>
      <c r="AY32" s="102">
        <v>29464</v>
      </c>
      <c r="AZ32" s="102">
        <v>28037</v>
      </c>
      <c r="BA32" s="102">
        <v>23557</v>
      </c>
      <c r="BB32" s="102">
        <v>19666</v>
      </c>
      <c r="BC32" s="102">
        <v>16210</v>
      </c>
      <c r="BD32" s="102">
        <v>16870</v>
      </c>
      <c r="BE32" s="102">
        <v>13407</v>
      </c>
      <c r="BF32" s="102">
        <v>20126</v>
      </c>
      <c r="BG32" s="102">
        <v>27270</v>
      </c>
      <c r="BH32" s="102">
        <v>22277</v>
      </c>
      <c r="BI32" s="102">
        <v>20547</v>
      </c>
    </row>
    <row r="33" spans="1:61" s="104" customFormat="1" ht="15" customHeight="1" x14ac:dyDescent="0.25">
      <c r="A33" s="159" t="s">
        <v>149</v>
      </c>
      <c r="B33" s="160">
        <f>'[78]DRE por Segmento|Base de Dados'!$P$355</f>
        <v>45650</v>
      </c>
      <c r="C33" s="160">
        <v>47511</v>
      </c>
      <c r="D33" s="159">
        <v>44135</v>
      </c>
      <c r="E33" s="159">
        <v>48638</v>
      </c>
      <c r="F33" s="162">
        <v>49481</v>
      </c>
      <c r="G33" s="159">
        <v>56030</v>
      </c>
      <c r="H33" s="159">
        <v>46094</v>
      </c>
      <c r="I33" s="159">
        <v>45772</v>
      </c>
      <c r="J33" s="159">
        <v>43851</v>
      </c>
      <c r="K33" s="159">
        <v>36839</v>
      </c>
      <c r="L33" s="159">
        <v>22354</v>
      </c>
      <c r="M33" s="161">
        <v>32199</v>
      </c>
      <c r="N33" s="161">
        <v>31606</v>
      </c>
      <c r="O33" s="161">
        <v>37806</v>
      </c>
      <c r="P33" s="103">
        <v>37156</v>
      </c>
      <c r="Q33" s="103">
        <v>32704</v>
      </c>
      <c r="R33" s="103">
        <v>29676</v>
      </c>
      <c r="S33" s="103">
        <v>31704</v>
      </c>
      <c r="T33" s="103">
        <v>25444</v>
      </c>
      <c r="U33" s="103">
        <v>24165</v>
      </c>
      <c r="V33" s="103">
        <v>16032</v>
      </c>
      <c r="W33" s="103">
        <v>17213</v>
      </c>
      <c r="X33" s="103">
        <v>15797</v>
      </c>
      <c r="Y33" s="103">
        <v>12506</v>
      </c>
      <c r="Z33" s="103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</row>
    <row r="34" spans="1:61" s="104" customFormat="1" ht="15" customHeight="1" x14ac:dyDescent="0.25">
      <c r="A34" s="80" t="s">
        <v>147</v>
      </c>
      <c r="B34" s="170">
        <f>'[78]DRE por Segmento|Base de Dados'!$P$356</f>
        <v>27478</v>
      </c>
      <c r="C34" s="170">
        <v>29815</v>
      </c>
      <c r="D34" s="80">
        <v>26117.558636000002</v>
      </c>
      <c r="E34" s="80">
        <v>26659</v>
      </c>
      <c r="F34" s="80">
        <v>24989.32375</v>
      </c>
      <c r="G34" s="80">
        <v>23285</v>
      </c>
      <c r="H34" s="103">
        <v>20564</v>
      </c>
      <c r="I34" s="103">
        <v>18960</v>
      </c>
      <c r="J34" s="103">
        <v>17022</v>
      </c>
      <c r="K34" s="103">
        <v>16277</v>
      </c>
      <c r="L34" s="103">
        <v>8663</v>
      </c>
      <c r="M34" s="103">
        <v>13580</v>
      </c>
      <c r="N34" s="103" t="s">
        <v>69</v>
      </c>
      <c r="O34" s="103" t="s">
        <v>69</v>
      </c>
      <c r="P34" s="103" t="s">
        <v>69</v>
      </c>
      <c r="Q34" s="103" t="s">
        <v>69</v>
      </c>
      <c r="R34" s="103">
        <v>0</v>
      </c>
      <c r="S34" s="103">
        <v>0</v>
      </c>
      <c r="T34" s="103" t="s">
        <v>69</v>
      </c>
      <c r="U34" s="103" t="s">
        <v>69</v>
      </c>
      <c r="V34" s="96">
        <v>0</v>
      </c>
      <c r="W34" s="96" t="s">
        <v>69</v>
      </c>
      <c r="X34" s="96">
        <v>7066</v>
      </c>
      <c r="Y34" s="96">
        <v>5676</v>
      </c>
      <c r="Z34" s="103">
        <v>4372</v>
      </c>
      <c r="AA34" s="88">
        <v>4576.29</v>
      </c>
      <c r="AB34" s="88">
        <v>4065</v>
      </c>
      <c r="AC34" s="88">
        <v>3967</v>
      </c>
      <c r="AD34" s="88">
        <v>2739</v>
      </c>
      <c r="AE34" s="88">
        <v>3113</v>
      </c>
      <c r="AF34" s="88">
        <v>4025</v>
      </c>
      <c r="AG34" s="88">
        <v>5189</v>
      </c>
      <c r="AH34" s="88">
        <v>5547</v>
      </c>
      <c r="AI34" s="88">
        <v>5372</v>
      </c>
      <c r="AJ34" s="88">
        <v>5501</v>
      </c>
      <c r="AK34" s="88">
        <v>7209</v>
      </c>
      <c r="AL34" s="88">
        <v>5745</v>
      </c>
      <c r="AM34" s="88">
        <v>6603</v>
      </c>
      <c r="AN34" s="88">
        <v>7476</v>
      </c>
      <c r="AO34" s="88">
        <v>7076</v>
      </c>
      <c r="AP34" s="88">
        <v>5044</v>
      </c>
      <c r="AQ34" s="88">
        <v>5931</v>
      </c>
      <c r="AR34" s="88">
        <v>5769</v>
      </c>
      <c r="AS34" s="88">
        <v>4885</v>
      </c>
      <c r="AT34" s="88">
        <v>3805</v>
      </c>
      <c r="AU34" s="88">
        <v>4105</v>
      </c>
      <c r="AV34" s="88">
        <v>3690</v>
      </c>
      <c r="AW34" s="88">
        <v>4924</v>
      </c>
      <c r="AX34" s="88">
        <v>2421</v>
      </c>
      <c r="AY34" s="88">
        <v>1392</v>
      </c>
      <c r="AZ34" s="88">
        <v>491</v>
      </c>
      <c r="BA34" s="88">
        <v>427</v>
      </c>
      <c r="BB34" s="88">
        <v>8.8000000000000007</v>
      </c>
      <c r="BC34" s="88" t="s">
        <v>69</v>
      </c>
      <c r="BD34" s="88" t="s">
        <v>69</v>
      </c>
      <c r="BE34" s="88" t="s">
        <v>69</v>
      </c>
      <c r="BF34" s="88" t="s">
        <v>69</v>
      </c>
      <c r="BG34" s="88" t="s">
        <v>69</v>
      </c>
      <c r="BH34" s="88" t="s">
        <v>69</v>
      </c>
      <c r="BI34" s="88" t="s">
        <v>69</v>
      </c>
    </row>
    <row r="35" spans="1:61" s="104" customFormat="1" ht="15" customHeight="1" x14ac:dyDescent="0.25">
      <c r="A35" s="87" t="s">
        <v>150</v>
      </c>
      <c r="B35" s="142" t="s">
        <v>69</v>
      </c>
      <c r="C35" s="142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100">
        <v>60694</v>
      </c>
      <c r="V35" s="101">
        <v>51219</v>
      </c>
      <c r="W35" s="101">
        <v>53864</v>
      </c>
      <c r="X35" s="101">
        <v>45806</v>
      </c>
      <c r="Y35" s="101">
        <v>32597</v>
      </c>
      <c r="Z35" s="100">
        <v>21629</v>
      </c>
      <c r="AA35" s="102">
        <v>27226</v>
      </c>
      <c r="AB35" s="102">
        <v>28076</v>
      </c>
      <c r="AC35" s="102">
        <v>25012</v>
      </c>
      <c r="AD35" s="102">
        <v>24378</v>
      </c>
      <c r="AE35" s="102">
        <v>29231</v>
      </c>
      <c r="AF35" s="102">
        <v>47577</v>
      </c>
      <c r="AG35" s="102">
        <v>44426</v>
      </c>
      <c r="AH35" s="102">
        <v>36795</v>
      </c>
      <c r="AI35" s="102">
        <v>41162</v>
      </c>
      <c r="AJ35" s="102">
        <v>40927</v>
      </c>
      <c r="AK35" s="102">
        <v>51716</v>
      </c>
      <c r="AL35" s="102">
        <v>47069</v>
      </c>
      <c r="AM35" s="102">
        <v>49328</v>
      </c>
      <c r="AN35" s="102">
        <v>83190</v>
      </c>
      <c r="AO35" s="102">
        <v>85797</v>
      </c>
      <c r="AP35" s="102">
        <v>68482</v>
      </c>
      <c r="AQ35" s="102">
        <v>67756</v>
      </c>
      <c r="AR35" s="102">
        <v>60909</v>
      </c>
      <c r="AS35" s="102">
        <v>56967</v>
      </c>
      <c r="AT35" s="102">
        <v>105103</v>
      </c>
      <c r="AU35" s="102">
        <v>122318</v>
      </c>
      <c r="AV35" s="102">
        <v>118607</v>
      </c>
      <c r="AW35" s="102">
        <v>89059</v>
      </c>
      <c r="AX35" s="102">
        <v>76220</v>
      </c>
      <c r="AY35" s="102">
        <v>91206</v>
      </c>
      <c r="AZ35" s="102">
        <v>83958</v>
      </c>
      <c r="BA35" s="102">
        <v>71603</v>
      </c>
      <c r="BB35" s="102">
        <v>60378</v>
      </c>
      <c r="BC35" s="102">
        <v>54641</v>
      </c>
      <c r="BD35" s="102">
        <v>54319</v>
      </c>
      <c r="BE35" s="102">
        <v>44321</v>
      </c>
      <c r="BF35" s="102">
        <v>60731</v>
      </c>
      <c r="BG35" s="102">
        <v>77185</v>
      </c>
      <c r="BH35" s="102">
        <v>64528</v>
      </c>
      <c r="BI35" s="102">
        <v>58997</v>
      </c>
    </row>
    <row r="36" spans="1:61" s="104" customFormat="1" ht="15" customHeight="1" x14ac:dyDescent="0.25">
      <c r="A36" s="87" t="s">
        <v>151</v>
      </c>
      <c r="B36" s="142" t="s">
        <v>69</v>
      </c>
      <c r="C36" s="142">
        <v>0</v>
      </c>
      <c r="D36" s="87">
        <v>0</v>
      </c>
      <c r="E36" s="87">
        <v>0</v>
      </c>
      <c r="F36" s="87">
        <v>199029</v>
      </c>
      <c r="G36" s="87">
        <v>226771</v>
      </c>
      <c r="H36" s="87">
        <v>201966</v>
      </c>
      <c r="I36" s="87">
        <v>199746</v>
      </c>
      <c r="J36" s="87">
        <v>182783</v>
      </c>
      <c r="K36" s="87">
        <v>173297</v>
      </c>
      <c r="L36" s="142">
        <v>116137</v>
      </c>
      <c r="M36" s="142">
        <v>123331</v>
      </c>
      <c r="N36" s="142">
        <v>117881</v>
      </c>
      <c r="O36" s="142">
        <v>136684</v>
      </c>
      <c r="P36" s="100">
        <v>129101</v>
      </c>
      <c r="Q36" s="100">
        <v>110503</v>
      </c>
      <c r="R36" s="100">
        <v>105683</v>
      </c>
      <c r="S36" s="100">
        <v>92844</v>
      </c>
      <c r="T36" s="100">
        <v>106249</v>
      </c>
      <c r="U36" s="100">
        <v>110407</v>
      </c>
      <c r="V36" s="101">
        <v>100636</v>
      </c>
      <c r="W36" s="101">
        <v>109546</v>
      </c>
      <c r="X36" s="101">
        <v>95308</v>
      </c>
      <c r="Y36" s="101">
        <v>72298</v>
      </c>
      <c r="Z36" s="100">
        <v>21629</v>
      </c>
      <c r="AA36" s="102">
        <v>27226</v>
      </c>
      <c r="AB36" s="102">
        <v>28076</v>
      </c>
      <c r="AC36" s="102">
        <v>25012</v>
      </c>
      <c r="AD36" s="102">
        <v>24378</v>
      </c>
      <c r="AE36" s="102">
        <v>29231</v>
      </c>
      <c r="AF36" s="102">
        <v>47577</v>
      </c>
      <c r="AG36" s="102">
        <v>44426</v>
      </c>
      <c r="AH36" s="102">
        <v>36795</v>
      </c>
      <c r="AI36" s="102">
        <v>41162</v>
      </c>
      <c r="AJ36" s="102">
        <v>40927</v>
      </c>
      <c r="AK36" s="102">
        <v>51716</v>
      </c>
      <c r="AL36" s="102">
        <v>47069</v>
      </c>
      <c r="AM36" s="102">
        <v>49328</v>
      </c>
      <c r="AN36" s="102">
        <v>83190</v>
      </c>
      <c r="AO36" s="102">
        <v>85797</v>
      </c>
      <c r="AP36" s="102">
        <v>68482</v>
      </c>
      <c r="AQ36" s="102">
        <v>67756</v>
      </c>
      <c r="AR36" s="102">
        <v>60909</v>
      </c>
      <c r="AS36" s="102">
        <v>56967</v>
      </c>
      <c r="AT36" s="102">
        <v>105103</v>
      </c>
      <c r="AU36" s="102">
        <v>122318</v>
      </c>
      <c r="AV36" s="102">
        <v>118607</v>
      </c>
      <c r="AW36" s="102">
        <v>89059</v>
      </c>
      <c r="AX36" s="102">
        <v>76220</v>
      </c>
      <c r="AY36" s="102">
        <v>91206</v>
      </c>
      <c r="AZ36" s="102">
        <v>83958</v>
      </c>
      <c r="BA36" s="102">
        <v>71603</v>
      </c>
      <c r="BB36" s="102">
        <v>60378</v>
      </c>
      <c r="BC36" s="102">
        <v>54641</v>
      </c>
      <c r="BD36" s="102">
        <v>54319</v>
      </c>
      <c r="BE36" s="102">
        <v>44321</v>
      </c>
      <c r="BF36" s="102">
        <v>60731</v>
      </c>
      <c r="BG36" s="102">
        <v>77185</v>
      </c>
      <c r="BH36" s="102">
        <v>64528</v>
      </c>
      <c r="BI36" s="102">
        <v>58997</v>
      </c>
    </row>
    <row r="37" spans="1:61" s="64" customFormat="1" ht="15" customHeight="1" x14ac:dyDescent="0.25">
      <c r="A37" s="65" t="s">
        <v>154</v>
      </c>
      <c r="B37" s="90"/>
      <c r="C37" s="90"/>
      <c r="D37" s="65"/>
      <c r="E37" s="65"/>
      <c r="F37" s="65"/>
      <c r="G37" s="65"/>
      <c r="H37" s="65"/>
      <c r="I37" s="65"/>
      <c r="J37" s="65"/>
      <c r="K37" s="65"/>
      <c r="L37" s="65"/>
      <c r="M37" s="90"/>
      <c r="N37" s="90"/>
      <c r="O37" s="90"/>
      <c r="P37" s="90"/>
      <c r="Q37" s="90"/>
      <c r="R37" s="90"/>
      <c r="S37" s="90"/>
      <c r="T37" s="90"/>
      <c r="U37" s="90"/>
      <c r="V37" s="91"/>
      <c r="W37" s="91"/>
      <c r="X37" s="91"/>
      <c r="Y37" s="91"/>
      <c r="Z37" s="90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1:61" s="64" customFormat="1" ht="15" customHeight="1" x14ac:dyDescent="0.25">
      <c r="A38" s="81" t="s">
        <v>132</v>
      </c>
      <c r="B38" s="140">
        <f>'[78]DRE por Segmento|Base de Dados'!$P$358</f>
        <v>25230.990279999998</v>
      </c>
      <c r="C38" s="140">
        <v>23980.728999999999</v>
      </c>
      <c r="D38" s="81">
        <v>25507.067009819039</v>
      </c>
      <c r="E38" s="81">
        <v>23822.173167329202</v>
      </c>
      <c r="F38" s="81">
        <v>23417.139199999998</v>
      </c>
      <c r="G38" s="81">
        <v>27486.963999999996</v>
      </c>
      <c r="H38" s="81">
        <v>24305.719000000005</v>
      </c>
      <c r="I38" s="81">
        <v>26843.188999999998</v>
      </c>
      <c r="J38" s="81">
        <v>26796.848000000002</v>
      </c>
      <c r="K38" s="81">
        <v>26147.863999999998</v>
      </c>
      <c r="L38" s="140">
        <v>18527.682172000001</v>
      </c>
      <c r="M38" s="140">
        <v>23257.736000000001</v>
      </c>
      <c r="N38" s="140">
        <v>26705.813999999998</v>
      </c>
      <c r="O38" s="140">
        <v>24916.547370000004</v>
      </c>
      <c r="P38" s="97">
        <v>23575.283000000003</v>
      </c>
      <c r="Q38" s="97">
        <v>27050</v>
      </c>
      <c r="R38" s="97">
        <v>24911.169000000002</v>
      </c>
      <c r="S38" s="97">
        <v>26740.982</v>
      </c>
      <c r="T38" s="97">
        <v>26248.400000000001</v>
      </c>
      <c r="U38" s="97">
        <v>23494</v>
      </c>
      <c r="V38" s="97">
        <v>17171</v>
      </c>
      <c r="W38" s="97">
        <v>18184</v>
      </c>
      <c r="X38" s="97">
        <v>17576</v>
      </c>
      <c r="Y38" s="97">
        <v>17432</v>
      </c>
      <c r="Z38" s="97">
        <v>13942</v>
      </c>
      <c r="AA38" s="98">
        <v>16450</v>
      </c>
      <c r="AB38" s="98">
        <v>16431.402000000002</v>
      </c>
      <c r="AC38" s="98">
        <v>16476</v>
      </c>
      <c r="AD38" s="98">
        <v>16416</v>
      </c>
      <c r="AE38" s="98">
        <v>17704.301436694812</v>
      </c>
      <c r="AF38" s="98">
        <v>18412.081732099512</v>
      </c>
      <c r="AG38" s="98">
        <v>17117</v>
      </c>
      <c r="AH38" s="98">
        <v>17250.270801040228</v>
      </c>
      <c r="AI38" s="98">
        <v>19060.5</v>
      </c>
      <c r="AJ38" s="98">
        <v>19031.5</v>
      </c>
      <c r="AK38" s="98">
        <v>21273</v>
      </c>
      <c r="AL38" s="98">
        <v>16446</v>
      </c>
      <c r="AM38" s="98">
        <v>19665</v>
      </c>
      <c r="AN38" s="98">
        <v>19000</v>
      </c>
      <c r="AO38" s="98">
        <v>17800</v>
      </c>
      <c r="AP38" s="98">
        <v>17100</v>
      </c>
      <c r="AQ38" s="98">
        <v>18600</v>
      </c>
      <c r="AR38" s="98">
        <v>19800</v>
      </c>
      <c r="AS38" s="98">
        <v>17900</v>
      </c>
      <c r="AT38" s="98">
        <v>16900</v>
      </c>
      <c r="AU38" s="98">
        <v>20300</v>
      </c>
      <c r="AV38" s="98">
        <v>22000</v>
      </c>
      <c r="AW38" s="98">
        <v>19500</v>
      </c>
      <c r="AX38" s="98">
        <v>18500</v>
      </c>
      <c r="AY38" s="98">
        <v>20100</v>
      </c>
      <c r="AZ38" s="98">
        <v>19600</v>
      </c>
      <c r="BA38" s="98">
        <v>16300</v>
      </c>
      <c r="BB38" s="88">
        <v>16899</v>
      </c>
      <c r="BC38" s="88">
        <v>15797</v>
      </c>
      <c r="BD38" s="88">
        <v>15055</v>
      </c>
      <c r="BE38" s="88">
        <v>12092</v>
      </c>
      <c r="BF38" s="88">
        <v>11383</v>
      </c>
      <c r="BG38" s="88">
        <v>15670</v>
      </c>
      <c r="BH38" s="88">
        <v>15018</v>
      </c>
      <c r="BI38" s="88">
        <v>13631</v>
      </c>
    </row>
    <row r="39" spans="1:61" s="64" customFormat="1" ht="15" customHeight="1" x14ac:dyDescent="0.25">
      <c r="A39" s="81" t="s">
        <v>145</v>
      </c>
      <c r="B39" s="140">
        <f>'[78]DRE por Segmento|Base de Dados'!$P$359</f>
        <v>2200.1357939073469</v>
      </c>
      <c r="C39" s="140">
        <v>2141.33</v>
      </c>
      <c r="D39" s="81">
        <v>2215.733942814506</v>
      </c>
      <c r="E39" s="81">
        <v>2097.4481716132686</v>
      </c>
      <c r="F39" s="140">
        <v>1942.134</v>
      </c>
      <c r="G39" s="140">
        <v>2122.136</v>
      </c>
      <c r="H39" s="140">
        <v>2214.8562870928831</v>
      </c>
      <c r="I39" s="140">
        <v>2217.9940000000001</v>
      </c>
      <c r="J39" s="140">
        <v>2047.0530000000001</v>
      </c>
      <c r="K39" s="140">
        <v>1823.25198</v>
      </c>
      <c r="L39" s="140">
        <v>1470.636</v>
      </c>
      <c r="M39" s="140">
        <v>1827.3910000000001</v>
      </c>
      <c r="N39" s="140" t="s">
        <v>69</v>
      </c>
      <c r="O39" s="140" t="s">
        <v>69</v>
      </c>
      <c r="P39" s="140" t="s">
        <v>69</v>
      </c>
      <c r="Q39" s="140" t="s">
        <v>69</v>
      </c>
      <c r="R39" s="140" t="s">
        <v>69</v>
      </c>
      <c r="S39" s="140" t="s">
        <v>69</v>
      </c>
      <c r="T39" s="140" t="s">
        <v>69</v>
      </c>
      <c r="U39" s="140" t="s">
        <v>69</v>
      </c>
      <c r="V39" s="140" t="s">
        <v>69</v>
      </c>
      <c r="W39" s="140" t="s">
        <v>69</v>
      </c>
      <c r="X39" s="140" t="s">
        <v>69</v>
      </c>
      <c r="Y39" s="140" t="s">
        <v>69</v>
      </c>
      <c r="Z39" s="140" t="s">
        <v>69</v>
      </c>
      <c r="AA39" s="140" t="s">
        <v>69</v>
      </c>
      <c r="AB39" s="140" t="s">
        <v>69</v>
      </c>
      <c r="AC39" s="140" t="s">
        <v>69</v>
      </c>
      <c r="AD39" s="140" t="s">
        <v>69</v>
      </c>
      <c r="AE39" s="140" t="s">
        <v>69</v>
      </c>
      <c r="AF39" s="140" t="s">
        <v>69</v>
      </c>
      <c r="AG39" s="140" t="s">
        <v>69</v>
      </c>
      <c r="AH39" s="140" t="s">
        <v>69</v>
      </c>
      <c r="AI39" s="140" t="s">
        <v>69</v>
      </c>
      <c r="AJ39" s="140" t="s">
        <v>69</v>
      </c>
      <c r="AK39" s="140" t="s">
        <v>69</v>
      </c>
      <c r="AL39" s="140" t="s">
        <v>69</v>
      </c>
      <c r="AM39" s="140" t="s">
        <v>69</v>
      </c>
      <c r="AN39" s="140" t="s">
        <v>69</v>
      </c>
      <c r="AO39" s="140" t="s">
        <v>69</v>
      </c>
      <c r="AP39" s="140" t="s">
        <v>69</v>
      </c>
      <c r="AQ39" s="140" t="s">
        <v>69</v>
      </c>
      <c r="AR39" s="140" t="s">
        <v>69</v>
      </c>
      <c r="AS39" s="140" t="s">
        <v>69</v>
      </c>
      <c r="AT39" s="140" t="s">
        <v>69</v>
      </c>
      <c r="AU39" s="140" t="s">
        <v>69</v>
      </c>
      <c r="AV39" s="140" t="s">
        <v>69</v>
      </c>
      <c r="AW39" s="140" t="s">
        <v>69</v>
      </c>
      <c r="AX39" s="140" t="s">
        <v>69</v>
      </c>
      <c r="AY39" s="140" t="s">
        <v>69</v>
      </c>
      <c r="AZ39" s="140" t="s">
        <v>69</v>
      </c>
      <c r="BA39" s="140" t="s">
        <v>69</v>
      </c>
      <c r="BB39" s="140" t="s">
        <v>69</v>
      </c>
      <c r="BC39" s="140" t="s">
        <v>69</v>
      </c>
      <c r="BD39" s="140" t="s">
        <v>69</v>
      </c>
      <c r="BE39" s="140" t="s">
        <v>69</v>
      </c>
      <c r="BF39" s="140" t="s">
        <v>69</v>
      </c>
      <c r="BG39" s="140" t="s">
        <v>69</v>
      </c>
      <c r="BH39" s="140" t="s">
        <v>69</v>
      </c>
      <c r="BI39" s="140" t="s">
        <v>69</v>
      </c>
    </row>
    <row r="40" spans="1:61" s="64" customFormat="1" ht="15" customHeight="1" x14ac:dyDescent="0.25">
      <c r="A40" s="81" t="s">
        <v>146</v>
      </c>
      <c r="B40" s="140">
        <f>'[78]DRE por Segmento|Base de Dados'!$P$360</f>
        <v>4031.8220000000001</v>
      </c>
      <c r="C40" s="140">
        <v>4430.7460000000001</v>
      </c>
      <c r="D40" s="81">
        <v>4165.7210000000005</v>
      </c>
      <c r="E40" s="81">
        <v>3973.2359999999999</v>
      </c>
      <c r="F40" s="140">
        <v>4282.0680000000002</v>
      </c>
      <c r="G40" s="140">
        <v>3705.0630000000001</v>
      </c>
      <c r="H40" s="140">
        <v>3537.19834636108</v>
      </c>
      <c r="I40" s="140">
        <v>4042.1370000000002</v>
      </c>
      <c r="J40" s="140">
        <v>3974.4929999999999</v>
      </c>
      <c r="K40" s="140">
        <v>1227.8432700000001</v>
      </c>
      <c r="L40" s="140">
        <v>98.42</v>
      </c>
      <c r="M40" s="140">
        <v>148.81299999999999</v>
      </c>
      <c r="N40" s="140" t="s">
        <v>69</v>
      </c>
      <c r="O40" s="140" t="s">
        <v>69</v>
      </c>
      <c r="P40" s="140" t="s">
        <v>69</v>
      </c>
      <c r="Q40" s="140" t="s">
        <v>69</v>
      </c>
      <c r="R40" s="140" t="s">
        <v>69</v>
      </c>
      <c r="S40" s="140" t="s">
        <v>69</v>
      </c>
      <c r="T40" s="140" t="s">
        <v>69</v>
      </c>
      <c r="U40" s="140" t="s">
        <v>69</v>
      </c>
      <c r="V40" s="140" t="s">
        <v>69</v>
      </c>
      <c r="W40" s="140" t="s">
        <v>69</v>
      </c>
      <c r="X40" s="140" t="s">
        <v>69</v>
      </c>
      <c r="Y40" s="140" t="s">
        <v>69</v>
      </c>
      <c r="Z40" s="140" t="s">
        <v>69</v>
      </c>
      <c r="AA40" s="140" t="s">
        <v>69</v>
      </c>
      <c r="AB40" s="140" t="s">
        <v>69</v>
      </c>
      <c r="AC40" s="140" t="s">
        <v>69</v>
      </c>
      <c r="AD40" s="140" t="s">
        <v>69</v>
      </c>
      <c r="AE40" s="140" t="s">
        <v>69</v>
      </c>
      <c r="AF40" s="140" t="s">
        <v>69</v>
      </c>
      <c r="AG40" s="140" t="s">
        <v>69</v>
      </c>
      <c r="AH40" s="140" t="s">
        <v>69</v>
      </c>
      <c r="AI40" s="140" t="s">
        <v>69</v>
      </c>
      <c r="AJ40" s="140" t="s">
        <v>69</v>
      </c>
      <c r="AK40" s="140" t="s">
        <v>69</v>
      </c>
      <c r="AL40" s="140" t="s">
        <v>69</v>
      </c>
      <c r="AM40" s="140" t="s">
        <v>69</v>
      </c>
      <c r="AN40" s="140" t="s">
        <v>69</v>
      </c>
      <c r="AO40" s="140" t="s">
        <v>69</v>
      </c>
      <c r="AP40" s="140" t="s">
        <v>69</v>
      </c>
      <c r="AQ40" s="140" t="s">
        <v>69</v>
      </c>
      <c r="AR40" s="140" t="s">
        <v>69</v>
      </c>
      <c r="AS40" s="140" t="s">
        <v>69</v>
      </c>
      <c r="AT40" s="140" t="s">
        <v>69</v>
      </c>
      <c r="AU40" s="140" t="s">
        <v>69</v>
      </c>
      <c r="AV40" s="140" t="s">
        <v>69</v>
      </c>
      <c r="AW40" s="140" t="s">
        <v>69</v>
      </c>
      <c r="AX40" s="140" t="s">
        <v>69</v>
      </c>
      <c r="AY40" s="140" t="s">
        <v>69</v>
      </c>
      <c r="AZ40" s="140" t="s">
        <v>69</v>
      </c>
      <c r="BA40" s="140" t="s">
        <v>69</v>
      </c>
      <c r="BB40" s="140" t="s">
        <v>69</v>
      </c>
      <c r="BC40" s="140" t="s">
        <v>69</v>
      </c>
      <c r="BD40" s="140" t="s">
        <v>69</v>
      </c>
      <c r="BE40" s="140" t="s">
        <v>69</v>
      </c>
      <c r="BF40" s="140" t="s">
        <v>69</v>
      </c>
      <c r="BG40" s="140" t="s">
        <v>69</v>
      </c>
      <c r="BH40" s="140" t="s">
        <v>69</v>
      </c>
      <c r="BI40" s="140" t="s">
        <v>69</v>
      </c>
    </row>
    <row r="41" spans="1:61" s="64" customFormat="1" ht="15" customHeight="1" x14ac:dyDescent="0.25">
      <c r="A41" s="81" t="s">
        <v>133</v>
      </c>
      <c r="B41" s="140" t="s">
        <v>69</v>
      </c>
      <c r="C41" s="140">
        <v>0</v>
      </c>
      <c r="D41" s="140" t="s">
        <v>69</v>
      </c>
      <c r="E41" s="140" t="s">
        <v>69</v>
      </c>
      <c r="F41" s="159">
        <v>9357.7742500000004</v>
      </c>
      <c r="G41" s="159">
        <v>9382.4917799999985</v>
      </c>
      <c r="H41" s="159">
        <v>9415.1250300000011</v>
      </c>
      <c r="I41" s="159">
        <v>10538.725600000002</v>
      </c>
      <c r="J41" s="159">
        <v>12075.532999999999</v>
      </c>
      <c r="K41" s="159">
        <v>6053</v>
      </c>
      <c r="L41" s="160">
        <v>2408</v>
      </c>
      <c r="M41" s="160">
        <v>4571</v>
      </c>
      <c r="N41" s="140">
        <v>4859</v>
      </c>
      <c r="O41" s="140">
        <v>6471</v>
      </c>
      <c r="P41" s="97">
        <v>5793</v>
      </c>
      <c r="Q41" s="97">
        <v>5448</v>
      </c>
      <c r="R41" s="97">
        <v>5806</v>
      </c>
      <c r="S41" s="97">
        <v>5618</v>
      </c>
      <c r="T41" s="97">
        <v>4586</v>
      </c>
      <c r="U41" s="97">
        <v>4165</v>
      </c>
      <c r="V41" s="97"/>
      <c r="W41" s="97"/>
      <c r="X41" s="97"/>
      <c r="Y41" s="97"/>
      <c r="Z41" s="97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88"/>
      <c r="BC41" s="88"/>
      <c r="BD41" s="88"/>
      <c r="BE41" s="88"/>
      <c r="BF41" s="88"/>
      <c r="BG41" s="88"/>
      <c r="BH41" s="88"/>
      <c r="BI41" s="88"/>
    </row>
    <row r="42" spans="1:61" s="64" customFormat="1" ht="15" customHeight="1" x14ac:dyDescent="0.25">
      <c r="A42" s="65" t="s">
        <v>155</v>
      </c>
      <c r="B42" s="90"/>
      <c r="C42" s="90"/>
      <c r="D42" s="65"/>
      <c r="E42" s="65"/>
      <c r="F42" s="65"/>
      <c r="G42" s="65"/>
      <c r="H42" s="65"/>
      <c r="I42" s="65"/>
      <c r="J42" s="65"/>
      <c r="K42" s="65"/>
      <c r="L42" s="65"/>
      <c r="M42" s="90"/>
      <c r="N42" s="90"/>
      <c r="O42" s="90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0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1:61" s="155" customFormat="1" ht="15" customHeight="1" x14ac:dyDescent="0.25">
      <c r="A43" s="66" t="s">
        <v>67</v>
      </c>
      <c r="B43" s="138">
        <f>'[78]DRE por Segmento|Base de Dados'!$P$363</f>
        <v>6268</v>
      </c>
      <c r="C43" s="154">
        <v>7457</v>
      </c>
      <c r="D43" s="138">
        <v>5048</v>
      </c>
      <c r="E43" s="138">
        <v>3426</v>
      </c>
      <c r="F43" s="138">
        <v>5703</v>
      </c>
      <c r="G43" s="138">
        <v>3248</v>
      </c>
      <c r="H43" s="138">
        <v>4695</v>
      </c>
      <c r="I43" s="138">
        <v>3023</v>
      </c>
      <c r="J43" s="138">
        <v>4628</v>
      </c>
      <c r="K43" s="138">
        <v>3415</v>
      </c>
      <c r="L43" s="138">
        <v>3086</v>
      </c>
      <c r="M43" s="138">
        <v>2213</v>
      </c>
      <c r="N43" s="138">
        <v>3769</v>
      </c>
      <c r="O43" s="138">
        <v>3673</v>
      </c>
      <c r="P43" s="92">
        <v>3668</v>
      </c>
      <c r="Q43" s="92">
        <v>2794</v>
      </c>
      <c r="R43" s="92">
        <v>4586</v>
      </c>
      <c r="S43" s="92">
        <v>3941</v>
      </c>
      <c r="T43" s="92">
        <v>3245</v>
      </c>
      <c r="U43" s="92">
        <v>2534</v>
      </c>
      <c r="V43" s="93">
        <v>3740</v>
      </c>
      <c r="W43" s="93">
        <v>3541</v>
      </c>
      <c r="X43" s="93">
        <v>3573</v>
      </c>
      <c r="Y43" s="93">
        <v>2797</v>
      </c>
      <c r="Z43" s="92">
        <v>2997</v>
      </c>
      <c r="AA43" s="60">
        <v>3159</v>
      </c>
      <c r="AB43" s="60">
        <v>3277</v>
      </c>
      <c r="AC43" s="60">
        <v>2193</v>
      </c>
      <c r="AD43" s="60">
        <v>3342</v>
      </c>
      <c r="AE43" s="60">
        <v>3302</v>
      </c>
      <c r="AF43" s="60">
        <v>3617</v>
      </c>
      <c r="AG43" s="60">
        <v>2382</v>
      </c>
      <c r="AH43" s="60">
        <v>3229</v>
      </c>
      <c r="AI43" s="60">
        <v>2475</v>
      </c>
      <c r="AJ43" s="60">
        <v>3287</v>
      </c>
      <c r="AK43" s="60">
        <v>2045</v>
      </c>
      <c r="AL43" s="60">
        <v>4016</v>
      </c>
      <c r="AM43" s="60">
        <v>3080</v>
      </c>
      <c r="AN43" s="60">
        <v>2978</v>
      </c>
      <c r="AO43" s="60">
        <v>1726</v>
      </c>
      <c r="AP43" s="60">
        <v>3135</v>
      </c>
      <c r="AQ43" s="60">
        <v>3003</v>
      </c>
      <c r="AR43" s="60">
        <v>2923</v>
      </c>
      <c r="AS43" s="60">
        <v>1975</v>
      </c>
      <c r="AT43" s="60">
        <v>3444</v>
      </c>
      <c r="AU43" s="60">
        <v>2981</v>
      </c>
      <c r="AV43" s="60">
        <v>2829</v>
      </c>
      <c r="AW43" s="60">
        <v>1710</v>
      </c>
      <c r="AX43" s="94">
        <v>2556</v>
      </c>
      <c r="AY43" s="94">
        <v>2083</v>
      </c>
      <c r="AZ43" s="94">
        <v>1814</v>
      </c>
      <c r="BA43" s="94">
        <v>1234</v>
      </c>
      <c r="BB43" s="95">
        <v>2147</v>
      </c>
      <c r="BC43" s="95">
        <v>1739</v>
      </c>
      <c r="BD43" s="95">
        <v>1621</v>
      </c>
      <c r="BE43" s="95">
        <v>1269</v>
      </c>
      <c r="BF43" s="95">
        <v>2235</v>
      </c>
      <c r="BG43" s="95">
        <v>2065</v>
      </c>
      <c r="BH43" s="95">
        <v>1937</v>
      </c>
      <c r="BI43" s="95">
        <v>1353</v>
      </c>
    </row>
    <row r="44" spans="1:61" s="155" customFormat="1" ht="15" customHeight="1" x14ac:dyDescent="0.25">
      <c r="A44" s="66"/>
      <c r="B44" s="66"/>
      <c r="C44" s="66"/>
      <c r="D44" s="66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92"/>
      <c r="Q44" s="92"/>
      <c r="R44" s="92"/>
      <c r="S44" s="92"/>
      <c r="T44" s="92"/>
      <c r="U44" s="92"/>
      <c r="V44" s="93"/>
      <c r="W44" s="93"/>
      <c r="X44" s="93"/>
      <c r="Y44" s="93"/>
      <c r="Z44" s="92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94"/>
      <c r="AY44" s="94"/>
      <c r="AZ44" s="94"/>
      <c r="BA44" s="94"/>
      <c r="BB44" s="95"/>
      <c r="BC44" s="95"/>
      <c r="BD44" s="95"/>
      <c r="BE44" s="95"/>
      <c r="BF44" s="95"/>
      <c r="BG44" s="95"/>
      <c r="BH44" s="95"/>
      <c r="BI44" s="95"/>
    </row>
    <row r="45" spans="1:61" s="155" customFormat="1" ht="12" customHeight="1" x14ac:dyDescent="0.25">
      <c r="A45" s="163" t="s">
        <v>156</v>
      </c>
      <c r="B45" s="163"/>
      <c r="C45" s="163"/>
      <c r="D45" s="163"/>
      <c r="E45" s="164"/>
      <c r="F45" s="164"/>
      <c r="G45" s="164"/>
      <c r="H45" s="164"/>
      <c r="I45" s="138"/>
      <c r="J45" s="138"/>
      <c r="K45" s="138"/>
      <c r="L45" s="138"/>
      <c r="M45" s="138"/>
      <c r="N45" s="138"/>
      <c r="O45" s="138"/>
      <c r="P45" s="92"/>
      <c r="Q45" s="92"/>
      <c r="R45" s="92"/>
      <c r="S45" s="92"/>
      <c r="T45" s="92"/>
      <c r="U45" s="92"/>
      <c r="V45" s="93"/>
      <c r="W45" s="93"/>
      <c r="X45" s="93"/>
      <c r="Y45" s="93"/>
      <c r="Z45" s="92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94"/>
      <c r="AY45" s="94"/>
      <c r="AZ45" s="94"/>
      <c r="BA45" s="94"/>
      <c r="BB45" s="95"/>
      <c r="BC45" s="95"/>
      <c r="BD45" s="95"/>
      <c r="BE45" s="95"/>
      <c r="BF45" s="95"/>
      <c r="BG45" s="95"/>
      <c r="BH45" s="95"/>
      <c r="BI45" s="95"/>
    </row>
    <row r="46" spans="1:61" ht="12" customHeight="1" x14ac:dyDescent="0.2">
      <c r="A46" s="163" t="s">
        <v>144</v>
      </c>
      <c r="B46" s="163"/>
      <c r="C46" s="163"/>
      <c r="D46" s="163"/>
      <c r="E46" s="165"/>
      <c r="F46" s="165"/>
      <c r="G46" s="165"/>
      <c r="H46" s="16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83"/>
      <c r="Y46" s="8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</sheetData>
  <mergeCells count="1">
    <mergeCell ref="A19:BK20"/>
  </mergeCells>
  <phoneticPr fontId="2" type="noConversion"/>
  <pageMargins left="0.86" right="0.27" top="0.984251969" bottom="0.984251969" header="0.49212598499999999" footer="0.49212598499999999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3:BM21"/>
  <sheetViews>
    <sheetView zoomScaleNormal="100" workbookViewId="0">
      <selection activeCell="B1" sqref="B1:B1048576"/>
    </sheetView>
  </sheetViews>
  <sheetFormatPr defaultColWidth="15.7109375" defaultRowHeight="15" customHeight="1" x14ac:dyDescent="0.2"/>
  <cols>
    <col min="1" max="1" width="50.140625" style="1" customWidth="1"/>
    <col min="2" max="2" width="11.42578125" style="1" customWidth="1"/>
    <col min="3" max="4" width="10.7109375" style="1" customWidth="1"/>
    <col min="5" max="5" width="10.28515625" style="1" customWidth="1"/>
    <col min="6" max="6" width="12.140625" style="1" customWidth="1"/>
    <col min="7" max="7" width="10.28515625" style="1" customWidth="1"/>
    <col min="8" max="10" width="10.28515625" style="1" bestFit="1" customWidth="1"/>
    <col min="11" max="11" width="11.42578125" style="1" customWidth="1"/>
    <col min="12" max="12" width="11.42578125" style="1" bestFit="1" customWidth="1"/>
    <col min="13" max="13" width="13.28515625" style="1" customWidth="1"/>
    <col min="14" max="15" width="15.140625" style="1" bestFit="1" customWidth="1"/>
    <col min="16" max="16" width="13.42578125" style="1" customWidth="1"/>
    <col min="17" max="17" width="12.42578125" style="1" customWidth="1"/>
    <col min="18" max="18" width="11.28515625" style="1" customWidth="1"/>
    <col min="19" max="53" width="11.28515625" style="105" customWidth="1"/>
    <col min="54" max="65" width="11.7109375" style="1" hidden="1" customWidth="1"/>
    <col min="66" max="16384" width="15.7109375" style="1"/>
  </cols>
  <sheetData>
    <row r="3" spans="1:65" ht="15" customHeight="1" x14ac:dyDescent="0.2">
      <c r="AA3" s="174" t="s">
        <v>81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</row>
    <row r="4" spans="1:65" s="49" customFormat="1" ht="15" customHeight="1" x14ac:dyDescent="0.2">
      <c r="A4" s="68" t="s">
        <v>109</v>
      </c>
      <c r="B4" s="68" t="s">
        <v>159</v>
      </c>
      <c r="C4" s="68" t="s">
        <v>158</v>
      </c>
      <c r="D4" s="68" t="s">
        <v>157</v>
      </c>
      <c r="E4" s="68" t="s">
        <v>143</v>
      </c>
      <c r="F4" s="68" t="s">
        <v>142</v>
      </c>
      <c r="G4" s="68" t="s">
        <v>140</v>
      </c>
      <c r="H4" s="68" t="s">
        <v>139</v>
      </c>
      <c r="I4" s="68" t="s">
        <v>138</v>
      </c>
      <c r="J4" s="71" t="s">
        <v>136</v>
      </c>
      <c r="K4" s="71" t="s">
        <v>135</v>
      </c>
      <c r="L4" s="71" t="s">
        <v>134</v>
      </c>
      <c r="M4" s="71" t="s">
        <v>131</v>
      </c>
      <c r="N4" s="71" t="s">
        <v>128</v>
      </c>
      <c r="O4" s="71" t="s">
        <v>127</v>
      </c>
      <c r="P4" s="71" t="s">
        <v>126</v>
      </c>
      <c r="Q4" s="71" t="s">
        <v>125</v>
      </c>
      <c r="R4" s="71" t="s">
        <v>123</v>
      </c>
      <c r="S4" s="71" t="s">
        <v>122</v>
      </c>
      <c r="T4" s="71" t="s">
        <v>121</v>
      </c>
      <c r="U4" s="71" t="s">
        <v>120</v>
      </c>
      <c r="V4" s="71" t="s">
        <v>118</v>
      </c>
      <c r="W4" s="71" t="s">
        <v>117</v>
      </c>
      <c r="X4" s="71" t="s">
        <v>116</v>
      </c>
      <c r="Y4" s="71" t="s">
        <v>115</v>
      </c>
      <c r="Z4" s="71" t="s">
        <v>113</v>
      </c>
      <c r="AA4" s="71" t="s">
        <v>111</v>
      </c>
      <c r="AB4" s="71" t="s">
        <v>108</v>
      </c>
      <c r="AC4" s="71" t="s">
        <v>107</v>
      </c>
      <c r="AD4" s="71" t="s">
        <v>105</v>
      </c>
      <c r="AE4" s="71" t="s">
        <v>104</v>
      </c>
      <c r="AF4" s="71" t="s">
        <v>103</v>
      </c>
      <c r="AG4" s="71" t="s">
        <v>102</v>
      </c>
      <c r="AH4" s="71" t="s">
        <v>100</v>
      </c>
      <c r="AI4" s="71" t="s">
        <v>99</v>
      </c>
      <c r="AJ4" s="71" t="s">
        <v>98</v>
      </c>
      <c r="AK4" s="71" t="s">
        <v>97</v>
      </c>
      <c r="AL4" s="71" t="s">
        <v>95</v>
      </c>
      <c r="AM4" s="71" t="s">
        <v>94</v>
      </c>
      <c r="AN4" s="71" t="s">
        <v>91</v>
      </c>
      <c r="AO4" s="71" t="s">
        <v>90</v>
      </c>
      <c r="AP4" s="71" t="s">
        <v>88</v>
      </c>
      <c r="AQ4" s="71" t="s">
        <v>87</v>
      </c>
      <c r="AR4" s="71" t="s">
        <v>86</v>
      </c>
      <c r="AS4" s="71" t="s">
        <v>85</v>
      </c>
      <c r="AT4" s="71" t="s">
        <v>83</v>
      </c>
      <c r="AU4" s="71" t="s">
        <v>82</v>
      </c>
      <c r="AV4" s="71" t="s">
        <v>80</v>
      </c>
      <c r="AW4" s="71" t="s">
        <v>79</v>
      </c>
      <c r="AX4" s="71" t="s">
        <v>77</v>
      </c>
      <c r="AY4" s="71" t="s">
        <v>71</v>
      </c>
      <c r="AZ4" s="71" t="s">
        <v>70</v>
      </c>
      <c r="BA4" s="71" t="s">
        <v>57</v>
      </c>
      <c r="BB4" s="69" t="s">
        <v>55</v>
      </c>
      <c r="BC4" s="69" t="s">
        <v>54</v>
      </c>
      <c r="BD4" s="69" t="s">
        <v>51</v>
      </c>
      <c r="BE4" s="69" t="s">
        <v>49</v>
      </c>
      <c r="BF4" s="69" t="s">
        <v>47</v>
      </c>
      <c r="BG4" s="69" t="s">
        <v>46</v>
      </c>
      <c r="BH4" s="69" t="s">
        <v>44</v>
      </c>
      <c r="BI4" s="69" t="s">
        <v>42</v>
      </c>
      <c r="BJ4" s="13" t="s">
        <v>10</v>
      </c>
      <c r="BK4" s="13" t="s">
        <v>9</v>
      </c>
      <c r="BL4" s="13" t="s">
        <v>7</v>
      </c>
      <c r="BM4" s="13" t="s">
        <v>8</v>
      </c>
    </row>
    <row r="5" spans="1:65" ht="14.25" customHeight="1" x14ac:dyDescent="0.2">
      <c r="A5" s="2" t="s">
        <v>13</v>
      </c>
      <c r="B5" s="166">
        <f>'[78]DRE por Segmento|Base de Dados'!$P$267</f>
        <v>4156677.4847135441</v>
      </c>
      <c r="C5" s="166">
        <f>'[1]DRE por Segmento|Base de Dados'!$N$267</f>
        <v>4386741.5692924773</v>
      </c>
      <c r="D5" s="166">
        <v>3949771.195518373</v>
      </c>
      <c r="E5" s="118">
        <f>'[2]DRE por Segmento|Base de Dados'!$K$267</f>
        <v>3695493.183951884</v>
      </c>
      <c r="F5" s="118">
        <f>'[3]DRE por Segmento|Base de Dados'!$P$179</f>
        <v>3764615.8037608503</v>
      </c>
      <c r="G5" s="118">
        <v>3657046.0365125979</v>
      </c>
      <c r="H5" s="118">
        <f>'[4]DRE por Segmento|Base de Dados'!$T$179</f>
        <v>3048653.0836963286</v>
      </c>
      <c r="I5" s="118">
        <f>'[5]DRE por Segmento|Base de Dados'!$T$179</f>
        <v>2763452.8025219273</v>
      </c>
      <c r="J5" s="118">
        <f>'[6]DRE por Segmento|Base de Dados'!$T$179</f>
        <v>2604539.1457506539</v>
      </c>
      <c r="K5" s="118">
        <f>'[7]DRE por Segmento|Base de Dados'!$T$179</f>
        <v>2120121.9351669261</v>
      </c>
      <c r="L5" s="118">
        <f>'[8]DRE por Segmento|Base de Dados'!$L$179</f>
        <v>1297105.0217087609</v>
      </c>
      <c r="M5" s="118">
        <f>'[9]DRE por Segmento|Base de Dados'!$K$179</f>
        <v>1674718.1079607024</v>
      </c>
      <c r="N5" s="118">
        <f>'[10]DRE por Segmento|Base de Dados'!$P$179</f>
        <v>1806026.7745983205</v>
      </c>
      <c r="O5" s="118">
        <f>'[11]DRE por Segmento|Base de Dados'!$N$179</f>
        <v>1975383.5942975793</v>
      </c>
      <c r="P5" s="118">
        <f>'[12]DRE por Segmento|Base de Dados'!$L$179</f>
        <v>1873903.7727308937</v>
      </c>
      <c r="Q5" s="118">
        <f>'[13]DRE por Segmento|Base de Dados'!$K$179</f>
        <v>1636372.0702752876</v>
      </c>
      <c r="R5" s="118">
        <f>'[14]DRE por Segmento|Base de Dados'!$P$179</f>
        <v>1696804.7478822332</v>
      </c>
      <c r="S5" s="118">
        <f>'[15]DRE por Segmento|Base de Dados'!$N$179</f>
        <v>1597273.8791076541</v>
      </c>
      <c r="T5" s="107">
        <f>'[16]Principais Números'!$C$5</f>
        <v>1450576.1273897726</v>
      </c>
      <c r="U5" s="107">
        <f>'[17]Principais Números'!$C$5</f>
        <v>1299506.5556667636</v>
      </c>
      <c r="V5" s="107">
        <f>'[18]Principais Números'!$C$5</f>
        <v>1223088.6197251442</v>
      </c>
      <c r="W5" s="107">
        <f>'[19]Principais Números'!$C$5</f>
        <v>1116812.258709372</v>
      </c>
      <c r="X5" s="107">
        <f>'[20]Principais Números'!$C$5</f>
        <v>1034240.4563876307</v>
      </c>
      <c r="Y5" s="107">
        <f>'[21]Principais Números'!$C$5</f>
        <v>841488.48091722291</v>
      </c>
      <c r="Z5" s="107">
        <f>'[22]Principais Números'!$C$5</f>
        <v>866780.46505</v>
      </c>
      <c r="AA5" s="107">
        <f>'[23]Principais Números'!$C$5</f>
        <v>808710.98530000006</v>
      </c>
      <c r="AB5" s="107">
        <f>'[24]Principais Números'!$C$5</f>
        <v>984151.73248000001</v>
      </c>
      <c r="AC5" s="107">
        <f>'[25]Principais Números'!$C$5</f>
        <v>1020512.98198</v>
      </c>
      <c r="AD5" s="107">
        <f>'[26]Principais Números'!$C$5</f>
        <v>1091578.9134200001</v>
      </c>
      <c r="AE5" s="107">
        <f>'[27]Principais Números'!$C$5</f>
        <v>1134789.5784</v>
      </c>
      <c r="AF5" s="107">
        <f>'[28]Principais Números'!$C$5</f>
        <v>1015784.934173</v>
      </c>
      <c r="AG5" s="107">
        <f>'[29]Principais Números'!$C$5</f>
        <v>133806.58585999999</v>
      </c>
      <c r="AH5" s="107">
        <f>'[30]Principais Números'!$C$5</f>
        <v>1308060.79902</v>
      </c>
      <c r="AI5" s="107">
        <f>'[31]Principais Números'!$C$5</f>
        <v>1256629.26938</v>
      </c>
      <c r="AJ5" s="122">
        <f>'[32]Principais Números'!$C$5</f>
        <v>1438831.92178</v>
      </c>
      <c r="AK5" s="122">
        <f>'[33]Principais Números'!$C$5</f>
        <v>1453781.8898600002</v>
      </c>
      <c r="AL5" s="122">
        <f>'[34]Principais Números'!$C$5</f>
        <v>1658964.6541899994</v>
      </c>
      <c r="AM5" s="122">
        <v>1783351</v>
      </c>
      <c r="AN5" s="122">
        <v>1659780</v>
      </c>
      <c r="AO5" s="122">
        <v>1518225</v>
      </c>
      <c r="AP5" s="122">
        <v>1511753</v>
      </c>
      <c r="AQ5" s="122">
        <v>1346086</v>
      </c>
      <c r="AR5" s="122">
        <v>1357975</v>
      </c>
      <c r="AS5" s="122">
        <v>1134803</v>
      </c>
      <c r="AT5" s="122">
        <v>1606318</v>
      </c>
      <c r="AU5" s="122">
        <v>1654953</v>
      </c>
      <c r="AV5" s="122">
        <v>1661132</v>
      </c>
      <c r="AW5" s="122">
        <v>1462590</v>
      </c>
      <c r="AX5" s="122">
        <v>1510613</v>
      </c>
      <c r="AY5" s="122">
        <v>1499522</v>
      </c>
      <c r="AZ5" s="122">
        <v>1407475</v>
      </c>
      <c r="BA5" s="122">
        <v>1176445</v>
      </c>
      <c r="BB5" s="123">
        <v>1074316</v>
      </c>
      <c r="BC5" s="123">
        <v>892137</v>
      </c>
      <c r="BD5" s="123">
        <v>922762</v>
      </c>
      <c r="BE5" s="123">
        <v>814613</v>
      </c>
      <c r="BF5" s="123">
        <v>1079546</v>
      </c>
      <c r="BG5" s="123">
        <v>1354484</v>
      </c>
      <c r="BH5" s="123">
        <v>1111024</v>
      </c>
      <c r="BI5" s="123">
        <v>1006245</v>
      </c>
      <c r="BJ5" s="7">
        <v>944986</v>
      </c>
      <c r="BK5" s="124">
        <v>956036</v>
      </c>
      <c r="BL5" s="107">
        <v>901060</v>
      </c>
      <c r="BM5" s="107">
        <v>793221</v>
      </c>
    </row>
    <row r="6" spans="1:65" ht="14.25" customHeight="1" x14ac:dyDescent="0.2">
      <c r="A6" s="2" t="s">
        <v>12</v>
      </c>
      <c r="B6" s="166">
        <f>'[78]DRE por Segmento|Base de Dados'!$P$232</f>
        <v>2847923.1587776812</v>
      </c>
      <c r="C6" s="166">
        <f>'[1]DRE por Segmento|Base de Dados'!$N$232</f>
        <v>3055829.9494636566</v>
      </c>
      <c r="D6" s="166">
        <v>2772317.4489344954</v>
      </c>
      <c r="E6" s="118">
        <f>'[2]DRE por Segmento|Base de Dados'!$K$232</f>
        <v>2476346.6586342589</v>
      </c>
      <c r="F6" s="118">
        <f>'[3]DRE por Segmento|Base de Dados'!$P$144</f>
        <v>2544488.7535508806</v>
      </c>
      <c r="G6" s="118">
        <v>2486488.8994172239</v>
      </c>
      <c r="H6" s="118">
        <f>'[4]DRE por Segmento|Base de Dados'!$T$144</f>
        <v>2113800.0179456789</v>
      </c>
      <c r="I6" s="118">
        <f>'[5]DRE por Segmento|Base de Dados'!$T$144</f>
        <v>1913107.4477222434</v>
      </c>
      <c r="J6" s="118">
        <f>'[6]DRE por Segmento|Base de Dados'!$T$144</f>
        <v>1808639.2706550155</v>
      </c>
      <c r="K6" s="118">
        <f>'[7]DRE por Segmento|Base de Dados'!$T$144</f>
        <v>1515500.1288675524</v>
      </c>
      <c r="L6" s="118">
        <f>'[8]DRE por Segmento|Base de Dados'!$L$144</f>
        <v>932991.36707807495</v>
      </c>
      <c r="M6" s="118">
        <f>'[9]DRE por Segmento|Base de Dados'!$K$144</f>
        <v>1167733.1999879812</v>
      </c>
      <c r="N6" s="118">
        <f>'[10]DRE por Segmento|Base de Dados'!$P$144</f>
        <v>1285323.4592716375</v>
      </c>
      <c r="O6" s="118">
        <f>'[11]DRE por Segmento|Base de Dados'!$N$144</f>
        <v>1371328.8034992947</v>
      </c>
      <c r="P6" s="118">
        <f>'[12]DRE por Segmento|Base de Dados'!$L$144</f>
        <v>1302121.5510743957</v>
      </c>
      <c r="Q6" s="118">
        <f>'[13]DRE por Segmento|Base de Dados'!$K$144</f>
        <v>1133590.8754006266</v>
      </c>
      <c r="R6" s="118">
        <f>'[14]DRE por Segmento|Base de Dados'!$P$144</f>
        <v>1212226.9876029759</v>
      </c>
      <c r="S6" s="118">
        <f>'[15]DRE por Segmento|Base de Dados'!$N$144</f>
        <v>1109873.0719063072</v>
      </c>
      <c r="T6" s="107">
        <f>'[16]Principais Números'!$C$9</f>
        <v>1018862.7684143081</v>
      </c>
      <c r="U6" s="107">
        <f>'[17]Principais Números'!$C$9</f>
        <v>921639.29001263948</v>
      </c>
      <c r="V6" s="107">
        <f>'[18]Principais Números'!$C$9</f>
        <v>853212.73560620239</v>
      </c>
      <c r="W6" s="107">
        <f>'[19]Principais Números'!$C$9</f>
        <v>773703.00343532464</v>
      </c>
      <c r="X6" s="107">
        <f>'[20]Principais Números'!$C$9</f>
        <v>730106.94365737704</v>
      </c>
      <c r="Y6" s="107">
        <f>'[21]Principais Números'!$C$9</f>
        <v>579735.96326567407</v>
      </c>
      <c r="Z6" s="107">
        <f>'[22]Principais Números'!$C$9</f>
        <v>622387.89858892874</v>
      </c>
      <c r="AA6" s="107">
        <f>'[23]Principais Números'!$C$9</f>
        <v>570222.41453989502</v>
      </c>
      <c r="AB6" s="107">
        <f>'[24]Principais Números'!$C$9</f>
        <v>696752.20434327808</v>
      </c>
      <c r="AC6" s="107">
        <f>'[25]Principais Números'!$C$9</f>
        <v>734613.85871860536</v>
      </c>
      <c r="AD6" s="107">
        <f>'[26]Principais Números'!$C$9</f>
        <v>814872.21187307511</v>
      </c>
      <c r="AE6" s="107">
        <f>'[27]Principais Números'!$C$9</f>
        <v>852979.90767235658</v>
      </c>
      <c r="AF6" s="107">
        <f>'[28]Principais Números'!$C$9</f>
        <v>734726.56033999985</v>
      </c>
      <c r="AG6" s="107">
        <f>'[29]Principais Números'!$C$9</f>
        <v>696822.59777489991</v>
      </c>
      <c r="AH6" s="107">
        <f>'[30]Principais Números'!$C$9</f>
        <v>911467.25863852457</v>
      </c>
      <c r="AI6" s="107">
        <f>'[31]Principais Números'!$C$9</f>
        <v>886976.51849960361</v>
      </c>
      <c r="AJ6" s="107">
        <f>'[32]Principais Números'!$C$9</f>
        <v>1014377.3061699999</v>
      </c>
      <c r="AK6" s="107">
        <f>'[33]Principais Números'!$C$9</f>
        <v>965931.43552213523</v>
      </c>
      <c r="AL6" s="107">
        <f>'[34]Principais Números'!$C$9</f>
        <v>1085398.0539000004</v>
      </c>
      <c r="AM6" s="107">
        <v>1133931</v>
      </c>
      <c r="AN6" s="107">
        <v>1059093</v>
      </c>
      <c r="AO6" s="107">
        <v>974906</v>
      </c>
      <c r="AP6" s="107">
        <v>1005717</v>
      </c>
      <c r="AQ6" s="107">
        <v>877498</v>
      </c>
      <c r="AR6" s="107">
        <v>883972</v>
      </c>
      <c r="AS6" s="107">
        <v>734734</v>
      </c>
      <c r="AT6" s="107">
        <v>1034084</v>
      </c>
      <c r="AU6" s="107">
        <v>1070332</v>
      </c>
      <c r="AV6" s="107">
        <v>1098063</v>
      </c>
      <c r="AW6" s="107">
        <v>953917</v>
      </c>
      <c r="AX6" s="107">
        <v>1033561</v>
      </c>
      <c r="AY6" s="107">
        <v>984184</v>
      </c>
      <c r="AZ6" s="107">
        <v>918555</v>
      </c>
      <c r="BA6" s="107">
        <v>782671</v>
      </c>
      <c r="BB6" s="7">
        <v>716906</v>
      </c>
      <c r="BC6" s="7">
        <v>594658</v>
      </c>
      <c r="BD6" s="7">
        <v>620716</v>
      </c>
      <c r="BE6" s="7">
        <v>537262</v>
      </c>
      <c r="BF6" s="7">
        <v>729913</v>
      </c>
      <c r="BG6" s="7">
        <v>877031</v>
      </c>
      <c r="BH6" s="7">
        <v>752382</v>
      </c>
      <c r="BI6" s="7">
        <v>700152</v>
      </c>
      <c r="BJ6" s="7">
        <v>668747</v>
      </c>
      <c r="BK6" s="107">
        <v>673032</v>
      </c>
      <c r="BL6" s="107">
        <v>636536</v>
      </c>
      <c r="BM6" s="107">
        <v>551908</v>
      </c>
    </row>
    <row r="7" spans="1:65" ht="14.25" customHeight="1" x14ac:dyDescent="0.2">
      <c r="A7" s="2" t="s">
        <v>14</v>
      </c>
      <c r="B7" s="166">
        <f>'[78]DRE por Segmento|Base de Dados'!$P$234</f>
        <v>592343.67723722081</v>
      </c>
      <c r="C7" s="166">
        <f>'[1]DRE por Segmento|Base de Dados'!$N$234</f>
        <v>742422.90027765278</v>
      </c>
      <c r="D7" s="166">
        <v>645420.17051558977</v>
      </c>
      <c r="E7" s="118">
        <f>'[2]DRE por Segmento|Base de Dados'!$K$234</f>
        <v>644575.04556644778</v>
      </c>
      <c r="F7" s="118">
        <f>'[3]DRE por Segmento|Base de Dados'!$P$146</f>
        <v>596882.83451420302</v>
      </c>
      <c r="G7" s="118">
        <v>638635.23223411373</v>
      </c>
      <c r="H7" s="118">
        <f>'[4]DRE por Segmento|Base de Dados'!$T$146</f>
        <v>520565.62277640915</v>
      </c>
      <c r="I7" s="118">
        <f>'[5]DRE por Segmento|Base de Dados'!$T$146</f>
        <v>512350.74797926424</v>
      </c>
      <c r="J7" s="118">
        <f>'[6]DRE por Segmento|Base de Dados'!$T$146</f>
        <v>483034.73847105552</v>
      </c>
      <c r="K7" s="118">
        <f>'[7]DRE por Segmento|Base de Dados'!$T$146</f>
        <v>419623.98823997809</v>
      </c>
      <c r="L7" s="118">
        <f>'[8]DRE por Segmento|Base de Dados'!$L$146</f>
        <v>200787.81130820393</v>
      </c>
      <c r="M7" s="118">
        <f>'[9]DRE por Segmento|Base de Dados'!$K$146</f>
        <v>252181.38767583942</v>
      </c>
      <c r="N7" s="118">
        <f>'[10]DRE por Segmento|Base de Dados'!$P$146</f>
        <v>304172.11885436153</v>
      </c>
      <c r="O7" s="118">
        <f>'[11]DRE por Segmento|Base de Dados'!$N$146</f>
        <v>338604.71533603809</v>
      </c>
      <c r="P7" s="118">
        <f>'[12]DRE por Segmento|Base de Dados'!$L$146</f>
        <v>347211.5171192275</v>
      </c>
      <c r="Q7" s="118">
        <f>'[13]DRE por Segmento|Base de Dados'!$K$146</f>
        <v>268874.62062402332</v>
      </c>
      <c r="R7" s="118">
        <f>'[14]DRE por Segmento|Base de Dados'!$P$146</f>
        <v>279479.48338310054</v>
      </c>
      <c r="S7" s="118">
        <f>'[15]DRE por Segmento|Base de Dados'!$N$146</f>
        <v>272273.9326551311</v>
      </c>
      <c r="T7" s="107">
        <f>'[35]Principais Números'!$C$10</f>
        <v>243663.37819560169</v>
      </c>
      <c r="U7" s="107">
        <f>'[17]Principais Números'!$C$10</f>
        <v>217097.58730079699</v>
      </c>
      <c r="V7" s="107">
        <f>'[18]Principais Números'!$C$10</f>
        <v>202867.41073382593</v>
      </c>
      <c r="W7" s="107">
        <f>'[19]Principais Números'!$C$10</f>
        <v>193760.36940824616</v>
      </c>
      <c r="X7" s="107">
        <f>'[20]Principais Números'!$C$10</f>
        <v>181949.08327334726</v>
      </c>
      <c r="Y7" s="107">
        <f>'[21]Principais Números'!$C$10</f>
        <v>118427.47487957693</v>
      </c>
      <c r="Z7" s="107">
        <f>'[22]Principais Números'!$C$10</f>
        <v>115474.09326000071</v>
      </c>
      <c r="AA7" s="107">
        <f>'[23]Principais Números'!$C$10</f>
        <v>112049.95206546306</v>
      </c>
      <c r="AB7" s="107">
        <f>'[24]Principais Números'!$C$10</f>
        <v>162365.91078406727</v>
      </c>
      <c r="AC7" s="107">
        <f>'[25]Principais Números'!$C$10</f>
        <v>131017.4241404692</v>
      </c>
      <c r="AD7" s="107">
        <f>'[26]Principais Números'!$C$10</f>
        <v>159086.52999765312</v>
      </c>
      <c r="AE7" s="107">
        <f>'[27]Principais Números'!$C$10</f>
        <v>173562.89499126695</v>
      </c>
      <c r="AF7" s="107">
        <f>'[28]Principais Números'!$C$10</f>
        <v>156282.91674509071</v>
      </c>
      <c r="AG7" s="107">
        <f>'[29]Principais Números'!$C$10</f>
        <v>151994.41025312233</v>
      </c>
      <c r="AH7" s="107">
        <f>'[30]Principais Números'!$C$10</f>
        <v>215558.53734821221</v>
      </c>
      <c r="AI7" s="107">
        <f>'[31]Principais Números'!$C$10</f>
        <v>204599.80931773121</v>
      </c>
      <c r="AJ7" s="107">
        <f>'[32]Principais Números'!$C$10</f>
        <v>261271.78484040676</v>
      </c>
      <c r="AK7" s="107">
        <f>'[33]Principais Números'!$C$10</f>
        <v>261576.75760077537</v>
      </c>
      <c r="AL7" s="107">
        <f>'[34]Principais Números'!$C$10</f>
        <v>244515.28739911807</v>
      </c>
      <c r="AM7" s="107">
        <v>304844</v>
      </c>
      <c r="AN7" s="107">
        <v>265347</v>
      </c>
      <c r="AO7" s="107">
        <v>224934</v>
      </c>
      <c r="AP7" s="107">
        <v>197580</v>
      </c>
      <c r="AQ7" s="107">
        <v>191440</v>
      </c>
      <c r="AR7" s="107">
        <v>180910</v>
      </c>
      <c r="AS7" s="107">
        <v>162248</v>
      </c>
      <c r="AT7" s="107">
        <v>228928</v>
      </c>
      <c r="AU7" s="107">
        <v>260422</v>
      </c>
      <c r="AV7" s="107">
        <v>283852</v>
      </c>
      <c r="AW7" s="107">
        <v>245691</v>
      </c>
      <c r="AX7" s="107">
        <v>236400</v>
      </c>
      <c r="AY7" s="107">
        <v>252427</v>
      </c>
      <c r="AZ7" s="107">
        <v>228710</v>
      </c>
      <c r="BA7" s="107">
        <v>189067</v>
      </c>
      <c r="BB7" s="7">
        <v>167045</v>
      </c>
      <c r="BC7" s="7">
        <v>142524</v>
      </c>
      <c r="BD7" s="7">
        <v>143907</v>
      </c>
      <c r="BE7" s="7">
        <v>124711</v>
      </c>
      <c r="BF7" s="7">
        <v>195352</v>
      </c>
      <c r="BG7" s="7">
        <v>243952</v>
      </c>
      <c r="BH7" s="7">
        <v>206423</v>
      </c>
      <c r="BI7" s="7">
        <v>187963</v>
      </c>
      <c r="BJ7" s="7">
        <v>170126</v>
      </c>
      <c r="BK7" s="107">
        <v>182138</v>
      </c>
      <c r="BL7" s="107">
        <v>172443</v>
      </c>
      <c r="BM7" s="107">
        <v>146405</v>
      </c>
    </row>
    <row r="8" spans="1:65" ht="14.25" customHeight="1" x14ac:dyDescent="0.2">
      <c r="A8" s="9" t="s">
        <v>15</v>
      </c>
      <c r="B8" s="147">
        <f>'[78]DRE por Segmento|Base de Dados'!$P$243</f>
        <v>322336.07271147444</v>
      </c>
      <c r="C8" s="147">
        <f>'[1]DRE por Segmento|Base de Dados'!$N$243</f>
        <v>419260.63900844171</v>
      </c>
      <c r="D8" s="147">
        <v>362017.92724334466</v>
      </c>
      <c r="E8" s="145">
        <f>'[2]DRE por Segmento|Base de Dados'!$K$242</f>
        <v>401349.54306598654</v>
      </c>
      <c r="F8" s="145">
        <f>'[3]DRE por Segmento|Base de Dados'!$P$154</f>
        <v>258831.2833872521</v>
      </c>
      <c r="G8" s="145">
        <v>396560.67346332787</v>
      </c>
      <c r="H8" s="145">
        <f>'[4]DRE por Segmento|Base de Dados'!$T$154</f>
        <v>322645.27698581741</v>
      </c>
      <c r="I8" s="145">
        <f>'[5]DRE por Segmento|Base de Dados'!$T$154</f>
        <v>349272.96845829056</v>
      </c>
      <c r="J8" s="145">
        <f>'[6]DRE por Segmento|Base de Dados'!$T$154</f>
        <v>668466.76251796819</v>
      </c>
      <c r="K8" s="145">
        <f>'[7]DRE por Segmento|Base de Dados'!$T$154</f>
        <v>269995.59010804188</v>
      </c>
      <c r="L8" s="145">
        <f>'[8]DRE por Segmento|Base de Dados'!$L$154</f>
        <v>153932.19157297141</v>
      </c>
      <c r="M8" s="145">
        <f>'[9]DRE por Segmento|Base de Dados'!$K$154</f>
        <v>106980.44191932899</v>
      </c>
      <c r="N8" s="145">
        <f>'[10]DRE por Segmento|Base de Dados'!$P$154</f>
        <v>160620.17589416957</v>
      </c>
      <c r="O8" s="145">
        <f>'[11]DRE por Segmento|Base de Dados'!$N$154</f>
        <v>192135.59834863633</v>
      </c>
      <c r="P8" s="112">
        <f>'[12]DRE por Segmento|Base de Dados'!$L$154</f>
        <v>203655.25209006789</v>
      </c>
      <c r="Q8" s="112">
        <f>'[13]DRE por Segmento|Base de Dados'!$K$154</f>
        <v>134305.94930171041</v>
      </c>
      <c r="R8" s="112">
        <f>'[14]DRE por Segmento|Base de Dados'!$P$154</f>
        <v>124614.2087936868</v>
      </c>
      <c r="S8" s="112">
        <f>'[15]DRE por Segmento|Base de Dados'!$N$154</f>
        <v>149418.31683398402</v>
      </c>
      <c r="T8" s="108">
        <f>'[35]Principais Números'!$C$14</f>
        <v>126288.68814969927</v>
      </c>
      <c r="U8" s="108">
        <f>'[17]Principais Números'!$C$14</f>
        <v>159497.53997875797</v>
      </c>
      <c r="V8" s="108">
        <f>'[18]Principais Números'!$C$14</f>
        <v>78372.482734309262</v>
      </c>
      <c r="W8" s="108">
        <f>'[19]Principais Números'!$C$14</f>
        <v>94746.792830326172</v>
      </c>
      <c r="X8" s="108">
        <f>'[20]Principais Números'!$C$14</f>
        <v>86882.330925012764</v>
      </c>
      <c r="Y8" s="108">
        <f>'[21]Principais Números'!$C$14</f>
        <v>48226.001499336759</v>
      </c>
      <c r="Z8" s="108">
        <f>'[22]Principais Números'!$C$14</f>
        <v>1034.1486200004219</v>
      </c>
      <c r="AA8" s="108">
        <f>'[23]Principais Números'!$C$14</f>
        <v>19902.073957301258</v>
      </c>
      <c r="AB8" s="108">
        <f>'[24]Principais Números'!$C$14</f>
        <v>75300.259596692296</v>
      </c>
      <c r="AC8" s="108">
        <f>'[25]Principais Números'!$C$14</f>
        <v>46480.694032187144</v>
      </c>
      <c r="AD8" s="108">
        <f>'[26]Principais Números'!$C$14</f>
        <v>21429.711423151195</v>
      </c>
      <c r="AE8" s="108">
        <f>'[27]Principais Números'!$C$14</f>
        <v>42455.195056030454</v>
      </c>
      <c r="AF8" s="108">
        <f>'[28]Principais Números'!$C$14</f>
        <v>47024.706590164809</v>
      </c>
      <c r="AG8" s="108">
        <f>'[29]Principais Números'!$C$14</f>
        <v>50969.126624623284</v>
      </c>
      <c r="AH8" s="108">
        <f>'[30]Principais Números'!$C$14</f>
        <v>103409.98640658541</v>
      </c>
      <c r="AI8" s="108">
        <f>'[31]Principais Números'!$C$14</f>
        <v>95954.038189931191</v>
      </c>
      <c r="AJ8" s="125">
        <f>'[32]Principais Números'!$C$14</f>
        <v>140739.75883437748</v>
      </c>
      <c r="AK8" s="125">
        <f>'[33]Principais Números'!$C$14</f>
        <v>150358.8807762553</v>
      </c>
      <c r="AL8" s="125">
        <f>'[34]Principais Números'!$C$14</f>
        <v>117028.79325745819</v>
      </c>
      <c r="AM8" s="125">
        <v>176309</v>
      </c>
      <c r="AN8" s="125">
        <v>151029</v>
      </c>
      <c r="AO8" s="125">
        <v>119527</v>
      </c>
      <c r="AP8" s="125">
        <v>71802</v>
      </c>
      <c r="AQ8" s="125">
        <v>77544</v>
      </c>
      <c r="AR8" s="125">
        <v>65865</v>
      </c>
      <c r="AS8" s="125">
        <v>64968</v>
      </c>
      <c r="AT8" s="125">
        <v>104936</v>
      </c>
      <c r="AU8" s="125">
        <v>136048</v>
      </c>
      <c r="AV8" s="125">
        <v>169852</v>
      </c>
      <c r="AW8" s="125">
        <v>145822</v>
      </c>
      <c r="AX8" s="125">
        <v>140060</v>
      </c>
      <c r="AY8" s="125">
        <v>146740</v>
      </c>
      <c r="AZ8" s="125">
        <v>139559</v>
      </c>
      <c r="BA8" s="125">
        <v>115029</v>
      </c>
      <c r="BB8" s="125">
        <v>87844</v>
      </c>
      <c r="BC8" s="125">
        <v>68469</v>
      </c>
      <c r="BD8" s="125">
        <v>78984</v>
      </c>
      <c r="BE8" s="125">
        <v>65544</v>
      </c>
      <c r="BF8" s="125">
        <v>115628</v>
      </c>
      <c r="BG8" s="125">
        <v>161915</v>
      </c>
      <c r="BH8" s="125">
        <v>121463</v>
      </c>
      <c r="BI8" s="125">
        <v>121751</v>
      </c>
      <c r="BJ8" s="125">
        <v>93290</v>
      </c>
      <c r="BK8" s="125">
        <v>107231</v>
      </c>
      <c r="BL8" s="125">
        <v>102377</v>
      </c>
      <c r="BM8" s="125">
        <v>85720</v>
      </c>
    </row>
    <row r="9" spans="1:65" ht="14.25" customHeight="1" x14ac:dyDescent="0.2">
      <c r="A9" s="3" t="s">
        <v>16</v>
      </c>
      <c r="B9" s="167">
        <f>'[78]DRE por Segmento|Base de Dados'!$P$263</f>
        <v>0.11318285457175746</v>
      </c>
      <c r="C9" s="167">
        <f>'[1]DRE por Segmento|Base de Dados'!$N$263</f>
        <v>0.13720025195840108</v>
      </c>
      <c r="D9" s="167">
        <v>0.13058314349335484</v>
      </c>
      <c r="E9" s="144">
        <f>'[2]DRE por Segmento|Base de Dados'!$K$263</f>
        <v>0.16207324675913373</v>
      </c>
      <c r="F9" s="144">
        <f>'[3]DRE por Segmento|Base de Dados'!$P$175</f>
        <v>0.10172231377562518</v>
      </c>
      <c r="G9" s="144">
        <v>0.15948620303765387</v>
      </c>
      <c r="H9" s="144">
        <f>'[4]DRE por Segmento|Base de Dados'!$T$175</f>
        <v>0.15263755996150666</v>
      </c>
      <c r="I9" s="144">
        <f>'[5]DRE por Segmento|Base de Dados'!$T$175</f>
        <v>0.18256840141108488</v>
      </c>
      <c r="J9" s="144">
        <f>'[6]DRE por Segmento|Base de Dados'!$T$175</f>
        <v>0.3695965101298927</v>
      </c>
      <c r="K9" s="144">
        <f>'[7]DRE por Segmento|Base de Dados'!$T$175</f>
        <v>0.17815609841603533</v>
      </c>
      <c r="L9" s="144">
        <f>'[8]DRE por Segmento|Base de Dados'!$L$175</f>
        <v>0.16498779839201877</v>
      </c>
      <c r="M9" s="144">
        <f>'[9]DRE por Segmento|Base de Dados'!$K$175</f>
        <v>9.1613770954212886E-2</v>
      </c>
      <c r="N9" s="144">
        <f>'[10]DRE por Segmento|Base de Dados'!$P$175</f>
        <v>0.12496478978543599</v>
      </c>
      <c r="O9" s="144">
        <f>'[11]DRE por Segmento|Base de Dados'!$N$175</f>
        <v>0.14010906637296133</v>
      </c>
      <c r="P9" s="109">
        <f>'[12]DRE por Segmento|Base de Dados'!$L$175</f>
        <v>0.15640264299598572</v>
      </c>
      <c r="Q9" s="109">
        <f>'[13]DRE por Segmento|Base de Dados'!$K$175</f>
        <v>0.1184783260135583</v>
      </c>
      <c r="R9" s="109">
        <f>'[14]DRE por Segmento|Base de Dados'!$P$175</f>
        <v>0.10279775163238652</v>
      </c>
      <c r="S9" s="109">
        <f>'[15]DRE por Segmento|Base de Dados'!$N$175</f>
        <v>0.13462649073676919</v>
      </c>
      <c r="T9" s="109">
        <f>'[35]Principais Números'!$C$15</f>
        <v>0.12395063600787649</v>
      </c>
      <c r="U9" s="109">
        <f>'[17]Principais Números'!$C$15</f>
        <v>0.17305852919591849</v>
      </c>
      <c r="V9" s="109">
        <f>'[18]Principais Números'!$C$15</f>
        <v>9.1855734758373123E-2</v>
      </c>
      <c r="W9" s="109">
        <f>'[19]Principais Números'!$C$15</f>
        <v>0.12245886652842268</v>
      </c>
      <c r="X9" s="109">
        <f>'[20]Principais Números'!$C$15</f>
        <v>0.11899945847629784</v>
      </c>
      <c r="Y9" s="109">
        <f>'[21]Principais Números'!$C$15</f>
        <v>8.3186147755398704E-2</v>
      </c>
      <c r="Z9" s="109">
        <f>'[22]Principais Números'!$C$15</f>
        <v>1.6615821457085409E-3</v>
      </c>
      <c r="AA9" s="109">
        <f>'[23]Principais Números'!$C$15</f>
        <v>3.4902300312694617E-2</v>
      </c>
      <c r="AB9" s="109">
        <f>'[24]Principais Números'!$C$15</f>
        <v>0.10807322765152405</v>
      </c>
      <c r="AC9" s="109">
        <f>'[25]Principais Números'!$C$15</f>
        <v>6.3272280369531697E-2</v>
      </c>
      <c r="AD9" s="109">
        <f>'[26]Principais Números'!$C$15</f>
        <v>2.6298247885877223E-2</v>
      </c>
      <c r="AE9" s="109">
        <f>'[27]Principais Números'!$C$15</f>
        <v>4.9772796139927578E-2</v>
      </c>
      <c r="AF9" s="109">
        <f>'[28]Principais Números'!$C$15</f>
        <v>6.4003003468941971E-2</v>
      </c>
      <c r="AG9" s="109">
        <f>'[29]Principais Números'!$C$15</f>
        <v>7.3145054117616667E-2</v>
      </c>
      <c r="AH9" s="109">
        <f>'[30]Principais Números'!$C$15</f>
        <v>0.11345441695958537</v>
      </c>
      <c r="AI9" s="109">
        <f>'[31]Principais Números'!$C$15</f>
        <v>0.10818103544865609</v>
      </c>
      <c r="AJ9" s="126">
        <f>'[32]Principais Números'!$C$15</f>
        <v>0.13874497978052247</v>
      </c>
      <c r="AK9" s="126">
        <f>'[33]Principais Números'!$C$15</f>
        <v>0.15566206383476758</v>
      </c>
      <c r="AL9" s="126">
        <f>'[34]Principais Números'!$C$15</f>
        <v>0.10782108263134979</v>
      </c>
      <c r="AM9" s="126">
        <f>AM8/AM6</f>
        <v>0.15548476935545461</v>
      </c>
      <c r="AN9" s="126">
        <f>AN8/AN6</f>
        <v>0.14260220773813065</v>
      </c>
      <c r="AO9" s="126">
        <f>AO8/AO6</f>
        <v>0.1226036151177652</v>
      </c>
      <c r="AP9" s="126">
        <f>AP8/AP6</f>
        <v>7.1393841408666656E-2</v>
      </c>
      <c r="AQ9" s="126">
        <f t="shared" ref="AQ9:AW9" si="0">AQ8/AQ6</f>
        <v>8.8369432181042012E-2</v>
      </c>
      <c r="AR9" s="126">
        <f t="shared" si="0"/>
        <v>7.4510278606109689E-2</v>
      </c>
      <c r="AS9" s="126">
        <f t="shared" si="0"/>
        <v>8.8423837742638831E-2</v>
      </c>
      <c r="AT9" s="126">
        <f t="shared" si="0"/>
        <v>0.10147724943041378</v>
      </c>
      <c r="AU9" s="126">
        <f t="shared" si="0"/>
        <v>0.1271082243640291</v>
      </c>
      <c r="AV9" s="126">
        <f t="shared" si="0"/>
        <v>0.15468329230654343</v>
      </c>
      <c r="AW9" s="126">
        <f t="shared" si="0"/>
        <v>0.15286654918614512</v>
      </c>
      <c r="AX9" s="126">
        <v>0.13551207911289223</v>
      </c>
      <c r="AY9" s="126">
        <v>0.14909813612088796</v>
      </c>
      <c r="AZ9" s="126">
        <v>0.15193303402296648</v>
      </c>
      <c r="BA9" s="126">
        <v>0.14699999999999999</v>
      </c>
      <c r="BB9" s="127">
        <v>0.1225</v>
      </c>
      <c r="BC9" s="127">
        <v>0.11514013096603426</v>
      </c>
      <c r="BD9" s="127">
        <v>0.12724659908879399</v>
      </c>
      <c r="BE9" s="127">
        <v>12.199634442785829</v>
      </c>
      <c r="BF9" s="127">
        <v>15.8</v>
      </c>
      <c r="BG9" s="127">
        <v>18.5</v>
      </c>
      <c r="BH9" s="127">
        <v>16.14</v>
      </c>
      <c r="BI9" s="127">
        <v>17.39</v>
      </c>
      <c r="BJ9" s="127">
        <v>13.949819587975723</v>
      </c>
      <c r="BK9" s="127">
        <v>15.932674820810897</v>
      </c>
      <c r="BL9" s="127">
        <v>16.083457966242285</v>
      </c>
      <c r="BM9" s="127">
        <v>15.531574102930199</v>
      </c>
    </row>
    <row r="10" spans="1:65" ht="14.25" customHeight="1" x14ac:dyDescent="0.2">
      <c r="A10" s="2" t="s">
        <v>112</v>
      </c>
      <c r="B10" s="166">
        <f>'[78]DRE por Segmento|Base de Dados'!$P$256</f>
        <v>89439.79140843988</v>
      </c>
      <c r="C10" s="166">
        <f>'[1]DRE por Segmento|Base de Dados'!$N$256</f>
        <v>147679.65638948217</v>
      </c>
      <c r="D10" s="166">
        <v>104525.29000671979</v>
      </c>
      <c r="E10" s="118">
        <f>'[2]DRE por Segmento|Base de Dados'!$K$256</f>
        <v>130074.40329637629</v>
      </c>
      <c r="F10" s="118">
        <f>'[3]DRE por Segmento|Base de Dados'!$P$168</f>
        <v>153164.29677964555</v>
      </c>
      <c r="G10" s="118">
        <v>288499.96117650747</v>
      </c>
      <c r="H10" s="118">
        <f>'[4]DRE por Segmento|Base de Dados'!$T$168</f>
        <v>122146.09216676427</v>
      </c>
      <c r="I10" s="118">
        <f>'[5]DRE por Segmento|Base de Dados'!$T$168</f>
        <v>134065.31433379807</v>
      </c>
      <c r="J10" s="118">
        <f>'[6]DRE por Segmento|Base de Dados'!$T$168</f>
        <v>490393.98380524846</v>
      </c>
      <c r="K10" s="118">
        <f>'[7]DRE por Segmento|Base de Dados'!$T$168</f>
        <v>116016.40378878053</v>
      </c>
      <c r="L10" s="118">
        <f>'[8]DRE por Segmento|Base de Dados'!$L$168</f>
        <v>55270.188997654848</v>
      </c>
      <c r="M10" s="118">
        <f>'[9]DRE por Segmento|Base de Dados'!$K$168</f>
        <v>2993.664288745691</v>
      </c>
      <c r="N10" s="118">
        <f>'[10]DRE por Segmento|Base de Dados'!$P$168</f>
        <v>52873.921262728334</v>
      </c>
      <c r="O10" s="118">
        <f>'[11]DRE por Segmento|Base de Dados'!$N$168</f>
        <v>78539.149283594714</v>
      </c>
      <c r="P10" s="118">
        <f>'[12]DRE por Segmento|Base de Dados'!$L$168</f>
        <v>84538.340471859396</v>
      </c>
      <c r="Q10" s="118">
        <f>'[13]DRE por Segmento|Base de Dados'!$K$168</f>
        <v>31665.128731608049</v>
      </c>
      <c r="R10" s="118">
        <f>'[14]DRE por Segmento|Base de Dados'!$P$168</f>
        <v>35434.865354581656</v>
      </c>
      <c r="S10" s="118">
        <f>'[15]DRE por Segmento|Base de Dados'!$N$168</f>
        <v>41650.317735805496</v>
      </c>
      <c r="T10" s="107">
        <f>'[35]Principais Números'!$C$12</f>
        <v>31438.668037739681</v>
      </c>
      <c r="U10" s="107">
        <f>'[17]Principais Números'!$C$12</f>
        <v>43194.713524332372</v>
      </c>
      <c r="V10" s="107">
        <f>'[18]Principais Números'!$C$12</f>
        <v>3574.6091574029997</v>
      </c>
      <c r="W10" s="107">
        <f>'[19]Principais Números'!$C$12</f>
        <v>22570.695531318874</v>
      </c>
      <c r="X10" s="107">
        <f>'[20]Principais Números'!$C$12</f>
        <v>18987.111219608225</v>
      </c>
      <c r="Y10" s="107">
        <f>'[21]Principais Números'!$C$12</f>
        <v>1579.4741711900606</v>
      </c>
      <c r="Z10" s="107">
        <f>'[22]Principais Números'!$C$12</f>
        <v>-48489.756741714598</v>
      </c>
      <c r="AA10" s="107">
        <f>'[23]Principais Números'!$C$12</f>
        <v>-16026.354174941369</v>
      </c>
      <c r="AB10" s="107">
        <f>'[24]Principais Números'!$C$12</f>
        <v>6867.137676855009</v>
      </c>
      <c r="AC10" s="107">
        <f>'[25]Principais Números'!$C$12</f>
        <v>-9555.8471524796969</v>
      </c>
      <c r="AD10" s="107">
        <f>'[26]Principais Números'!$C$12</f>
        <v>-20998.955547211262</v>
      </c>
      <c r="AE10" s="107">
        <f>'[27]Principais Números'!$C$12</f>
        <v>-4461.1576606231565</v>
      </c>
      <c r="AF10" s="107">
        <f>'[28]Principais Números'!$C$12</f>
        <v>274.47588467950374</v>
      </c>
      <c r="AG10" s="107">
        <f>'[29]Principais Números'!$C$12</f>
        <v>557.13387999991983</v>
      </c>
      <c r="AH10" s="107">
        <f>'[30]Principais Números'!$C$12</f>
        <v>39558.138595785407</v>
      </c>
      <c r="AI10" s="107">
        <f>'[31]Principais Números'!$C$12</f>
        <v>32747.144810306698</v>
      </c>
      <c r="AJ10" s="107">
        <f>'[32]Principais Números'!$C$12</f>
        <v>67409.653480260793</v>
      </c>
      <c r="AK10" s="107">
        <f>'[33]Principais Números'!$C$12</f>
        <v>62241.430340000064</v>
      </c>
      <c r="AL10" s="107">
        <f>'[34]Principais Números'!$C$12</f>
        <v>47816.93266159328</v>
      </c>
      <c r="AM10" s="107">
        <v>78653</v>
      </c>
      <c r="AN10" s="107">
        <v>68906</v>
      </c>
      <c r="AO10" s="107">
        <v>39686</v>
      </c>
      <c r="AP10" s="107">
        <v>15568</v>
      </c>
      <c r="AQ10" s="107">
        <v>12925</v>
      </c>
      <c r="AR10" s="107">
        <v>-4725</v>
      </c>
      <c r="AS10" s="107">
        <v>18794</v>
      </c>
      <c r="AT10" s="107">
        <v>50240</v>
      </c>
      <c r="AU10" s="107">
        <v>62948</v>
      </c>
      <c r="AV10" s="107">
        <v>89191</v>
      </c>
      <c r="AW10" s="107">
        <v>66770</v>
      </c>
      <c r="AX10" s="107">
        <v>78611</v>
      </c>
      <c r="AY10" s="107">
        <v>66769</v>
      </c>
      <c r="AZ10" s="107">
        <v>63762</v>
      </c>
      <c r="BA10" s="107">
        <v>40351</v>
      </c>
      <c r="BB10" s="107">
        <v>40741</v>
      </c>
      <c r="BC10" s="107">
        <v>26990</v>
      </c>
      <c r="BD10" s="107">
        <v>44469</v>
      </c>
      <c r="BE10" s="107">
        <v>26750</v>
      </c>
      <c r="BF10" s="107">
        <v>48749</v>
      </c>
      <c r="BG10" s="107">
        <v>60770</v>
      </c>
      <c r="BH10" s="107">
        <v>67599</v>
      </c>
      <c r="BI10" s="107">
        <v>53993</v>
      </c>
      <c r="BJ10" s="107">
        <v>47725</v>
      </c>
      <c r="BK10" s="107">
        <v>42229</v>
      </c>
      <c r="BL10" s="107">
        <v>47411</v>
      </c>
      <c r="BM10" s="107">
        <v>35993</v>
      </c>
    </row>
    <row r="11" spans="1:65" ht="14.25" customHeight="1" x14ac:dyDescent="0.2">
      <c r="A11" s="2" t="s">
        <v>17</v>
      </c>
      <c r="B11" s="152">
        <f>'[78]Principais Números'!$C$14</f>
        <v>0.27</v>
      </c>
      <c r="C11" s="152">
        <f>'[1]Principais Números'!$C$14</f>
        <v>0.44940387672389082</v>
      </c>
      <c r="D11" s="152">
        <v>0.31738718258085002</v>
      </c>
      <c r="E11" s="152">
        <f>'[2]Principais Números'!$C$14</f>
        <v>0.39496612145699922</v>
      </c>
      <c r="F11" s="152">
        <f>'[3]Principais Números'!$H$14</f>
        <v>2.1190736798665291</v>
      </c>
      <c r="G11" s="137">
        <v>1.6539959496469456</v>
      </c>
      <c r="H11" s="52">
        <f>'[4]Principais Números'!$H$14</f>
        <v>0.77797647295752659</v>
      </c>
      <c r="I11" s="52">
        <f>'[5]Principais Números'!$C$70</f>
        <v>0.40708437542229975</v>
      </c>
      <c r="J11" s="52">
        <f>'[6]Desempenho Comparativo'!$E$36</f>
        <v>2.0182587834345425</v>
      </c>
      <c r="K11" s="52">
        <f>'[7]Desempenho Comparativo'!$E$18</f>
        <v>0.52764609752798652</v>
      </c>
      <c r="L11" s="52">
        <f>'[8]Desempenho Comparativo'!$E$18</f>
        <v>0.17250614684644205</v>
      </c>
      <c r="M11" s="52">
        <f>'[9]Desempenho Comparativo'!$B$18</f>
        <v>8.6999999999999994E-3</v>
      </c>
      <c r="N11" s="35">
        <f>'[10]Desempenho Comparativo'!$E$18</f>
        <v>0.72330000000000005</v>
      </c>
      <c r="O11" s="35">
        <f>'[11]Desempenho Comparativo'!$E$18</f>
        <v>0.56887340030555222</v>
      </c>
      <c r="P11" s="137">
        <f>'[12]Desempenho Comparativo'!$E$18</f>
        <v>0.34</v>
      </c>
      <c r="Q11" s="118"/>
      <c r="R11" s="118">
        <v>0</v>
      </c>
      <c r="S11" s="118">
        <v>0</v>
      </c>
      <c r="T11" s="118">
        <v>0</v>
      </c>
      <c r="U11" s="106" t="s">
        <v>69</v>
      </c>
      <c r="V11" s="110" t="s">
        <v>69</v>
      </c>
      <c r="W11" s="110">
        <f>'[19]Desempenho Comparativo'!$C$18</f>
        <v>0</v>
      </c>
      <c r="X11" s="110">
        <f>'[20]Desempenho Comparativo'!$C$18</f>
        <v>0</v>
      </c>
      <c r="Y11" s="110">
        <f>'[21]Desempenho Comparativo'!$C$18</f>
        <v>0</v>
      </c>
      <c r="Z11" s="111">
        <f>'[22]Desempenho Comparativo'!$C$18</f>
        <v>0</v>
      </c>
      <c r="AA11" s="110">
        <f>'[23]Desempenho Comparativo'!$C$18</f>
        <v>0</v>
      </c>
      <c r="AB11" s="110">
        <f>'[24]Desempenho Comparativo'!$C$18</f>
        <v>0</v>
      </c>
      <c r="AC11" s="110">
        <f>'[25]Desempenho Comparativo'!$C$18</f>
        <v>-3.171680737041787E-2</v>
      </c>
      <c r="AD11" s="110">
        <f>'[26]Desempenho Comparativo'!$C$18</f>
        <v>-6.96976225596114E-2</v>
      </c>
      <c r="AE11" s="110">
        <f>'[27]Desempenho Comparativo'!$C$18</f>
        <v>-1.4807026097558679E-2</v>
      </c>
      <c r="AF11" s="110">
        <f>'[28]Desempenho Comparativo'!$C$18</f>
        <v>9.1101276771110898E-4</v>
      </c>
      <c r="AG11" s="110">
        <f>'[29]Desempenho Comparativo'!$C$17</f>
        <v>1.8491827746434336E-3</v>
      </c>
      <c r="AH11" s="110">
        <f>'[30]Desempenho Comparativo'!$C$17</f>
        <v>0.13129739747346633</v>
      </c>
      <c r="AI11" s="110">
        <f>'[31]Desempenho Comparativo'!$C$17</f>
        <v>0.10869103150212651</v>
      </c>
      <c r="AJ11" s="128">
        <f>'[32]Desempenho Comparativo'!$C$17</f>
        <v>0.22373934620597655</v>
      </c>
      <c r="AK11" s="128">
        <f>'[33]Desempenho Comparativo'!$C$17</f>
        <v>0.25823187536950681</v>
      </c>
      <c r="AL11" s="128">
        <f>'[34]Desempenho Comparativo'!$C$17</f>
        <v>0.19838644658661039</v>
      </c>
      <c r="AM11" s="128">
        <f>AM10/241029.231</f>
        <v>0.32632141617711091</v>
      </c>
      <c r="AN11" s="128">
        <f t="shared" ref="AN11:AX11" si="1">AN10/241029.231</f>
        <v>0.28588233764891363</v>
      </c>
      <c r="AO11" s="128">
        <f t="shared" si="1"/>
        <v>0.16465222842618621</v>
      </c>
      <c r="AP11" s="128">
        <f t="shared" si="1"/>
        <v>6.4589676262129386E-2</v>
      </c>
      <c r="AQ11" s="128">
        <f t="shared" si="1"/>
        <v>5.3624201290340588E-2</v>
      </c>
      <c r="AR11" s="128">
        <f t="shared" si="1"/>
        <v>-1.9603431419486211E-2</v>
      </c>
      <c r="AS11" s="128">
        <f t="shared" si="1"/>
        <v>7.7973944994248437E-2</v>
      </c>
      <c r="AT11" s="128">
        <f t="shared" si="1"/>
        <v>0.20843944857460048</v>
      </c>
      <c r="AU11" s="128">
        <f t="shared" si="1"/>
        <v>0.26116334412567577</v>
      </c>
      <c r="AV11" s="128">
        <f t="shared" si="1"/>
        <v>0.37004225433553328</v>
      </c>
      <c r="AW11" s="128">
        <f t="shared" si="1"/>
        <v>0.27702034198499353</v>
      </c>
      <c r="AX11" s="128">
        <f t="shared" si="1"/>
        <v>0.32614716345338213</v>
      </c>
      <c r="AY11" s="128">
        <v>0.27701999999999999</v>
      </c>
      <c r="AZ11" s="128">
        <v>0.26454</v>
      </c>
      <c r="BA11" s="128">
        <v>0.25112000000000001</v>
      </c>
      <c r="BB11" s="128">
        <f>BB10/160323.635</f>
        <v>0.25411724228932309</v>
      </c>
      <c r="BC11" s="128">
        <v>0.16845205140926928</v>
      </c>
      <c r="BD11" s="128">
        <v>0.27361558828043686</v>
      </c>
      <c r="BE11" s="128">
        <v>0.16695414506105793</v>
      </c>
      <c r="BF11" s="128">
        <v>0.30407000000000001</v>
      </c>
      <c r="BG11" s="128">
        <v>0.37928000000000001</v>
      </c>
      <c r="BH11" s="128">
        <v>0.4219</v>
      </c>
      <c r="BI11" s="128">
        <v>0.33698</v>
      </c>
      <c r="BJ11" s="128">
        <v>0.29787000000000002</v>
      </c>
      <c r="BK11" s="128">
        <v>0.26356000000000002</v>
      </c>
      <c r="BL11" s="128">
        <v>0.29572999999999999</v>
      </c>
      <c r="BM11" s="128">
        <v>0.22283</v>
      </c>
    </row>
    <row r="12" spans="1:65" ht="14.25" customHeight="1" x14ac:dyDescent="0.2">
      <c r="A12" s="9" t="s">
        <v>0</v>
      </c>
      <c r="B12" s="168">
        <f>[79]BAL!$AF$113/1000</f>
        <v>12882347.958798746</v>
      </c>
      <c r="C12" s="168">
        <f>[36]BAL!$AB$112/1000</f>
        <v>11976908.422011795</v>
      </c>
      <c r="D12" s="168">
        <v>11853110.609215569</v>
      </c>
      <c r="E12" s="143">
        <f>[37]BAL!$Y$112/1000</f>
        <v>11161782.497186551</v>
      </c>
      <c r="F12" s="143">
        <f>[38]BAL!$Y$112/1000</f>
        <v>10769555.133781917</v>
      </c>
      <c r="G12" s="143">
        <v>10339502</v>
      </c>
      <c r="H12" s="143">
        <f>[39]BAL!$Y$110/1000</f>
        <v>9168896.0674397871</v>
      </c>
      <c r="I12" s="143">
        <f>[40]BAL!$Z$110/1000</f>
        <v>9497796.3542986531</v>
      </c>
      <c r="J12" s="143">
        <f>[41]BAL!$Z$110/1000</f>
        <v>8981081.3502277862</v>
      </c>
      <c r="K12" s="143">
        <f>[42]BAL!$Z$110/1000</f>
        <v>7922553.7046647649</v>
      </c>
      <c r="L12" s="143">
        <f>[43]BAL!$Z$110/1000</f>
        <v>6906563.4572494961</v>
      </c>
      <c r="M12" s="143">
        <f>[44]BAL!$Z$110/1000</f>
        <v>6369896.7162578506</v>
      </c>
      <c r="N12" s="143">
        <f>[45]BAL!$Z$110/1000</f>
        <v>6328113.6611343864</v>
      </c>
      <c r="O12" s="143">
        <f>[46]BAL!$Z$110/1000</f>
        <v>6298762.4452127982</v>
      </c>
      <c r="P12" s="112">
        <f>[47]BAL!$Z$110/1000</f>
        <v>6108130.2701088767</v>
      </c>
      <c r="Q12" s="112">
        <f>[48]BAL!$Y$110/1000</f>
        <v>5783414.7466471968</v>
      </c>
      <c r="R12" s="112">
        <f>[49]BAL!$Y$109/1000</f>
        <v>5838143.340083438</v>
      </c>
      <c r="S12" s="112">
        <f>[50]BAL!$Y$109/1000</f>
        <v>5907204.7829659311</v>
      </c>
      <c r="T12" s="112">
        <f>[51]BAL!$Y$106/1000</f>
        <v>5334543.7334917057</v>
      </c>
      <c r="U12" s="112">
        <f>[52]BAL!$Y$106/1000</f>
        <v>4940326.6103014546</v>
      </c>
      <c r="V12" s="113">
        <f>[53]BAL!$Y$105/1000</f>
        <v>4970681.3833676837</v>
      </c>
      <c r="W12" s="114">
        <v>4677284</v>
      </c>
      <c r="X12" s="114">
        <f>'[54]Balanço Portugues Novo'!$D$9</f>
        <v>4745196.1785412356</v>
      </c>
      <c r="Y12" s="114">
        <f>'[55]Balanço Ingles Novo'!$C$9</f>
        <v>4823308.6288009584</v>
      </c>
      <c r="Z12" s="115">
        <f>'[56]Balanço Portugues Novo'!$D$9</f>
        <v>4868291.8023359999</v>
      </c>
      <c r="AA12" s="112">
        <f>'[57]Balanço Portugues Novo'!$D$9</f>
        <v>4779419.5800036006</v>
      </c>
      <c r="AB12" s="112">
        <f>'[58]Balanço Portugues Novo'!$D$9</f>
        <v>4888513.0327214533</v>
      </c>
      <c r="AC12" s="112">
        <f>'[59]Balanço Portugues Novo'!$D$9</f>
        <v>4808627.0385813713</v>
      </c>
      <c r="AD12" s="112">
        <f>'[60]Balanço Portugues Novo'!$D$9</f>
        <v>5183866.3087296896</v>
      </c>
      <c r="AE12" s="112">
        <f>'[61]Balanço Portugues Novo'!$D$9</f>
        <v>5659069.6836827472</v>
      </c>
      <c r="AF12" s="112">
        <f>'[62]Balanço Portugues Novo'!$D$9</f>
        <v>5071705.8074648967</v>
      </c>
      <c r="AG12" s="112">
        <f>'[63]Balanço Portugues Novo'!$D$9</f>
        <v>5226121.6469565751</v>
      </c>
      <c r="AH12" s="112">
        <f>'[64]Balanço Portugues Novo'!$D$9</f>
        <v>4873529.0616971012</v>
      </c>
      <c r="AI12" s="112">
        <f>'[65]Balanço Portugues Novo'!$D$9</f>
        <v>4800161.7881599609</v>
      </c>
      <c r="AJ12" s="125">
        <v>4894138</v>
      </c>
      <c r="AK12" s="125">
        <v>5007489</v>
      </c>
      <c r="AL12" s="125">
        <v>4906918</v>
      </c>
      <c r="AM12" s="125">
        <v>4661841</v>
      </c>
      <c r="AN12" s="125">
        <v>4780051</v>
      </c>
      <c r="AO12" s="125">
        <v>5021397</v>
      </c>
      <c r="AP12" s="125">
        <v>4321295</v>
      </c>
      <c r="AQ12" s="125">
        <v>4067380</v>
      </c>
      <c r="AR12" s="125">
        <v>4234551</v>
      </c>
      <c r="AS12" s="125">
        <v>4074203</v>
      </c>
      <c r="AT12" s="125">
        <v>4019641</v>
      </c>
      <c r="AU12" s="125">
        <v>3977114</v>
      </c>
      <c r="AV12" s="125">
        <v>3849983</v>
      </c>
      <c r="AW12" s="125">
        <v>3945843</v>
      </c>
      <c r="AX12" s="125">
        <v>3711245</v>
      </c>
      <c r="AY12" s="125">
        <v>3254052</v>
      </c>
      <c r="AZ12" s="125">
        <v>2754972</v>
      </c>
      <c r="BA12" s="125">
        <v>2693914</v>
      </c>
      <c r="BB12" s="125">
        <v>2577230</v>
      </c>
      <c r="BC12" s="125">
        <v>2548768</v>
      </c>
      <c r="BD12" s="125">
        <v>2165514</v>
      </c>
      <c r="BE12" s="125">
        <v>2219766</v>
      </c>
      <c r="BF12" s="125">
        <v>2215764</v>
      </c>
      <c r="BG12" s="125">
        <v>2294293</v>
      </c>
      <c r="BH12" s="125">
        <v>1985768</v>
      </c>
      <c r="BI12" s="125">
        <v>1989401</v>
      </c>
      <c r="BJ12" s="125">
        <v>1800144</v>
      </c>
      <c r="BK12" s="125">
        <v>1771969</v>
      </c>
      <c r="BL12" s="125">
        <v>1684043</v>
      </c>
      <c r="BM12" s="125">
        <v>1472594</v>
      </c>
    </row>
    <row r="13" spans="1:65" ht="14.25" customHeight="1" x14ac:dyDescent="0.2">
      <c r="A13" s="9" t="s">
        <v>30</v>
      </c>
      <c r="B13" s="129">
        <f>B14+B15</f>
        <v>3821266.0031219218</v>
      </c>
      <c r="C13" s="129">
        <f>C14+C15</f>
        <v>3889891.2392232749</v>
      </c>
      <c r="D13" s="129">
        <v>3783515.2675686376</v>
      </c>
      <c r="E13" s="129">
        <f>E14+E15</f>
        <v>3386708.6171066482</v>
      </c>
      <c r="F13" s="129">
        <f>F14+F15</f>
        <v>3274878.9842879786</v>
      </c>
      <c r="G13" s="129">
        <f>G14+G15</f>
        <v>3295042.2322903099</v>
      </c>
      <c r="H13" s="129">
        <f>H14+H15</f>
        <v>2977736.4056094182</v>
      </c>
      <c r="I13" s="129">
        <f t="shared" ref="I13:T13" si="2">I14+I15</f>
        <v>2855033.9286325835</v>
      </c>
      <c r="J13" s="129">
        <f t="shared" si="2"/>
        <v>2676207.4511053152</v>
      </c>
      <c r="K13" s="129">
        <f t="shared" si="2"/>
        <v>2296097.7119696201</v>
      </c>
      <c r="L13" s="129">
        <f t="shared" si="2"/>
        <v>2267478.0223274264</v>
      </c>
      <c r="M13" s="129">
        <f t="shared" si="2"/>
        <v>2239652.5518480279</v>
      </c>
      <c r="N13" s="129">
        <f t="shared" si="2"/>
        <v>2175961.5787357311</v>
      </c>
      <c r="O13" s="129">
        <f t="shared" si="2"/>
        <v>2180382.2156056799</v>
      </c>
      <c r="P13" s="129">
        <f t="shared" si="2"/>
        <v>2145673.8221166097</v>
      </c>
      <c r="Q13" s="129">
        <f t="shared" si="2"/>
        <v>2060900.152571022</v>
      </c>
      <c r="R13" s="129">
        <f t="shared" si="2"/>
        <v>2044960.539353065</v>
      </c>
      <c r="S13" s="129">
        <f t="shared" si="2"/>
        <v>2039424.5120671983</v>
      </c>
      <c r="T13" s="129">
        <f t="shared" si="2"/>
        <v>1982489.3916386534</v>
      </c>
      <c r="U13" s="129">
        <f t="shared" ref="U13:AA13" si="3">U14+U15</f>
        <v>2001327.9832052689</v>
      </c>
      <c r="V13" s="129">
        <f t="shared" si="3"/>
        <v>1908059.4392233156</v>
      </c>
      <c r="W13" s="130">
        <f t="shared" si="3"/>
        <v>1961837.2348799999</v>
      </c>
      <c r="X13" s="130">
        <f t="shared" si="3"/>
        <v>1923084.0256111913</v>
      </c>
      <c r="Y13" s="130">
        <f t="shared" si="3"/>
        <v>1920278.5499549517</v>
      </c>
      <c r="Z13" s="130">
        <f t="shared" si="3"/>
        <v>1890283.5886837447</v>
      </c>
      <c r="AA13" s="125">
        <f t="shared" si="3"/>
        <v>1943422.5615948904</v>
      </c>
      <c r="AB13" s="125">
        <f t="shared" ref="AB13:AG13" si="4">AB14+AB15</f>
        <v>1951191.6296696896</v>
      </c>
      <c r="AC13" s="125">
        <f t="shared" si="4"/>
        <v>1654550.4964507036</v>
      </c>
      <c r="AD13" s="125">
        <f t="shared" si="4"/>
        <v>1587667.2199204385</v>
      </c>
      <c r="AE13" s="125">
        <f t="shared" si="4"/>
        <v>1630779.5277605425</v>
      </c>
      <c r="AF13" s="125">
        <f t="shared" si="4"/>
        <v>1718263.3051233073</v>
      </c>
      <c r="AG13" s="125">
        <f t="shared" si="4"/>
        <v>1707138.4869254506</v>
      </c>
      <c r="AH13" s="125">
        <f t="shared" ref="AH13:AM13" si="5">AH14+AH15</f>
        <v>1743344.2229106082</v>
      </c>
      <c r="AI13" s="125">
        <f t="shared" si="5"/>
        <v>1787007.5072459993</v>
      </c>
      <c r="AJ13" s="125">
        <f t="shared" si="5"/>
        <v>1767028</v>
      </c>
      <c r="AK13" s="125">
        <f t="shared" si="5"/>
        <v>1715127.822299645</v>
      </c>
      <c r="AL13" s="125">
        <f t="shared" si="5"/>
        <v>1642808</v>
      </c>
      <c r="AM13" s="125">
        <f t="shared" si="5"/>
        <v>1557035</v>
      </c>
      <c r="AN13" s="125">
        <f t="shared" ref="AN13:AX13" si="6">AN14+AN15</f>
        <v>1896697</v>
      </c>
      <c r="AO13" s="125">
        <f t="shared" si="6"/>
        <v>1915588</v>
      </c>
      <c r="AP13" s="125">
        <f t="shared" si="6"/>
        <v>1857657</v>
      </c>
      <c r="AQ13" s="125">
        <f t="shared" si="6"/>
        <v>1838891</v>
      </c>
      <c r="AR13" s="125">
        <f t="shared" si="6"/>
        <v>1832110</v>
      </c>
      <c r="AS13" s="125">
        <f t="shared" si="6"/>
        <v>1875751</v>
      </c>
      <c r="AT13" s="125">
        <f t="shared" si="6"/>
        <v>1861358</v>
      </c>
      <c r="AU13" s="125">
        <f t="shared" si="6"/>
        <v>1854543.8753200001</v>
      </c>
      <c r="AV13" s="125">
        <f t="shared" si="6"/>
        <v>1783912</v>
      </c>
      <c r="AW13" s="125">
        <f t="shared" si="6"/>
        <v>1712181</v>
      </c>
      <c r="AX13" s="125">
        <f t="shared" si="6"/>
        <v>1617742</v>
      </c>
      <c r="AY13" s="125">
        <v>1028764</v>
      </c>
      <c r="AZ13" s="125">
        <v>962379</v>
      </c>
      <c r="BA13" s="125">
        <v>924469</v>
      </c>
      <c r="BB13" s="125">
        <v>884139</v>
      </c>
      <c r="BC13" s="125">
        <v>871677</v>
      </c>
      <c r="BD13" s="125">
        <v>839992</v>
      </c>
      <c r="BE13" s="125">
        <v>813280</v>
      </c>
      <c r="BF13" s="125">
        <v>787481</v>
      </c>
      <c r="BG13" s="125">
        <v>786404</v>
      </c>
      <c r="BH13" s="125">
        <v>725634</v>
      </c>
      <c r="BI13" s="125">
        <v>676937</v>
      </c>
      <c r="BJ13" s="125">
        <v>622944</v>
      </c>
      <c r="BK13" s="125">
        <v>613862</v>
      </c>
      <c r="BL13" s="125">
        <v>573289</v>
      </c>
      <c r="BM13" s="125">
        <v>561683</v>
      </c>
    </row>
    <row r="14" spans="1:65" ht="14.25" customHeight="1" x14ac:dyDescent="0.2">
      <c r="A14" s="36" t="s">
        <v>74</v>
      </c>
      <c r="B14" s="169">
        <f>[79]BAL!$AF$186/1000</f>
        <v>2744764.8337300005</v>
      </c>
      <c r="C14" s="169">
        <f>[36]BAL!$AB$182/1000</f>
        <v>2771964.8826400004</v>
      </c>
      <c r="D14" s="169">
        <v>2708393.4468899998</v>
      </c>
      <c r="E14" s="146">
        <f>[37]BAL!$Y$182/1000</f>
        <v>2624877.2020199997</v>
      </c>
      <c r="F14" s="146">
        <f>[38]BAL!$Y$182/1000</f>
        <v>2520327.2581199999</v>
      </c>
      <c r="G14" s="146">
        <v>2531010.4399299999</v>
      </c>
      <c r="H14" s="146">
        <f>[39]BAL!$Y$178/1000</f>
        <v>2283578.9233300001</v>
      </c>
      <c r="I14" s="146">
        <f>[40]BAL!$Z$178/1000</f>
        <v>2183368.6221699999</v>
      </c>
      <c r="J14" s="146">
        <f>[41]BAL!$Z$178/1000</f>
        <v>2059420.5413400002</v>
      </c>
      <c r="K14" s="146">
        <f>[42]BAL!$Z$178/1000</f>
        <v>1743360.52666</v>
      </c>
      <c r="L14" s="146">
        <f>[43]BAL!$Z$179/1000</f>
        <v>1744563.0271900001</v>
      </c>
      <c r="M14" s="146">
        <f>[44]BAL!$Z$179/1000</f>
        <v>1726080.3093699999</v>
      </c>
      <c r="N14" s="146">
        <f>[45]BAL!$Z$178/1000</f>
        <v>1692543.2370500001</v>
      </c>
      <c r="O14" s="146">
        <f>[46]BAL!$Z$178/1000</f>
        <v>1695277.1171599999</v>
      </c>
      <c r="P14" s="84">
        <f>[47]BAL!$Z$176/1000</f>
        <v>1655660.08262</v>
      </c>
      <c r="Q14" s="84">
        <f>[48]BAL!$Y$176/1000</f>
        <v>1571943.4212100001</v>
      </c>
      <c r="R14" s="84">
        <f>[49]BAL!$Y$176/1000</f>
        <v>1527311.6350399998</v>
      </c>
      <c r="S14" s="84">
        <f>[50]BAL!$Y$174/1000</f>
        <v>1510925.13264</v>
      </c>
      <c r="T14" s="84">
        <f>[51]BAL!$Y$171/1000</f>
        <v>1466475.6654000001</v>
      </c>
      <c r="U14" s="84">
        <f>[52]BAL!$Y$171/1000</f>
        <v>1480097.9791199998</v>
      </c>
      <c r="V14" s="85">
        <f>'[18]Performance das ações'!$C$21/1000</f>
        <v>1432243.29315</v>
      </c>
      <c r="W14" s="84">
        <v>1458565.33293</v>
      </c>
      <c r="X14" s="116">
        <f>'[54]Balanço Portugues Novo'!$D$44</f>
        <v>1434178.1747499998</v>
      </c>
      <c r="Y14" s="116">
        <f>'[55]Balanço Ingles Novo'!$C$45</f>
        <v>488626.4183049518</v>
      </c>
      <c r="Z14" s="131">
        <f>'[56]Balanço Portugues Novo'!$D$44</f>
        <v>1413156.7422799999</v>
      </c>
      <c r="AA14" s="132">
        <f>'[57]Balanço Portugues Novo'!$D$43</f>
        <v>1466028.86781</v>
      </c>
      <c r="AB14" s="132">
        <f>'[58]Balanço Portugues Novo'!$D$42</f>
        <v>1484202.4025300003</v>
      </c>
      <c r="AC14" s="132">
        <f>'[59]Balanço Portugues Novo'!$D$42</f>
        <v>1335911.4283499999</v>
      </c>
      <c r="AD14" s="132">
        <f>'[60]Balanço Portugues Novo'!$D$42</f>
        <v>1277332.8655599998</v>
      </c>
      <c r="AE14" s="132">
        <f>'[61]Balanço Portugues Novo'!$D$42</f>
        <v>1297003.5375500002</v>
      </c>
      <c r="AF14" s="132">
        <f>'[62]Balanço Portugues Novo'!$D$42</f>
        <v>1395170.9815100003</v>
      </c>
      <c r="AG14" s="132">
        <f>'[63]Balanço Portugues Novo'!$D$42</f>
        <v>1386480.36479</v>
      </c>
      <c r="AH14" s="132">
        <f>'[64]Balanço Portugues Novo'!$D$42</f>
        <v>1431585.38127</v>
      </c>
      <c r="AI14" s="132">
        <f>'[65]Balanço Portugues Novo'!$D$42</f>
        <v>1454546.0403400001</v>
      </c>
      <c r="AJ14" s="132">
        <v>1445254</v>
      </c>
      <c r="AK14" s="132">
        <v>1398157.38586</v>
      </c>
      <c r="AL14" s="132">
        <v>1337201</v>
      </c>
      <c r="AM14" s="132">
        <v>1228796</v>
      </c>
      <c r="AN14" s="132">
        <v>1447513</v>
      </c>
      <c r="AO14" s="132">
        <v>1407668</v>
      </c>
      <c r="AP14" s="132">
        <v>1369496</v>
      </c>
      <c r="AQ14" s="132">
        <v>1353475</v>
      </c>
      <c r="AR14" s="132">
        <v>1341048</v>
      </c>
      <c r="AS14" s="132">
        <v>1358197</v>
      </c>
      <c r="AT14" s="132">
        <v>1354272</v>
      </c>
      <c r="AU14" s="132">
        <v>1360959</v>
      </c>
      <c r="AV14" s="132">
        <v>1296258</v>
      </c>
      <c r="AW14" s="132">
        <v>1238328</v>
      </c>
      <c r="AX14" s="132">
        <v>1172045</v>
      </c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</row>
    <row r="15" spans="1:65" ht="14.25" customHeight="1" x14ac:dyDescent="0.2">
      <c r="A15" s="36" t="s">
        <v>75</v>
      </c>
      <c r="B15" s="169">
        <f>[79]BAL!$AF$181/1000</f>
        <v>1076501.169391921</v>
      </c>
      <c r="C15" s="169">
        <f>[36]BAL!$AB$179/1000</f>
        <v>1117926.3565832744</v>
      </c>
      <c r="D15" s="169">
        <v>1075121.8206786376</v>
      </c>
      <c r="E15" s="146">
        <f>[37]BAL!$Y$179/1000</f>
        <v>761831.41508664854</v>
      </c>
      <c r="F15" s="146">
        <f>[38]BAL!$Y$179/1000</f>
        <v>754551.7261679786</v>
      </c>
      <c r="G15" s="146">
        <v>764031.79236030998</v>
      </c>
      <c r="H15" s="146">
        <f>[39]BAL!$Y$175/1000</f>
        <v>694157.48227941815</v>
      </c>
      <c r="I15" s="146">
        <f>[40]BAL!$Z$176/1000</f>
        <v>671665.30646258383</v>
      </c>
      <c r="J15" s="146">
        <f>[41]BAL!$Z$175/1000</f>
        <v>616786.90976531524</v>
      </c>
      <c r="K15" s="146">
        <f>[42]BAL!$Z$175/1000</f>
        <v>552737.18530962022</v>
      </c>
      <c r="L15" s="146">
        <f>[43]BAL!$Z$174/1000</f>
        <v>522914.9951374263</v>
      </c>
      <c r="M15" s="146">
        <f>[44]BAL!$Z$174/1000</f>
        <v>513572.24247802782</v>
      </c>
      <c r="N15" s="146">
        <f>[45]BAL!$Z$173/1000</f>
        <v>483418.34168573079</v>
      </c>
      <c r="O15" s="146">
        <f>[46]BAL!$Z$173/1000</f>
        <v>485105.09844567988</v>
      </c>
      <c r="P15" s="84">
        <f>[47]BAL!$Z$173/1000</f>
        <v>490013.73949660943</v>
      </c>
      <c r="Q15" s="84">
        <f>[48]BAL!$Y$173/1000</f>
        <v>488956.73136102187</v>
      </c>
      <c r="R15" s="84">
        <f>[49]BAL!$Y$171/1000</f>
        <v>517648.90431306511</v>
      </c>
      <c r="S15" s="84">
        <f>[50]BAL!$Y$171/1000</f>
        <v>528499.37942719844</v>
      </c>
      <c r="T15" s="84">
        <f>[51]BAL!$Y$168/1000</f>
        <v>516013.72623865341</v>
      </c>
      <c r="U15" s="84">
        <f>[52]BAL!$Y$166/1000</f>
        <v>521230.004085269</v>
      </c>
      <c r="V15" s="117">
        <f>'[18]Performance das ações'!$C$22/1000</f>
        <v>475816.14607331553</v>
      </c>
      <c r="W15" s="116">
        <v>503271.90194999997</v>
      </c>
      <c r="X15" s="116">
        <f>'[54]Balanço Portugues Novo'!$D$45</f>
        <v>488905.85086119157</v>
      </c>
      <c r="Y15" s="116">
        <f>'[55]Balanço Ingles Novo'!$C$44</f>
        <v>1431652.1316499999</v>
      </c>
      <c r="Z15" s="131">
        <f>'[56]Balanço Portugues Novo'!$D$45</f>
        <v>477126.84640374471</v>
      </c>
      <c r="AA15" s="132">
        <f>'[57]Balanço Portugues Novo'!$D$44</f>
        <v>477393.69378489035</v>
      </c>
      <c r="AB15" s="132">
        <f>'[58]Balanço Portugues Novo'!$D$43</f>
        <v>466989.22713968926</v>
      </c>
      <c r="AC15" s="132">
        <f>'[59]Balanço Portugues Novo'!$D$43</f>
        <v>318639.06810070371</v>
      </c>
      <c r="AD15" s="132">
        <f>'[60]Balanço Portugues Novo'!$D$43</f>
        <v>310334.35436043859</v>
      </c>
      <c r="AE15" s="132">
        <f>'[61]Balanço Portugues Novo'!$D$43</f>
        <v>333775.99021054228</v>
      </c>
      <c r="AF15" s="132">
        <f>'[62]Balanço Portugues Novo'!$D$43</f>
        <v>323092.32361330686</v>
      </c>
      <c r="AG15" s="132">
        <f>'[63]Balanço Portugues Novo'!$D$43</f>
        <v>320658.12213545048</v>
      </c>
      <c r="AH15" s="132">
        <f>'[64]Balanço Portugues Novo'!$D$43</f>
        <v>311758.84164060827</v>
      </c>
      <c r="AI15" s="132">
        <f>'[65]Balanço Portugues Novo'!$D$43</f>
        <v>332461.46690599935</v>
      </c>
      <c r="AJ15" s="132">
        <v>321774</v>
      </c>
      <c r="AK15" s="132">
        <v>316970.43643964501</v>
      </c>
      <c r="AL15" s="132">
        <v>305607</v>
      </c>
      <c r="AM15" s="132">
        <v>328239</v>
      </c>
      <c r="AN15" s="132">
        <v>449184</v>
      </c>
      <c r="AO15" s="132">
        <v>507920</v>
      </c>
      <c r="AP15" s="132">
        <v>488161</v>
      </c>
      <c r="AQ15" s="132">
        <v>485416</v>
      </c>
      <c r="AR15" s="132">
        <v>491062</v>
      </c>
      <c r="AS15" s="132">
        <v>517554</v>
      </c>
      <c r="AT15" s="132">
        <v>507086</v>
      </c>
      <c r="AU15" s="132">
        <v>493584.87531999999</v>
      </c>
      <c r="AV15" s="132">
        <v>487654</v>
      </c>
      <c r="AW15" s="132">
        <v>473853</v>
      </c>
      <c r="AX15" s="132">
        <v>445697</v>
      </c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</row>
    <row r="16" spans="1:65" ht="14.25" customHeight="1" x14ac:dyDescent="0.2">
      <c r="A16" s="2" t="s">
        <v>52</v>
      </c>
      <c r="B16" s="157">
        <f>'[78]DRE por Segmento|Base de Dados'!$P$272</f>
        <v>2925300.8727870001</v>
      </c>
      <c r="C16" s="157">
        <f>'[1]DRE por Segmento|Base de Dados'!$N$272</f>
        <v>3257928.6771058054</v>
      </c>
      <c r="D16" s="157">
        <v>3266001.6902199993</v>
      </c>
      <c r="E16" s="157">
        <f>'[2]DRE por Segmento|Base de Dados'!$K$272</f>
        <v>3129358.156115857</v>
      </c>
      <c r="F16" s="7">
        <f>[66]Dívida!$Y$22/1000</f>
        <v>2535550.2399499994</v>
      </c>
      <c r="G16" s="7">
        <v>2555242.5569799999</v>
      </c>
      <c r="H16" s="7">
        <f>[39]Dívida!$Y$21/1000</f>
        <v>2306036.3767281729</v>
      </c>
      <c r="I16" s="7">
        <f>[40]Dívida!$U$21/1000</f>
        <v>2032649.6983899998</v>
      </c>
      <c r="J16" s="7">
        <f>[41]Dívida!$U$21/1000</f>
        <v>1515641.7872898192</v>
      </c>
      <c r="K16" s="7">
        <f>(SUM([42]Dívida!$U$10:$U$16)-SUM([42]Dívida!$U$3:$U$8))/1000</f>
        <v>1594859.9765032735</v>
      </c>
      <c r="L16" s="7">
        <f>[8]Dívida!$AA$5</f>
        <v>1154691.0609610558</v>
      </c>
      <c r="M16" s="7">
        <f>[9]Dívida!$Z$5</f>
        <v>1104395.8944439117</v>
      </c>
      <c r="N16" s="118">
        <f>[10]Dívida!$Y$5</f>
        <v>867856.85993264965</v>
      </c>
      <c r="O16" s="118">
        <f>[11]Dívida!$X$5</f>
        <v>1086675.491300964</v>
      </c>
      <c r="P16" s="118">
        <f>[12]Dívida!$W$5</f>
        <v>1164928.5979600004</v>
      </c>
      <c r="Q16" s="118">
        <f>[13]Dívida!$V$5</f>
        <v>1201443.9651027499</v>
      </c>
      <c r="R16" s="118">
        <f>[14]Dívida!$U$5</f>
        <v>1100223.6927437398</v>
      </c>
      <c r="S16" s="118">
        <f>[15]Dívida!$T$5</f>
        <v>896596.91154</v>
      </c>
      <c r="T16" s="118">
        <f>[35]Dívida!$T$34</f>
        <v>810835.93854</v>
      </c>
      <c r="U16" s="118">
        <f>'[52]Dívida Líquida'!$Y$14/1000</f>
        <v>765170.08854999999</v>
      </c>
      <c r="V16" s="118">
        <f>[18]Dívida!$Q$34</f>
        <v>532481.24302621966</v>
      </c>
      <c r="W16" s="118">
        <f>[19]Dívida!$Q$34</f>
        <v>532481.24302621966</v>
      </c>
      <c r="X16" s="118">
        <f>[19]Dívida!$P$34</f>
        <v>521369.55807615066</v>
      </c>
      <c r="Y16" s="118">
        <f>[19]Dívida!$O$34</f>
        <v>568991.13888535497</v>
      </c>
      <c r="Z16" s="118">
        <f>[22]Dívida!$N$34</f>
        <v>613528.95945999981</v>
      </c>
      <c r="AA16" s="118">
        <f>[23]Dívida!$M$34</f>
        <v>636639.6695099998</v>
      </c>
      <c r="AB16" s="118">
        <f>[24]Dívida!$L$35</f>
        <v>658109.41517999978</v>
      </c>
      <c r="AC16" s="118">
        <f>[25]Dívida!$K$35</f>
        <v>1192431.8493661457</v>
      </c>
      <c r="AD16" s="118">
        <f>[26]Dívida!$J$7</f>
        <v>1357268.6440900003</v>
      </c>
      <c r="AE16" s="118">
        <f>[27]Dívida!$I$7</f>
        <v>1446889.1149499991</v>
      </c>
      <c r="AF16" s="118">
        <f>[28]Dívida!$H$7</f>
        <v>1270312.7856600001</v>
      </c>
      <c r="AG16" s="118" t="e">
        <f>[29]Dívida!$G$7</f>
        <v>#REF!</v>
      </c>
      <c r="AH16" s="118">
        <f>[30]Dívida!$G$7</f>
        <v>1057812.6972999997</v>
      </c>
      <c r="AI16" s="118">
        <f>[31]Dívida!$G$7</f>
        <v>1110269.1658899998</v>
      </c>
      <c r="AJ16" s="107">
        <f>[32]Dívida!$G$7</f>
        <v>1156415.3744399997</v>
      </c>
      <c r="AK16" s="107">
        <f>[33]Dívida!$F$7</f>
        <v>1128013.1225727999</v>
      </c>
      <c r="AL16" s="107">
        <f>'[34]Desempenho Comparativo'!$F$11</f>
        <v>1193197.3326430002</v>
      </c>
      <c r="AM16" s="107">
        <v>1199515</v>
      </c>
      <c r="AN16" s="107">
        <v>790299</v>
      </c>
      <c r="AO16" s="107">
        <v>803264</v>
      </c>
      <c r="AP16" s="107">
        <v>760358</v>
      </c>
      <c r="AQ16" s="107">
        <v>699542</v>
      </c>
      <c r="AR16" s="107">
        <v>718880</v>
      </c>
      <c r="AS16" s="107">
        <v>562835</v>
      </c>
      <c r="AT16" s="107">
        <v>383529</v>
      </c>
      <c r="AU16" s="107">
        <v>218532</v>
      </c>
      <c r="AV16" s="107">
        <v>182386</v>
      </c>
      <c r="AW16" s="107">
        <v>107315</v>
      </c>
      <c r="AX16" s="107">
        <v>70930</v>
      </c>
      <c r="AY16" s="107">
        <v>202028</v>
      </c>
      <c r="AZ16" s="107">
        <v>256437</v>
      </c>
      <c r="BA16" s="107">
        <v>265531</v>
      </c>
      <c r="BB16" s="107">
        <v>184836</v>
      </c>
      <c r="BC16" s="107">
        <v>173327</v>
      </c>
      <c r="BD16" s="107">
        <v>270507</v>
      </c>
      <c r="BE16" s="107">
        <v>300565</v>
      </c>
      <c r="BF16" s="107">
        <v>333205</v>
      </c>
      <c r="BG16" s="107">
        <v>255395</v>
      </c>
      <c r="BH16" s="107">
        <v>127019</v>
      </c>
      <c r="BI16" s="107">
        <v>138069</v>
      </c>
      <c r="BJ16" s="107">
        <v>128124</v>
      </c>
      <c r="BK16" s="107">
        <v>140884</v>
      </c>
      <c r="BL16" s="107">
        <v>83289</v>
      </c>
      <c r="BM16" s="107">
        <v>65272</v>
      </c>
    </row>
    <row r="17" spans="1:65" ht="14.25" customHeight="1" x14ac:dyDescent="0.2">
      <c r="A17" s="2" t="s">
        <v>19</v>
      </c>
      <c r="B17" s="158">
        <f>'[78]DRE por Segmento|Base de Dados'!$P$274</f>
        <v>1.9437677705011012</v>
      </c>
      <c r="C17" s="158">
        <f>'[1]DRE por Segmento|Base de Dados'!$N$274</f>
        <v>2.2600336275651101</v>
      </c>
      <c r="D17" s="158">
        <v>2.3023472048230773</v>
      </c>
      <c r="E17" s="158">
        <f>'[2]DRE por Segmento|Base de Dados'!$K$274</f>
        <v>2.2690049089104347</v>
      </c>
      <c r="F17" s="148">
        <f>[66]Dívida!$AC$28</f>
        <v>1.9102921348502222</v>
      </c>
      <c r="G17" s="148">
        <v>1.47111253063658</v>
      </c>
      <c r="H17" s="148">
        <f>[39]Dívida!$AC$28</f>
        <v>1.4319822155655189</v>
      </c>
      <c r="I17" s="148">
        <f>[40]Dívida!$Y$28</f>
        <v>1.4099295992620613</v>
      </c>
      <c r="J17" s="148">
        <f>[41]Dívida!$Y$28</f>
        <v>1.2636930106319939</v>
      </c>
      <c r="K17" s="148">
        <f>[42]Dívida!$Y$40</f>
        <v>2.3062826878120712</v>
      </c>
      <c r="L17" s="35">
        <f>'[43]Dívida Líquida'!$Y$37</f>
        <v>1.8816205080101116</v>
      </c>
      <c r="M17" s="35">
        <f>[44]Dívida!$X$37</f>
        <v>1.6647725301209695</v>
      </c>
      <c r="N17" s="35">
        <f>[45]Dívida!$U$38</f>
        <v>1.25645798575505</v>
      </c>
      <c r="O17" s="35">
        <f>'[46]Dívida Líquida'!$U$38</f>
        <v>1.6597788598881689</v>
      </c>
      <c r="P17" s="119">
        <f>'[47]Dívida Líquida'!$Y$35</f>
        <v>1.9034976120318614</v>
      </c>
      <c r="Q17" s="119">
        <f>'[48]Dívida Líquida'!$X$35</f>
        <v>2.2472557476939041</v>
      </c>
      <c r="R17" s="119">
        <f>'[49]Dívida Líquida'!$X$35</f>
        <v>1.9653212497111636</v>
      </c>
      <c r="S17" s="119">
        <f>'[50]Dívida Líquida'!$X$35</f>
        <v>1.7457885831868039</v>
      </c>
      <c r="T17" s="119">
        <v>1.77</v>
      </c>
      <c r="U17" s="119">
        <f>'[52]Dívida Líquida'!$X$35</f>
        <v>1.8240086898666135</v>
      </c>
      <c r="V17" s="120">
        <v>2.0299999999999998</v>
      </c>
      <c r="W17" s="120">
        <v>2.31</v>
      </c>
      <c r="X17" s="120">
        <f>'[67]Endividamento X Ebtida'!$G$12</f>
        <v>3.3411582870289731</v>
      </c>
      <c r="Y17" s="120">
        <f>'[68]Endividamento X Ebtida'!$G$12</f>
        <v>3.938677533661644</v>
      </c>
      <c r="Z17" s="121">
        <f>'[69]Endividamento X Ebtida'!$G$9</f>
        <v>4.2989146490233576</v>
      </c>
      <c r="AA17" s="120">
        <v>3.9</v>
      </c>
      <c r="AB17" s="120">
        <f>'[70]Endividamento X Ebtida'!$G$11</f>
        <v>3.5445903452415397</v>
      </c>
      <c r="AC17" s="120">
        <f>'[71]Endividamento X Ebtida'!$G$11</f>
        <v>7.5762724612825068</v>
      </c>
      <c r="AD17" s="120">
        <f>'[72]Endividamento X Ebtida'!$G$8</f>
        <v>8.3828786837300235</v>
      </c>
      <c r="AE17" s="120">
        <f>'[73]Endividamento X Ebtida'!$I$22</f>
        <v>5.9325501830025633</v>
      </c>
      <c r="AF17" s="120">
        <f>'[74]Endividamento X Ebtida'!$I$24</f>
        <v>4.2719114640166884</v>
      </c>
      <c r="AG17" s="120">
        <f>'[75]Endividamento X Ebtida'!$I$23</f>
        <v>3.1830477068844942</v>
      </c>
      <c r="AH17" s="120">
        <f>'[76]Endividamento X Ebtida'!$I$23</f>
        <v>2.1567649782476153</v>
      </c>
      <c r="AI17" s="106">
        <v>2.1</v>
      </c>
      <c r="AJ17" s="120">
        <v>1.98</v>
      </c>
      <c r="AK17" s="120">
        <v>1.9</v>
      </c>
      <c r="AL17" s="120">
        <v>2.12</v>
      </c>
      <c r="AM17" s="120">
        <f>(AM16/(AM8+AN8+AO8+AP8))</f>
        <v>2.3126881023855383</v>
      </c>
      <c r="AN17" s="120">
        <f>(AN16/(AN8+AO8+AP8+AQ8))</f>
        <v>1.882103443184362</v>
      </c>
      <c r="AO17" s="120">
        <f>(AO16/(AO8+AP8+AQ8+AR8))</f>
        <v>2.3996797495354576</v>
      </c>
      <c r="AP17" s="120">
        <f>(AP16/(AP8+AQ8+AR8+AS8))</f>
        <v>2.7138293733648844</v>
      </c>
      <c r="AQ17" s="120">
        <v>2.2000000000000002</v>
      </c>
      <c r="AR17" s="120">
        <v>1.92</v>
      </c>
      <c r="AS17" s="120">
        <v>1.18</v>
      </c>
      <c r="AT17" s="120">
        <v>0.69</v>
      </c>
      <c r="AU17" s="120">
        <v>0.37</v>
      </c>
      <c r="AV17" s="120">
        <v>0.4</v>
      </c>
      <c r="AW17" s="106">
        <v>0.19</v>
      </c>
      <c r="AX17" s="106">
        <v>0.13</v>
      </c>
      <c r="AY17" s="120">
        <v>0.41</v>
      </c>
      <c r="AZ17" s="120">
        <v>0.62408463352486365</v>
      </c>
      <c r="BA17" s="120">
        <v>0.76</v>
      </c>
      <c r="BB17" s="35">
        <v>0.61</v>
      </c>
      <c r="BC17" s="35">
        <v>0.52743096234309628</v>
      </c>
      <c r="BD17" s="2">
        <v>0.64</v>
      </c>
      <c r="BE17" s="2">
        <v>0.64</v>
      </c>
      <c r="BF17" s="2">
        <v>0.64</v>
      </c>
      <c r="BG17" s="2">
        <v>0.51</v>
      </c>
      <c r="BH17" s="2">
        <v>0.28999999999999998</v>
      </c>
      <c r="BI17" s="2">
        <v>0.33</v>
      </c>
      <c r="BJ17" s="2">
        <v>0.33</v>
      </c>
      <c r="BK17" s="133">
        <v>0.39</v>
      </c>
      <c r="BL17" s="133">
        <v>0.25</v>
      </c>
      <c r="BM17" s="133">
        <v>0.21</v>
      </c>
    </row>
    <row r="18" spans="1:65" ht="14.25" customHeight="1" x14ac:dyDescent="0.2">
      <c r="A18" s="2" t="s">
        <v>20</v>
      </c>
      <c r="B18" s="121">
        <f>B16/B13</f>
        <v>0.76553186048735411</v>
      </c>
      <c r="C18" s="121">
        <f>C16/C13</f>
        <v>0.83753721550228777</v>
      </c>
      <c r="D18" s="121">
        <v>0.86321884788343861</v>
      </c>
      <c r="E18" s="120">
        <f>E16/E13</f>
        <v>0.92401163191575297</v>
      </c>
      <c r="F18" s="120">
        <f>F16/F13</f>
        <v>0.77424242303758795</v>
      </c>
      <c r="G18" s="120">
        <f>G16/G13</f>
        <v>0.77548097318434317</v>
      </c>
      <c r="H18" s="120">
        <f>H16/H13</f>
        <v>0.77442596073450087</v>
      </c>
      <c r="I18" s="120">
        <f t="shared" ref="I18:W18" si="7">I16/I13</f>
        <v>0.71195290465901262</v>
      </c>
      <c r="J18" s="120">
        <f t="shared" si="7"/>
        <v>0.56633942434613416</v>
      </c>
      <c r="K18" s="120">
        <f t="shared" si="7"/>
        <v>0.69459586505801774</v>
      </c>
      <c r="L18" s="120">
        <f t="shared" si="7"/>
        <v>0.50924024382641497</v>
      </c>
      <c r="M18" s="120">
        <f t="shared" si="7"/>
        <v>0.49311036818306037</v>
      </c>
      <c r="N18" s="120">
        <f t="shared" si="7"/>
        <v>0.39883831976338874</v>
      </c>
      <c r="O18" s="120">
        <f t="shared" si="7"/>
        <v>0.49838761457660335</v>
      </c>
      <c r="P18" s="120">
        <f t="shared" si="7"/>
        <v>0.5429197047344555</v>
      </c>
      <c r="Q18" s="120">
        <f t="shared" si="7"/>
        <v>0.58297048675741026</v>
      </c>
      <c r="R18" s="120">
        <f t="shared" si="7"/>
        <v>0.53801707738174831</v>
      </c>
      <c r="S18" s="120">
        <f t="shared" si="7"/>
        <v>0.43963231109309009</v>
      </c>
      <c r="T18" s="120">
        <f t="shared" si="7"/>
        <v>0.40899887886400876</v>
      </c>
      <c r="U18" s="120">
        <f t="shared" si="7"/>
        <v>0.38233117958233198</v>
      </c>
      <c r="V18" s="120">
        <f t="shared" si="7"/>
        <v>0.27906952586496392</v>
      </c>
      <c r="W18" s="120">
        <f t="shared" si="7"/>
        <v>0.27141968434439978</v>
      </c>
      <c r="X18" s="120">
        <f t="shared" ref="X18:AC18" si="8">X16/X13</f>
        <v>0.27111116889988718</v>
      </c>
      <c r="Y18" s="120">
        <f t="shared" si="8"/>
        <v>0.29630656390902405</v>
      </c>
      <c r="Z18" s="120">
        <f t="shared" si="8"/>
        <v>0.32456979636966354</v>
      </c>
      <c r="AA18" s="120">
        <f t="shared" si="8"/>
        <v>0.3275868470866854</v>
      </c>
      <c r="AB18" s="120">
        <f t="shared" si="8"/>
        <v>0.33728589502580475</v>
      </c>
      <c r="AC18" s="120">
        <f t="shared" si="8"/>
        <v>0.72069837211020016</v>
      </c>
      <c r="AD18" s="120">
        <f t="shared" ref="AD18:AI18" si="9">AD16/AD13</f>
        <v>0.85488232487285087</v>
      </c>
      <c r="AE18" s="120">
        <f t="shared" si="9"/>
        <v>0.88723772301515846</v>
      </c>
      <c r="AF18" s="120">
        <f t="shared" si="9"/>
        <v>0.7393004214617962</v>
      </c>
      <c r="AG18" s="120" t="e">
        <f t="shared" si="9"/>
        <v>#REF!</v>
      </c>
      <c r="AH18" s="120">
        <f t="shared" si="9"/>
        <v>0.60677213564509003</v>
      </c>
      <c r="AI18" s="120">
        <f t="shared" si="9"/>
        <v>0.62130078434928493</v>
      </c>
      <c r="AJ18" s="120">
        <f t="shared" ref="AJ18:AP18" si="10">AJ16/AJ13</f>
        <v>0.65444088856543281</v>
      </c>
      <c r="AK18" s="120">
        <f t="shared" si="10"/>
        <v>0.65768458065146351</v>
      </c>
      <c r="AL18" s="120">
        <f t="shared" si="10"/>
        <v>0.72631575488005917</v>
      </c>
      <c r="AM18" s="120">
        <f t="shared" si="10"/>
        <v>0.77038409541211339</v>
      </c>
      <c r="AN18" s="120">
        <f t="shared" si="10"/>
        <v>0.41667119207759595</v>
      </c>
      <c r="AO18" s="120">
        <f t="shared" si="10"/>
        <v>0.41933025264305268</v>
      </c>
      <c r="AP18" s="120">
        <f t="shared" si="10"/>
        <v>0.40931022250070925</v>
      </c>
      <c r="AQ18" s="120">
        <f t="shared" ref="AQ18:AW18" si="11">AQ16/AQ13</f>
        <v>0.38041515239348062</v>
      </c>
      <c r="AR18" s="120">
        <f t="shared" si="11"/>
        <v>0.39237818689925824</v>
      </c>
      <c r="AS18" s="120">
        <f t="shared" si="11"/>
        <v>0.30005848324217871</v>
      </c>
      <c r="AT18" s="120">
        <f t="shared" si="11"/>
        <v>0.20604794993762618</v>
      </c>
      <c r="AU18" s="120">
        <f t="shared" si="11"/>
        <v>0.11783598269536355</v>
      </c>
      <c r="AV18" s="120">
        <f t="shared" si="11"/>
        <v>0.10223934812927991</v>
      </c>
      <c r="AW18" s="120">
        <f t="shared" si="11"/>
        <v>6.2677368806218506E-2</v>
      </c>
      <c r="AX18" s="120">
        <v>4.3845063057026401E-2</v>
      </c>
      <c r="AY18" s="120">
        <v>0.19637934453382894</v>
      </c>
      <c r="AZ18" s="120">
        <v>0.26646154997147692</v>
      </c>
      <c r="BA18" s="120">
        <v>0.28999999999999998</v>
      </c>
      <c r="BB18" s="35">
        <v>0.21</v>
      </c>
      <c r="BC18" s="35">
        <v>0.19884314946935619</v>
      </c>
      <c r="BD18" s="35">
        <v>0.32203520985914152</v>
      </c>
      <c r="BE18" s="35">
        <v>0.37</v>
      </c>
      <c r="BF18" s="35">
        <v>0.42</v>
      </c>
      <c r="BG18" s="35">
        <f>BG16/BG13</f>
        <v>0.32476309886521432</v>
      </c>
      <c r="BH18" s="35">
        <f>BH16/BH13</f>
        <v>0.17504554637737482</v>
      </c>
      <c r="BI18" s="35">
        <v>0.20396137306721304</v>
      </c>
      <c r="BJ18" s="35">
        <v>0.20567498844197873</v>
      </c>
      <c r="BK18" s="35">
        <v>0.22950435114081014</v>
      </c>
      <c r="BL18" s="35">
        <v>0.145282745700685</v>
      </c>
      <c r="BM18" s="35">
        <v>0.11620789662496461</v>
      </c>
    </row>
    <row r="19" spans="1:65" ht="12.75" x14ac:dyDescent="0.2">
      <c r="R19" s="105"/>
    </row>
    <row r="20" spans="1:65" ht="13.5" thickBot="1" x14ac:dyDescent="0.25">
      <c r="A20" s="172" t="s">
        <v>21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</row>
    <row r="21" spans="1:65" ht="15" customHeight="1" x14ac:dyDescent="0.2">
      <c r="I21" s="149"/>
      <c r="J21" s="149"/>
      <c r="K21" s="149"/>
    </row>
  </sheetData>
  <mergeCells count="2">
    <mergeCell ref="A20:BM20"/>
    <mergeCell ref="AA3:AX3"/>
  </mergeCells>
  <phoneticPr fontId="2" type="noConversion"/>
  <pageMargins left="0.35" right="0.28999999999999998" top="0.984251969" bottom="0.984251969" header="0.49212598499999999" footer="0.49212598499999999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4:Z56"/>
  <sheetViews>
    <sheetView zoomScaleNormal="100" workbookViewId="0">
      <selection activeCell="D8" sqref="D8"/>
    </sheetView>
  </sheetViews>
  <sheetFormatPr defaultColWidth="15.7109375" defaultRowHeight="15" customHeight="1" x14ac:dyDescent="0.2"/>
  <cols>
    <col min="1" max="1" width="48.42578125" style="1" customWidth="1"/>
    <col min="2" max="4" width="18" style="1" customWidth="1"/>
    <col min="5" max="6" width="17.85546875" style="1" customWidth="1"/>
    <col min="7" max="7" width="18.42578125" style="1" customWidth="1"/>
    <col min="8" max="11" width="18.28515625" style="1" bestFit="1" customWidth="1"/>
    <col min="12" max="14" width="18.28515625" style="1" customWidth="1"/>
    <col min="15" max="19" width="18.28515625" style="1" hidden="1" customWidth="1"/>
    <col min="20" max="20" width="19.140625" style="1" hidden="1" customWidth="1"/>
    <col min="21" max="22" width="15.7109375" style="1" hidden="1" customWidth="1"/>
    <col min="23" max="23" width="0" style="1" hidden="1" customWidth="1"/>
    <col min="24" max="16384" width="15.7109375" style="1"/>
  </cols>
  <sheetData>
    <row r="4" spans="1:21" ht="15" customHeight="1" x14ac:dyDescent="0.2">
      <c r="A4" s="70" t="s">
        <v>11</v>
      </c>
      <c r="B4" s="71" t="s">
        <v>160</v>
      </c>
      <c r="C4" s="71" t="s">
        <v>141</v>
      </c>
      <c r="D4" s="71" t="s">
        <v>137</v>
      </c>
      <c r="E4" s="71" t="s">
        <v>129</v>
      </c>
      <c r="F4" s="71" t="s">
        <v>124</v>
      </c>
      <c r="G4" s="71" t="s">
        <v>119</v>
      </c>
      <c r="H4" s="71" t="s">
        <v>114</v>
      </c>
      <c r="I4" s="71" t="s">
        <v>106</v>
      </c>
      <c r="J4" s="71" t="s">
        <v>101</v>
      </c>
      <c r="K4" s="71" t="s">
        <v>96</v>
      </c>
      <c r="L4" s="71" t="s">
        <v>89</v>
      </c>
      <c r="M4" s="71" t="s">
        <v>84</v>
      </c>
      <c r="N4" s="71" t="s">
        <v>72</v>
      </c>
      <c r="O4" s="8" t="s">
        <v>56</v>
      </c>
      <c r="P4" s="8" t="s">
        <v>48</v>
      </c>
      <c r="Q4" s="8" t="s">
        <v>28</v>
      </c>
      <c r="R4" s="8" t="s">
        <v>27</v>
      </c>
      <c r="S4" s="8" t="s">
        <v>5</v>
      </c>
      <c r="T4" s="8" t="s">
        <v>6</v>
      </c>
    </row>
    <row r="5" spans="1:21" ht="15" customHeight="1" x14ac:dyDescent="0.2">
      <c r="A5" s="2" t="s">
        <v>13</v>
      </c>
      <c r="B5" s="7">
        <f>'[78]DRE por Segmento|Base de Dados'!$Q$267</f>
        <v>16188683.433476243</v>
      </c>
      <c r="C5" s="7">
        <f>'[3]DRE por Segmento|Base de Dados'!$Q$179</f>
        <v>13233767.726491705</v>
      </c>
      <c r="D5" s="7">
        <f>'[6]DRE por Segmento|Base de Dados'!$Q$179</f>
        <v>7696484.2105870433</v>
      </c>
      <c r="E5" s="7">
        <f>'[10]DRE por Segmento|Base de Dados'!$Q$179</f>
        <v>7291686.211902081</v>
      </c>
      <c r="F5" s="7">
        <f>'[14]Principais Números'!$E$2</f>
        <v>6044161.3100464232</v>
      </c>
      <c r="G5" s="7">
        <f>'[18]Principais Números'!$F$5</f>
        <v>4215629.81573937</v>
      </c>
      <c r="H5" s="57">
        <f>'[22]Principais Números'!$F$5</f>
        <v>3680156.1647900003</v>
      </c>
      <c r="I5" s="57">
        <f>'[26]Principais Números'!$F$5</f>
        <v>4236905.3351029996</v>
      </c>
      <c r="J5" s="7">
        <f>'[30]Principais Números'!$F$5</f>
        <v>5457303.8800400002</v>
      </c>
      <c r="K5" s="18">
        <v>6620321.6541900001</v>
      </c>
      <c r="L5" s="18">
        <v>5350618</v>
      </c>
      <c r="M5" s="18">
        <v>6384993</v>
      </c>
      <c r="N5" s="18">
        <v>5594055</v>
      </c>
      <c r="O5" s="18">
        <v>3703828</v>
      </c>
      <c r="P5" s="18">
        <v>4551299</v>
      </c>
      <c r="Q5" s="18">
        <v>3595303</v>
      </c>
      <c r="R5" s="19">
        <v>2890358</v>
      </c>
      <c r="S5" s="10">
        <v>2842420</v>
      </c>
      <c r="T5" s="10">
        <v>2361387</v>
      </c>
    </row>
    <row r="6" spans="1:21" ht="15" customHeight="1" x14ac:dyDescent="0.2">
      <c r="A6" s="2" t="s">
        <v>12</v>
      </c>
      <c r="B6" s="7">
        <f>'[78]DRE por Segmento|Base de Dados'!$Q$232</f>
        <v>11152417.21581009</v>
      </c>
      <c r="C6" s="7">
        <f>'[3]DRE por Segmento|Base de Dados'!$Q$144</f>
        <v>9057885.118636027</v>
      </c>
      <c r="D6" s="7">
        <f>'[6]DRE por Segmento|Base de Dados'!$W$144</f>
        <v>5424863.9665886248</v>
      </c>
      <c r="E6" s="7">
        <f>'[10]DRE por Segmento|Base de Dados'!$Q$144</f>
        <v>5092364.6892459542</v>
      </c>
      <c r="F6" s="7">
        <f>'[14]Principais Números'!$E$6</f>
        <v>4262602.1179362312</v>
      </c>
      <c r="G6" s="7">
        <f>'[18]Principais Números'!$F$9</f>
        <v>2936758.6459645783</v>
      </c>
      <c r="H6" s="57">
        <f>'[22]Principais Números'!$F$9</f>
        <v>2623976.3761907071</v>
      </c>
      <c r="I6" s="57">
        <f>'[26]Principais Números'!$F$9</f>
        <v>3099401.277653215</v>
      </c>
      <c r="J6" s="7">
        <f>'[30]Principais Números'!$F$9</f>
        <v>3778752.5188200003</v>
      </c>
      <c r="K6" s="18">
        <v>4253328.0539000006</v>
      </c>
      <c r="L6" s="18">
        <v>3501921</v>
      </c>
      <c r="M6" s="18">
        <v>4156396</v>
      </c>
      <c r="N6" s="18">
        <v>3718972</v>
      </c>
      <c r="O6" s="18">
        <v>2469544</v>
      </c>
      <c r="P6" s="18">
        <v>3059478</v>
      </c>
      <c r="Q6" s="18">
        <v>2530223</v>
      </c>
      <c r="R6" s="10">
        <v>2021041</v>
      </c>
      <c r="S6" s="10">
        <v>1936143</v>
      </c>
      <c r="T6" s="10">
        <v>1636290</v>
      </c>
    </row>
    <row r="7" spans="1:21" ht="15" customHeight="1" x14ac:dyDescent="0.2">
      <c r="A7" s="2" t="s">
        <v>14</v>
      </c>
      <c r="B7" s="7">
        <f>'[78]DRE por Segmento|Base de Dados'!$Q$234</f>
        <v>2624761.7935969112</v>
      </c>
      <c r="C7" s="7">
        <f>'[3]DRE por Segmento|Base de Dados'!$Q$146</f>
        <v>2268434.4375039903</v>
      </c>
      <c r="D7" s="7">
        <f>'[6]DRE por Segmento|Base de Dados'!$W$146</f>
        <v>1355627.9256950771</v>
      </c>
      <c r="E7" s="7">
        <f>'[10]DRE por Segmento|Base de Dados'!$Q$146</f>
        <v>1258862.9719336503</v>
      </c>
      <c r="F7" s="7">
        <f>'[14]Principais Números'!$E$7</f>
        <v>1012514.3815346304</v>
      </c>
      <c r="G7" s="7">
        <f>'[18]Principais Números'!$F$10</f>
        <v>697004.3382949963</v>
      </c>
      <c r="H7" s="57">
        <f>'[22]Principais Números'!$F$10</f>
        <v>520907.38024999975</v>
      </c>
      <c r="I7" s="57">
        <f>'[26]Principais Números'!$F$10</f>
        <v>640926.75198713446</v>
      </c>
      <c r="J7" s="7">
        <f>'[30]Principais Números'!$F$10</f>
        <v>943006.88910712628</v>
      </c>
      <c r="K7" s="18">
        <v>1039640.2873991183</v>
      </c>
      <c r="L7" s="18">
        <v>732178</v>
      </c>
      <c r="M7" s="18">
        <v>1018893</v>
      </c>
      <c r="N7" s="18">
        <v>906604</v>
      </c>
      <c r="O7" s="18">
        <v>578187</v>
      </c>
      <c r="P7" s="18">
        <v>833690</v>
      </c>
      <c r="Q7" s="18">
        <v>671112</v>
      </c>
      <c r="R7" s="10">
        <v>527147</v>
      </c>
      <c r="S7" s="10">
        <v>494978</v>
      </c>
      <c r="T7" s="10">
        <v>534587</v>
      </c>
    </row>
    <row r="8" spans="1:21" ht="15" customHeight="1" x14ac:dyDescent="0.2">
      <c r="A8" s="9" t="s">
        <v>15</v>
      </c>
      <c r="B8" s="50">
        <f>'[78]DRE por Segmento|Base de Dados'!$Q$243</f>
        <v>1504964.1820292475</v>
      </c>
      <c r="C8" s="50">
        <f>'[3]DRE por Segmento|Base de Dados'!$Q$154</f>
        <v>1327310.202294688</v>
      </c>
      <c r="D8" s="50">
        <f>'[6]DRE por Segmento|Base de Dados'!$W$154</f>
        <v>1199374.9861183106</v>
      </c>
      <c r="E8" s="50">
        <f>'[10]DRE por Segmento|Base de Dados'!$Q$154</f>
        <v>690716.9756345842</v>
      </c>
      <c r="F8" s="50">
        <f>'[14]Principais Números'!$E$11</f>
        <v>559818.75375612802</v>
      </c>
      <c r="G8" s="50">
        <f>'[18]Principais Números'!$F$14</f>
        <v>308227.60798898496</v>
      </c>
      <c r="H8" s="58">
        <f>'[22]Principais Números'!$F$14</f>
        <v>142717.17620618112</v>
      </c>
      <c r="I8" s="58">
        <f>'[26]Principais Números'!$F$14</f>
        <v>161878.73969396975</v>
      </c>
      <c r="J8" s="50">
        <f>'[30]Principais Números'!$F$14</f>
        <v>490462.66420714918</v>
      </c>
      <c r="K8" s="11">
        <v>563892.79325745837</v>
      </c>
      <c r="L8" s="11">
        <v>280179</v>
      </c>
      <c r="M8" s="11">
        <v>556658</v>
      </c>
      <c r="N8" s="11">
        <v>541388</v>
      </c>
      <c r="O8" s="11">
        <v>297407</v>
      </c>
      <c r="P8" s="11">
        <v>520757</v>
      </c>
      <c r="Q8" s="11">
        <v>388618</v>
      </c>
      <c r="R8" s="11">
        <v>294852</v>
      </c>
      <c r="S8" s="11">
        <v>257920</v>
      </c>
      <c r="T8" s="11">
        <v>309332</v>
      </c>
    </row>
    <row r="9" spans="1:21" ht="15" customHeight="1" x14ac:dyDescent="0.2">
      <c r="A9" s="3" t="s">
        <v>16</v>
      </c>
      <c r="B9" s="51">
        <f>'[78]DRE por Segmento|Base de Dados'!$Q$263</f>
        <v>0.13494511126213546</v>
      </c>
      <c r="C9" s="51">
        <f>'[3]DRE por Segmento|Base de Dados'!$Q$175</f>
        <v>0.14653643592408022</v>
      </c>
      <c r="D9" s="51">
        <f>'[6]DRE por Segmento|Base de Dados'!$W$175</f>
        <v>0.22108849060643385</v>
      </c>
      <c r="E9" s="51">
        <f>'[10]DRE por Segmento|Base de Dados'!$Q$175</f>
        <v>0.13563776708554257</v>
      </c>
      <c r="F9" s="51">
        <f>'[14]Principais Números'!$E$12</f>
        <v>0.13133263163374215</v>
      </c>
      <c r="G9" s="51">
        <f>'[18]Principais Números'!$F$15</f>
        <v>0.1049550355159498</v>
      </c>
      <c r="H9" s="51">
        <f>H8/H6</f>
        <v>5.4389657430288015E-2</v>
      </c>
      <c r="I9" s="51">
        <f>I8/I6</f>
        <v>5.2229035607980409E-2</v>
      </c>
      <c r="J9" s="51">
        <f>'[30]Principais Números'!$F$15</f>
        <v>0.12979486266020593</v>
      </c>
      <c r="K9" s="46">
        <v>0.13257684009123363</v>
      </c>
      <c r="L9" s="46">
        <f>L8/L6</f>
        <v>8.0007230317302988E-2</v>
      </c>
      <c r="M9" s="46">
        <f>M8/M6</f>
        <v>0.1339280472794219</v>
      </c>
      <c r="N9" s="46">
        <f t="shared" ref="N9:T9" si="0">N8/N6</f>
        <v>0.14557463729224096</v>
      </c>
      <c r="O9" s="46">
        <f t="shared" si="0"/>
        <v>0.12042992552471225</v>
      </c>
      <c r="P9" s="46">
        <f t="shared" si="0"/>
        <v>0.17021106214851031</v>
      </c>
      <c r="Q9" s="46">
        <f t="shared" si="0"/>
        <v>0.15359041475790869</v>
      </c>
      <c r="R9" s="46">
        <f t="shared" si="0"/>
        <v>0.14589115213397452</v>
      </c>
      <c r="S9" s="46">
        <f t="shared" si="0"/>
        <v>0.13321330087705299</v>
      </c>
      <c r="T9" s="46">
        <f t="shared" si="0"/>
        <v>0.18904472923503779</v>
      </c>
    </row>
    <row r="10" spans="1:21" ht="15" customHeight="1" x14ac:dyDescent="0.2">
      <c r="A10" s="9" t="s">
        <v>29</v>
      </c>
      <c r="B10" s="7">
        <f>'[78]DRE por Segmento|Base de Dados'!$Q$256</f>
        <v>471719.14110101812</v>
      </c>
      <c r="C10" s="7">
        <f>'[3]DRE por Segmento|Base de Dados'!$Q$168</f>
        <v>697875.66445671534</v>
      </c>
      <c r="D10" s="7">
        <f>'[6]DRE por Segmento|Base de Dados'!$W$168</f>
        <v>664674.24088042951</v>
      </c>
      <c r="E10" s="7">
        <f>'[10]DRE por Segmento|Base de Dados'!$Q$168</f>
        <v>247616.53974979051</v>
      </c>
      <c r="F10" s="7">
        <f>'[14]Principais Números'!$E$9</f>
        <v>151718.5646524592</v>
      </c>
      <c r="G10" s="7">
        <f>'[18]Principais Números'!$F$12</f>
        <v>46711.890079520155</v>
      </c>
      <c r="H10" s="58">
        <f>'[22]Principais Números'!$F$12</f>
        <v>-67204.820392280657</v>
      </c>
      <c r="I10" s="58">
        <f>'[26]Principais Números'!$F$12</f>
        <v>-24628.441359998666</v>
      </c>
      <c r="J10" s="50">
        <f>'[30]Principais Números'!$F$12</f>
        <v>201956.36955000044</v>
      </c>
      <c r="K10" s="10">
        <v>235061.93266159348</v>
      </c>
      <c r="L10" s="10">
        <v>42562</v>
      </c>
      <c r="M10" s="10">
        <v>269149</v>
      </c>
      <c r="N10" s="10">
        <v>249493</v>
      </c>
      <c r="O10" s="10">
        <v>135158</v>
      </c>
      <c r="P10" s="10">
        <v>231111</v>
      </c>
      <c r="Q10" s="10">
        <v>173359</v>
      </c>
      <c r="R10" s="10">
        <v>133383</v>
      </c>
      <c r="S10" s="10">
        <v>118488</v>
      </c>
      <c r="T10" s="10">
        <v>124879</v>
      </c>
    </row>
    <row r="11" spans="1:21" ht="15" customHeight="1" x14ac:dyDescent="0.2">
      <c r="A11" s="2" t="s">
        <v>17</v>
      </c>
      <c r="B11" s="153">
        <f>'Destaques Financeiros'!B11</f>
        <v>0.27</v>
      </c>
      <c r="C11" s="153">
        <f>'Destaques Financeiros'!F11</f>
        <v>2.1190736798665291</v>
      </c>
      <c r="D11" s="52">
        <f>'[6]Desempenho Comparativo'!$E$36</f>
        <v>2.0182587834345425</v>
      </c>
      <c r="E11" s="52">
        <f>'[10]Desempenho Comparativo'!$E$18</f>
        <v>0.72330000000000005</v>
      </c>
      <c r="F11" s="52">
        <f>'[14]Desempenho Comparativo'!$E$18</f>
        <v>0.44</v>
      </c>
      <c r="G11" s="52">
        <f>'[18]Desempenho Comparativo'!$F$18</f>
        <v>0.13645259647207802</v>
      </c>
      <c r="H11" s="74">
        <f>'[22]Desempenho Comparativo'!$F$18</f>
        <v>-0.21</v>
      </c>
      <c r="I11" s="57">
        <f>'[26]Desempenho Comparativo'!$F$18</f>
        <v>-8.1744247054643282E-2</v>
      </c>
      <c r="J11" s="52">
        <f>'[30]Desempenho Comparativo'!$F$17</f>
        <v>0.67031328233249465</v>
      </c>
      <c r="K11" s="35">
        <v>0.97524242883882195</v>
      </c>
      <c r="L11" s="2">
        <v>0.18</v>
      </c>
      <c r="M11" s="2">
        <v>1.1200000000000001</v>
      </c>
      <c r="N11" s="2">
        <v>1.04</v>
      </c>
      <c r="O11" s="2">
        <v>0.84</v>
      </c>
      <c r="P11" s="6">
        <v>1.45</v>
      </c>
      <c r="Q11" s="6">
        <v>1.0819799999999999</v>
      </c>
      <c r="R11" s="6">
        <v>0.82577999999999996</v>
      </c>
      <c r="S11" s="6">
        <v>0.78717999999999999</v>
      </c>
      <c r="T11" s="6">
        <v>0.82962999999999998</v>
      </c>
    </row>
    <row r="12" spans="1:21" ht="15" customHeight="1" x14ac:dyDescent="0.2">
      <c r="A12" s="9" t="s">
        <v>0</v>
      </c>
      <c r="B12" s="147">
        <f>'Destaques Financeiros'!B12</f>
        <v>12882347.958798746</v>
      </c>
      <c r="C12" s="147">
        <f>[38]BAL!$Y$112</f>
        <v>10769555133.781918</v>
      </c>
      <c r="D12" s="147">
        <f>[41]BAL!$Z$110</f>
        <v>8981081350.227787</v>
      </c>
      <c r="E12" s="147">
        <f>[45]BAL!$Z$110</f>
        <v>6328113661.1343861</v>
      </c>
      <c r="F12" s="72">
        <f>'Destaques Financeiros'!R12</f>
        <v>5838143.340083438</v>
      </c>
      <c r="G12" s="72">
        <f>'Destaques Financeiros'!V12</f>
        <v>4970681.3833676837</v>
      </c>
      <c r="H12" s="72">
        <f>'[56]Balanço Portugues Novo'!$D$9</f>
        <v>4868291.8023359999</v>
      </c>
      <c r="I12" s="58">
        <f>'[60]Balanço Portugues Novo'!$D$9</f>
        <v>5183866.3087296896</v>
      </c>
      <c r="J12" s="11">
        <f>'[77]Balanço Portugues Novo'!$D$9</f>
        <v>4873529.0616971012</v>
      </c>
      <c r="K12" s="11">
        <v>4906918</v>
      </c>
      <c r="L12" s="11">
        <v>4321295</v>
      </c>
      <c r="M12" s="11">
        <v>4019641</v>
      </c>
      <c r="N12" s="14">
        <v>3711245</v>
      </c>
      <c r="O12" s="14">
        <v>2842415</v>
      </c>
      <c r="P12" s="14">
        <v>2215764</v>
      </c>
      <c r="Q12" s="14">
        <v>1800144</v>
      </c>
      <c r="R12" s="14">
        <v>1771969</v>
      </c>
      <c r="S12" s="10">
        <v>1684043</v>
      </c>
      <c r="T12" s="10">
        <v>1472594</v>
      </c>
    </row>
    <row r="13" spans="1:21" ht="15" customHeight="1" x14ac:dyDescent="0.2">
      <c r="A13" s="9" t="s">
        <v>30</v>
      </c>
      <c r="B13" s="147">
        <f>'Destaques Financeiros'!B13</f>
        <v>3821266.0031219218</v>
      </c>
      <c r="C13" s="72">
        <f>'Destaques Financeiros'!F13</f>
        <v>3274878.9842879786</v>
      </c>
      <c r="D13" s="72">
        <f>'Destaques Financeiros'!J13</f>
        <v>2676207.4511053152</v>
      </c>
      <c r="E13" s="72">
        <f>'Destaques Financeiros'!N13</f>
        <v>2175961.5787357311</v>
      </c>
      <c r="F13" s="72">
        <f>'Destaques Financeiros'!R13</f>
        <v>2044960.539353065</v>
      </c>
      <c r="G13" s="72">
        <f>'Destaques Financeiros'!V13</f>
        <v>1908059.4392233156</v>
      </c>
      <c r="H13" s="72">
        <f>H14+H15</f>
        <v>1890283.5886837447</v>
      </c>
      <c r="I13" s="58">
        <f>'[60]Balanço Portugues Novo'!$D$41</f>
        <v>1587667.2199204385</v>
      </c>
      <c r="J13" s="11">
        <f>'[77]Balanço Portugues Novo'!$D$41</f>
        <v>1743344.2229106082</v>
      </c>
      <c r="K13" s="11">
        <v>1642808</v>
      </c>
      <c r="L13" s="11">
        <f>L14+L15</f>
        <v>1857657</v>
      </c>
      <c r="M13" s="14">
        <f>M14+M15</f>
        <v>1861358</v>
      </c>
      <c r="N13" s="14">
        <f>N14+N15</f>
        <v>1617742</v>
      </c>
      <c r="O13" s="14">
        <f>O14+O15</f>
        <v>1372353</v>
      </c>
      <c r="P13" s="14">
        <v>787481</v>
      </c>
      <c r="Q13" s="14">
        <v>622944</v>
      </c>
      <c r="R13" s="14">
        <v>525690</v>
      </c>
      <c r="S13" s="14">
        <v>334839</v>
      </c>
      <c r="T13" s="14">
        <v>253996</v>
      </c>
    </row>
    <row r="14" spans="1:21" ht="15" customHeight="1" x14ac:dyDescent="0.2">
      <c r="A14" s="36" t="s">
        <v>74</v>
      </c>
      <c r="B14" s="85">
        <f>'Destaques Financeiros'!B14</f>
        <v>2744764.8337300005</v>
      </c>
      <c r="C14" s="85">
        <f>'Destaques Financeiros'!F14</f>
        <v>2520327.2581199999</v>
      </c>
      <c r="D14" s="85">
        <f>'Destaques Financeiros'!J14</f>
        <v>2059420.5413400002</v>
      </c>
      <c r="E14" s="85">
        <f>'Destaques Financeiros'!N14</f>
        <v>1692543.2370500001</v>
      </c>
      <c r="F14" s="85">
        <f>'Destaques Financeiros'!R14</f>
        <v>1527311.6350399998</v>
      </c>
      <c r="G14" s="85">
        <f>'Destaques Financeiros'!V14</f>
        <v>1432243.29315</v>
      </c>
      <c r="H14" s="73">
        <f>'[56]Balanço Portugues Novo'!$D$44</f>
        <v>1413156.7422799999</v>
      </c>
      <c r="I14" s="59">
        <f>'[60]Balanço Portugues Novo'!$D$42</f>
        <v>1277332.8655599998</v>
      </c>
      <c r="J14" s="45">
        <f>'[77]Balanço Portugues Novo'!$D$42</f>
        <v>1431585.38127</v>
      </c>
      <c r="K14" s="45">
        <v>1337201</v>
      </c>
      <c r="L14" s="45">
        <v>1369496</v>
      </c>
      <c r="M14" s="45">
        <v>1354272</v>
      </c>
      <c r="N14" s="41">
        <v>1172045</v>
      </c>
      <c r="O14" s="41">
        <v>1001693</v>
      </c>
      <c r="P14" s="41">
        <v>787481</v>
      </c>
      <c r="Q14" s="41">
        <v>622944</v>
      </c>
      <c r="R14" s="41">
        <v>525690</v>
      </c>
      <c r="S14" s="14"/>
      <c r="T14" s="14"/>
    </row>
    <row r="15" spans="1:21" ht="15" customHeight="1" x14ac:dyDescent="0.2">
      <c r="A15" s="36" t="s">
        <v>75</v>
      </c>
      <c r="B15" s="86">
        <f>'Destaques Financeiros'!B15</f>
        <v>1076501.169391921</v>
      </c>
      <c r="C15" s="86">
        <f>'Destaques Financeiros'!F15</f>
        <v>754551.7261679786</v>
      </c>
      <c r="D15" s="86">
        <f>'Destaques Financeiros'!J15</f>
        <v>616786.90976531524</v>
      </c>
      <c r="E15" s="86">
        <f>'Destaques Financeiros'!N15</f>
        <v>483418.34168573079</v>
      </c>
      <c r="F15" s="86">
        <f>'Destaques Financeiros'!R15</f>
        <v>517648.90431306511</v>
      </c>
      <c r="G15" s="86">
        <f>'Destaques Financeiros'!V15</f>
        <v>475816.14607331553</v>
      </c>
      <c r="H15" s="73">
        <f>'[56]Balanço Portugues Novo'!$D$45</f>
        <v>477126.84640374471</v>
      </c>
      <c r="I15" s="59">
        <f>'[60]Balanço Portugues Novo'!$D$43</f>
        <v>310334.35436043859</v>
      </c>
      <c r="J15" s="45">
        <f>'[77]Balanço Portugues Novo'!$D$43</f>
        <v>311758.84164060827</v>
      </c>
      <c r="K15" s="45">
        <v>305607</v>
      </c>
      <c r="L15" s="45">
        <v>488161</v>
      </c>
      <c r="M15" s="45">
        <v>507086</v>
      </c>
      <c r="N15" s="41">
        <v>445697</v>
      </c>
      <c r="O15" s="41">
        <v>370660</v>
      </c>
      <c r="P15" s="41">
        <v>0</v>
      </c>
      <c r="Q15" s="41">
        <v>0</v>
      </c>
      <c r="R15" s="41">
        <v>0</v>
      </c>
      <c r="S15" s="14"/>
      <c r="T15" s="14"/>
      <c r="U15" s="1">
        <v>0</v>
      </c>
    </row>
    <row r="16" spans="1:21" ht="15" customHeight="1" x14ac:dyDescent="0.2">
      <c r="A16" s="2" t="s">
        <v>18</v>
      </c>
      <c r="B16" s="53">
        <f>'Destaques Financeiros'!B16</f>
        <v>2925300.8727870001</v>
      </c>
      <c r="C16" s="53">
        <f>'Destaques Financeiros'!F16</f>
        <v>2535550.2399499994</v>
      </c>
      <c r="D16" s="53">
        <f>'Destaques Financeiros'!J16</f>
        <v>1515641.7872898192</v>
      </c>
      <c r="E16" s="53">
        <f>'Destaques Financeiros'!N16</f>
        <v>867856.85993264965</v>
      </c>
      <c r="F16" s="53">
        <f>[14]Dívida!$U$5</f>
        <v>1100223.6927437398</v>
      </c>
      <c r="G16" s="53">
        <f>[18]Dívida!$Q$34</f>
        <v>532481.24302621966</v>
      </c>
      <c r="H16" s="74">
        <f>[22]Dívida!$N$34</f>
        <v>613528.95945999981</v>
      </c>
      <c r="I16" s="57">
        <f>[26]Dívida!$J$7</f>
        <v>1357268.6440900003</v>
      </c>
      <c r="J16" s="10">
        <f>[30]Dívida!$G$7</f>
        <v>1057812.6972999997</v>
      </c>
      <c r="K16" s="10">
        <v>1193197.3326430002</v>
      </c>
      <c r="L16" s="10">
        <v>760358</v>
      </c>
      <c r="M16" s="10">
        <v>383529</v>
      </c>
      <c r="N16" s="10">
        <v>70930</v>
      </c>
      <c r="O16" s="10">
        <v>184836</v>
      </c>
      <c r="P16" s="10">
        <v>333205</v>
      </c>
      <c r="Q16" s="10">
        <v>128124</v>
      </c>
      <c r="R16" s="10">
        <v>60391</v>
      </c>
      <c r="S16" s="10">
        <v>113636</v>
      </c>
      <c r="T16" s="10">
        <v>138445</v>
      </c>
    </row>
    <row r="17" spans="1:20" ht="15" customHeight="1" x14ac:dyDescent="0.2">
      <c r="A17" s="2" t="s">
        <v>19</v>
      </c>
      <c r="B17" s="35">
        <f>'Destaques Financeiros'!B17</f>
        <v>1.9437677705011012</v>
      </c>
      <c r="C17" s="35">
        <f>'Destaques Financeiros'!F17</f>
        <v>1.9102921348502222</v>
      </c>
      <c r="D17" s="35">
        <f>'Destaques Financeiros'!J17</f>
        <v>1.2636930106319939</v>
      </c>
      <c r="E17" s="35">
        <f>'Destaques Financeiros'!N17</f>
        <v>1.25645798575505</v>
      </c>
      <c r="F17" s="35">
        <f>F16/F8</f>
        <v>1.9653212497111638</v>
      </c>
      <c r="G17" s="35">
        <v>2.0299999999999998</v>
      </c>
      <c r="H17" s="57">
        <f>'[69]Endividamento X Ebtida'!$G$12</f>
        <v>4.2989146490233576</v>
      </c>
      <c r="I17" s="57">
        <f>'[72]Endividamento X Ebtida'!$G$8</f>
        <v>8.3828786837300235</v>
      </c>
      <c r="J17" s="35">
        <f>'[76]Endividamento X Ebtida'!$I$23</f>
        <v>2.1567649782476153</v>
      </c>
      <c r="K17" s="15">
        <v>2.12</v>
      </c>
      <c r="L17" s="15">
        <v>2.7138293733648844</v>
      </c>
      <c r="M17" s="15">
        <v>0.69</v>
      </c>
      <c r="N17" s="2">
        <v>0.13</v>
      </c>
      <c r="O17" s="2">
        <v>0.61</v>
      </c>
      <c r="P17" s="12">
        <v>0.64</v>
      </c>
      <c r="Q17" s="12">
        <v>0.33</v>
      </c>
      <c r="R17" s="12">
        <v>0.2</v>
      </c>
      <c r="S17" s="12">
        <v>0.44</v>
      </c>
      <c r="T17" s="12">
        <v>0.45</v>
      </c>
    </row>
    <row r="18" spans="1:20" ht="15" customHeight="1" x14ac:dyDescent="0.2">
      <c r="A18" s="2" t="s">
        <v>73</v>
      </c>
      <c r="B18" s="15">
        <f>'Destaques Financeiros'!B18</f>
        <v>0.76553186048735411</v>
      </c>
      <c r="C18" s="15">
        <f>'Destaques Financeiros'!F18</f>
        <v>0.77424242303758795</v>
      </c>
      <c r="D18" s="15">
        <f>'Destaques Financeiros'!J18</f>
        <v>0.56633942434613416</v>
      </c>
      <c r="E18" s="15">
        <f>'Destaques Financeiros'!N18</f>
        <v>0.39883831976338874</v>
      </c>
      <c r="F18" s="15">
        <f>F16/F13</f>
        <v>0.53801707738174831</v>
      </c>
      <c r="G18" s="15">
        <f>G16/G13</f>
        <v>0.27906952586496392</v>
      </c>
      <c r="H18" s="57">
        <f>H16/H13</f>
        <v>0.32456979636966354</v>
      </c>
      <c r="I18" s="57">
        <f>I16/I13</f>
        <v>0.85488232487285087</v>
      </c>
      <c r="J18" s="35">
        <f t="shared" ref="J18:O18" si="1">J16/J13</f>
        <v>0.60677213564509003</v>
      </c>
      <c r="K18" s="15">
        <f t="shared" si="1"/>
        <v>0.72631575488005917</v>
      </c>
      <c r="L18" s="15">
        <f t="shared" si="1"/>
        <v>0.40931022250070925</v>
      </c>
      <c r="M18" s="15">
        <f t="shared" si="1"/>
        <v>0.20604794993762618</v>
      </c>
      <c r="N18" s="35">
        <f t="shared" si="1"/>
        <v>4.3845063057026401E-2</v>
      </c>
      <c r="O18" s="35">
        <f t="shared" si="1"/>
        <v>0.13468546357970582</v>
      </c>
      <c r="P18" s="15">
        <v>0.42</v>
      </c>
      <c r="Q18" s="15">
        <v>0.21</v>
      </c>
      <c r="R18" s="15">
        <v>0.11</v>
      </c>
      <c r="S18" s="15">
        <v>0.34</v>
      </c>
      <c r="T18" s="15">
        <v>0.55000000000000004</v>
      </c>
    </row>
    <row r="19" spans="1:20" ht="15" hidden="1" customHeight="1" x14ac:dyDescent="0.2">
      <c r="A19" s="16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3">
        <v>2010</v>
      </c>
      <c r="O19" s="13">
        <v>2009</v>
      </c>
      <c r="P19" s="13">
        <v>2008</v>
      </c>
      <c r="Q19" s="13">
        <v>2007</v>
      </c>
      <c r="R19" s="13">
        <v>2006</v>
      </c>
      <c r="S19" s="13">
        <v>2005</v>
      </c>
      <c r="T19" s="13">
        <v>2004</v>
      </c>
    </row>
    <row r="20" spans="1:20" ht="15" hidden="1" customHeight="1" x14ac:dyDescent="0.2">
      <c r="A20" s="9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/>
      <c r="Q20" s="17"/>
      <c r="R20" s="7"/>
      <c r="S20" s="7"/>
      <c r="T20" s="17"/>
    </row>
    <row r="21" spans="1:20" ht="15" hidden="1" customHeight="1" x14ac:dyDescent="0.2">
      <c r="A21" s="2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8"/>
      <c r="O21" s="18"/>
      <c r="P21" s="18"/>
      <c r="Q21" s="18">
        <v>20325</v>
      </c>
      <c r="R21" s="10">
        <v>15235</v>
      </c>
      <c r="S21" s="18">
        <v>14543</v>
      </c>
      <c r="T21" s="18">
        <v>15235</v>
      </c>
    </row>
    <row r="22" spans="1:20" ht="15" hidden="1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8"/>
      <c r="O22" s="18"/>
      <c r="P22" s="18"/>
      <c r="Q22" s="18">
        <v>0</v>
      </c>
      <c r="R22" s="10">
        <v>0</v>
      </c>
      <c r="S22" s="18">
        <v>0</v>
      </c>
      <c r="T22" s="18">
        <v>0</v>
      </c>
    </row>
    <row r="23" spans="1:20" ht="15" hidden="1" customHeight="1" x14ac:dyDescent="0.2">
      <c r="A23" s="2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"/>
      <c r="O23" s="18"/>
      <c r="P23" s="18"/>
      <c r="Q23" s="18">
        <v>0</v>
      </c>
      <c r="R23" s="10">
        <v>0</v>
      </c>
      <c r="S23" s="18">
        <v>0</v>
      </c>
      <c r="T23" s="18"/>
    </row>
    <row r="24" spans="1:20" ht="15" hidden="1" customHeight="1" x14ac:dyDescent="0.2">
      <c r="A24" s="2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8"/>
      <c r="O24" s="18"/>
      <c r="P24" s="18"/>
      <c r="Q24" s="18">
        <v>982</v>
      </c>
      <c r="R24" s="10">
        <v>728</v>
      </c>
      <c r="S24" s="18">
        <v>665</v>
      </c>
      <c r="T24" s="18">
        <v>612</v>
      </c>
    </row>
    <row r="25" spans="1:20" ht="15" hidden="1" customHeight="1" x14ac:dyDescent="0.2">
      <c r="A25" s="2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8"/>
      <c r="O25" s="18"/>
      <c r="P25" s="18"/>
      <c r="Q25" s="18">
        <v>0</v>
      </c>
      <c r="R25" s="10">
        <v>581</v>
      </c>
      <c r="S25" s="18">
        <v>494</v>
      </c>
      <c r="T25" s="18">
        <v>123</v>
      </c>
    </row>
    <row r="26" spans="1:20" ht="15" hidden="1" customHeight="1" x14ac:dyDescent="0.2">
      <c r="A26" s="2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8"/>
      <c r="O26" s="18"/>
      <c r="P26" s="18"/>
      <c r="Q26" s="18">
        <v>434</v>
      </c>
      <c r="R26" s="10">
        <v>281</v>
      </c>
      <c r="S26" s="18">
        <v>288</v>
      </c>
      <c r="T26" s="18">
        <v>181</v>
      </c>
    </row>
    <row r="27" spans="1:20" ht="15" hidden="1" customHeight="1" x14ac:dyDescent="0.2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8"/>
      <c r="O27" s="18"/>
      <c r="P27" s="18"/>
      <c r="Q27" s="18">
        <v>55300</v>
      </c>
      <c r="R27" s="10">
        <v>50493</v>
      </c>
      <c r="S27" s="18">
        <v>51389</v>
      </c>
      <c r="T27" s="18">
        <v>47940</v>
      </c>
    </row>
    <row r="28" spans="1:20" ht="15" hidden="1" customHeight="1" x14ac:dyDescent="0.2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8"/>
      <c r="O28" s="18"/>
      <c r="P28" s="18"/>
      <c r="Q28" s="18">
        <v>703576</v>
      </c>
      <c r="R28" s="10">
        <v>593401</v>
      </c>
      <c r="S28" s="18">
        <v>489731</v>
      </c>
      <c r="T28" s="18">
        <v>450976</v>
      </c>
    </row>
    <row r="29" spans="1:20" ht="15" hidden="1" customHeight="1" x14ac:dyDescent="0.2">
      <c r="A29" s="2" t="s">
        <v>37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8"/>
      <c r="O29" s="18"/>
      <c r="P29" s="18"/>
      <c r="Q29" s="18">
        <v>35050</v>
      </c>
      <c r="R29" s="10">
        <v>26461</v>
      </c>
      <c r="S29" s="18">
        <v>23797</v>
      </c>
      <c r="T29" s="18">
        <v>29587</v>
      </c>
    </row>
    <row r="30" spans="1:20" ht="15" hidden="1" customHeight="1" x14ac:dyDescent="0.2">
      <c r="A30" s="2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8"/>
      <c r="O30" s="18"/>
      <c r="P30" s="18"/>
      <c r="Q30" s="18">
        <v>46588</v>
      </c>
      <c r="R30" s="10">
        <v>34745</v>
      </c>
      <c r="S30" s="18">
        <v>37170</v>
      </c>
      <c r="T30" s="18">
        <v>39710</v>
      </c>
    </row>
    <row r="31" spans="1:20" ht="15" hidden="1" customHeight="1" x14ac:dyDescent="0.2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8"/>
      <c r="O31" s="18"/>
      <c r="P31" s="18"/>
      <c r="Q31" s="18">
        <v>71148</v>
      </c>
      <c r="R31" s="10">
        <v>46318</v>
      </c>
      <c r="S31" s="18">
        <v>47219</v>
      </c>
      <c r="T31" s="18">
        <v>50199</v>
      </c>
    </row>
    <row r="32" spans="1:20" ht="15" hidden="1" customHeight="1" x14ac:dyDescent="0.2">
      <c r="A32" s="2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8"/>
      <c r="O32" s="18"/>
      <c r="P32" s="18"/>
      <c r="Q32" s="18">
        <v>225714</v>
      </c>
      <c r="R32" s="10">
        <v>160998</v>
      </c>
      <c r="S32" s="18">
        <v>178289</v>
      </c>
      <c r="T32" s="18">
        <v>146708</v>
      </c>
    </row>
    <row r="33" spans="1:26" ht="15" hidden="1" customHeight="1" x14ac:dyDescent="0.2"/>
    <row r="34" spans="1:26" ht="15" hidden="1" customHeight="1" x14ac:dyDescent="0.2">
      <c r="A34" s="175" t="s">
        <v>50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27.75" hidden="1" customHeight="1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 ht="15" hidden="1" customHeight="1" x14ac:dyDescent="0.2">
      <c r="A36" s="37"/>
      <c r="B36" s="37"/>
      <c r="C36" s="37"/>
      <c r="D36" s="37"/>
      <c r="E36" s="37"/>
      <c r="F36" s="37"/>
      <c r="G36" s="37"/>
      <c r="H36" s="47">
        <v>2015</v>
      </c>
      <c r="I36" s="47">
        <v>2015</v>
      </c>
      <c r="J36" s="47">
        <v>2014</v>
      </c>
      <c r="K36" s="47">
        <v>2013</v>
      </c>
      <c r="L36" s="47">
        <v>2012</v>
      </c>
      <c r="M36" s="47">
        <v>2011</v>
      </c>
      <c r="N36" s="47">
        <v>2010</v>
      </c>
      <c r="O36" s="47">
        <v>2009</v>
      </c>
      <c r="P36" s="47">
        <v>2008</v>
      </c>
    </row>
    <row r="37" spans="1:26" ht="15" hidden="1" customHeight="1" x14ac:dyDescent="0.25">
      <c r="A37" s="33" t="s">
        <v>58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3"/>
      <c r="N37" s="23"/>
      <c r="O37" s="23"/>
      <c r="P37" s="38"/>
    </row>
    <row r="38" spans="1:26" ht="15" hidden="1" customHeight="1" x14ac:dyDescent="0.25">
      <c r="A38" s="34" t="s">
        <v>59</v>
      </c>
      <c r="B38" s="34"/>
      <c r="C38" s="34"/>
      <c r="D38" s="34"/>
      <c r="E38" s="34"/>
      <c r="F38" s="34"/>
      <c r="G38" s="34"/>
      <c r="H38" s="54">
        <f>'[26]Vol Fís Distr. Receita'!$G$7</f>
        <v>10584</v>
      </c>
      <c r="I38" s="54">
        <f>'[26]Vol Fís Distr. Receita'!$G$7</f>
        <v>10584</v>
      </c>
      <c r="J38" s="54">
        <f>'[30]Vol Fís Distr. Receita'!$G$7</f>
        <v>16619</v>
      </c>
      <c r="K38" s="54">
        <v>25489</v>
      </c>
      <c r="L38" s="42">
        <v>21106</v>
      </c>
      <c r="M38" s="42">
        <v>25678</v>
      </c>
      <c r="N38" s="42">
        <v>23862</v>
      </c>
      <c r="O38" s="39">
        <v>17039</v>
      </c>
      <c r="P38" s="39">
        <v>23926</v>
      </c>
    </row>
    <row r="39" spans="1:26" ht="15" hidden="1" customHeight="1" x14ac:dyDescent="0.25">
      <c r="A39" s="34" t="s">
        <v>60</v>
      </c>
      <c r="B39" s="34"/>
      <c r="C39" s="34"/>
      <c r="D39" s="34"/>
      <c r="E39" s="34"/>
      <c r="F39" s="34"/>
      <c r="G39" s="34"/>
      <c r="H39" s="54">
        <f>'[26]Vol Fís Distr. Receita'!$G$8</f>
        <v>355</v>
      </c>
      <c r="I39" s="54">
        <f>'[26]Vol Fís Distr. Receita'!$G$8</f>
        <v>355</v>
      </c>
      <c r="J39" s="54">
        <f>'[30]Vol Fís Distr. Receita'!$G$8</f>
        <v>580</v>
      </c>
      <c r="K39" s="55">
        <v>1316</v>
      </c>
      <c r="L39" s="44">
        <v>1085</v>
      </c>
      <c r="M39" s="44">
        <v>832</v>
      </c>
      <c r="N39" s="44">
        <v>963</v>
      </c>
      <c r="O39" s="39">
        <v>505</v>
      </c>
      <c r="P39" s="39">
        <v>510</v>
      </c>
    </row>
    <row r="40" spans="1:26" ht="15" hidden="1" customHeight="1" x14ac:dyDescent="0.25">
      <c r="A40" s="34" t="s">
        <v>61</v>
      </c>
      <c r="B40" s="34"/>
      <c r="C40" s="34"/>
      <c r="D40" s="34"/>
      <c r="E40" s="34"/>
      <c r="F40" s="34"/>
      <c r="G40" s="34"/>
      <c r="H40" s="54">
        <f>'[26]Vol Fís Distr. Receita'!$G$9</f>
        <v>1999</v>
      </c>
      <c r="I40" s="54">
        <f>'[26]Vol Fís Distr. Receita'!$G$9</f>
        <v>1999</v>
      </c>
      <c r="J40" s="54">
        <f>'[30]Vol Fís Distr. Receita'!$G$9</f>
        <v>1356</v>
      </c>
      <c r="K40" s="56">
        <v>322</v>
      </c>
      <c r="L40" s="44">
        <v>862</v>
      </c>
      <c r="M40" s="44">
        <v>913</v>
      </c>
      <c r="N40" s="44">
        <v>989</v>
      </c>
      <c r="O40" s="39">
        <v>340</v>
      </c>
      <c r="P40" s="39">
        <v>0</v>
      </c>
    </row>
    <row r="41" spans="1:26" ht="15" hidden="1" customHeight="1" x14ac:dyDescent="0.25">
      <c r="A41" s="33" t="s">
        <v>62</v>
      </c>
      <c r="B41" s="33"/>
      <c r="C41" s="33"/>
      <c r="D41" s="33"/>
      <c r="E41" s="33"/>
      <c r="F41" s="33"/>
      <c r="G41" s="33"/>
      <c r="H41" s="33"/>
      <c r="I41" s="33"/>
      <c r="J41" s="33"/>
      <c r="K41" s="23"/>
      <c r="L41" s="23"/>
      <c r="M41" s="23"/>
      <c r="N41" s="23"/>
      <c r="O41" s="23"/>
      <c r="P41" s="38"/>
    </row>
    <row r="42" spans="1:26" ht="15" hidden="1" customHeight="1" x14ac:dyDescent="0.25">
      <c r="A42" s="34" t="s">
        <v>78</v>
      </c>
      <c r="B42" s="34"/>
      <c r="C42" s="34"/>
      <c r="D42" s="34"/>
      <c r="E42" s="34"/>
      <c r="F42" s="34"/>
      <c r="G42" s="34"/>
      <c r="H42" s="54">
        <f>'[26]Vol Fís Distr. Receita'!$G$11</f>
        <v>69649.383168794317</v>
      </c>
      <c r="I42" s="54">
        <f>'[26]Vol Fís Distr. Receita'!$G$11</f>
        <v>69649.383168794317</v>
      </c>
      <c r="J42" s="54">
        <f>'[30]Vol Fís Distr. Receita'!$G$11</f>
        <v>76615.270801040228</v>
      </c>
      <c r="K42" s="54">
        <v>72908</v>
      </c>
      <c r="L42" s="42">
        <v>73400</v>
      </c>
      <c r="M42" s="42">
        <v>78700</v>
      </c>
      <c r="N42" s="42">
        <v>74500</v>
      </c>
      <c r="O42" s="39">
        <v>59843</v>
      </c>
      <c r="P42" s="39">
        <v>55702</v>
      </c>
    </row>
    <row r="43" spans="1:26" ht="15" hidden="1" customHeight="1" x14ac:dyDescent="0.25">
      <c r="A43" s="34" t="s">
        <v>63</v>
      </c>
      <c r="B43" s="34"/>
      <c r="C43" s="34"/>
      <c r="D43" s="34"/>
      <c r="E43" s="34"/>
      <c r="F43" s="34"/>
      <c r="G43" s="34"/>
      <c r="H43" s="54">
        <f>'[26]Vol Fís Distr. Receita'!$G$12</f>
        <v>446065</v>
      </c>
      <c r="I43" s="54">
        <f>'[26]Vol Fís Distr. Receita'!$G$12</f>
        <v>446065</v>
      </c>
      <c r="J43" s="54">
        <f>'[30]Vol Fís Distr. Receita'!$G$12</f>
        <v>720413.89488243428</v>
      </c>
      <c r="K43" s="54">
        <v>935461</v>
      </c>
      <c r="L43" s="42">
        <v>745347</v>
      </c>
      <c r="M43" s="42">
        <v>1121522</v>
      </c>
      <c r="N43" s="42">
        <v>923750</v>
      </c>
      <c r="O43" s="39">
        <v>588308</v>
      </c>
      <c r="P43" s="39">
        <v>858024</v>
      </c>
    </row>
    <row r="44" spans="1:26" ht="15" hidden="1" customHeight="1" x14ac:dyDescent="0.25">
      <c r="A44" s="34" t="s">
        <v>64</v>
      </c>
      <c r="B44" s="34"/>
      <c r="C44" s="34"/>
      <c r="D44" s="34"/>
      <c r="E44" s="34"/>
      <c r="F44" s="34"/>
      <c r="G44" s="34"/>
      <c r="H44" s="54">
        <f>'[26]Vol Fís Distr. Receita'!$G$13</f>
        <v>51613</v>
      </c>
      <c r="I44" s="54">
        <f>'[26]Vol Fís Distr. Receita'!$G$13</f>
        <v>51613</v>
      </c>
      <c r="J44" s="54">
        <f>'[30]Vol Fís Distr. Receita'!$G$13</f>
        <v>86525</v>
      </c>
      <c r="K44" s="54">
        <v>117524</v>
      </c>
      <c r="L44" s="42">
        <v>81816</v>
      </c>
      <c r="M44" s="42">
        <v>115043</v>
      </c>
      <c r="N44" s="42">
        <v>101765</v>
      </c>
      <c r="O44" s="39">
        <v>65198</v>
      </c>
      <c r="P44" s="39">
        <v>98782</v>
      </c>
    </row>
    <row r="45" spans="1:26" ht="15" hidden="1" customHeight="1" x14ac:dyDescent="0.25">
      <c r="A45" s="34" t="s">
        <v>65</v>
      </c>
      <c r="B45" s="34"/>
      <c r="C45" s="34"/>
      <c r="D45" s="34"/>
      <c r="E45" s="34"/>
      <c r="F45" s="34"/>
      <c r="G45" s="34"/>
      <c r="H45" s="54">
        <f>'[26]Vol Fís Distr. Receita'!$G$14</f>
        <v>161231</v>
      </c>
      <c r="I45" s="54">
        <f>'[26]Vol Fís Distr. Receita'!$G$14</f>
        <v>161231</v>
      </c>
      <c r="J45" s="54">
        <f>'[30]Vol Fís Distr. Receita'!$G$14</f>
        <v>213799</v>
      </c>
      <c r="K45" s="54">
        <v>351395</v>
      </c>
      <c r="L45" s="42">
        <v>319973</v>
      </c>
      <c r="M45" s="42">
        <v>547275</v>
      </c>
      <c r="N45" s="42">
        <v>426787</v>
      </c>
      <c r="O45" s="39">
        <v>279812</v>
      </c>
      <c r="P45" s="39">
        <v>351661</v>
      </c>
    </row>
    <row r="46" spans="1:26" ht="15" hidden="1" customHeight="1" x14ac:dyDescent="0.25">
      <c r="A46" s="34" t="s">
        <v>66</v>
      </c>
      <c r="B46" s="34"/>
      <c r="C46" s="34"/>
      <c r="D46" s="34"/>
      <c r="E46" s="34"/>
      <c r="F46" s="34"/>
      <c r="G46" s="34"/>
      <c r="H46" s="54">
        <f>'[26]Vol Fís Distr. Receita'!$G$15</f>
        <v>15066</v>
      </c>
      <c r="I46" s="54">
        <f>'[26]Vol Fís Distr. Receita'!$G$15</f>
        <v>15066</v>
      </c>
      <c r="J46" s="54">
        <f>'[30]Vol Fís Distr. Receita'!$G$15</f>
        <v>23629</v>
      </c>
      <c r="K46" s="54">
        <v>26900</v>
      </c>
      <c r="L46" s="42">
        <v>21629</v>
      </c>
      <c r="M46" s="42">
        <v>16524</v>
      </c>
      <c r="N46" s="42">
        <v>4731</v>
      </c>
      <c r="O46" s="40" t="s">
        <v>69</v>
      </c>
      <c r="P46" s="39"/>
    </row>
    <row r="47" spans="1:26" ht="15" hidden="1" customHeight="1" x14ac:dyDescent="0.25">
      <c r="A47" s="33" t="s">
        <v>76</v>
      </c>
      <c r="B47" s="33"/>
      <c r="C47" s="33"/>
      <c r="D47" s="33"/>
      <c r="E47" s="33"/>
      <c r="F47" s="33"/>
      <c r="G47" s="33"/>
      <c r="H47" s="33"/>
      <c r="I47" s="33"/>
      <c r="J47" s="33"/>
      <c r="K47" s="23"/>
      <c r="L47" s="23"/>
      <c r="M47" s="23"/>
      <c r="N47" s="23"/>
      <c r="O47" s="23"/>
      <c r="P47" s="38"/>
    </row>
    <row r="48" spans="1:26" ht="15" hidden="1" customHeight="1" x14ac:dyDescent="0.25">
      <c r="A48" s="34" t="s">
        <v>67</v>
      </c>
      <c r="B48" s="34"/>
      <c r="C48" s="34"/>
      <c r="D48" s="34"/>
      <c r="E48" s="34"/>
      <c r="F48" s="34"/>
      <c r="G48" s="34"/>
      <c r="H48" s="42">
        <f>'[26]Vol Fís Distr. Receita'!$G$17</f>
        <v>12643</v>
      </c>
      <c r="I48" s="42">
        <f>'[26]Vol Fís Distr. Receita'!$G$17</f>
        <v>12643</v>
      </c>
      <c r="J48" s="42">
        <f>'[30]Vol Fís Distr. Receita'!$G$17</f>
        <v>11036</v>
      </c>
      <c r="K48" s="54">
        <v>11800</v>
      </c>
      <c r="L48" s="42">
        <v>11036</v>
      </c>
      <c r="M48" s="42">
        <v>10964</v>
      </c>
      <c r="N48" s="42">
        <v>7687</v>
      </c>
      <c r="O48" s="39">
        <v>6776</v>
      </c>
      <c r="P48" s="39">
        <v>7590</v>
      </c>
    </row>
    <row r="49" spans="1:16" ht="15" hidden="1" customHeight="1" x14ac:dyDescent="0.25">
      <c r="J49" s="42"/>
      <c r="M49" s="42"/>
      <c r="N49" s="42"/>
      <c r="O49" s="39"/>
      <c r="P49" s="39"/>
    </row>
    <row r="50" spans="1:16" ht="15" hidden="1" customHeight="1" x14ac:dyDescent="0.25">
      <c r="J50" s="42"/>
      <c r="M50" s="42"/>
      <c r="N50" s="42"/>
      <c r="O50" s="39"/>
      <c r="P50" s="39"/>
    </row>
    <row r="51" spans="1:16" ht="15" hidden="1" customHeight="1" x14ac:dyDescent="0.25">
      <c r="J51" s="42"/>
      <c r="M51" s="42"/>
      <c r="N51" s="42"/>
      <c r="O51" s="39"/>
      <c r="P51" s="39"/>
    </row>
    <row r="52" spans="1:16" ht="15" hidden="1" customHeight="1" x14ac:dyDescent="0.25">
      <c r="A52" s="43" t="s">
        <v>92</v>
      </c>
      <c r="B52" s="43"/>
      <c r="C52" s="43"/>
      <c r="D52" s="43"/>
      <c r="E52" s="43"/>
      <c r="F52" s="43"/>
      <c r="G52" s="43"/>
      <c r="H52" s="43"/>
      <c r="I52" s="43"/>
      <c r="J52" s="42"/>
      <c r="K52" s="43"/>
      <c r="L52" s="43"/>
      <c r="M52" s="43"/>
    </row>
    <row r="53" spans="1:16" ht="4.5" customHeight="1" x14ac:dyDescent="0.2"/>
    <row r="54" spans="1:16" ht="15" hidden="1" customHeight="1" x14ac:dyDescent="0.2">
      <c r="A54" s="43" t="s">
        <v>93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8"/>
      <c r="M54" s="48"/>
    </row>
    <row r="55" spans="1:16" ht="15" customHeight="1" x14ac:dyDescent="0.2">
      <c r="G55" s="134"/>
      <c r="I55" s="136"/>
    </row>
    <row r="56" spans="1:16" ht="15" customHeight="1" x14ac:dyDescent="0.2">
      <c r="G56" s="135"/>
    </row>
  </sheetData>
  <mergeCells count="1">
    <mergeCell ref="A34:Z35"/>
  </mergeCells>
  <phoneticPr fontId="2" type="noConversion"/>
  <pageMargins left="0.78740157499999996" right="0.78740157499999996" top="0.984251969" bottom="0.984251969" header="0.49212598499999999" footer="0.49212598499999999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4:B12"/>
  <sheetViews>
    <sheetView workbookViewId="0">
      <selection activeCell="C16" sqref="C16"/>
    </sheetView>
  </sheetViews>
  <sheetFormatPr defaultColWidth="15.7109375" defaultRowHeight="15" customHeight="1" x14ac:dyDescent="0.2"/>
  <cols>
    <col min="1" max="1" width="49" style="1" customWidth="1"/>
    <col min="2" max="2" width="20.5703125" style="1" customWidth="1"/>
    <col min="3" max="16384" width="15.7109375" style="1"/>
  </cols>
  <sheetData>
    <row r="4" spans="1:2" ht="15" customHeight="1" x14ac:dyDescent="0.2">
      <c r="A4" s="69" t="s">
        <v>1</v>
      </c>
      <c r="B4" s="69" t="s">
        <v>2</v>
      </c>
    </row>
    <row r="5" spans="1:2" ht="15" customHeight="1" x14ac:dyDescent="0.2">
      <c r="A5" s="4" t="s">
        <v>41</v>
      </c>
      <c r="B5" s="22" t="s">
        <v>22</v>
      </c>
    </row>
    <row r="6" spans="1:2" ht="15" customHeight="1" x14ac:dyDescent="0.2">
      <c r="A6" s="69" t="s">
        <v>110</v>
      </c>
      <c r="B6" s="69" t="s">
        <v>3</v>
      </c>
    </row>
    <row r="7" spans="1:2" ht="15" customHeight="1" x14ac:dyDescent="0.2">
      <c r="A7" s="4" t="s">
        <v>23</v>
      </c>
      <c r="B7" s="20">
        <f>'[3]Market Cap'!$C$107</f>
        <v>116515527</v>
      </c>
    </row>
    <row r="8" spans="1:2" ht="15" customHeight="1" x14ac:dyDescent="0.2">
      <c r="A8" s="4" t="s">
        <v>24</v>
      </c>
      <c r="B8" s="20">
        <f>'[3]Market Cap'!$C$106</f>
        <v>212815006</v>
      </c>
    </row>
    <row r="9" spans="1:2" ht="15" customHeight="1" x14ac:dyDescent="0.2">
      <c r="A9" s="9" t="s">
        <v>25</v>
      </c>
      <c r="B9" s="14">
        <f>B7+B8</f>
        <v>329330533</v>
      </c>
    </row>
    <row r="10" spans="1:2" ht="15" customHeight="1" x14ac:dyDescent="0.2">
      <c r="A10" s="5"/>
      <c r="B10" s="21"/>
    </row>
    <row r="11" spans="1:2" ht="15" customHeight="1" x14ac:dyDescent="0.2">
      <c r="A11" s="9" t="s">
        <v>26</v>
      </c>
      <c r="B11" s="14">
        <v>1293169864.1099999</v>
      </c>
    </row>
    <row r="12" spans="1:2" ht="27.75" customHeight="1" x14ac:dyDescent="0.2">
      <c r="A12" s="176"/>
      <c r="B12" s="177"/>
    </row>
  </sheetData>
  <mergeCells count="1">
    <mergeCell ref="A12:B12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Destaques Operacionais</vt:lpstr>
      <vt:lpstr>Destaques Financeiros</vt:lpstr>
      <vt:lpstr>Histórico Anual</vt:lpstr>
      <vt:lpstr>Outras Informações</vt:lpstr>
    </vt:vector>
  </TitlesOfParts>
  <Company>MZ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Fabiana Martini</cp:lastModifiedBy>
  <cp:lastPrinted>2015-03-12T13:48:18Z</cp:lastPrinted>
  <dcterms:created xsi:type="dcterms:W3CDTF">2007-02-15T18:55:15Z</dcterms:created>
  <dcterms:modified xsi:type="dcterms:W3CDTF">2023-03-02T22:38:29Z</dcterms:modified>
</cp:coreProperties>
</file>