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https://gruposlc.sharepoint.com/sites/EquipedeRI/Shared Documents/Site/Atual/Arquivos Atualizar Excel/"/>
    </mc:Choice>
  </mc:AlternateContent>
  <xr:revisionPtr revIDLastSave="31" documentId="8_{218002ED-E974-4CD8-BE46-0CFCF7EBC70F}" xr6:coauthVersionLast="47" xr6:coauthVersionMax="47" xr10:uidLastSave="{B97088D6-9078-429A-8008-25742CD88F4F}"/>
  <bookViews>
    <workbookView xWindow="-110" yWindow="-110" windowWidth="19420" windowHeight="10300" xr2:uid="{00000000-000D-0000-FFFF-FFFF00000000}"/>
  </bookViews>
  <sheets>
    <sheet name="Data" sheetId="1" r:id="rId1"/>
    <sheet name="Growth of 1USD Invested" sheetId="4" r:id="rId2"/>
    <sheet name="Annual Return of Agricultural O" sheetId="6" r:id="rId3"/>
  </sheets>
  <definedNames>
    <definedName name="_xlnm.Print_Area" localSheetId="0">Data!$B$8:$N$39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F13" i="1"/>
  <c r="I34" i="1"/>
  <c r="F34" i="1"/>
  <c r="F33" i="1"/>
  <c r="T11" i="1" l="1"/>
  <c r="T10" i="1"/>
  <c r="F18" i="1" l="1"/>
  <c r="F19" i="1"/>
  <c r="G19" i="1" l="1"/>
  <c r="I33" i="1"/>
  <c r="F32" i="1" l="1"/>
  <c r="I32" i="1" s="1"/>
  <c r="F31" i="1"/>
  <c r="I31" i="1" s="1"/>
  <c r="F30" i="1" l="1"/>
  <c r="I30" i="1" s="1"/>
  <c r="F29" i="1" l="1"/>
  <c r="I29" i="1" s="1"/>
  <c r="O10" i="1"/>
  <c r="N10" i="1" l="1"/>
  <c r="D11" i="1" l="1"/>
  <c r="D12" i="1" l="1"/>
  <c r="E13" i="1" s="1"/>
  <c r="F28" i="1"/>
  <c r="I28" i="1" s="1"/>
  <c r="F24" i="1"/>
  <c r="I24" i="1" s="1"/>
  <c r="F23" i="1"/>
  <c r="I23" i="1" s="1"/>
  <c r="F21" i="1"/>
  <c r="I21" i="1" s="1"/>
  <c r="F20" i="1"/>
  <c r="G20" i="1" s="1"/>
  <c r="G21" i="1" s="1"/>
  <c r="G22" i="1" s="1"/>
  <c r="G23" i="1" s="1"/>
  <c r="G24" i="1" s="1"/>
  <c r="G25" i="1" s="1"/>
  <c r="G26" i="1" s="1"/>
  <c r="G27" i="1" s="1"/>
  <c r="G28" i="1" s="1"/>
  <c r="G29" i="1" s="1"/>
  <c r="G30" i="1" s="1"/>
  <c r="G31" i="1" s="1"/>
  <c r="G32" i="1" s="1"/>
  <c r="G33" i="1" s="1"/>
  <c r="F27" i="1"/>
  <c r="I27" i="1" s="1"/>
  <c r="F26" i="1"/>
  <c r="I26" i="1" s="1"/>
  <c r="F25" i="1"/>
  <c r="I25" i="1" s="1"/>
  <c r="F22" i="1"/>
  <c r="I22" i="1" s="1"/>
  <c r="I19" i="1"/>
  <c r="J19" i="1" s="1"/>
  <c r="G34" i="1" l="1"/>
  <c r="G35" i="1" s="1"/>
  <c r="G36" i="1" s="1"/>
  <c r="C19" i="1"/>
  <c r="E12" i="1"/>
  <c r="C20" i="1" s="1"/>
  <c r="I20" i="1"/>
  <c r="D19" i="1" l="1"/>
  <c r="G13" i="1"/>
  <c r="J20" i="1"/>
  <c r="J21" i="1" s="1"/>
  <c r="J22" i="1" s="1"/>
  <c r="J23" i="1" s="1"/>
  <c r="J24" i="1" s="1"/>
  <c r="J25" i="1" s="1"/>
  <c r="J26" i="1" s="1"/>
  <c r="J27" i="1" s="1"/>
  <c r="J28" i="1" s="1"/>
  <c r="C21" i="1" l="1"/>
  <c r="D20" i="1"/>
  <c r="J29" i="1"/>
  <c r="J30" i="1" s="1"/>
  <c r="J31" i="1" s="1"/>
  <c r="J32" i="1" s="1"/>
  <c r="J33" i="1" s="1"/>
  <c r="G12" i="1"/>
  <c r="J34" i="1" l="1"/>
  <c r="J35" i="1"/>
  <c r="J36" i="1" s="1"/>
  <c r="H13" i="1"/>
  <c r="H12" i="1"/>
  <c r="D21" i="1"/>
  <c r="C22" i="1" l="1"/>
  <c r="I12" i="1"/>
  <c r="I13" i="1"/>
  <c r="C23" i="1" s="1"/>
  <c r="D22" i="1"/>
  <c r="J13" i="1" l="1"/>
  <c r="C24" i="1" s="1"/>
  <c r="J12" i="1"/>
  <c r="D23" i="1"/>
  <c r="K12" i="1" l="1"/>
  <c r="K13" i="1"/>
  <c r="C25" i="1" s="1"/>
  <c r="D24" i="1"/>
  <c r="L13" i="1" l="1"/>
  <c r="C26" i="1" s="1"/>
  <c r="L12" i="1"/>
  <c r="D25" i="1"/>
  <c r="M12" i="1" l="1"/>
  <c r="M13" i="1"/>
  <c r="C27" i="1" s="1"/>
  <c r="D26" i="1"/>
  <c r="N13" i="1" l="1"/>
  <c r="C28" i="1" s="1"/>
  <c r="N12" i="1"/>
  <c r="D27" i="1"/>
  <c r="O13" i="1" l="1"/>
  <c r="C29" i="1" s="1"/>
  <c r="O12" i="1"/>
  <c r="P13" i="1" s="1"/>
  <c r="C30" i="1" s="1"/>
  <c r="D28" i="1"/>
  <c r="P12" i="1" l="1"/>
  <c r="Q13" i="1" s="1"/>
  <c r="C31" i="1" s="1"/>
  <c r="D29" i="1"/>
  <c r="Q12" i="1" l="1"/>
  <c r="D30" i="1"/>
  <c r="R13" i="1" l="1"/>
  <c r="C32" i="1" s="1"/>
  <c r="R12" i="1"/>
  <c r="S12" i="1" s="1"/>
  <c r="D31" i="1"/>
  <c r="T13" i="1" l="1"/>
  <c r="T12" i="1"/>
  <c r="S13" i="1"/>
  <c r="D32" i="1"/>
  <c r="C34" i="1" l="1"/>
  <c r="T14" i="1"/>
  <c r="C33" i="1"/>
  <c r="S14" i="1"/>
  <c r="R14" i="1"/>
  <c r="D33" i="1"/>
  <c r="D34" i="1" s="1"/>
  <c r="D35" i="1" s="1"/>
  <c r="D36" i="1" s="1"/>
  <c r="M14" i="1"/>
  <c r="N14" i="1"/>
  <c r="L14" i="1"/>
  <c r="F14" i="1"/>
  <c r="O14" i="1"/>
  <c r="K14" i="1"/>
  <c r="E14" i="1"/>
  <c r="P14" i="1"/>
  <c r="J14" i="1"/>
  <c r="H14" i="1"/>
  <c r="Q14" i="1"/>
  <c r="I14" i="1"/>
  <c r="G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Júlia Fogaça - SLC Agrícola</author>
    <author>Ivo Brum - SLC Agrícola</author>
    <author>Frederico Logemann - SLC Agrícola</author>
    <author>frederico.logemann</author>
    <author>Stefano Bing - SLC Agrícola</author>
  </authors>
  <commentList>
    <comment ref="B8" authorId="0" shapeId="0" xr:uid="{BAEE6ACA-722A-4A78-8559-9B5206EDB8D5}">
      <text>
        <r>
          <rPr>
            <b/>
            <sz val="9"/>
            <color indexed="81"/>
            <rFont val="Segoe UI"/>
            <family val="2"/>
          </rPr>
          <t>Júlia Fogaça - SLC Agrícola:</t>
        </r>
        <r>
          <rPr>
            <sz val="9"/>
            <color indexed="81"/>
            <rFont val="Segoe UI"/>
            <family val="2"/>
          </rPr>
          <t xml:space="preserve">
Lucro  Líquido Consolidado do Período Atribuído aos Sócios da SLC Agrícola  tabela Resultado Líquido do release</t>
        </r>
      </text>
    </comment>
    <comment ref="N8" authorId="1" shapeId="0" xr:uid="{00000000-0006-0000-0000-000001000000}">
      <text>
        <r>
          <rPr>
            <sz val="9"/>
            <color indexed="81"/>
            <rFont val="Segoe UI"/>
            <family val="2"/>
          </rPr>
          <t>Não está sendo considerado o ganho com a venda de terras ocorrido nesse ano, dado que já está sendo inserido através do ganho com a apreciação de terras nos anos anteriores, baseadas nas avaliações independentes, e também que a venda foi feita em linha com o valor da avaliação mais recente</t>
        </r>
      </text>
    </comment>
    <comment ref="O8" authorId="1" shapeId="0" xr:uid="{00000000-0006-0000-0000-000002000000}">
      <text>
        <r>
          <rPr>
            <sz val="9"/>
            <color indexed="81"/>
            <rFont val="Segoe UI"/>
            <family val="2"/>
          </rPr>
          <t>Não está sendo considerado o ganho com a venda de terras ocorrido nesse ano, dado que já está sendo inserido através do ganho com a apreciação de terras nos anos anteriores, baseadas nas avaliações independentes, e também que a venda foi feita em linha com o valor da avaliação mais recente</t>
        </r>
      </text>
    </comment>
    <comment ref="P8" authorId="1" shapeId="0" xr:uid="{7ECB42EF-A81C-4D3B-AD95-CE538C4153F2}">
      <text>
        <r>
          <rPr>
            <sz val="9"/>
            <color indexed="81"/>
            <rFont val="Segoe UI"/>
            <family val="2"/>
          </rPr>
          <t>Não está sendo considerado o ganho com a venda de terras ocorrido nesse ano, dado que já está sendo inserido através do ganho com a apreciação de terras nos anos anteriores, baseadas nas avaliações independentes, e também que a venda foi feita em linha com o valor da avaliação mais recente</t>
        </r>
      </text>
    </comment>
    <comment ref="B11" authorId="2" shapeId="0" xr:uid="{00000000-0006-0000-0000-000003000000}">
      <text>
        <r>
          <rPr>
            <sz val="9"/>
            <color indexed="81"/>
            <rFont val="Segoe UI"/>
            <family val="2"/>
          </rPr>
          <t xml:space="preserve">
Com base em avaliação independente</t>
        </r>
      </text>
    </comment>
    <comment ref="D11" authorId="3" shapeId="0" xr:uid="{00000000-0006-0000-0000-000004000000}">
      <text>
        <r>
          <rPr>
            <sz val="9"/>
            <color indexed="81"/>
            <rFont val="Tahoma"/>
            <family val="2"/>
          </rPr>
          <t>Primeira avaliação independente de terras, subtraída do custo contábil das terras em Dez/2016</t>
        </r>
      </text>
    </comment>
    <comment ref="C12" authorId="3" shapeId="0" xr:uid="{00000000-0006-0000-0000-000005000000}">
      <text>
        <r>
          <rPr>
            <sz val="9"/>
            <color indexed="81"/>
            <rFont val="Tahoma"/>
            <family val="2"/>
          </rPr>
          <t>Capital Social + Lucros Acumulados</t>
        </r>
      </text>
    </comment>
    <comment ref="F16" authorId="4" shapeId="0" xr:uid="{FDE060FE-FE0B-45B2-B4B9-F7084A121354}">
      <text>
        <r>
          <rPr>
            <sz val="11"/>
            <color theme="1"/>
            <rFont val="Calibri"/>
            <family val="2"/>
            <scheme val="minor"/>
          </rPr>
          <t>Por CDI Líquido entende-se o CDI descontando 15%, que seria o montante de imposto a ser pago em caso de retirada de capital.</t>
        </r>
      </text>
    </comment>
    <comment ref="F34" authorId="4" shapeId="0" xr:uid="{F51B6FA4-C3D0-4A08-BCF6-DD47012CCA87}">
      <text>
        <r>
          <rPr>
            <sz val="11"/>
            <color theme="1"/>
            <rFont val="Calibri"/>
            <family val="2"/>
            <scheme val="minor"/>
          </rPr>
          <t>Stefano Bing - SLC Agrícola:
https://investidor10.com.br/indices/cdi/#:~:text=O%20valor%20do%20CDI%20hoje%20%C3%A9%20de%2013%2C65%25%20ao,foi%20de%2012%2C33%25.</t>
        </r>
      </text>
    </comment>
  </commentList>
</comments>
</file>

<file path=xl/sharedStrings.xml><?xml version="1.0" encoding="utf-8"?>
<sst xmlns="http://schemas.openxmlformats.org/spreadsheetml/2006/main" count="13" uniqueCount="12">
  <si>
    <t>-</t>
  </si>
  <si>
    <t>The Company understands that, due to the specificities of its business, the Return on Equity must consider, in addition to the net result of the operation during the period, it should add the net annual variation in the value of its land (based on an independent report). We therefore present below a table with the Adjusted Net Equity for this effect. In the graph, we present a comparison between the Company's ROE and the theoretical return obtained by investing in the CDI in the period, also net of taxes (15% income tax), given that the ROE is net of taxes. The management objective is to achieve a return of Net CDI + 5%.</t>
  </si>
  <si>
    <t>Profits from the Agricultural Operation (Parent Company)</t>
  </si>
  <si>
    <t>Capital Increase (IPO + Follow-On)</t>
  </si>
  <si>
    <t>Dividends Paid</t>
  </si>
  <si>
    <t>Net Return on Land Appreciation</t>
  </si>
  <si>
    <t>Invested Value (Adjusted Equity)</t>
  </si>
  <si>
    <t>Return =&gt;</t>
  </si>
  <si>
    <t>Net CDI +5% (Accum.)</t>
  </si>
  <si>
    <t>Net CDI  (Accum.)</t>
  </si>
  <si>
    <t xml:space="preserve"> SLC's RETURN ON EQUITY (ACCUMULATED)</t>
  </si>
  <si>
    <t>Updated gains 2007-2023 =&gt;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</si>
</sst>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11" x14ac:knownFonts="1">
    <font>
      <sz val="11"/>
      <color theme="1"/>
      <name val="Calibri"/>
      <family val="2"/>
      <scheme val="minor"/>
    </font>
    <font>
      <sz val="11"/>
      <color theme="1"/>
      <name val="Calibri"/>
      <family val="2"/>
      <scheme val="minor"/>
    </font>
    <font>
      <sz val="9"/>
      <color indexed="81"/>
      <name val="Tahoma"/>
      <family val="2"/>
    </font>
    <font>
      <sz val="9"/>
      <color indexed="81"/>
      <name val="Segoe UI"/>
      <family val="2"/>
    </font>
    <font>
      <sz val="14"/>
      <color theme="0"/>
      <name val="Calibri"/>
      <family val="2"/>
      <scheme val="minor"/>
    </font>
    <font>
      <b/>
      <sz val="14"/>
      <color theme="0"/>
      <name val="Calibri"/>
      <family val="2"/>
      <scheme val="minor"/>
    </font>
    <font>
      <sz val="14"/>
      <color theme="1"/>
      <name val="Calibri"/>
      <family val="2"/>
      <scheme val="minor"/>
    </font>
    <font>
      <b/>
      <sz val="14"/>
      <color theme="1"/>
      <name val="Calibri"/>
      <family val="2"/>
      <scheme val="minor"/>
    </font>
    <font>
      <sz val="14"/>
      <name val="Calibri"/>
      <family val="2"/>
      <scheme val="minor"/>
    </font>
    <font>
      <sz val="14"/>
      <color rgb="FFFF0000"/>
      <name val="Calibri"/>
      <family val="2"/>
      <scheme val="minor"/>
    </font>
    <font>
      <b/>
      <sz val="9"/>
      <color indexed="81"/>
      <name val="Segoe UI"/>
      <family val="2"/>
    </font>
  </fonts>
  <fills count="8">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rgb="FFFF0000"/>
        <bgColor indexed="64"/>
      </patternFill>
    </fill>
    <fill>
      <patternFill patternType="solid">
        <fgColor theme="0"/>
        <bgColor indexed="64"/>
      </patternFill>
    </fill>
    <fill>
      <patternFill patternType="solid">
        <fgColor rgb="FF00593F"/>
        <bgColor indexed="64"/>
      </patternFill>
    </fill>
    <fill>
      <patternFill patternType="solid">
        <fgColor theme="6"/>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9">
    <xf numFmtId="0" fontId="0" fillId="0" borderId="0" xfId="0"/>
    <xf numFmtId="0" fontId="5" fillId="0" borderId="0" xfId="0" applyFont="1" applyAlignment="1">
      <alignment horizontal="left"/>
    </xf>
    <xf numFmtId="0" fontId="6" fillId="0" borderId="0" xfId="0" applyFont="1"/>
    <xf numFmtId="0" fontId="5" fillId="0" borderId="0" xfId="0" applyFont="1" applyAlignment="1">
      <alignment horizontal="left" wrapText="1"/>
    </xf>
    <xf numFmtId="0" fontId="5" fillId="6" borderId="1" xfId="0" applyFont="1" applyFill="1" applyBorder="1"/>
    <xf numFmtId="0" fontId="7" fillId="0" borderId="0" xfId="0" applyFont="1"/>
    <xf numFmtId="3" fontId="8" fillId="0" borderId="0" xfId="0" applyNumberFormat="1" applyFont="1"/>
    <xf numFmtId="3" fontId="6" fillId="0" borderId="0" xfId="0" applyNumberFormat="1" applyFont="1"/>
    <xf numFmtId="3" fontId="9" fillId="0" borderId="0" xfId="0" applyNumberFormat="1" applyFont="1"/>
    <xf numFmtId="0" fontId="5" fillId="6" borderId="2" xfId="0" applyFont="1" applyFill="1" applyBorder="1" applyAlignment="1">
      <alignment horizontal="right"/>
    </xf>
    <xf numFmtId="164" fontId="5" fillId="6" borderId="2" xfId="1" applyNumberFormat="1" applyFont="1" applyFill="1" applyBorder="1" applyAlignment="1">
      <alignment horizontal="right"/>
    </xf>
    <xf numFmtId="164" fontId="5" fillId="6" borderId="2" xfId="1" applyNumberFormat="1" applyFont="1" applyFill="1" applyBorder="1"/>
    <xf numFmtId="0" fontId="7" fillId="0" borderId="0" xfId="0" applyFont="1" applyAlignment="1">
      <alignment horizontal="center"/>
    </xf>
    <xf numFmtId="17" fontId="6" fillId="0" borderId="0" xfId="0" applyNumberFormat="1" applyFont="1"/>
    <xf numFmtId="166" fontId="6" fillId="0" borderId="0" xfId="0" applyNumberFormat="1" applyFont="1"/>
    <xf numFmtId="166" fontId="8" fillId="0" borderId="0" xfId="0" applyNumberFormat="1" applyFont="1"/>
    <xf numFmtId="10" fontId="6" fillId="0" borderId="0" xfId="0" applyNumberFormat="1" applyFont="1"/>
    <xf numFmtId="10" fontId="9" fillId="0" borderId="0" xfId="0" applyNumberFormat="1" applyFont="1"/>
    <xf numFmtId="164" fontId="6" fillId="0" borderId="0" xfId="1" applyNumberFormat="1" applyFont="1"/>
    <xf numFmtId="165" fontId="6" fillId="0" borderId="0" xfId="0" applyNumberFormat="1" applyFont="1"/>
    <xf numFmtId="0" fontId="7" fillId="5" borderId="0" xfId="0" applyFont="1" applyFill="1"/>
    <xf numFmtId="164" fontId="6" fillId="0" borderId="0" xfId="0" applyNumberFormat="1" applyFont="1"/>
    <xf numFmtId="3" fontId="7" fillId="5" borderId="0" xfId="0" applyNumberFormat="1" applyFont="1" applyFill="1"/>
    <xf numFmtId="0" fontId="5" fillId="6" borderId="0" xfId="0" applyFont="1" applyFill="1"/>
    <xf numFmtId="164" fontId="6" fillId="7" borderId="0" xfId="0" applyNumberFormat="1" applyFont="1" applyFill="1"/>
    <xf numFmtId="0" fontId="8" fillId="0" borderId="0" xfId="0" applyFont="1"/>
    <xf numFmtId="164" fontId="6" fillId="2" borderId="0" xfId="0" applyNumberFormat="1" applyFont="1" applyFill="1"/>
    <xf numFmtId="164" fontId="6" fillId="5" borderId="0" xfId="0" applyNumberFormat="1" applyFont="1" applyFill="1"/>
    <xf numFmtId="165" fontId="6" fillId="2" borderId="0" xfId="0" applyNumberFormat="1" applyFont="1" applyFill="1"/>
    <xf numFmtId="165" fontId="6" fillId="7" borderId="0" xfId="0" applyNumberFormat="1" applyFont="1" applyFill="1"/>
    <xf numFmtId="2" fontId="6" fillId="0" borderId="0" xfId="0" applyNumberFormat="1" applyFont="1"/>
    <xf numFmtId="2" fontId="8" fillId="0" borderId="0" xfId="0" applyNumberFormat="1" applyFont="1"/>
    <xf numFmtId="0" fontId="4" fillId="6" borderId="0" xfId="0" applyFont="1" applyFill="1" applyAlignment="1">
      <alignment horizontal="center" wrapText="1"/>
    </xf>
    <xf numFmtId="0" fontId="6" fillId="2" borderId="0" xfId="0" applyFont="1" applyFill="1" applyAlignment="1">
      <alignment horizontal="right"/>
    </xf>
    <xf numFmtId="0" fontId="6" fillId="0" borderId="0" xfId="0" applyFont="1" applyAlignment="1">
      <alignment horizontal="right"/>
    </xf>
    <xf numFmtId="0" fontId="7" fillId="3" borderId="0" xfId="0" applyFont="1" applyFill="1" applyAlignment="1">
      <alignment horizontal="center"/>
    </xf>
    <xf numFmtId="0" fontId="7" fillId="5" borderId="0" xfId="0" applyFont="1" applyFill="1" applyAlignment="1">
      <alignment horizontal="center"/>
    </xf>
    <xf numFmtId="0" fontId="5" fillId="4" borderId="0" xfId="0" applyFont="1" applyFill="1" applyAlignment="1">
      <alignment horizontal="center"/>
    </xf>
    <xf numFmtId="0" fontId="7" fillId="2" borderId="0" xfId="0" applyFont="1" applyFill="1" applyAlignment="1">
      <alignment horizontal="center"/>
    </xf>
  </cellXfs>
  <cellStyles count="2">
    <cellStyle name="Normal" xfId="0" builtinId="0"/>
    <cellStyle name="Porcentagem" xfId="1" builtinId="5"/>
  </cellStyles>
  <dxfs count="0"/>
  <tableStyles count="0" defaultTableStyle="TableStyleMedium9" defaultPivotStyle="PivotStyleLight16"/>
  <colors>
    <mruColors>
      <color rgb="FF0059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chartsheet" Target="chartsheets/sheet2.xml"/><Relationship Id="rId7" Type="http://schemas.openxmlformats.org/officeDocument/2006/relationships/calcChain" Target="calcChain.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00"/>
            </a:pPr>
            <a:r>
              <a:rPr lang="pt-BR" sz="3200"/>
              <a:t>Growth of 1 USD Invested</a:t>
            </a:r>
          </a:p>
        </c:rich>
      </c:tx>
      <c:layout>
        <c:manualLayout>
          <c:xMode val="edge"/>
          <c:yMode val="edge"/>
          <c:x val="8.1906029838375471E-2"/>
          <c:y val="3.37285438264808E-2"/>
        </c:manualLayout>
      </c:layout>
      <c:overlay val="0"/>
    </c:title>
    <c:autoTitleDeleted val="0"/>
    <c:plotArea>
      <c:layout>
        <c:manualLayout>
          <c:layoutTarget val="inner"/>
          <c:xMode val="edge"/>
          <c:yMode val="edge"/>
          <c:x val="6.1087339411520926E-2"/>
          <c:y val="4.8891197307460575E-2"/>
          <c:w val="0.88173491390499259"/>
          <c:h val="0.78370033033469766"/>
        </c:manualLayout>
      </c:layout>
      <c:lineChart>
        <c:grouping val="standard"/>
        <c:varyColors val="0"/>
        <c:ser>
          <c:idx val="1"/>
          <c:order val="0"/>
          <c:tx>
            <c:strRef>
              <c:f>Data!$F$16</c:f>
              <c:strCache>
                <c:ptCount val="1"/>
                <c:pt idx="0">
                  <c:v>Net CDI  (Accum.)</c:v>
                </c:pt>
              </c:strCache>
            </c:strRef>
          </c:tx>
          <c:spPr>
            <a:ln>
              <a:solidFill>
                <a:schemeClr val="tx2">
                  <a:lumMod val="75000"/>
                </a:schemeClr>
              </a:solidFill>
              <a:prstDash val="solid"/>
            </a:ln>
          </c:spPr>
          <c:marker>
            <c:symbol val="none"/>
          </c:marker>
          <c:dPt>
            <c:idx val="9"/>
            <c:bubble3D val="0"/>
            <c:spPr>
              <a:ln>
                <a:solidFill>
                  <a:schemeClr val="tx2">
                    <a:lumMod val="75000"/>
                  </a:schemeClr>
                </a:solidFill>
                <a:prstDash val="solid"/>
              </a:ln>
            </c:spPr>
            <c:extLst>
              <c:ext xmlns:c16="http://schemas.microsoft.com/office/drawing/2014/chart" uri="{C3380CC4-5D6E-409C-BE32-E72D297353CC}">
                <c16:uniqueId val="{00000004-6A44-4D32-9444-5EDFE2D5AC0F}"/>
              </c:ext>
            </c:extLst>
          </c:dPt>
          <c:dLbls>
            <c:dLbl>
              <c:idx val="12"/>
              <c:delete val="1"/>
              <c:extLst>
                <c:ext xmlns:c15="http://schemas.microsoft.com/office/drawing/2012/chart" uri="{CE6537A1-D6FC-4f65-9D91-7224C49458BB}">
                  <c15:layout>
                    <c:manualLayout>
                      <c:w val="5.7945089100704519E-2"/>
                      <c:h val="8.064388257536409E-2"/>
                    </c:manualLayout>
                  </c15:layout>
                </c:ext>
                <c:ext xmlns:c16="http://schemas.microsoft.com/office/drawing/2014/chart" uri="{C3380CC4-5D6E-409C-BE32-E72D297353CC}">
                  <c16:uniqueId val="{00000004-8028-40F7-9E03-6947CBED748B}"/>
                </c:ext>
              </c:extLst>
            </c:dLbl>
            <c:dLbl>
              <c:idx val="14"/>
              <c:numFmt formatCode="#,##0.00" sourceLinked="0"/>
              <c:spPr>
                <a:noFill/>
                <a:ln>
                  <a:noFill/>
                </a:ln>
                <a:effectLst/>
              </c:spPr>
              <c:txPr>
                <a:bodyPr wrap="square" lIns="38100" tIns="19050" rIns="38100" bIns="19050" anchor="ctr">
                  <a:spAutoFit/>
                </a:bodyPr>
                <a:lstStyle/>
                <a:p>
                  <a:pPr>
                    <a:defRPr sz="2800" b="1">
                      <a:solidFill>
                        <a:srgbClr val="002060"/>
                      </a:solidFill>
                    </a:defRPr>
                  </a:pPr>
                  <a:endParaRPr lang="pt-BR"/>
                </a:p>
              </c:txPr>
              <c:showLegendKey val="0"/>
              <c:showVal val="0"/>
              <c:showCatName val="0"/>
              <c:showSerName val="0"/>
              <c:showPercent val="0"/>
              <c:showBubbleSize val="0"/>
              <c:extLst>
                <c:ext xmlns:c16="http://schemas.microsoft.com/office/drawing/2014/chart" uri="{C3380CC4-5D6E-409C-BE32-E72D297353CC}">
                  <c16:uniqueId val="{00000003-0810-497B-93DD-6F336FD10251}"/>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EDA-4F7E-A983-CB11DDF8757A}"/>
                </c:ext>
              </c:extLst>
            </c:dLbl>
            <c:spPr>
              <a:noFill/>
              <a:ln>
                <a:noFill/>
              </a:ln>
              <a:effectLst/>
            </c:spPr>
            <c:txPr>
              <a:bodyPr wrap="square" lIns="38100" tIns="19050" rIns="38100" bIns="19050" anchor="ctr">
                <a:spAutoFit/>
              </a:bodyPr>
              <a:lstStyle/>
              <a:p>
                <a:pPr>
                  <a:defRPr sz="2800" b="1">
                    <a:solidFill>
                      <a:srgbClr val="002060"/>
                    </a:solidFill>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Data!$B$18:$B$34</c:f>
              <c:numCache>
                <c:formatCode>General</c:formatCode>
                <c:ptCount val="17"/>
                <c:pt idx="0" formatCode="mmm\-yy">
                  <c:v>39417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numCache>
            </c:numRef>
          </c:cat>
          <c:val>
            <c:numRef>
              <c:f>Data!$G$18:$G$34</c:f>
              <c:numCache>
                <c:formatCode>0.0000</c:formatCode>
                <c:ptCount val="17"/>
                <c:pt idx="0" formatCode="General">
                  <c:v>1</c:v>
                </c:pt>
                <c:pt idx="1">
                  <c:v>1.1052299999999999</c:v>
                </c:pt>
                <c:pt idx="2">
                  <c:v>1.1972956589999999</c:v>
                </c:pt>
                <c:pt idx="3">
                  <c:v>1.296521536739625</c:v>
                </c:pt>
                <c:pt idx="4">
                  <c:v>1.424358560262152</c:v>
                </c:pt>
                <c:pt idx="5">
                  <c:v>1.5260577614648696</c:v>
                </c:pt>
                <c:pt idx="6">
                  <c:v>1.630607978702828</c:v>
                </c:pt>
                <c:pt idx="7">
                  <c:v>1.7804363928259375</c:v>
                </c:pt>
                <c:pt idx="8">
                  <c:v>1.9808067044745685</c:v>
                </c:pt>
                <c:pt idx="9">
                  <c:v>2.2165227023070422</c:v>
                </c:pt>
                <c:pt idx="10">
                  <c:v>2.403608300995268</c:v>
                </c:pt>
                <c:pt idx="11">
                  <c:v>2.5347732059805796</c:v>
                </c:pt>
                <c:pt idx="12">
                  <c:v>2.6631848165955558</c:v>
                </c:pt>
                <c:pt idx="13">
                  <c:v>2.7256631323928877</c:v>
                </c:pt>
                <c:pt idx="14">
                  <c:v>2.828066296276889</c:v>
                </c:pt>
                <c:pt idx="15">
                  <c:v>3.1244617844581883</c:v>
                </c:pt>
                <c:pt idx="16" formatCode="0.00">
                  <c:v>3.470777128647534</c:v>
                </c:pt>
              </c:numCache>
            </c:numRef>
          </c:val>
          <c:smooth val="0"/>
          <c:extLst>
            <c:ext xmlns:c16="http://schemas.microsoft.com/office/drawing/2014/chart" uri="{C3380CC4-5D6E-409C-BE32-E72D297353CC}">
              <c16:uniqueId val="{00000005-6A44-4D32-9444-5EDFE2D5AC0F}"/>
            </c:ext>
          </c:extLst>
        </c:ser>
        <c:ser>
          <c:idx val="2"/>
          <c:order val="1"/>
          <c:tx>
            <c:strRef>
              <c:f>Data!$I$16</c:f>
              <c:strCache>
                <c:ptCount val="1"/>
                <c:pt idx="0">
                  <c:v>Net CDI +5% (Accum.)</c:v>
                </c:pt>
              </c:strCache>
            </c:strRef>
          </c:tx>
          <c:spPr>
            <a:ln w="28575">
              <a:solidFill>
                <a:srgbClr val="FF0000"/>
              </a:solidFill>
              <a:prstDash val="solid"/>
            </a:ln>
          </c:spPr>
          <c:marker>
            <c:symbol val="none"/>
          </c:marker>
          <c:dLbls>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DA-4F7E-A983-CB11DDF8757A}"/>
                </c:ext>
              </c:extLst>
            </c:dLbl>
            <c:spPr>
              <a:noFill/>
              <a:ln>
                <a:noFill/>
              </a:ln>
              <a:effectLst/>
            </c:spPr>
            <c:txPr>
              <a:bodyPr wrap="square" lIns="38100" tIns="19050" rIns="38100" bIns="19050" anchor="ctr">
                <a:spAutoFit/>
              </a:bodyPr>
              <a:lstStyle/>
              <a:p>
                <a:pPr>
                  <a:defRPr sz="2800" b="1">
                    <a:solidFill>
                      <a:srgbClr val="FF0000"/>
                    </a:solidFill>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Data!$B$18:$B$34</c:f>
              <c:numCache>
                <c:formatCode>General</c:formatCode>
                <c:ptCount val="17"/>
                <c:pt idx="0" formatCode="mmm\-yy">
                  <c:v>39417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numCache>
            </c:numRef>
          </c:cat>
          <c:val>
            <c:numRef>
              <c:f>Data!$J$18:$J$34</c:f>
              <c:numCache>
                <c:formatCode>0.0000</c:formatCode>
                <c:ptCount val="17"/>
                <c:pt idx="0" formatCode="General">
                  <c:v>1</c:v>
                </c:pt>
                <c:pt idx="1">
                  <c:v>1.15523</c:v>
                </c:pt>
                <c:pt idx="2">
                  <c:v>1.3092221589999999</c:v>
                </c:pt>
                <c:pt idx="3">
                  <c:v>1.4831850533771251</c:v>
                </c:pt>
                <c:pt idx="4">
                  <c:v>1.703586352308966</c:v>
                </c:pt>
                <c:pt idx="5">
                  <c:v>1.9104017354792744</c:v>
                </c:pt>
                <c:pt idx="6">
                  <c:v>2.1368034451509232</c:v>
                </c:pt>
                <c:pt idx="7">
                  <c:v>2.4399838019661622</c:v>
                </c:pt>
                <c:pt idx="8">
                  <c:v>2.8365787691377427</c:v>
                </c:pt>
                <c:pt idx="9">
                  <c:v>3.3159605811220212</c:v>
                </c:pt>
                <c:pt idx="10">
                  <c:v>3.7616422630277269</c:v>
                </c:pt>
                <c:pt idx="11">
                  <c:v>4.1549971944725366</c:v>
                </c:pt>
                <c:pt idx="12">
                  <c:v>4.5732392120681418</c:v>
                </c:pt>
                <c:pt idx="13">
                  <c:v>4.909189364586668</c:v>
                </c:pt>
                <c:pt idx="14">
                  <c:v>5.3390870772435228</c:v>
                </c:pt>
                <c:pt idx="15">
                  <c:v>6.1656044522362068</c:v>
                </c:pt>
                <c:pt idx="16" formatCode="0.00">
                  <c:v>7.1572802723338791</c:v>
                </c:pt>
              </c:numCache>
            </c:numRef>
          </c:val>
          <c:smooth val="0"/>
          <c:extLst>
            <c:ext xmlns:c16="http://schemas.microsoft.com/office/drawing/2014/chart" uri="{C3380CC4-5D6E-409C-BE32-E72D297353CC}">
              <c16:uniqueId val="{00000007-6A44-4D32-9444-5EDFE2D5AC0F}"/>
            </c:ext>
          </c:extLst>
        </c:ser>
        <c:ser>
          <c:idx val="0"/>
          <c:order val="2"/>
          <c:tx>
            <c:v>SLC Agrícola (ROE)</c:v>
          </c:tx>
          <c:spPr>
            <a:ln>
              <a:solidFill>
                <a:srgbClr val="00593F"/>
              </a:solidFill>
            </a:ln>
          </c:spPr>
          <c:marker>
            <c:symbol val="none"/>
          </c:marker>
          <c:dLbls>
            <c:dLbl>
              <c:idx val="16"/>
              <c:spPr>
                <a:noFill/>
                <a:ln>
                  <a:noFill/>
                </a:ln>
                <a:effectLst/>
              </c:spPr>
              <c:txPr>
                <a:bodyPr wrap="square" lIns="38100" tIns="19050" rIns="38100" bIns="19050" anchor="ctr">
                  <a:spAutoFit/>
                </a:bodyPr>
                <a:lstStyle/>
                <a:p>
                  <a:pPr>
                    <a:defRPr sz="2800" b="1">
                      <a:solidFill>
                        <a:srgbClr val="00593F"/>
                      </a:solidFill>
                    </a:defRPr>
                  </a:pPr>
                  <a:endParaRPr lang="pt-B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EDA-4F7E-A983-CB11DDF8757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Data!$B$18:$B$34</c:f>
              <c:numCache>
                <c:formatCode>General</c:formatCode>
                <c:ptCount val="17"/>
                <c:pt idx="0" formatCode="mmm\-yy">
                  <c:v>39417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numCache>
            </c:numRef>
          </c:cat>
          <c:val>
            <c:numRef>
              <c:f>Data!$D$18:$D$34</c:f>
              <c:numCache>
                <c:formatCode>0.0000</c:formatCode>
                <c:ptCount val="17"/>
                <c:pt idx="0" formatCode="General">
                  <c:v>1</c:v>
                </c:pt>
                <c:pt idx="1">
                  <c:v>1.1519981529737544</c:v>
                </c:pt>
                <c:pt idx="2">
                  <c:v>1.2705111997479386</c:v>
                </c:pt>
                <c:pt idx="3">
                  <c:v>1.2856982277966877</c:v>
                </c:pt>
                <c:pt idx="4">
                  <c:v>1.5274808316454906</c:v>
                </c:pt>
                <c:pt idx="5">
                  <c:v>1.7486323135763158</c:v>
                </c:pt>
                <c:pt idx="6">
                  <c:v>2.0957462959749242</c:v>
                </c:pt>
                <c:pt idx="7">
                  <c:v>2.4633961257815442</c:v>
                </c:pt>
                <c:pt idx="8">
                  <c:v>2.6558437894279314</c:v>
                </c:pt>
                <c:pt idx="9">
                  <c:v>2.8230282084913667</c:v>
                </c:pt>
                <c:pt idx="10">
                  <c:v>3.0414454385927305</c:v>
                </c:pt>
                <c:pt idx="11">
                  <c:v>3.4285855170057817</c:v>
                </c:pt>
                <c:pt idx="12">
                  <c:v>3.7847146193884025</c:v>
                </c:pt>
                <c:pt idx="13">
                  <c:v>4.3852372828215902</c:v>
                </c:pt>
                <c:pt idx="14">
                  <c:v>7.6190557449464977</c:v>
                </c:pt>
                <c:pt idx="15">
                  <c:v>10.745256240695864</c:v>
                </c:pt>
                <c:pt idx="16" formatCode="0.00">
                  <c:v>12.95426137920764</c:v>
                </c:pt>
              </c:numCache>
            </c:numRef>
          </c:val>
          <c:smooth val="0"/>
          <c:extLst>
            <c:ext xmlns:c16="http://schemas.microsoft.com/office/drawing/2014/chart" uri="{C3380CC4-5D6E-409C-BE32-E72D297353CC}">
              <c16:uniqueId val="{0000000B-6A44-4D32-9444-5EDFE2D5AC0F}"/>
            </c:ext>
          </c:extLst>
        </c:ser>
        <c:dLbls>
          <c:showLegendKey val="0"/>
          <c:showVal val="0"/>
          <c:showCatName val="0"/>
          <c:showSerName val="0"/>
          <c:showPercent val="0"/>
          <c:showBubbleSize val="0"/>
        </c:dLbls>
        <c:smooth val="0"/>
        <c:axId val="140626944"/>
        <c:axId val="140635520"/>
      </c:lineChart>
      <c:catAx>
        <c:axId val="140626944"/>
        <c:scaling>
          <c:orientation val="minMax"/>
        </c:scaling>
        <c:delete val="0"/>
        <c:axPos val="b"/>
        <c:numFmt formatCode="mmm\-yy" sourceLinked="1"/>
        <c:majorTickMark val="out"/>
        <c:minorTickMark val="none"/>
        <c:tickLblPos val="nextTo"/>
        <c:txPr>
          <a:bodyPr/>
          <a:lstStyle/>
          <a:p>
            <a:pPr>
              <a:defRPr sz="2000"/>
            </a:pPr>
            <a:endParaRPr lang="pt-BR"/>
          </a:p>
        </c:txPr>
        <c:crossAx val="140635520"/>
        <c:crosses val="autoZero"/>
        <c:auto val="1"/>
        <c:lblAlgn val="ctr"/>
        <c:lblOffset val="100"/>
        <c:noMultiLvlLbl val="0"/>
      </c:catAx>
      <c:valAx>
        <c:axId val="140635520"/>
        <c:scaling>
          <c:orientation val="minMax"/>
          <c:max val="13"/>
          <c:min val="1"/>
        </c:scaling>
        <c:delete val="0"/>
        <c:axPos val="l"/>
        <c:numFmt formatCode="General" sourceLinked="1"/>
        <c:majorTickMark val="out"/>
        <c:minorTickMark val="none"/>
        <c:tickLblPos val="nextTo"/>
        <c:txPr>
          <a:bodyPr/>
          <a:lstStyle/>
          <a:p>
            <a:pPr>
              <a:defRPr sz="2000"/>
            </a:pPr>
            <a:endParaRPr lang="pt-BR"/>
          </a:p>
        </c:txPr>
        <c:crossAx val="140626944"/>
        <c:crosses val="autoZero"/>
        <c:crossBetween val="between"/>
        <c:majorUnit val="1"/>
        <c:minorUnit val="0.2"/>
      </c:valAx>
      <c:spPr>
        <a:noFill/>
        <a:ln w="25400">
          <a:noFill/>
        </a:ln>
      </c:spPr>
    </c:plotArea>
    <c:legend>
      <c:legendPos val="b"/>
      <c:overlay val="0"/>
    </c:legend>
    <c:plotVisOnly val="1"/>
    <c:dispBlanksAs val="gap"/>
    <c:showDLblsOverMax val="0"/>
  </c:chart>
  <c:spPr>
    <a:ln>
      <a:noFill/>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sz="1400" b="0" i="0" u="none" strike="noStrike" kern="1200" baseline="0">
                <a:solidFill>
                  <a:sysClr val="windowText" lastClr="000000">
                    <a:lumMod val="65000"/>
                    <a:lumOff val="35000"/>
                  </a:sysClr>
                </a:solidFill>
              </a:rPr>
              <a:t>Annual Return of Agricultural Operations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9.240924092409241E-3"/>
          <c:y val="2.3362833160773921E-2"/>
          <c:w val="0.97095709570957101"/>
          <c:h val="0.89189028733274545"/>
        </c:manualLayout>
      </c:layout>
      <c:barChart>
        <c:barDir val="col"/>
        <c:grouping val="clustered"/>
        <c:varyColors val="0"/>
        <c:ser>
          <c:idx val="1"/>
          <c:order val="0"/>
          <c:spPr>
            <a:solidFill>
              <a:srgbClr val="00593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Data!$E$7:$S$7</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f>Data!$E$13:$T$13</c:f>
              <c:numCache>
                <c:formatCode>0.0%</c:formatCode>
                <c:ptCount val="16"/>
                <c:pt idx="0">
                  <c:v>0.15199815297375449</c:v>
                </c:pt>
                <c:pt idx="1">
                  <c:v>0.10287607360155571</c:v>
                </c:pt>
                <c:pt idx="2">
                  <c:v>1.1953478294219052E-2</c:v>
                </c:pt>
                <c:pt idx="3">
                  <c:v>0.18805548504422218</c:v>
                </c:pt>
                <c:pt idx="4">
                  <c:v>0.14478183774822742</c:v>
                </c:pt>
                <c:pt idx="5">
                  <c:v>0.19850598648076487</c:v>
                </c:pt>
                <c:pt idx="6">
                  <c:v>0.17542668714849965</c:v>
                </c:pt>
                <c:pt idx="7">
                  <c:v>7.8122905866522277E-2</c:v>
                </c:pt>
                <c:pt idx="8">
                  <c:v>6.2949643246693637E-2</c:v>
                </c:pt>
                <c:pt idx="9">
                  <c:v>7.7369836207937331E-2</c:v>
                </c:pt>
                <c:pt idx="10">
                  <c:v>0.12728818787956961</c:v>
                </c:pt>
                <c:pt idx="11">
                  <c:v>0.10387056137763541</c:v>
                </c:pt>
                <c:pt idx="12">
                  <c:v>0.15867052706083046</c:v>
                </c:pt>
                <c:pt idx="13">
                  <c:v>0.73743294913432245</c:v>
                </c:pt>
                <c:pt idx="14">
                  <c:v>0.41031337745794644</c:v>
                </c:pt>
                <c:pt idx="15">
                  <c:v>0.20557956823268095</c:v>
                </c:pt>
              </c:numCache>
            </c:numRef>
          </c:val>
          <c:extLst>
            <c:ext xmlns:c16="http://schemas.microsoft.com/office/drawing/2014/chart" uri="{C3380CC4-5D6E-409C-BE32-E72D297353CC}">
              <c16:uniqueId val="{00000001-A4D6-4BC8-AB78-616AA2FA985A}"/>
            </c:ext>
          </c:extLst>
        </c:ser>
        <c:dLbls>
          <c:showLegendKey val="0"/>
          <c:showVal val="0"/>
          <c:showCatName val="0"/>
          <c:showSerName val="0"/>
          <c:showPercent val="0"/>
          <c:showBubbleSize val="0"/>
        </c:dLbls>
        <c:gapWidth val="219"/>
        <c:overlap val="-27"/>
        <c:axId val="713752512"/>
        <c:axId val="713749888"/>
      </c:barChart>
      <c:lineChart>
        <c:grouping val="standard"/>
        <c:varyColors val="0"/>
        <c:ser>
          <c:idx val="0"/>
          <c:order val="1"/>
          <c:tx>
            <c:strRef>
              <c:f>Data!$E$7:$T$7</c:f>
              <c:strCach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strCache>
            </c:strRef>
          </c:tx>
          <c:spPr>
            <a:ln w="28575" cap="rnd">
              <a:solidFill>
                <a:schemeClr val="accent3"/>
              </a:solidFill>
              <a:round/>
            </a:ln>
            <a:effectLst/>
          </c:spPr>
          <c:marker>
            <c:symbol val="none"/>
          </c:marker>
          <c:cat>
            <c:numRef>
              <c:f>Data!$E$7:$T$7</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Data!$E$14:$T$14</c:f>
              <c:numCache>
                <c:formatCode>0.0%</c:formatCode>
                <c:ptCount val="16"/>
                <c:pt idx="0">
                  <c:v>0.18197437930151342</c:v>
                </c:pt>
                <c:pt idx="1">
                  <c:v>0.18197437930151342</c:v>
                </c:pt>
                <c:pt idx="2">
                  <c:v>0.18197437930151342</c:v>
                </c:pt>
                <c:pt idx="3">
                  <c:v>0.18197437930151342</c:v>
                </c:pt>
                <c:pt idx="4">
                  <c:v>0.18197437930151342</c:v>
                </c:pt>
                <c:pt idx="5">
                  <c:v>0.18197437930151342</c:v>
                </c:pt>
                <c:pt idx="6">
                  <c:v>0.18197437930151342</c:v>
                </c:pt>
                <c:pt idx="7">
                  <c:v>0.18197437930151342</c:v>
                </c:pt>
                <c:pt idx="8">
                  <c:v>0.18197437930151342</c:v>
                </c:pt>
                <c:pt idx="9">
                  <c:v>0.18197437930151342</c:v>
                </c:pt>
                <c:pt idx="10">
                  <c:v>0.18197437930151342</c:v>
                </c:pt>
                <c:pt idx="11">
                  <c:v>0.18197437930151342</c:v>
                </c:pt>
                <c:pt idx="12">
                  <c:v>0.18197437930151342</c:v>
                </c:pt>
                <c:pt idx="13">
                  <c:v>0.18197437930151342</c:v>
                </c:pt>
                <c:pt idx="14">
                  <c:v>0.18197437930151342</c:v>
                </c:pt>
                <c:pt idx="15">
                  <c:v>0.18344970360971138</c:v>
                </c:pt>
              </c:numCache>
            </c:numRef>
          </c:val>
          <c:smooth val="0"/>
          <c:extLst>
            <c:ext xmlns:c16="http://schemas.microsoft.com/office/drawing/2014/chart" uri="{C3380CC4-5D6E-409C-BE32-E72D297353CC}">
              <c16:uniqueId val="{00000002-A4D6-4BC8-AB78-616AA2FA985A}"/>
            </c:ext>
          </c:extLst>
        </c:ser>
        <c:dLbls>
          <c:showLegendKey val="0"/>
          <c:showVal val="0"/>
          <c:showCatName val="0"/>
          <c:showSerName val="0"/>
          <c:showPercent val="0"/>
          <c:showBubbleSize val="0"/>
        </c:dLbls>
        <c:marker val="1"/>
        <c:smooth val="0"/>
        <c:axId val="713752512"/>
        <c:axId val="713749888"/>
      </c:lineChart>
      <c:catAx>
        <c:axId val="71375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pt-BR"/>
          </a:p>
        </c:txPr>
        <c:crossAx val="713749888"/>
        <c:crosses val="autoZero"/>
        <c:auto val="1"/>
        <c:lblAlgn val="ctr"/>
        <c:lblOffset val="100"/>
        <c:noMultiLvlLbl val="0"/>
      </c:catAx>
      <c:valAx>
        <c:axId val="713749888"/>
        <c:scaling>
          <c:orientation val="minMax"/>
        </c:scaling>
        <c:delete val="1"/>
        <c:axPos val="l"/>
        <c:numFmt formatCode="0.0%" sourceLinked="1"/>
        <c:majorTickMark val="none"/>
        <c:minorTickMark val="none"/>
        <c:tickLblPos val="nextTo"/>
        <c:crossAx val="7137525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pt-BR"/>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sheetViews>
    <sheetView zoomScale="60" workbookViewId="0"/>
  </sheetViews>
  <pageMargins left="0.511811024" right="0.511811024" top="0.78740157499999996" bottom="0.78740157499999996" header="0.31496062000000002" footer="0.31496062000000002"/>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788632B-ABDA-4203-A59D-12A30489DE68}">
  <sheetPr/>
  <sheetViews>
    <sheetView zoomScale="60" workbookViewId="0"/>
  </sheetViews>
  <pageMargins left="0.511811024" right="0.511811024" top="0.78740157499999996" bottom="0.78740157499999996" header="0.31496062000000002" footer="0.31496062000000002"/>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620250" cy="5979583"/>
    <xdr:graphicFrame macro="">
      <xdr:nvGraphicFramePr>
        <xdr:cNvPr id="2" name="Gráfico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0.07072</cdr:x>
      <cdr:y>0.31326</cdr:y>
    </cdr:from>
    <cdr:to>
      <cdr:x>0.58824</cdr:x>
      <cdr:y>0.48484</cdr:y>
    </cdr:to>
    <cdr:sp macro="" textlink="">
      <cdr:nvSpPr>
        <cdr:cNvPr id="2" name="CaixaDeTexto 1"/>
        <cdr:cNvSpPr txBox="1"/>
      </cdr:nvSpPr>
      <cdr:spPr>
        <a:xfrm xmlns:a="http://schemas.openxmlformats.org/drawingml/2006/main">
          <a:off x="636185" y="1942786"/>
          <a:ext cx="4655482" cy="10641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pt-BR" sz="1800" b="1">
              <a:solidFill>
                <a:srgbClr val="FF0000"/>
              </a:solidFill>
              <a:effectLst/>
              <a:latin typeface="+mn-lt"/>
              <a:ea typeface="+mn-ea"/>
              <a:cs typeface="+mn-cs"/>
            </a:rPr>
            <a:t>Net CDI  + 5% 2007-2023 (CAGR):</a:t>
          </a:r>
          <a:r>
            <a:rPr lang="pt-BR" sz="1800" b="1" baseline="0">
              <a:solidFill>
                <a:srgbClr val="FF0000"/>
              </a:solidFill>
              <a:effectLst/>
              <a:latin typeface="+mn-lt"/>
              <a:ea typeface="+mn-ea"/>
              <a:cs typeface="+mn-cs"/>
            </a:rPr>
            <a:t> 12.0%</a:t>
          </a:r>
          <a:endParaRPr lang="pt-BR" sz="1800">
            <a:solidFill>
              <a:srgbClr val="FF0000"/>
            </a:solidFill>
            <a:effectLst/>
          </a:endParaRPr>
        </a:p>
        <a:p xmlns:a="http://schemas.openxmlformats.org/drawingml/2006/main">
          <a:pPr algn="ctr"/>
          <a:r>
            <a:rPr lang="pt-BR" sz="1800" b="1">
              <a:solidFill>
                <a:srgbClr val="00593F"/>
              </a:solidFill>
            </a:rPr>
            <a:t>SLC 2007-2023</a:t>
          </a:r>
          <a:r>
            <a:rPr lang="pt-BR" sz="1800" b="1" baseline="0">
              <a:solidFill>
                <a:srgbClr val="00593F"/>
              </a:solidFill>
            </a:rPr>
            <a:t> (CAGR.)</a:t>
          </a:r>
          <a:r>
            <a:rPr lang="pt-BR" sz="1800" b="1">
              <a:solidFill>
                <a:srgbClr val="00593F"/>
              </a:solidFill>
            </a:rPr>
            <a:t>:</a:t>
          </a:r>
          <a:r>
            <a:rPr lang="pt-BR" sz="1800" b="1" baseline="0">
              <a:solidFill>
                <a:srgbClr val="00593F"/>
              </a:solidFill>
            </a:rPr>
            <a:t> </a:t>
          </a:r>
          <a:r>
            <a:rPr lang="pt-BR" sz="1800" b="1">
              <a:solidFill>
                <a:srgbClr val="00593F"/>
              </a:solidFill>
            </a:rPr>
            <a:t>17.4%</a:t>
          </a:r>
        </a:p>
        <a:p xmlns:a="http://schemas.openxmlformats.org/drawingml/2006/main">
          <a:pPr algn="ctr"/>
          <a:r>
            <a:rPr lang="pt-BR" sz="1800" b="1">
              <a:solidFill>
                <a:srgbClr val="0070C0"/>
              </a:solidFill>
            </a:rPr>
            <a:t>Net CDI  2007-2023 (CAGR.):</a:t>
          </a:r>
          <a:r>
            <a:rPr lang="pt-BR" sz="1800" b="1" baseline="0">
              <a:solidFill>
                <a:srgbClr val="0070C0"/>
              </a:solidFill>
            </a:rPr>
            <a:t> 8.1</a:t>
          </a:r>
          <a:r>
            <a:rPr lang="pt-BR" sz="1800" b="1">
              <a:solidFill>
                <a:srgbClr val="0070C0"/>
              </a:solidFill>
            </a:rPr>
            <a:t>%</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620250" cy="5979583"/>
    <xdr:graphicFrame macro="">
      <xdr:nvGraphicFramePr>
        <xdr:cNvPr id="2" name="Gráfico 1">
          <a:extLst>
            <a:ext uri="{FF2B5EF4-FFF2-40B4-BE49-F238E27FC236}">
              <a16:creationId xmlns:a16="http://schemas.microsoft.com/office/drawing/2014/main" id="{3CE75636-FDB5-4623-80E5-D766BF4561E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Y51"/>
  <sheetViews>
    <sheetView showGridLines="0" tabSelected="1" zoomScale="70" zoomScaleNormal="70" workbookViewId="0">
      <selection activeCell="K27" sqref="K27"/>
    </sheetView>
  </sheetViews>
  <sheetFormatPr defaultColWidth="9.1796875" defaultRowHeight="18.75" customHeight="1" x14ac:dyDescent="0.45"/>
  <cols>
    <col min="1" max="1" width="5.81640625" style="2" customWidth="1"/>
    <col min="2" max="2" width="44.453125" style="2" bestFit="1" customWidth="1"/>
    <col min="3" max="3" width="10.81640625" style="2" bestFit="1" customWidth="1"/>
    <col min="4" max="18" width="13" style="2" bestFit="1" customWidth="1"/>
    <col min="19" max="20" width="14.453125" style="2" customWidth="1"/>
    <col min="21" max="21" width="8.453125" style="2" customWidth="1"/>
    <col min="22" max="16384" width="9.1796875" style="2"/>
  </cols>
  <sheetData>
    <row r="2" spans="2:25" ht="18.75" customHeight="1" x14ac:dyDescent="0.45">
      <c r="B2" s="32" t="s">
        <v>1</v>
      </c>
      <c r="C2" s="32"/>
      <c r="D2" s="32"/>
      <c r="E2" s="32"/>
      <c r="F2" s="32"/>
      <c r="G2" s="32"/>
      <c r="H2" s="32"/>
      <c r="I2" s="32"/>
      <c r="J2" s="32"/>
      <c r="K2" s="32"/>
      <c r="L2" s="32"/>
      <c r="M2" s="32"/>
      <c r="N2" s="32"/>
      <c r="O2" s="32"/>
      <c r="P2" s="32"/>
      <c r="Q2" s="1"/>
    </row>
    <row r="3" spans="2:25" ht="18.5" x14ac:dyDescent="0.45">
      <c r="B3" s="32"/>
      <c r="C3" s="32"/>
      <c r="D3" s="32"/>
      <c r="E3" s="32"/>
      <c r="F3" s="32"/>
      <c r="G3" s="32"/>
      <c r="H3" s="32"/>
      <c r="I3" s="32"/>
      <c r="J3" s="32"/>
      <c r="K3" s="32"/>
      <c r="L3" s="32"/>
      <c r="M3" s="32"/>
      <c r="N3" s="32"/>
      <c r="O3" s="32"/>
      <c r="P3" s="32"/>
      <c r="Q3" s="3"/>
    </row>
    <row r="4" spans="2:25" ht="18.5" x14ac:dyDescent="0.45">
      <c r="B4" s="32"/>
      <c r="C4" s="32"/>
      <c r="D4" s="32"/>
      <c r="E4" s="32"/>
      <c r="F4" s="32"/>
      <c r="G4" s="32"/>
      <c r="H4" s="32"/>
      <c r="I4" s="32"/>
      <c r="J4" s="32"/>
      <c r="K4" s="32"/>
      <c r="L4" s="32"/>
      <c r="M4" s="32"/>
      <c r="N4" s="32"/>
      <c r="O4" s="32"/>
      <c r="P4" s="32"/>
      <c r="Q4" s="3"/>
    </row>
    <row r="5" spans="2:25" ht="18.5" x14ac:dyDescent="0.45">
      <c r="B5" s="32"/>
      <c r="C5" s="32"/>
      <c r="D5" s="32"/>
      <c r="E5" s="32"/>
      <c r="F5" s="32"/>
      <c r="G5" s="32"/>
      <c r="H5" s="32"/>
      <c r="I5" s="32"/>
      <c r="J5" s="32"/>
      <c r="K5" s="32"/>
      <c r="L5" s="32"/>
      <c r="M5" s="32"/>
      <c r="N5" s="32"/>
      <c r="O5" s="32"/>
      <c r="P5" s="32"/>
    </row>
    <row r="7" spans="2:25" s="5" customFormat="1" ht="18.5" x14ac:dyDescent="0.45">
      <c r="B7" s="4"/>
      <c r="C7" s="4">
        <v>2006</v>
      </c>
      <c r="D7" s="4">
        <v>2007</v>
      </c>
      <c r="E7" s="4">
        <v>2008</v>
      </c>
      <c r="F7" s="4">
        <v>2009</v>
      </c>
      <c r="G7" s="4">
        <v>2010</v>
      </c>
      <c r="H7" s="4">
        <v>2011</v>
      </c>
      <c r="I7" s="4">
        <v>2012</v>
      </c>
      <c r="J7" s="4">
        <v>2013</v>
      </c>
      <c r="K7" s="4">
        <v>2014</v>
      </c>
      <c r="L7" s="4">
        <v>2015</v>
      </c>
      <c r="M7" s="4">
        <v>2016</v>
      </c>
      <c r="N7" s="4">
        <v>2017</v>
      </c>
      <c r="O7" s="4">
        <v>2018</v>
      </c>
      <c r="P7" s="4">
        <v>2019</v>
      </c>
      <c r="Q7" s="4">
        <v>2020</v>
      </c>
      <c r="R7" s="4">
        <v>2021</v>
      </c>
      <c r="S7" s="23">
        <v>2022</v>
      </c>
      <c r="T7" s="23">
        <v>2023</v>
      </c>
      <c r="U7" s="20"/>
      <c r="V7" s="20"/>
      <c r="W7" s="20"/>
      <c r="X7" s="20"/>
      <c r="Y7" s="20"/>
    </row>
    <row r="8" spans="2:25" ht="18.5" x14ac:dyDescent="0.45">
      <c r="B8" s="2" t="s">
        <v>2</v>
      </c>
      <c r="C8" s="6"/>
      <c r="D8" s="6">
        <v>42819</v>
      </c>
      <c r="E8" s="6">
        <v>44611</v>
      </c>
      <c r="F8" s="6">
        <v>9124</v>
      </c>
      <c r="G8" s="6">
        <v>58613</v>
      </c>
      <c r="H8" s="6">
        <v>159992</v>
      </c>
      <c r="I8" s="7">
        <v>38105</v>
      </c>
      <c r="J8" s="7">
        <v>95573</v>
      </c>
      <c r="K8" s="7">
        <v>67898</v>
      </c>
      <c r="L8" s="7">
        <v>122528</v>
      </c>
      <c r="M8" s="7">
        <v>29945</v>
      </c>
      <c r="N8" s="7">
        <v>276113</v>
      </c>
      <c r="O8" s="7">
        <v>386186</v>
      </c>
      <c r="P8" s="7">
        <v>292893</v>
      </c>
      <c r="Q8" s="7">
        <v>488674</v>
      </c>
      <c r="R8" s="7">
        <v>1062116</v>
      </c>
      <c r="S8" s="7">
        <v>1267459</v>
      </c>
      <c r="T8" s="7">
        <v>895599.51751999999</v>
      </c>
      <c r="U8" s="22"/>
      <c r="V8" s="20"/>
      <c r="X8" s="20"/>
      <c r="Y8" s="20"/>
    </row>
    <row r="9" spans="2:25" ht="18.5" x14ac:dyDescent="0.45">
      <c r="B9" s="2" t="s">
        <v>3</v>
      </c>
      <c r="C9" s="7"/>
      <c r="D9" s="7">
        <v>294140</v>
      </c>
      <c r="E9" s="7">
        <v>247448</v>
      </c>
      <c r="F9" s="7"/>
      <c r="G9" s="7"/>
      <c r="H9" s="7"/>
      <c r="I9" s="7"/>
      <c r="J9" s="7"/>
      <c r="K9" s="7"/>
      <c r="L9" s="7"/>
      <c r="M9" s="8"/>
      <c r="U9" s="20"/>
      <c r="V9" s="20"/>
      <c r="W9" s="20"/>
      <c r="X9" s="20"/>
      <c r="Y9" s="20"/>
    </row>
    <row r="10" spans="2:25" ht="18.5" x14ac:dyDescent="0.45">
      <c r="B10" s="2" t="s">
        <v>4</v>
      </c>
      <c r="C10" s="7"/>
      <c r="D10" s="7">
        <v>0</v>
      </c>
      <c r="E10" s="7">
        <v>-7504</v>
      </c>
      <c r="F10" s="7">
        <v>-10600</v>
      </c>
      <c r="G10" s="7">
        <v>-7100</v>
      </c>
      <c r="H10" s="7">
        <v>-15600</v>
      </c>
      <c r="I10" s="7">
        <v>-61800</v>
      </c>
      <c r="J10" s="7">
        <v>-15200</v>
      </c>
      <c r="K10" s="7">
        <v>38229</v>
      </c>
      <c r="L10" s="7">
        <v>27159</v>
      </c>
      <c r="M10" s="6">
        <v>-58200</v>
      </c>
      <c r="N10" s="7">
        <f>-200000-14224</f>
        <v>-214224</v>
      </c>
      <c r="O10" s="7">
        <f>-211000</f>
        <v>-211000</v>
      </c>
      <c r="P10" s="7">
        <v>-176312</v>
      </c>
      <c r="Q10" s="7">
        <v>-147400</v>
      </c>
      <c r="R10" s="7">
        <v>-232038</v>
      </c>
      <c r="S10" s="7">
        <v>-601926</v>
      </c>
      <c r="T10" s="7">
        <f>-389051679.33/1000</f>
        <v>-389051.67932999996</v>
      </c>
      <c r="U10" s="22"/>
      <c r="V10" s="20"/>
      <c r="W10" s="20"/>
      <c r="X10" s="20"/>
      <c r="Y10" s="20"/>
    </row>
    <row r="11" spans="2:25" ht="18.5" x14ac:dyDescent="0.45">
      <c r="B11" s="2" t="s">
        <v>5</v>
      </c>
      <c r="C11" s="7"/>
      <c r="D11" s="7">
        <f>(692600-48228)</f>
        <v>644372</v>
      </c>
      <c r="E11" s="7">
        <v>171327</v>
      </c>
      <c r="F11" s="7">
        <v>158471</v>
      </c>
      <c r="G11" s="7">
        <v>-37263</v>
      </c>
      <c r="H11" s="7">
        <v>178572</v>
      </c>
      <c r="I11" s="7">
        <v>269311</v>
      </c>
      <c r="J11" s="7">
        <v>374672</v>
      </c>
      <c r="K11" s="7">
        <v>427501</v>
      </c>
      <c r="L11" s="7">
        <v>139777</v>
      </c>
      <c r="M11" s="7">
        <v>199636</v>
      </c>
      <c r="N11" s="7">
        <v>19319</v>
      </c>
      <c r="O11" s="7">
        <v>110193</v>
      </c>
      <c r="P11" s="7">
        <v>141808</v>
      </c>
      <c r="Q11" s="7">
        <v>216365</v>
      </c>
      <c r="R11" s="7">
        <v>2625826</v>
      </c>
      <c r="S11" s="7">
        <v>2202544</v>
      </c>
      <c r="T11" s="7">
        <f>1432596288/1000</f>
        <v>1432596.2879999999</v>
      </c>
      <c r="U11" s="22"/>
      <c r="V11" s="20"/>
      <c r="W11" s="20"/>
      <c r="X11" s="20"/>
      <c r="Y11" s="20"/>
    </row>
    <row r="12" spans="2:25" ht="18.5" x14ac:dyDescent="0.45">
      <c r="B12" s="2" t="s">
        <v>6</v>
      </c>
      <c r="C12" s="7">
        <v>191883</v>
      </c>
      <c r="D12" s="7">
        <f>C12+D8+D9+D10+D11</f>
        <v>1173214</v>
      </c>
      <c r="E12" s="7">
        <f>D12+SUM(E8:E11)</f>
        <v>1629096</v>
      </c>
      <c r="F12" s="7">
        <f>E12+SUM(F8:F11)</f>
        <v>1786091</v>
      </c>
      <c r="G12" s="7">
        <f t="shared" ref="G12:L12" si="0">F12+SUM(G8:G11)</f>
        <v>1800341</v>
      </c>
      <c r="H12" s="7">
        <f t="shared" si="0"/>
        <v>2123305</v>
      </c>
      <c r="I12" s="7">
        <f t="shared" si="0"/>
        <v>2368921</v>
      </c>
      <c r="J12" s="7">
        <f t="shared" si="0"/>
        <v>2823966</v>
      </c>
      <c r="K12" s="7">
        <f t="shared" si="0"/>
        <v>3357594</v>
      </c>
      <c r="L12" s="7">
        <f t="shared" si="0"/>
        <v>3647058</v>
      </c>
      <c r="M12" s="7">
        <f t="shared" ref="M12:Q12" si="1">L12+SUM(M8:M11)</f>
        <v>3818439</v>
      </c>
      <c r="N12" s="7">
        <f t="shared" si="1"/>
        <v>3899647</v>
      </c>
      <c r="O12" s="7">
        <f t="shared" si="1"/>
        <v>4185026</v>
      </c>
      <c r="P12" s="7">
        <f t="shared" si="1"/>
        <v>4443415</v>
      </c>
      <c r="Q12" s="7">
        <f t="shared" si="1"/>
        <v>5001054</v>
      </c>
      <c r="R12" s="7">
        <f>Q12+SUM(R8:R11)</f>
        <v>8456958</v>
      </c>
      <c r="S12" s="7">
        <f>R12+SUM(S8:S11)</f>
        <v>11325035</v>
      </c>
      <c r="T12" s="7">
        <f>S12+SUM(T8:T11)</f>
        <v>13264179.126189999</v>
      </c>
      <c r="U12" s="20"/>
      <c r="V12" s="20"/>
      <c r="W12" s="20"/>
      <c r="X12" s="20"/>
      <c r="Y12" s="20"/>
    </row>
    <row r="13" spans="2:25" ht="18.5" x14ac:dyDescent="0.45">
      <c r="B13" s="9" t="s">
        <v>7</v>
      </c>
      <c r="C13" s="9" t="s">
        <v>0</v>
      </c>
      <c r="D13" s="10" t="s">
        <v>0</v>
      </c>
      <c r="E13" s="11">
        <f>SUM(E8+E11)/(D12+E9)</f>
        <v>0.15199815297375449</v>
      </c>
      <c r="F13" s="11">
        <f>SUM(F8+F11)/E12</f>
        <v>0.10287607360155571</v>
      </c>
      <c r="G13" s="11">
        <f t="shared" ref="G13:L13" si="2">SUM(G8+G11)/F12</f>
        <v>1.1953478294219052E-2</v>
      </c>
      <c r="H13" s="11">
        <f t="shared" si="2"/>
        <v>0.18805548504422218</v>
      </c>
      <c r="I13" s="11">
        <f t="shared" si="2"/>
        <v>0.14478183774822742</v>
      </c>
      <c r="J13" s="11">
        <f t="shared" si="2"/>
        <v>0.19850598648076487</v>
      </c>
      <c r="K13" s="11">
        <f t="shared" si="2"/>
        <v>0.17542668714849965</v>
      </c>
      <c r="L13" s="11">
        <f t="shared" si="2"/>
        <v>7.8122905866522277E-2</v>
      </c>
      <c r="M13" s="11">
        <f t="shared" ref="M13:O13" si="3">SUM(M8+M11)/L12</f>
        <v>6.2949643246693637E-2</v>
      </c>
      <c r="N13" s="11">
        <f t="shared" si="3"/>
        <v>7.7369836207937331E-2</v>
      </c>
      <c r="O13" s="11">
        <f t="shared" si="3"/>
        <v>0.12728818787956961</v>
      </c>
      <c r="P13" s="11">
        <f>SUM(P8+P11)/O12</f>
        <v>0.10387056137763541</v>
      </c>
      <c r="Q13" s="11">
        <f>SUM(Q8+Q11)/P12</f>
        <v>0.15867052706083046</v>
      </c>
      <c r="R13" s="11">
        <f>SUM(R8+R11)/Q12</f>
        <v>0.73743294913432245</v>
      </c>
      <c r="S13" s="11">
        <f>SUM(S8+S11)/R12</f>
        <v>0.41031337745794644</v>
      </c>
      <c r="T13" s="11">
        <f>SUM(T8+T11)/S12</f>
        <v>0.20557956823268095</v>
      </c>
    </row>
    <row r="14" spans="2:25" ht="18.5" x14ac:dyDescent="0.45">
      <c r="E14" s="21">
        <f t="shared" ref="E14:Q14" si="4">AVERAGE($E$13:$S$13)</f>
        <v>0.18197437930151342</v>
      </c>
      <c r="F14" s="21">
        <f t="shared" si="4"/>
        <v>0.18197437930151342</v>
      </c>
      <c r="G14" s="21">
        <f t="shared" si="4"/>
        <v>0.18197437930151342</v>
      </c>
      <c r="H14" s="21">
        <f t="shared" si="4"/>
        <v>0.18197437930151342</v>
      </c>
      <c r="I14" s="21">
        <f t="shared" si="4"/>
        <v>0.18197437930151342</v>
      </c>
      <c r="J14" s="21">
        <f t="shared" si="4"/>
        <v>0.18197437930151342</v>
      </c>
      <c r="K14" s="21">
        <f t="shared" si="4"/>
        <v>0.18197437930151342</v>
      </c>
      <c r="L14" s="21">
        <f t="shared" si="4"/>
        <v>0.18197437930151342</v>
      </c>
      <c r="M14" s="21">
        <f t="shared" si="4"/>
        <v>0.18197437930151342</v>
      </c>
      <c r="N14" s="21">
        <f t="shared" si="4"/>
        <v>0.18197437930151342</v>
      </c>
      <c r="O14" s="21">
        <f t="shared" si="4"/>
        <v>0.18197437930151342</v>
      </c>
      <c r="P14" s="21">
        <f t="shared" si="4"/>
        <v>0.18197437930151342</v>
      </c>
      <c r="Q14" s="21">
        <f t="shared" si="4"/>
        <v>0.18197437930151342</v>
      </c>
      <c r="R14" s="21">
        <f>AVERAGE($E$13:$S$13)</f>
        <v>0.18197437930151342</v>
      </c>
      <c r="S14" s="21">
        <f>AVERAGE($E$13:$S$13)</f>
        <v>0.18197437930151342</v>
      </c>
      <c r="T14" s="21">
        <f>AVERAGE($E$13:$T$13)</f>
        <v>0.18344970360971138</v>
      </c>
    </row>
    <row r="15" spans="2:25" ht="18.5" x14ac:dyDescent="0.45">
      <c r="B15" s="36"/>
      <c r="C15" s="36"/>
      <c r="D15" s="36"/>
    </row>
    <row r="16" spans="2:25" ht="18.5" x14ac:dyDescent="0.45">
      <c r="B16" s="38" t="s">
        <v>10</v>
      </c>
      <c r="C16" s="38"/>
      <c r="D16" s="38"/>
      <c r="F16" s="35" t="s">
        <v>9</v>
      </c>
      <c r="G16" s="35"/>
      <c r="H16" s="12"/>
      <c r="I16" s="37" t="s">
        <v>8</v>
      </c>
      <c r="J16" s="37"/>
      <c r="K16" s="37"/>
    </row>
    <row r="18" spans="2:10" ht="18.5" x14ac:dyDescent="0.45">
      <c r="B18" s="13">
        <v>39417</v>
      </c>
      <c r="D18" s="2">
        <v>1</v>
      </c>
      <c r="F18" s="14">
        <f>1+(0.1177*0.85)</f>
        <v>1.1000449999999999</v>
      </c>
      <c r="G18" s="2">
        <v>1</v>
      </c>
      <c r="J18" s="2">
        <v>1</v>
      </c>
    </row>
    <row r="19" spans="2:10" ht="18.5" x14ac:dyDescent="0.45">
      <c r="B19" s="2">
        <v>2008</v>
      </c>
      <c r="C19" s="14">
        <f>1+E13</f>
        <v>1.1519981529737544</v>
      </c>
      <c r="D19" s="14">
        <f>C19</f>
        <v>1.1519981529737544</v>
      </c>
      <c r="F19" s="14">
        <f>1+(0.1238*0.85)</f>
        <v>1.1052299999999999</v>
      </c>
      <c r="G19" s="14">
        <f>F19</f>
        <v>1.1052299999999999</v>
      </c>
      <c r="I19" s="14">
        <f>F19+0.05</f>
        <v>1.15523</v>
      </c>
      <c r="J19" s="14">
        <f>I19</f>
        <v>1.15523</v>
      </c>
    </row>
    <row r="20" spans="2:10" ht="18.5" x14ac:dyDescent="0.45">
      <c r="B20" s="2">
        <v>2009</v>
      </c>
      <c r="C20" s="14">
        <f>1+F13</f>
        <v>1.1028760736015557</v>
      </c>
      <c r="D20" s="14">
        <f>C19*C20</f>
        <v>1.2705111997479386</v>
      </c>
      <c r="F20" s="2">
        <f>1+(0.098*0.85)</f>
        <v>1.0832999999999999</v>
      </c>
      <c r="G20" s="14">
        <f>F19*F20</f>
        <v>1.1972956589999999</v>
      </c>
      <c r="I20" s="14">
        <f t="shared" ref="I20:I33" si="5">F20+0.05</f>
        <v>1.1333</v>
      </c>
      <c r="J20" s="14">
        <f>I19*I20</f>
        <v>1.3092221589999999</v>
      </c>
    </row>
    <row r="21" spans="2:10" ht="18.5" x14ac:dyDescent="0.45">
      <c r="B21" s="2">
        <v>2010</v>
      </c>
      <c r="C21" s="14">
        <f>1+G13</f>
        <v>1.011953478294219</v>
      </c>
      <c r="D21" s="14">
        <f t="shared" ref="D21:D26" si="6">D20*C21</f>
        <v>1.2856982277966877</v>
      </c>
      <c r="F21" s="14">
        <f>1+(0.0975*0.85)</f>
        <v>1.082875</v>
      </c>
      <c r="G21" s="14">
        <f t="shared" ref="G21:G33" si="7">G20*F21</f>
        <v>1.296521536739625</v>
      </c>
      <c r="I21" s="14">
        <f t="shared" si="5"/>
        <v>1.1328750000000001</v>
      </c>
      <c r="J21" s="14">
        <f>J20*I21</f>
        <v>1.4831850533771251</v>
      </c>
    </row>
    <row r="22" spans="2:10" ht="18.5" x14ac:dyDescent="0.45">
      <c r="B22" s="2">
        <v>2011</v>
      </c>
      <c r="C22" s="14">
        <f>1+H13</f>
        <v>1.1880554850442222</v>
      </c>
      <c r="D22" s="14">
        <f t="shared" si="6"/>
        <v>1.5274808316454906</v>
      </c>
      <c r="F22" s="14">
        <f>1+(0.116*0.85)</f>
        <v>1.0986</v>
      </c>
      <c r="G22" s="14">
        <f t="shared" si="7"/>
        <v>1.424358560262152</v>
      </c>
      <c r="I22" s="14">
        <f t="shared" si="5"/>
        <v>1.1486000000000001</v>
      </c>
      <c r="J22" s="14">
        <f t="shared" ref="J22:J26" si="8">J21*I22</f>
        <v>1.703586352308966</v>
      </c>
    </row>
    <row r="23" spans="2:10" ht="18.5" x14ac:dyDescent="0.45">
      <c r="B23" s="2">
        <v>2012</v>
      </c>
      <c r="C23" s="14">
        <f>1+I13</f>
        <v>1.1447818377482275</v>
      </c>
      <c r="D23" s="14">
        <f t="shared" si="6"/>
        <v>1.7486323135763158</v>
      </c>
      <c r="F23" s="14">
        <f>1+(0.084*0.85)</f>
        <v>1.0713999999999999</v>
      </c>
      <c r="G23" s="14">
        <f t="shared" si="7"/>
        <v>1.5260577614648696</v>
      </c>
      <c r="I23" s="14">
        <f t="shared" si="5"/>
        <v>1.1214</v>
      </c>
      <c r="J23" s="14">
        <f t="shared" si="8"/>
        <v>1.9104017354792744</v>
      </c>
    </row>
    <row r="24" spans="2:10" ht="18.5" x14ac:dyDescent="0.45">
      <c r="B24" s="2">
        <v>2013</v>
      </c>
      <c r="C24" s="14">
        <f>1+J13</f>
        <v>1.1985059864807648</v>
      </c>
      <c r="D24" s="14">
        <f t="shared" si="6"/>
        <v>2.0957462959749242</v>
      </c>
      <c r="F24" s="14">
        <f>1+(0.0806*0.85)</f>
        <v>1.0685100000000001</v>
      </c>
      <c r="G24" s="14">
        <f t="shared" si="7"/>
        <v>1.630607978702828</v>
      </c>
      <c r="I24" s="14">
        <f t="shared" si="5"/>
        <v>1.1185100000000001</v>
      </c>
      <c r="J24" s="14">
        <f t="shared" si="8"/>
        <v>2.1368034451509232</v>
      </c>
    </row>
    <row r="25" spans="2:10" ht="18.5" x14ac:dyDescent="0.45">
      <c r="B25" s="2">
        <v>2014</v>
      </c>
      <c r="C25" s="14">
        <f>1+K13</f>
        <v>1.1754266871484997</v>
      </c>
      <c r="D25" s="14">
        <f t="shared" si="6"/>
        <v>2.4633961257815442</v>
      </c>
      <c r="F25" s="14">
        <f>1+(0.1081*0.85)</f>
        <v>1.091885</v>
      </c>
      <c r="G25" s="14">
        <f t="shared" si="7"/>
        <v>1.7804363928259375</v>
      </c>
      <c r="I25" s="14">
        <f t="shared" si="5"/>
        <v>1.141885</v>
      </c>
      <c r="J25" s="14">
        <f t="shared" si="8"/>
        <v>2.4399838019661622</v>
      </c>
    </row>
    <row r="26" spans="2:10" ht="18.5" x14ac:dyDescent="0.45">
      <c r="B26" s="2">
        <v>2015</v>
      </c>
      <c r="C26" s="14">
        <f>1+L13</f>
        <v>1.0781229058665223</v>
      </c>
      <c r="D26" s="14">
        <f t="shared" si="6"/>
        <v>2.6558437894279314</v>
      </c>
      <c r="F26" s="14">
        <f>1+(0.1324*0.85)</f>
        <v>1.1125400000000001</v>
      </c>
      <c r="G26" s="14">
        <f t="shared" si="7"/>
        <v>1.9808067044745685</v>
      </c>
      <c r="I26" s="14">
        <f t="shared" si="5"/>
        <v>1.1625400000000001</v>
      </c>
      <c r="J26" s="14">
        <f t="shared" si="8"/>
        <v>2.8365787691377427</v>
      </c>
    </row>
    <row r="27" spans="2:10" ht="18.5" x14ac:dyDescent="0.45">
      <c r="B27" s="2">
        <v>2016</v>
      </c>
      <c r="C27" s="14">
        <f>1+M13</f>
        <v>1.0629496432466936</v>
      </c>
      <c r="D27" s="14">
        <f t="shared" ref="D27:D31" si="9">D26*C27</f>
        <v>2.8230282084913667</v>
      </c>
      <c r="F27" s="15">
        <f>1+(0.14*0.85)</f>
        <v>1.119</v>
      </c>
      <c r="G27" s="14">
        <f t="shared" si="7"/>
        <v>2.2165227023070422</v>
      </c>
      <c r="I27" s="14">
        <f t="shared" si="5"/>
        <v>1.169</v>
      </c>
      <c r="J27" s="14">
        <f t="shared" ref="J27:J33" si="10">J26*I27</f>
        <v>3.3159605811220212</v>
      </c>
    </row>
    <row r="28" spans="2:10" ht="18.5" x14ac:dyDescent="0.45">
      <c r="B28" s="2">
        <v>2017</v>
      </c>
      <c r="C28" s="14">
        <f>1+N13</f>
        <v>1.0773698362079374</v>
      </c>
      <c r="D28" s="14">
        <f t="shared" si="9"/>
        <v>3.0414454385927305</v>
      </c>
      <c r="F28" s="15">
        <f>1+(0.0993*0.85)</f>
        <v>1.0844050000000001</v>
      </c>
      <c r="G28" s="14">
        <f t="shared" si="7"/>
        <v>2.403608300995268</v>
      </c>
      <c r="I28" s="14">
        <f t="shared" si="5"/>
        <v>1.1344050000000001</v>
      </c>
      <c r="J28" s="14">
        <f t="shared" si="10"/>
        <v>3.7616422630277269</v>
      </c>
    </row>
    <row r="29" spans="2:10" ht="18.5" x14ac:dyDescent="0.45">
      <c r="B29" s="2">
        <v>2018</v>
      </c>
      <c r="C29" s="14">
        <f>1+O13</f>
        <v>1.1272881878795695</v>
      </c>
      <c r="D29" s="14">
        <f t="shared" si="9"/>
        <v>3.4285855170057817</v>
      </c>
      <c r="F29" s="15">
        <f>1+(0.0642*0.85)</f>
        <v>1.05457</v>
      </c>
      <c r="G29" s="14">
        <f t="shared" si="7"/>
        <v>2.5347732059805796</v>
      </c>
      <c r="I29" s="14">
        <f t="shared" si="5"/>
        <v>1.1045700000000001</v>
      </c>
      <c r="J29" s="14">
        <f>J28*I29</f>
        <v>4.1549971944725366</v>
      </c>
    </row>
    <row r="30" spans="2:10" ht="18.5" x14ac:dyDescent="0.45">
      <c r="B30" s="2">
        <v>2019</v>
      </c>
      <c r="C30" s="14">
        <f>1+P13</f>
        <v>1.1038705613776354</v>
      </c>
      <c r="D30" s="14">
        <f t="shared" si="9"/>
        <v>3.7847146193884025</v>
      </c>
      <c r="F30" s="15">
        <f>1+(0.0596*0.85)</f>
        <v>1.0506599999999999</v>
      </c>
      <c r="G30" s="14">
        <f t="shared" si="7"/>
        <v>2.6631848165955558</v>
      </c>
      <c r="I30" s="14">
        <f t="shared" si="5"/>
        <v>1.10066</v>
      </c>
      <c r="J30" s="14">
        <f t="shared" si="10"/>
        <v>4.5732392120681418</v>
      </c>
    </row>
    <row r="31" spans="2:10" ht="18.5" x14ac:dyDescent="0.45">
      <c r="B31" s="2">
        <v>2020</v>
      </c>
      <c r="C31" s="14">
        <f>1+Q13</f>
        <v>1.1586705270608304</v>
      </c>
      <c r="D31" s="14">
        <f t="shared" si="9"/>
        <v>4.3852372828215902</v>
      </c>
      <c r="F31" s="15">
        <f>1+(0.0276*0.85)</f>
        <v>1.02346</v>
      </c>
      <c r="G31" s="14">
        <f t="shared" si="7"/>
        <v>2.7256631323928877</v>
      </c>
      <c r="I31" s="14">
        <f t="shared" si="5"/>
        <v>1.0734600000000001</v>
      </c>
      <c r="J31" s="14">
        <f t="shared" si="10"/>
        <v>4.909189364586668</v>
      </c>
    </row>
    <row r="32" spans="2:10" ht="18.5" x14ac:dyDescent="0.45">
      <c r="B32" s="2">
        <v>2021</v>
      </c>
      <c r="C32" s="14">
        <f>1+R13</f>
        <v>1.7374329491343223</v>
      </c>
      <c r="D32" s="14">
        <f>D31*C32</f>
        <v>7.6190557449464977</v>
      </c>
      <c r="F32" s="15">
        <f>1+(0.0442*0.85)</f>
        <v>1.0375700000000001</v>
      </c>
      <c r="G32" s="14">
        <f t="shared" si="7"/>
        <v>2.828066296276889</v>
      </c>
      <c r="I32" s="14">
        <f t="shared" si="5"/>
        <v>1.0875700000000001</v>
      </c>
      <c r="J32" s="14">
        <f t="shared" si="10"/>
        <v>5.3390870772435228</v>
      </c>
    </row>
    <row r="33" spans="2:10" ht="18.5" x14ac:dyDescent="0.45">
      <c r="B33" s="2">
        <v>2022</v>
      </c>
      <c r="C33" s="14">
        <f>1+S13</f>
        <v>1.4103133774579464</v>
      </c>
      <c r="D33" s="14">
        <f>D32*C33</f>
        <v>10.745256240695864</v>
      </c>
      <c r="F33" s="15">
        <f>1+(0.1233*0.85)</f>
        <v>1.104805</v>
      </c>
      <c r="G33" s="14">
        <f t="shared" si="7"/>
        <v>3.1244617844581883</v>
      </c>
      <c r="I33" s="14">
        <f t="shared" si="5"/>
        <v>1.1548050000000001</v>
      </c>
      <c r="J33" s="14">
        <f t="shared" si="10"/>
        <v>6.1656044522362068</v>
      </c>
    </row>
    <row r="34" spans="2:10" ht="18.5" x14ac:dyDescent="0.45">
      <c r="B34" s="25">
        <v>2023</v>
      </c>
      <c r="C34" s="15">
        <f>1+T13</f>
        <v>1.2055795682326809</v>
      </c>
      <c r="D34" s="31">
        <f>D33*C34</f>
        <v>12.95426137920764</v>
      </c>
      <c r="E34" s="30"/>
      <c r="F34" s="31">
        <f>1+(0.1304*0.85)</f>
        <v>1.11084</v>
      </c>
      <c r="G34" s="30">
        <f>G33*F34</f>
        <v>3.470777128647534</v>
      </c>
      <c r="H34" s="30"/>
      <c r="I34" s="30">
        <f t="shared" ref="I34" si="11">F34+0.05</f>
        <v>1.1608400000000001</v>
      </c>
      <c r="J34" s="30">
        <f t="shared" ref="J34" si="12">J33*I34</f>
        <v>7.1572802723338791</v>
      </c>
    </row>
    <row r="35" spans="2:10" ht="18.5" x14ac:dyDescent="0.45">
      <c r="B35" s="33" t="s">
        <v>11</v>
      </c>
      <c r="C35" s="33"/>
      <c r="D35" s="28">
        <f>D34-D18</f>
        <v>11.95426137920764</v>
      </c>
      <c r="E35" s="19"/>
      <c r="F35" s="29"/>
      <c r="G35" s="29">
        <f>G34-G18</f>
        <v>2.470777128647534</v>
      </c>
      <c r="H35" s="19"/>
      <c r="I35" s="28"/>
      <c r="J35" s="28">
        <f>J33-J18</f>
        <v>5.1656044522362068</v>
      </c>
    </row>
    <row r="36" spans="2:10" ht="18.5" x14ac:dyDescent="0.45">
      <c r="B36" s="33"/>
      <c r="C36" s="33"/>
      <c r="D36" s="26">
        <f>((1+D35)^(1/16))-1</f>
        <v>0.17361537664469329</v>
      </c>
      <c r="E36" s="21"/>
      <c r="F36" s="24"/>
      <c r="G36" s="24">
        <f>((1+G35)^(1/(17-1))-1)</f>
        <v>8.0877982711883734E-2</v>
      </c>
      <c r="H36" s="27"/>
      <c r="I36" s="26"/>
      <c r="J36" s="26">
        <f>((1+J35)^(1/16))-1</f>
        <v>0.12040097664816729</v>
      </c>
    </row>
    <row r="37" spans="2:10" ht="32.25" customHeight="1" x14ac:dyDescent="0.45">
      <c r="B37" s="34"/>
      <c r="C37" s="34"/>
      <c r="D37" s="14"/>
      <c r="G37" s="14"/>
    </row>
    <row r="38" spans="2:10" ht="18.5" x14ac:dyDescent="0.45">
      <c r="B38" s="34"/>
      <c r="C38" s="34"/>
      <c r="D38" s="16"/>
      <c r="G38" s="14"/>
      <c r="H38" s="17"/>
    </row>
    <row r="40" spans="2:10" ht="18.5" x14ac:dyDescent="0.45">
      <c r="J40" s="18"/>
    </row>
    <row r="50" spans="5:5" ht="18.5" x14ac:dyDescent="0.45">
      <c r="E50" s="19"/>
    </row>
    <row r="51" spans="5:5" ht="18.5" x14ac:dyDescent="0.45">
      <c r="E51" s="19"/>
    </row>
  </sheetData>
  <mergeCells count="7">
    <mergeCell ref="B2:P5"/>
    <mergeCell ref="B35:C36"/>
    <mergeCell ref="B37:C38"/>
    <mergeCell ref="F16:G16"/>
    <mergeCell ref="B15:D15"/>
    <mergeCell ref="I16:K16"/>
    <mergeCell ref="B16:D16"/>
  </mergeCells>
  <pageMargins left="0.51181102362204722" right="0.51181102362204722" top="0.78740157480314965" bottom="0.78740157480314965" header="0.31496062992125984" footer="0.31496062992125984"/>
  <pageSetup paperSize="9" scale="69"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E004AB5DACC946B9DF68C3C2C54DFD" ma:contentTypeVersion="18" ma:contentTypeDescription="Create a new document." ma:contentTypeScope="" ma:versionID="e1fdc228ddc0c33739d3b62ded335ddf">
  <xsd:schema xmlns:xsd="http://www.w3.org/2001/XMLSchema" xmlns:xs="http://www.w3.org/2001/XMLSchema" xmlns:p="http://schemas.microsoft.com/office/2006/metadata/properties" xmlns:ns2="29dfc1a8-b777-4321-a74f-896313141591" xmlns:ns3="4c99e0e0-a7ff-498c-a891-888aae3c0d40" targetNamespace="http://schemas.microsoft.com/office/2006/metadata/properties" ma:root="true" ma:fieldsID="51e71f26df4e3ce92bcd9f6a6bd171f9" ns2:_="" ns3:_="">
    <xsd:import namespace="29dfc1a8-b777-4321-a74f-896313141591"/>
    <xsd:import namespace="4c99e0e0-a7ff-498c-a891-888aae3c0d4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dfc1a8-b777-4321-a74f-8963131415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db3cea5-0ee3-4113-b3a4-755b0456c0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99e0e0-a7ff-498c-a891-888aae3c0d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4696b19-8f9b-4b7e-8fd3-f648f8e0756d}" ma:internalName="TaxCatchAll" ma:showField="CatchAllData" ma:web="4c99e0e0-a7ff-498c-a891-888aae3c0d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c99e0e0-a7ff-498c-a891-888aae3c0d40">
      <UserInfo>
        <DisplayName>Rodrigo Gelain - SLC Agrícola</DisplayName>
        <AccountId>88</AccountId>
        <AccountType/>
      </UserInfo>
    </SharedWithUsers>
    <TaxCatchAll xmlns="4c99e0e0-a7ff-498c-a891-888aae3c0d40" xsi:nil="true"/>
    <lcf76f155ced4ddcb4097134ff3c332f xmlns="29dfc1a8-b777-4321-a74f-89631314159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4B9406-14F9-4D8D-94A8-206F52E9311F}"/>
</file>

<file path=customXml/itemProps2.xml><?xml version="1.0" encoding="utf-8"?>
<ds:datastoreItem xmlns:ds="http://schemas.openxmlformats.org/officeDocument/2006/customXml" ds:itemID="{BDBF38A4-0FE3-415B-AFB7-79DC19293CEF}">
  <ds:schemaRefs>
    <ds:schemaRef ds:uri="http://schemas.microsoft.com/sharepoint/v3/contenttype/forms"/>
  </ds:schemaRefs>
</ds:datastoreItem>
</file>

<file path=customXml/itemProps3.xml><?xml version="1.0" encoding="utf-8"?>
<ds:datastoreItem xmlns:ds="http://schemas.openxmlformats.org/officeDocument/2006/customXml" ds:itemID="{FA1A3E85-2B1C-4E76-A821-9C28DAFAA85F}">
  <ds:schemaRefs>
    <ds:schemaRef ds:uri="http://purl.org/dc/dcmitype/"/>
    <ds:schemaRef ds:uri="http://schemas.microsoft.com/office/2006/metadata/properties"/>
    <ds:schemaRef ds:uri="http://purl.org/dc/elements/1.1/"/>
    <ds:schemaRef ds:uri="http://www.w3.org/XML/1998/namespac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4c99e0e0-a7ff-498c-a891-888aae3c0d40"/>
    <ds:schemaRef ds:uri="29dfc1a8-b777-4321-a74f-896313141591"/>
  </ds:schemaRefs>
</ds:datastoreItem>
</file>

<file path=docMetadata/LabelInfo.xml><?xml version="1.0" encoding="utf-8"?>
<clbl:labelList xmlns:clbl="http://schemas.microsoft.com/office/2020/mipLabelMetadata">
  <clbl:label id="{942df343-8f73-40db-b966-81a2807536cb}" enabled="0" method="" siteId="{942df343-8f73-40db-b966-81a2807536c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Planilhas</vt:lpstr>
      </vt:variant>
      <vt:variant>
        <vt:i4>1</vt:i4>
      </vt:variant>
      <vt:variant>
        <vt:lpstr>Gráficos</vt:lpstr>
      </vt:variant>
      <vt:variant>
        <vt:i4>2</vt:i4>
      </vt:variant>
      <vt:variant>
        <vt:lpstr>Intervalos Nomeados</vt:lpstr>
      </vt:variant>
      <vt:variant>
        <vt:i4>1</vt:i4>
      </vt:variant>
    </vt:vector>
  </HeadingPairs>
  <TitlesOfParts>
    <vt:vector size="4" baseType="lpstr">
      <vt:lpstr>Data</vt:lpstr>
      <vt:lpstr>Growth of 1USD Invested</vt:lpstr>
      <vt:lpstr>Annual Return of Agricultural O</vt:lpstr>
      <vt:lpstr>Data!Area_de_impressao</vt:lpstr>
    </vt:vector>
  </TitlesOfParts>
  <Manager/>
  <Company>Grupo SLC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frederico.logemann</dc:creator>
  <cp:keywords/>
  <dc:description/>
  <cp:lastModifiedBy>Stefano Bing - SLC Agrícola</cp:lastModifiedBy>
  <cp:revision/>
  <dcterms:created xsi:type="dcterms:W3CDTF">2016-06-24T14:13:50Z</dcterms:created>
  <dcterms:modified xsi:type="dcterms:W3CDTF">2024-03-19T19:59:20Z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0x01010038E004AB5DACC946B9DF68C3C2C54DFD</vt:lpwstr>
  </property>
  <property fmtid="{D5CDD505-2E9C-101B-9397-08002B2CF9AE}" pid="3" name="MediaServiceImageTags">
    <vt:lpwstr/>
  </property>
</Properties>
</file>