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5\2025.12.15\"/>
    </mc:Choice>
  </mc:AlternateContent>
  <xr:revisionPtr revIDLastSave="0" documentId="13_ncr:1_{44C6C940-A999-4647-93B7-0C4AA2119248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Histórico de Proventos" sheetId="1" r:id="rId1"/>
    <sheet name="Proventos Totais" sheetId="2" r:id="rId2"/>
    <sheet name="Bonificação" sheetId="4" r:id="rId3"/>
    <sheet name="Subscrição" sheetId="5" r:id="rId4"/>
  </sheets>
  <definedNames>
    <definedName name="_xlnm._FilterDatabase" localSheetId="2" hidden="1">Bonificação!$B$6:$F$20</definedName>
    <definedName name="_xlnm._FilterDatabase" localSheetId="1" hidden="1">'Proventos Totais'!$C$7:$G$36</definedName>
    <definedName name="_xlnm._FilterDatabase" localSheetId="3" hidden="1">Subscrição!$B$6:$F$27</definedName>
    <definedName name="_xlnm.Print_Area" localSheetId="2">Bonificação!$A$1:$G$21</definedName>
    <definedName name="_xlnm.Print_Area" localSheetId="1">'Proventos Totais'!$A$5:$G$39</definedName>
    <definedName name="_xlnm.Print_Area" localSheetId="3">Subscrição!$A$1:$G$28</definedName>
    <definedName name="CIQWBGuid" hidden="1">"58b2412e-ab81-47ec-8471-de43975f1dd3"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45361.6228935185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D8" i="2"/>
  <c r="N8" i="1"/>
  <c r="N9" i="1"/>
  <c r="I8" i="1"/>
  <c r="P8" i="1"/>
  <c r="O8" i="1"/>
  <c r="P9" i="1"/>
  <c r="O9" i="1"/>
  <c r="L8" i="1"/>
  <c r="L9" i="1"/>
  <c r="I9" i="1"/>
  <c r="G8" i="1"/>
  <c r="F8" i="1"/>
  <c r="G9" i="1"/>
  <c r="F9" i="1"/>
  <c r="G10" i="1"/>
  <c r="F10" i="1"/>
  <c r="L10" i="1"/>
  <c r="N10" i="1"/>
  <c r="I10" i="1"/>
  <c r="N11" i="1"/>
  <c r="L11" i="1"/>
  <c r="P10" i="1" l="1"/>
  <c r="O10" i="1"/>
  <c r="I11" i="1"/>
  <c r="G11" i="1"/>
  <c r="F11" i="1"/>
  <c r="G22" i="1"/>
  <c r="F22" i="1"/>
  <c r="G23" i="1"/>
  <c r="F23" i="1"/>
  <c r="I14" i="1"/>
  <c r="L14" i="1"/>
  <c r="N14" i="1"/>
  <c r="I15" i="1"/>
  <c r="L15" i="1"/>
  <c r="N15" i="1"/>
  <c r="N13" i="1"/>
  <c r="L13" i="1"/>
  <c r="I13" i="1"/>
  <c r="N12" i="1"/>
  <c r="L12" i="1"/>
  <c r="I12" i="1"/>
  <c r="L22" i="1"/>
  <c r="I22" i="1"/>
  <c r="L23" i="1"/>
  <c r="I23" i="1"/>
  <c r="L24" i="1"/>
  <c r="I24" i="1"/>
  <c r="N22" i="1"/>
  <c r="N23" i="1"/>
  <c r="N24" i="1"/>
  <c r="G24" i="1"/>
  <c r="F24" i="1"/>
  <c r="G15" i="1"/>
  <c r="F15" i="1"/>
  <c r="G14" i="1"/>
  <c r="F14" i="1"/>
  <c r="G13" i="1"/>
  <c r="F13" i="1"/>
  <c r="G12" i="1"/>
  <c r="F12" i="1"/>
  <c r="L25" i="1"/>
  <c r="N25" i="1"/>
  <c r="I25" i="1"/>
  <c r="F25" i="1"/>
  <c r="G25" i="1"/>
  <c r="D27" i="2"/>
  <c r="D28" i="2"/>
  <c r="D29" i="2"/>
  <c r="D30" i="2"/>
  <c r="D31" i="2"/>
  <c r="D32" i="2"/>
  <c r="D33" i="2"/>
  <c r="D34" i="2"/>
  <c r="D35" i="2"/>
  <c r="D36" i="2"/>
  <c r="F26" i="1"/>
  <c r="G26" i="1"/>
  <c r="I26" i="1"/>
  <c r="L26" i="1"/>
  <c r="N26" i="1"/>
  <c r="F27" i="1"/>
  <c r="G27" i="1"/>
  <c r="I27" i="1"/>
  <c r="L27" i="1"/>
  <c r="N27" i="1"/>
  <c r="F28" i="1"/>
  <c r="G28" i="1"/>
  <c r="I28" i="1"/>
  <c r="L28" i="1"/>
  <c r="N28" i="1"/>
  <c r="F29" i="1"/>
  <c r="G29" i="1"/>
  <c r="I29" i="1"/>
  <c r="L29" i="1"/>
  <c r="N29" i="1"/>
  <c r="F30" i="1"/>
  <c r="G30" i="1"/>
  <c r="I30" i="1"/>
  <c r="L30" i="1"/>
  <c r="N30" i="1"/>
  <c r="F31" i="1"/>
  <c r="G31" i="1"/>
  <c r="I31" i="1"/>
  <c r="L31" i="1"/>
  <c r="N31" i="1"/>
  <c r="F32" i="1"/>
  <c r="G32" i="1"/>
  <c r="I32" i="1"/>
  <c r="L32" i="1"/>
  <c r="N32" i="1"/>
  <c r="F40" i="1"/>
  <c r="G40" i="1"/>
  <c r="I40" i="1"/>
  <c r="L40" i="1"/>
  <c r="N40" i="1"/>
  <c r="F41" i="1"/>
  <c r="G41" i="1"/>
  <c r="I41" i="1"/>
  <c r="L41" i="1"/>
  <c r="N41" i="1"/>
  <c r="F42" i="1"/>
  <c r="G42" i="1"/>
  <c r="I42" i="1"/>
  <c r="L42" i="1"/>
  <c r="N42" i="1"/>
  <c r="F43" i="1"/>
  <c r="G43" i="1"/>
  <c r="I43" i="1"/>
  <c r="L43" i="1"/>
  <c r="N43" i="1"/>
  <c r="F44" i="1"/>
  <c r="G44" i="1"/>
  <c r="I44" i="1"/>
  <c r="L44" i="1"/>
  <c r="N44" i="1"/>
  <c r="F45" i="1"/>
  <c r="G45" i="1"/>
  <c r="I45" i="1"/>
  <c r="L45" i="1"/>
  <c r="N45" i="1"/>
  <c r="F46" i="1"/>
  <c r="G46" i="1"/>
  <c r="I46" i="1"/>
  <c r="L46" i="1"/>
  <c r="N46" i="1"/>
  <c r="F47" i="1"/>
  <c r="G47" i="1"/>
  <c r="I47" i="1"/>
  <c r="L47" i="1"/>
  <c r="N47" i="1"/>
  <c r="F48" i="1"/>
  <c r="G48" i="1"/>
  <c r="I48" i="1"/>
  <c r="L48" i="1"/>
  <c r="N48" i="1"/>
  <c r="F49" i="1"/>
  <c r="G49" i="1"/>
  <c r="I49" i="1"/>
  <c r="L49" i="1"/>
  <c r="N49" i="1"/>
  <c r="F50" i="1"/>
  <c r="G50" i="1"/>
  <c r="I50" i="1"/>
  <c r="L50" i="1"/>
  <c r="N50" i="1"/>
  <c r="F59" i="1"/>
  <c r="G59" i="1"/>
  <c r="I59" i="1"/>
  <c r="L59" i="1"/>
  <c r="N59" i="1"/>
  <c r="F60" i="1"/>
  <c r="G60" i="1"/>
  <c r="I60" i="1"/>
  <c r="L60" i="1"/>
  <c r="N60" i="1"/>
  <c r="F61" i="1"/>
  <c r="G61" i="1"/>
  <c r="I61" i="1"/>
  <c r="L61" i="1"/>
  <c r="N61" i="1"/>
  <c r="F62" i="1"/>
  <c r="G62" i="1"/>
  <c r="I62" i="1"/>
  <c r="L62" i="1"/>
  <c r="N62" i="1"/>
  <c r="F63" i="1"/>
  <c r="G63" i="1"/>
  <c r="I63" i="1"/>
  <c r="L63" i="1"/>
  <c r="N63" i="1"/>
  <c r="F64" i="1"/>
  <c r="G64" i="1"/>
  <c r="I64" i="1"/>
  <c r="L64" i="1"/>
  <c r="N64" i="1"/>
  <c r="F65" i="1"/>
  <c r="G65" i="1"/>
  <c r="I65" i="1"/>
  <c r="L65" i="1"/>
  <c r="N65" i="1"/>
  <c r="F66" i="1"/>
  <c r="G66" i="1"/>
  <c r="I66" i="1"/>
  <c r="L66" i="1"/>
  <c r="N66" i="1"/>
  <c r="F67" i="1"/>
  <c r="G67" i="1"/>
  <c r="I67" i="1"/>
  <c r="L67" i="1"/>
  <c r="N67" i="1"/>
  <c r="F68" i="1"/>
  <c r="G68" i="1"/>
  <c r="I68" i="1"/>
  <c r="L68" i="1"/>
  <c r="N68" i="1"/>
  <c r="F77" i="1"/>
  <c r="G77" i="1"/>
  <c r="I77" i="1"/>
  <c r="J77" i="1"/>
  <c r="L77" i="1" s="1"/>
  <c r="N77" i="1"/>
  <c r="F78" i="1"/>
  <c r="G78" i="1"/>
  <c r="I78" i="1"/>
  <c r="J78" i="1"/>
  <c r="L78" i="1" s="1"/>
  <c r="N78" i="1"/>
  <c r="F79" i="1"/>
  <c r="G79" i="1"/>
  <c r="I79" i="1"/>
  <c r="J79" i="1"/>
  <c r="L79" i="1" s="1"/>
  <c r="N79" i="1"/>
  <c r="F80" i="1"/>
  <c r="G80" i="1"/>
  <c r="I80" i="1"/>
  <c r="J80" i="1"/>
  <c r="L80" i="1" s="1"/>
  <c r="N80" i="1"/>
  <c r="F81" i="1"/>
  <c r="G81" i="1"/>
  <c r="I81" i="1"/>
  <c r="J81" i="1"/>
  <c r="L81" i="1" s="1"/>
  <c r="N81" i="1"/>
  <c r="F82" i="1"/>
  <c r="G82" i="1"/>
  <c r="I82" i="1"/>
  <c r="J82" i="1"/>
  <c r="L82" i="1" s="1"/>
  <c r="N82" i="1"/>
  <c r="F83" i="1"/>
  <c r="G83" i="1"/>
  <c r="I83" i="1"/>
  <c r="J83" i="1"/>
  <c r="L83" i="1" s="1"/>
  <c r="N83" i="1"/>
  <c r="F84" i="1"/>
  <c r="G84" i="1"/>
  <c r="I84" i="1"/>
  <c r="J84" i="1"/>
  <c r="L84" i="1" s="1"/>
  <c r="N84" i="1"/>
  <c r="F85" i="1"/>
  <c r="G85" i="1"/>
  <c r="I85" i="1"/>
  <c r="J85" i="1"/>
  <c r="L85" i="1" s="1"/>
  <c r="N85" i="1"/>
  <c r="F86" i="1"/>
  <c r="G86" i="1"/>
  <c r="I86" i="1"/>
  <c r="J86" i="1"/>
  <c r="L86" i="1" s="1"/>
  <c r="N86" i="1"/>
  <c r="F87" i="1"/>
  <c r="G87" i="1"/>
  <c r="I87" i="1"/>
  <c r="L87" i="1"/>
  <c r="N87" i="1"/>
  <c r="F98" i="1"/>
  <c r="G98" i="1"/>
  <c r="F99" i="1"/>
  <c r="G99" i="1"/>
  <c r="F100" i="1"/>
  <c r="G100" i="1"/>
  <c r="F101" i="1"/>
  <c r="G101" i="1"/>
  <c r="F102" i="1"/>
  <c r="G102" i="1"/>
  <c r="F109" i="1"/>
  <c r="G109" i="1"/>
  <c r="F110" i="1"/>
  <c r="G110" i="1"/>
  <c r="G111" i="1"/>
  <c r="F113" i="1"/>
  <c r="G113" i="1"/>
  <c r="F114" i="1"/>
  <c r="G114" i="1"/>
  <c r="F115" i="1"/>
  <c r="G115" i="1"/>
  <c r="F116" i="1"/>
  <c r="G116" i="1"/>
  <c r="F123" i="1"/>
  <c r="G123" i="1"/>
  <c r="F124" i="1"/>
  <c r="G124" i="1"/>
  <c r="F125" i="1"/>
  <c r="G125" i="1"/>
  <c r="F126" i="1"/>
  <c r="G126" i="1"/>
  <c r="F128" i="1"/>
  <c r="G128" i="1"/>
  <c r="F129" i="1"/>
  <c r="G129" i="1"/>
  <c r="F153" i="1"/>
  <c r="G153" i="1"/>
  <c r="F154" i="1"/>
  <c r="G154" i="1"/>
  <c r="F155" i="1"/>
  <c r="G155" i="1"/>
  <c r="F156" i="1"/>
  <c r="G156" i="1"/>
  <c r="F167" i="1"/>
  <c r="G167" i="1"/>
  <c r="F168" i="1"/>
  <c r="G168" i="1"/>
  <c r="F169" i="1"/>
  <c r="G169" i="1"/>
  <c r="F170" i="1"/>
  <c r="G170" i="1"/>
  <c r="P14" i="1" l="1"/>
  <c r="P12" i="1"/>
  <c r="O23" i="1"/>
  <c r="O12" i="1"/>
  <c r="O24" i="1"/>
  <c r="P24" i="1"/>
  <c r="D9" i="2"/>
  <c r="P22" i="1"/>
  <c r="P23" i="1"/>
  <c r="O11" i="1"/>
  <c r="P11" i="1"/>
  <c r="O15" i="1"/>
  <c r="O22" i="1"/>
  <c r="P13" i="1"/>
  <c r="O14" i="1"/>
  <c r="F9" i="2"/>
  <c r="P15" i="1"/>
  <c r="O13" i="1"/>
  <c r="P25" i="1"/>
  <c r="O25" i="1"/>
  <c r="P78" i="1"/>
  <c r="O68" i="1"/>
  <c r="O60" i="1"/>
  <c r="O50" i="1"/>
  <c r="O65" i="1"/>
  <c r="O49" i="1"/>
  <c r="P66" i="1"/>
  <c r="P32" i="1"/>
  <c r="P65" i="1"/>
  <c r="O43" i="1"/>
  <c r="P49" i="1"/>
  <c r="O83" i="1"/>
  <c r="P41" i="1"/>
  <c r="P48" i="1"/>
  <c r="F18" i="2"/>
  <c r="P60" i="1"/>
  <c r="P43" i="1"/>
  <c r="O62" i="1"/>
  <c r="O40" i="1"/>
  <c r="P31" i="1"/>
  <c r="O42" i="1"/>
  <c r="P40" i="1"/>
  <c r="P28" i="1"/>
  <c r="P77" i="1"/>
  <c r="P47" i="1"/>
  <c r="O47" i="1"/>
  <c r="P42" i="1"/>
  <c r="P82" i="1"/>
  <c r="O82" i="1"/>
  <c r="O61" i="1"/>
  <c r="O59" i="1"/>
  <c r="P26" i="1"/>
  <c r="O87" i="1"/>
  <c r="P84" i="1"/>
  <c r="P61" i="1"/>
  <c r="P59" i="1"/>
  <c r="P63" i="1"/>
  <c r="O26" i="1"/>
  <c r="D18" i="2"/>
  <c r="P50" i="1"/>
  <c r="P30" i="1"/>
  <c r="O67" i="1"/>
  <c r="O30" i="1"/>
  <c r="P81" i="1"/>
  <c r="O77" i="1"/>
  <c r="O41" i="1"/>
  <c r="P83" i="1"/>
  <c r="P45" i="1"/>
  <c r="O85" i="1"/>
  <c r="P85" i="1"/>
  <c r="P27" i="1"/>
  <c r="O27" i="1"/>
  <c r="P68" i="1"/>
  <c r="O48" i="1"/>
  <c r="O46" i="1"/>
  <c r="F10" i="2"/>
  <c r="O31" i="1"/>
  <c r="O29" i="1"/>
  <c r="P44" i="1"/>
  <c r="P29" i="1"/>
  <c r="P80" i="1"/>
  <c r="O78" i="1"/>
  <c r="D10" i="2"/>
  <c r="O44" i="1"/>
  <c r="O66" i="1"/>
  <c r="O63" i="1"/>
  <c r="O45" i="1"/>
  <c r="O32" i="1"/>
  <c r="O28" i="1"/>
  <c r="O81" i="1"/>
  <c r="P62" i="1"/>
  <c r="P64" i="1"/>
  <c r="P46" i="1"/>
  <c r="O64" i="1"/>
  <c r="O84" i="1"/>
  <c r="P67" i="1"/>
  <c r="P87" i="1"/>
  <c r="P86" i="1"/>
  <c r="O86" i="1"/>
  <c r="O80" i="1"/>
  <c r="O79" i="1"/>
  <c r="P79" i="1"/>
  <c r="F12" i="2"/>
  <c r="F11" i="2"/>
  <c r="D11" i="2"/>
  <c r="D12" i="2"/>
  <c r="C8" i="2" l="1"/>
  <c r="O16" i="1"/>
  <c r="E8" i="2"/>
  <c r="P16" i="1"/>
  <c r="O33" i="1"/>
  <c r="P33" i="1"/>
  <c r="E9" i="2"/>
  <c r="C9" i="2"/>
  <c r="E11" i="2"/>
  <c r="P51" i="1"/>
  <c r="E10" i="2"/>
  <c r="O69" i="1"/>
  <c r="O51" i="1"/>
  <c r="P69" i="1"/>
  <c r="P88" i="1"/>
  <c r="O88" i="1"/>
  <c r="C10" i="2"/>
  <c r="C11" i="2"/>
  <c r="C12" i="2"/>
  <c r="E12" i="2"/>
</calcChain>
</file>

<file path=xl/sharedStrings.xml><?xml version="1.0" encoding="utf-8"?>
<sst xmlns="http://schemas.openxmlformats.org/spreadsheetml/2006/main" count="1236" uniqueCount="375">
  <si>
    <t>COMPETÊNCIA</t>
  </si>
  <si>
    <t>ATO DECLARATÓRIO</t>
  </si>
  <si>
    <t>DATA DO</t>
  </si>
  <si>
    <t>PAGAMENTO (R$ por mil ações)</t>
  </si>
  <si>
    <t>Exercício de 2001</t>
  </si>
  <si>
    <t>RCA (1)</t>
  </si>
  <si>
    <t>PAGAMENTO</t>
  </si>
  <si>
    <t>Nominal</t>
  </si>
  <si>
    <t>(2) Com retenção de 15% do imposto de renda na fonte, exceto para os acionistas que já sejam comprovadamente imunes ou isentos.</t>
  </si>
  <si>
    <t>Exercício de 2000</t>
  </si>
  <si>
    <t>Exercício de 1999</t>
  </si>
  <si>
    <t>(3) 0,00283</t>
  </si>
  <si>
    <t>(3) 0,0024055</t>
  </si>
  <si>
    <t>Exercício de 1998</t>
  </si>
  <si>
    <t>Exercício de 1997</t>
  </si>
  <si>
    <t xml:space="preserve"> Valor - R$ por mil ações  </t>
  </si>
  <si>
    <t xml:space="preserve">  PAGAMENTO</t>
  </si>
  <si>
    <t>Exercício de 1996</t>
  </si>
  <si>
    <t>(1) Reunião do Conselho de Administração.</t>
  </si>
  <si>
    <t>Exercício de 1995</t>
  </si>
  <si>
    <t>Exercício de 1994</t>
  </si>
  <si>
    <t>Exercício de 1993</t>
  </si>
  <si>
    <t xml:space="preserve"> Valor - Cr$ por ação  </t>
  </si>
  <si>
    <t>Exercício de 1992</t>
  </si>
  <si>
    <t>Exercício de 1991</t>
  </si>
  <si>
    <t xml:space="preserve"> Valor - Cr$ por mil ações  </t>
  </si>
  <si>
    <t>Exercício de 1990</t>
  </si>
  <si>
    <t>Exercício de 1989</t>
  </si>
  <si>
    <t xml:space="preserve"> Valor - NCz$ por mil ações  </t>
  </si>
  <si>
    <t>(**)</t>
  </si>
  <si>
    <t>Exercício de 1988</t>
  </si>
  <si>
    <t xml:space="preserve"> Valor - Cz$ por ação  </t>
  </si>
  <si>
    <t>(*)</t>
  </si>
  <si>
    <t>Exercício de 1987</t>
  </si>
  <si>
    <t>Exercício de 1986</t>
  </si>
  <si>
    <t xml:space="preserve"> Valor - Cz$ por mil ações  </t>
  </si>
  <si>
    <t>Exercício de 1978</t>
  </si>
  <si>
    <t>Exercício de 2002</t>
  </si>
  <si>
    <t>3º Trimestre</t>
  </si>
  <si>
    <t>Complementar</t>
  </si>
  <si>
    <t>4º Trimestre</t>
  </si>
  <si>
    <t>Exercício de 2003</t>
  </si>
  <si>
    <t>Exercício de 2004</t>
  </si>
  <si>
    <t>Exercício de 2005</t>
  </si>
  <si>
    <t>Exercício de 2006</t>
  </si>
  <si>
    <t>Exercício de 2007</t>
  </si>
  <si>
    <t>Exercício de 2008</t>
  </si>
  <si>
    <t>Exercício de 2009</t>
  </si>
  <si>
    <t>Dividendos - 1º trimestre</t>
  </si>
  <si>
    <t>Dividendos - 2º trimestre</t>
  </si>
  <si>
    <t>Dividendos - 3º trimestre</t>
  </si>
  <si>
    <t>JCP Complementar</t>
  </si>
  <si>
    <t>JCP Complementares</t>
  </si>
  <si>
    <t>Dividendos - 4º trimestre</t>
  </si>
  <si>
    <t>Exercício de 2010</t>
  </si>
  <si>
    <t>Exercício de 2011</t>
  </si>
  <si>
    <t>JCP</t>
  </si>
  <si>
    <t xml:space="preserve">JCP Complementares - 1ª Parcela </t>
  </si>
  <si>
    <t xml:space="preserve">JCP Complementares - 2ª Parcela </t>
  </si>
  <si>
    <t>Exercício de 2012</t>
  </si>
  <si>
    <t xml:space="preserve">JCP - 2ª Parcela </t>
  </si>
  <si>
    <t xml:space="preserve">JCP - 1ª Parcela </t>
  </si>
  <si>
    <t>JCP - Complementar</t>
  </si>
  <si>
    <t>Exercício de 2013</t>
  </si>
  <si>
    <t>Exercício de 2014</t>
  </si>
  <si>
    <t>Aumento de Capital</t>
  </si>
  <si>
    <t>Deliberado em</t>
  </si>
  <si>
    <t>Efeito</t>
  </si>
  <si>
    <t>Exercício de 2015</t>
  </si>
  <si>
    <t xml:space="preserve">Dividendos Adicionais </t>
  </si>
  <si>
    <t xml:space="preserve">JCP </t>
  </si>
  <si>
    <t>Exercício de 2016</t>
  </si>
  <si>
    <t>POSIÇÃO</t>
  </si>
  <si>
    <t>ACIONÁRIA</t>
  </si>
  <si>
    <t>JCP Adicional - 1ª parcela</t>
  </si>
  <si>
    <t>JCP Adicional - 2ª parcela</t>
  </si>
  <si>
    <t>JCP - Parcela única</t>
  </si>
  <si>
    <t>Exercício de 2017</t>
  </si>
  <si>
    <t>Exercício de 2018</t>
  </si>
  <si>
    <t>Dividendos Adicionais</t>
  </si>
  <si>
    <t>Exercício de 2019</t>
  </si>
  <si>
    <t>Exercício de 2020</t>
  </si>
  <si>
    <t>JCP Adicionais</t>
  </si>
  <si>
    <t>Exercício de 1985</t>
  </si>
  <si>
    <t>Exercício de 1984</t>
  </si>
  <si>
    <t>Exercício de 1983</t>
  </si>
  <si>
    <t>Exercício de 1982</t>
  </si>
  <si>
    <t>Exercício de 1981</t>
  </si>
  <si>
    <t>Exercício de 1980</t>
  </si>
  <si>
    <t>Exercício de 1979</t>
  </si>
  <si>
    <t>(*) Valor em Cz$ por 1000 ações.</t>
  </si>
  <si>
    <t>(*) Valor em NCz$ por 1000 ações.</t>
  </si>
  <si>
    <t>(**) Valor em Cr$ por 1000 ações.</t>
  </si>
  <si>
    <t>(*) Juros sobre o Capital Próprio.</t>
  </si>
  <si>
    <t>(3) Valor em R$ por ação.</t>
  </si>
  <si>
    <t>Dividendos 2018</t>
  </si>
  <si>
    <t>Dividendos Adicionais - 1ª parcela</t>
  </si>
  <si>
    <t>Dividendos Adicionais - 2ª parcela</t>
  </si>
  <si>
    <t>1º Trimestre</t>
  </si>
  <si>
    <t>2º Trimestre</t>
  </si>
  <si>
    <t>(R$ mil)</t>
  </si>
  <si>
    <t>ITAÚSA S.A.</t>
  </si>
  <si>
    <t>JCP - Complementar - 1ª parcela</t>
  </si>
  <si>
    <t>JCP - Complementar - 2ª parcela</t>
  </si>
  <si>
    <t>JCP Complementares - 2ª parcela</t>
  </si>
  <si>
    <t>JCP Complementares - 1ª parcela</t>
  </si>
  <si>
    <t>(3)     0,04947</t>
  </si>
  <si>
    <t>(3)   0,0582</t>
  </si>
  <si>
    <t>Exercício de 2021</t>
  </si>
  <si>
    <t>Exercício de 2022</t>
  </si>
  <si>
    <r>
      <t xml:space="preserve">RCA </t>
    </r>
    <r>
      <rPr>
        <b/>
        <vertAlign val="superscript"/>
        <sz val="8"/>
        <color indexed="9"/>
        <rFont val="Arial"/>
        <family val="2"/>
      </rPr>
      <t>(1)</t>
    </r>
  </si>
  <si>
    <t xml:space="preserve"> 06/10/1978 </t>
  </si>
  <si>
    <t xml:space="preserve"> 08/01/1979 </t>
  </si>
  <si>
    <r>
      <t xml:space="preserve">Líquido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</si>
  <si>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JCP - 3º trimestre </t>
    </r>
    <r>
      <rPr>
        <vertAlign val="superscript"/>
        <sz val="8"/>
        <rFont val="Arial"/>
        <family val="2"/>
      </rPr>
      <t>(3)</t>
    </r>
  </si>
  <si>
    <r>
      <t xml:space="preserve">JCP - 4º trimestre </t>
    </r>
    <r>
      <rPr>
        <vertAlign val="superscript"/>
        <sz val="8"/>
        <rFont val="Arial"/>
        <family val="2"/>
      </rPr>
      <t>(3)</t>
    </r>
  </si>
  <si>
    <t>Dividendo Complementar</t>
  </si>
  <si>
    <t>JCP - 1º trimestre</t>
  </si>
  <si>
    <t>JCP - 4º trimestre</t>
  </si>
  <si>
    <t>JCP - 3º trimestre</t>
  </si>
  <si>
    <t>JCP - 2º trimestre</t>
  </si>
  <si>
    <t>(3) Declarados em substituição aos dividendos trimestrais do 3° e 4° trimestres de 2021, conforme Fato Relevante divulgado em 08/11/2021.</t>
  </si>
  <si>
    <t>Nov/1979 a Jan/1980</t>
  </si>
  <si>
    <t xml:space="preserve">Ago/1979 a Out/1979   </t>
  </si>
  <si>
    <t>Mai/1979 a Jul/1979</t>
  </si>
  <si>
    <t>Fev/1979 a Abr/1979</t>
  </si>
  <si>
    <t>Esp. Jan/1979</t>
  </si>
  <si>
    <t>Nov/1980 a Jan/1981</t>
  </si>
  <si>
    <t>Fev/1980 a Abr/1980</t>
  </si>
  <si>
    <t>Mai/1980 a Jul/1980</t>
  </si>
  <si>
    <t xml:space="preserve">Ago/1980 a Out/1980   </t>
  </si>
  <si>
    <t xml:space="preserve">  17/07/1981  </t>
  </si>
  <si>
    <t xml:space="preserve">  16/10/1981  </t>
  </si>
  <si>
    <t xml:space="preserve">  21/01/1982  </t>
  </si>
  <si>
    <t xml:space="preserve">  16/04/1982  </t>
  </si>
  <si>
    <t xml:space="preserve"> 06/08/1981 </t>
  </si>
  <si>
    <t xml:space="preserve"> 06/11/1981 </t>
  </si>
  <si>
    <t xml:space="preserve"> 08/02/1982 </t>
  </si>
  <si>
    <t xml:space="preserve"> 06/05/1982 </t>
  </si>
  <si>
    <t xml:space="preserve">  19/07/1982  </t>
  </si>
  <si>
    <t xml:space="preserve">  15/10/1982  </t>
  </si>
  <si>
    <t xml:space="preserve">  10/01/1983  </t>
  </si>
  <si>
    <t xml:space="preserve">  11/04/1983  </t>
  </si>
  <si>
    <t xml:space="preserve"> 06/08/1982 </t>
  </si>
  <si>
    <t xml:space="preserve"> 08/11/1982 </t>
  </si>
  <si>
    <t xml:space="preserve"> 01/02/1983 </t>
  </si>
  <si>
    <t xml:space="preserve"> 02/05/1983 </t>
  </si>
  <si>
    <t xml:space="preserve">  11/07/1983  </t>
  </si>
  <si>
    <t xml:space="preserve">  10/10/1983  </t>
  </si>
  <si>
    <t xml:space="preserve">  10/01/1984  </t>
  </si>
  <si>
    <t xml:space="preserve">  10/04/1984  </t>
  </si>
  <si>
    <t xml:space="preserve"> 01/08/1983 </t>
  </si>
  <si>
    <t xml:space="preserve"> 01/11/1983 </t>
  </si>
  <si>
    <t xml:space="preserve"> 01/02/1984 </t>
  </si>
  <si>
    <t xml:space="preserve"> 02/05/1984 </t>
  </si>
  <si>
    <t xml:space="preserve">  10/07/1984  </t>
  </si>
  <si>
    <t xml:space="preserve">  10/08/1984  </t>
  </si>
  <si>
    <t xml:space="preserve">  10/10/1984  </t>
  </si>
  <si>
    <t xml:space="preserve">  10/04/1985  </t>
  </si>
  <si>
    <t xml:space="preserve"> 01/08/1984 </t>
  </si>
  <si>
    <t xml:space="preserve"> 03/09/1984 </t>
  </si>
  <si>
    <t xml:space="preserve"> 01/11/1984 </t>
  </si>
  <si>
    <t xml:space="preserve"> 02/05/1985 </t>
  </si>
  <si>
    <t xml:space="preserve">  12/07/1985  </t>
  </si>
  <si>
    <t xml:space="preserve">  10/10/1985  </t>
  </si>
  <si>
    <t xml:space="preserve"> 01/08/1985 </t>
  </si>
  <si>
    <t xml:space="preserve"> 01/11/1985 </t>
  </si>
  <si>
    <t xml:space="preserve">  28/02/1986  </t>
  </si>
  <si>
    <t xml:space="preserve">  10/01/1986  </t>
  </si>
  <si>
    <t xml:space="preserve">  10/03/1986  </t>
  </si>
  <si>
    <t xml:space="preserve"> 01/04/1986 </t>
  </si>
  <si>
    <t xml:space="preserve"> 03/02/1986 </t>
  </si>
  <si>
    <t>24/02/1986 e 11/03/1986</t>
  </si>
  <si>
    <t xml:space="preserve">  05/06/1986  </t>
  </si>
  <si>
    <t xml:space="preserve">  05/09/1986  </t>
  </si>
  <si>
    <t xml:space="preserve">  10/12/1986  </t>
  </si>
  <si>
    <t xml:space="preserve">  12/03/1987  </t>
  </si>
  <si>
    <t xml:space="preserve"> 01/07/1986 </t>
  </si>
  <si>
    <t xml:space="preserve"> 01/10/1986 </t>
  </si>
  <si>
    <t xml:space="preserve"> 02/01/1987 </t>
  </si>
  <si>
    <t xml:space="preserve"> 01/04/1987 </t>
  </si>
  <si>
    <t xml:space="preserve">  05/06/1987  </t>
  </si>
  <si>
    <t xml:space="preserve">  04/09/1987  </t>
  </si>
  <si>
    <t xml:space="preserve">  08/12/1987  </t>
  </si>
  <si>
    <t xml:space="preserve">  07/03/1988  </t>
  </si>
  <si>
    <t xml:space="preserve"> 01/07/1987 </t>
  </si>
  <si>
    <t xml:space="preserve"> 01/10/1987 </t>
  </si>
  <si>
    <t xml:space="preserve"> 04/01/1988 </t>
  </si>
  <si>
    <t xml:space="preserve"> 04/04/1988 </t>
  </si>
  <si>
    <t xml:space="preserve"> 23/03/1988 </t>
  </si>
  <si>
    <t xml:space="preserve">  15/06/1988  </t>
  </si>
  <si>
    <t xml:space="preserve">  19/07/1988  </t>
  </si>
  <si>
    <t xml:space="preserve">  31/08/1988  </t>
  </si>
  <si>
    <t xml:space="preserve">  12/12/1988  </t>
  </si>
  <si>
    <t xml:space="preserve">  13/02/1989  </t>
  </si>
  <si>
    <t xml:space="preserve">  15/03/1989  </t>
  </si>
  <si>
    <t xml:space="preserve"> 01/07/1988 </t>
  </si>
  <si>
    <t xml:space="preserve"> 01/08/1988 </t>
  </si>
  <si>
    <t xml:space="preserve"> 03/10/1988 </t>
  </si>
  <si>
    <t xml:space="preserve"> 02/01/1989 </t>
  </si>
  <si>
    <t xml:space="preserve"> 28/02/1989 </t>
  </si>
  <si>
    <t xml:space="preserve"> 03/04/1989 </t>
  </si>
  <si>
    <t xml:space="preserve">  12/06/1989  </t>
  </si>
  <si>
    <t xml:space="preserve">  17/07/1989  </t>
  </si>
  <si>
    <t xml:space="preserve">  13/09/1989  </t>
  </si>
  <si>
    <t xml:space="preserve">  13/12/1989  </t>
  </si>
  <si>
    <t xml:space="preserve">  19/01/1990  </t>
  </si>
  <si>
    <t xml:space="preserve">  23/03/1990  </t>
  </si>
  <si>
    <t xml:space="preserve"> 03/07/1989 </t>
  </si>
  <si>
    <t xml:space="preserve"> 01/08/1989 </t>
  </si>
  <si>
    <t xml:space="preserve"> 02/10/1989 </t>
  </si>
  <si>
    <t xml:space="preserve"> 02/01/1990 </t>
  </si>
  <si>
    <t xml:space="preserve"> 20/02/1990 </t>
  </si>
  <si>
    <t xml:space="preserve"> 04/04/1990 </t>
  </si>
  <si>
    <t xml:space="preserve"> 02/07/1990 </t>
  </si>
  <si>
    <t xml:space="preserve"> 15/08/1990 </t>
  </si>
  <si>
    <t xml:space="preserve"> 01/10/1990 </t>
  </si>
  <si>
    <t xml:space="preserve"> 04/01/1991 </t>
  </si>
  <si>
    <t xml:space="preserve"> 28/02/1991 </t>
  </si>
  <si>
    <t xml:space="preserve"> 01/04/1991 </t>
  </si>
  <si>
    <t xml:space="preserve"> 30/04/1991 </t>
  </si>
  <si>
    <t>até 30/06/2004</t>
  </si>
  <si>
    <t xml:space="preserve"> 12/08/2002</t>
  </si>
  <si>
    <t xml:space="preserve"> 18/03/2002</t>
  </si>
  <si>
    <t>02/07/2001</t>
  </si>
  <si>
    <t xml:space="preserve"> 18/06/2001</t>
  </si>
  <si>
    <t xml:space="preserve"> 15/09/2000</t>
  </si>
  <si>
    <t xml:space="preserve"> 15/06/2000 </t>
  </si>
  <si>
    <t>18/04/2001</t>
  </si>
  <si>
    <t>28/02/2001 (*)</t>
  </si>
  <si>
    <t>02/01/2001</t>
  </si>
  <si>
    <t>(*) Deliberada pela RCA de 15/08/2022.</t>
  </si>
  <si>
    <t>1º Trimestre (*)</t>
  </si>
  <si>
    <t>Complementar (**)</t>
  </si>
  <si>
    <t>2º Trimestre (***)</t>
  </si>
  <si>
    <t>3º Trimestre (****)</t>
  </si>
  <si>
    <t xml:space="preserve">Complementar (*****) </t>
  </si>
  <si>
    <t xml:space="preserve"> 21/06/1999 </t>
  </si>
  <si>
    <t xml:space="preserve"> 01/07/1999 </t>
  </si>
  <si>
    <t>03/04/2000</t>
  </si>
  <si>
    <t xml:space="preserve">Especial  </t>
  </si>
  <si>
    <t>Complementar (*)</t>
  </si>
  <si>
    <t>3º Trimestre (*)</t>
  </si>
  <si>
    <t>4º Trimestre (*)</t>
  </si>
  <si>
    <t>50% em 19/03/1999</t>
  </si>
  <si>
    <t>50% em 23/04/1999</t>
  </si>
  <si>
    <t>Extraordinário</t>
  </si>
  <si>
    <t>Especial (*)</t>
  </si>
  <si>
    <t>4º Trimestre (**)</t>
  </si>
  <si>
    <t>Complementar (***)</t>
  </si>
  <si>
    <t>Especial</t>
  </si>
  <si>
    <t>Excepcional</t>
  </si>
  <si>
    <t xml:space="preserve"> 01/07/1991 </t>
  </si>
  <si>
    <t xml:space="preserve"> 01/10/1991 </t>
  </si>
  <si>
    <t xml:space="preserve"> 02/01/1992 </t>
  </si>
  <si>
    <t xml:space="preserve"> 01/04/1992 </t>
  </si>
  <si>
    <t>(*) Deliberada pela RCA de 21/02/2001.</t>
  </si>
  <si>
    <t>Fev/1985 a Abr/1985</t>
  </si>
  <si>
    <t>Mai/1985 a Jul/1985</t>
  </si>
  <si>
    <t>Especial Compl.</t>
  </si>
  <si>
    <t xml:space="preserve">Ago/1985 a Out/1985   </t>
  </si>
  <si>
    <t>Nov/1985 a Dez/1985</t>
  </si>
  <si>
    <t>Fev/1984 a Abr/1984</t>
  </si>
  <si>
    <t>Mai/1984 a Jul/1984</t>
  </si>
  <si>
    <t xml:space="preserve">Ago/1984 a Out/1984   </t>
  </si>
  <si>
    <t>Nov/1984 a Jan/1985</t>
  </si>
  <si>
    <t>Fev/1983 a Abr/1983</t>
  </si>
  <si>
    <t>Mai/1983 a Jul/1983</t>
  </si>
  <si>
    <t xml:space="preserve">Ago/1983 a Out/1983   </t>
  </si>
  <si>
    <t>Nov/1983 a Jan/1984</t>
  </si>
  <si>
    <t>Fev/1982 a Abr/1982</t>
  </si>
  <si>
    <t>Mai/1982 a Jul/1982</t>
  </si>
  <si>
    <t xml:space="preserve">Ago/1982 a Out/1982   </t>
  </si>
  <si>
    <t>Nov/1982 a Jan/1983</t>
  </si>
  <si>
    <t>Fev/1981 a Abr/1981</t>
  </si>
  <si>
    <t>Mai/1981 a Jul/1981</t>
  </si>
  <si>
    <t xml:space="preserve">Ago/1981 a Out/1981   </t>
  </si>
  <si>
    <t>Nov/1981 a Jan/1982</t>
  </si>
  <si>
    <t>(*) Dividendo acrescido da variação da OTN de Dez/1987 a Mar/1988 = Cz$ 0,2353.</t>
  </si>
  <si>
    <t>(*) Dividendo acrescido da variação da BTN de Dez/1989 a Fev/1990 = NCz$ 599,2653.</t>
  </si>
  <si>
    <t>(*) Dividendo acrescido da variação do BTN de Dez/90 a Fev/1991 = Cr$ 746,29.</t>
  </si>
  <si>
    <t>(*) Dividendo acrescido da variação da UFIR, diária, de 02/01/1992 a 01/04/1992 = Cr$ 14.959,37, sendo Cr$ 1.623,49 (T-02) e Cr$ 13.335,88 (complementar).</t>
  </si>
  <si>
    <t>(*) Dividendo acrescido da variação da UFIR, diária, de 30/06/1992 a 28/08/1992 = Cr$ 7,3909 (valor pago por estimativa, objeto da RCA de 26/08/1992 = Cr$ 7,43).</t>
  </si>
  <si>
    <t>(**) Dividendo acrescido da variação da UFIR, diária, de 31/12/1992 a 01/04/1993 = Cr$ 41,74.</t>
  </si>
  <si>
    <t>(***) Dividendo acrescido da variação da UFIR, diária, de 31/12/1992 a 17/02/1993 = Cr$ 107,06.</t>
  </si>
  <si>
    <t>(*) Dividendo acrescido da variação da UFIR, diária, de 30/06/1993 a 25/08/1993 = CR$ 0,41.</t>
  </si>
  <si>
    <t>(**) Dividendo acrescido da variação da UFIR, diária, de 31/12/1993 a 04/04/1994 = CR$ 1,41622.</t>
  </si>
  <si>
    <t>(***) Dividendo acrescido da variação da UFIR, diária, de 31/12/1993 a 23/02/1994 = CR$ 1,63707.</t>
  </si>
  <si>
    <t>(***) as ações subscritas no aumento de capital aprovado pela AGE de 24/03/1999 e homologado em 21/05/1999 farão jus a 8/12 do valor desses juros
(Bruto: R$ 1,8866 / Líquido:R$ 1,6036/mil ações).</t>
  </si>
  <si>
    <t>(**) as ações subscritas no aumento de capital aprovado pela AGE de 24/03/1999 e homologado em 21/05/1999 farão jus a 8/12 do valor desses juros
(Bruto: R$ 10,64 / Líquido:R$ 9,0440/mil ações).</t>
  </si>
  <si>
    <t>(*) as ações subscritas no aumento de capital aprovado pela AGE de 24/03/1999 e homologado em 21/05/1999 farão jus a 8/12 do valor desses juros
(Bruto: R$ 1,8866 / Líquido:R$ 1,6036/mil ações).</t>
  </si>
  <si>
    <t>(****) as ações subscritas no aumento de capital aprovado pela AGE de 24/03/1999 e homologado em 21/05/1999 farão jus a 8/12 do valor desses juros
(Bruto: R$ 1,8866 / Líquido:R$ 1,6036/mil ações).</t>
  </si>
  <si>
    <t>(*****) as ações subscritas no aumento de capital aprovado pela AGE de 24/03/1999 e homologado em 21/05/1999 farão jus a 8/12 do valor desses juros
(Bruto: R$ 0,0388 / Líquido:R$ 0,03298/ação).</t>
  </si>
  <si>
    <t>Ações</t>
  </si>
  <si>
    <t>Total</t>
  </si>
  <si>
    <t>Tesouraria</t>
  </si>
  <si>
    <t>Ex-Tesouraria</t>
  </si>
  <si>
    <t>Data</t>
  </si>
  <si>
    <t>Total de Proventos Pagos
(Bruto)</t>
  </si>
  <si>
    <t>Total de Proventos Pagos
(Líquido)</t>
  </si>
  <si>
    <t>Total de Proventos</t>
  </si>
  <si>
    <t>Bruto</t>
  </si>
  <si>
    <t>Líquido</t>
  </si>
  <si>
    <t>Histórico de Proventos | Dividendos e Juros sobre o Capital Próprio (JCP)</t>
  </si>
  <si>
    <t>Dividendos Totais pagos por ano (competência)</t>
  </si>
  <si>
    <t>Ano
(Competência)</t>
  </si>
  <si>
    <t>Total de Proventos Unitários
(Bruto)</t>
  </si>
  <si>
    <t>Total de Proventos Unitários
(Líquido)</t>
  </si>
  <si>
    <t>Subscrição de 0,023501435 ações a R$ 7,80 para cada 1 ação possuída</t>
  </si>
  <si>
    <t>Subscrição de 0,016386161 ações a R$ 6,10 para cada 1 ação possuída</t>
  </si>
  <si>
    <t>Subscrição de 0,007340 ações a R$ 6,70 para cada 1 ação possuída</t>
  </si>
  <si>
    <t>Subscrição de 0,015355 ações a R$ 6,25 para cada 1 ação possuída</t>
  </si>
  <si>
    <t>Subscrição de 0,025967 ações a R$ 6,50 para cada 1 ação possuída</t>
  </si>
  <si>
    <t>Subscrição de 0,012135 ações a R$ 8,50 para cada 1 ação possuída</t>
  </si>
  <si>
    <t>(*) Deliberada pela RCA de 14/02/2022.</t>
  </si>
  <si>
    <t xml:space="preserve"> 08/12/2022</t>
  </si>
  <si>
    <t>Exercício de 2023</t>
  </si>
  <si>
    <t>23/03/2023</t>
  </si>
  <si>
    <t>20/03/2023</t>
  </si>
  <si>
    <t>25/08/2023 (*)</t>
  </si>
  <si>
    <t>(*) Deliberada pela RCA de 19/06/2023.</t>
  </si>
  <si>
    <t>30/08/2022 (*)</t>
  </si>
  <si>
    <t>11/03/2022 (*)</t>
  </si>
  <si>
    <t>Subscrição de 0,01390757436 ações a R$ 6,50 para cada 1 ação possuída</t>
  </si>
  <si>
    <t>02/10/2023(**)</t>
  </si>
  <si>
    <t>(**) Deliberada pela RCA de 14/08/2023.</t>
  </si>
  <si>
    <t xml:space="preserve"> 27/11/2023</t>
  </si>
  <si>
    <t>08/03/2024 (**)</t>
  </si>
  <si>
    <t>(**) Deliberada pela RCA de 19/02/2024.</t>
  </si>
  <si>
    <t>Exercício de 2024</t>
  </si>
  <si>
    <t>Subscrição de 0,0064423 ações a R$ 9,50 para cada 1 ação possuída</t>
  </si>
  <si>
    <t>Subscrição de 0,022863 ações a R$ 0,84 para cada 1 ação possuída</t>
  </si>
  <si>
    <t>Subscrição de 0,023435 ações a R$ 1,30 para cada 1 ação possuída</t>
  </si>
  <si>
    <t>Subscrição de 0,030273 ações a R$ 1,50 para cada 1 ação possuída</t>
  </si>
  <si>
    <t>Subscrição de 0,0255 ações a R$ 1,90 para cada 1 ação possuída</t>
  </si>
  <si>
    <t>Subscrição de 0,024708 ações a R$ 1,50 para cada 1 ação possuída</t>
  </si>
  <si>
    <t>Subscrição de 0,018376 ações a R$ 2,70 para cada 1 ação possuída</t>
  </si>
  <si>
    <t>Subscrição de 0,007753 ações a R$ 4,00 para cada 1 ação possuída</t>
  </si>
  <si>
    <t>Subscrição de 0,0043731 ações a R$ 7,20 para cada 1 ação possuída</t>
  </si>
  <si>
    <t>Subscrição de 0,010224 ações a R$ 8,40 para cada 1 ação possuída</t>
  </si>
  <si>
    <t>Subscrição de 0,0081164 ações a R$ 8,00 para cada 1 ação possuída</t>
  </si>
  <si>
    <t>Subscrição de 0,018172 ações a R$ 5,80 para cada 1 ação possuída</t>
  </si>
  <si>
    <t>Subscrição de 0,0094187 ações a R$ 10,00 para cada 1 ação possuída</t>
  </si>
  <si>
    <t>Exercício de 2025</t>
  </si>
  <si>
    <t>Dividendos</t>
  </si>
  <si>
    <t>07/03/2025 (*)</t>
  </si>
  <si>
    <t>(*) Deliberada pela RCA de 10/02/2025.</t>
  </si>
  <si>
    <t>Bonificação em Ações</t>
  </si>
  <si>
    <t>Posição Acionária</t>
  </si>
  <si>
    <t>Custo Atribuído</t>
  </si>
  <si>
    <t>Proporção</t>
  </si>
  <si>
    <t>R$ 13,55518731</t>
  </si>
  <si>
    <t>5 novas ações para cada 100 possuídas da mesma espécie</t>
  </si>
  <si>
    <t>R$ 17,917246</t>
  </si>
  <si>
    <t>R$ 13,65162423</t>
  </si>
  <si>
    <t>10 novas ações para cada 100 possuídas da mesma espécie</t>
  </si>
  <si>
    <t>R$ 18,891662</t>
  </si>
  <si>
    <t>R$ 6,536570679</t>
  </si>
  <si>
    <t>R$ 6,04028937</t>
  </si>
  <si>
    <t>R$ 8,137540972</t>
  </si>
  <si>
    <t>R$ 8,101295339</t>
  </si>
  <si>
    <t>R$ 9,489506364</t>
  </si>
  <si>
    <t>1 nova ação para cada 10 possuídas da mesma espécie</t>
  </si>
  <si>
    <t>R$ 6,402847</t>
  </si>
  <si>
    <t>R$ 6,569658</t>
  </si>
  <si>
    <t>R$ 6,42084</t>
  </si>
  <si>
    <t>R$ 6,297958957</t>
  </si>
  <si>
    <t>Subscrição de Ações (Chamada de Capital)</t>
  </si>
  <si>
    <t>Preço de Aquisição</t>
  </si>
  <si>
    <t>% de Aumento do Capital Social</t>
  </si>
  <si>
    <t>Subscrição de 0,013766678 ações a R$ 6,70 para cada 1 ação possuída</t>
  </si>
  <si>
    <t>(R$ por ação)</t>
  </si>
  <si>
    <t xml:space="preserve">(R$ por ação) </t>
  </si>
  <si>
    <t>R$ 11,370033972</t>
  </si>
  <si>
    <t>2 novas ações para cada 100 possuídas da mesma espécie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</si>
</sst>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0_);[Red]\(#,##0.0000\)"/>
    <numFmt numFmtId="167" formatCode="#,##0.000_);[Red]\(#,##0.000\)"/>
    <numFmt numFmtId="168" formatCode="#,##0.000"/>
    <numFmt numFmtId="169" formatCode="_(* #,##0_);_(* \(#,##0\);_(* &quot;-&quot;??_);_(@_)"/>
    <numFmt numFmtId="170" formatCode="_(* #,##0.0000_);_(* \(#,##0.0000\);_(* &quot;-&quot;??_);_(@_)"/>
    <numFmt numFmtId="171" formatCode="dd\-mmm\-yy"/>
    <numFmt numFmtId="172" formatCode="#,##0.0000;[Red]\-#,##0.0000"/>
    <numFmt numFmtId="173" formatCode="_-* #,##0.00000_-;\-* #,##0.00000_-;_-* &quot;-&quot;??_-;_-@_-"/>
    <numFmt numFmtId="174" formatCode="_-* #,##0.000000_-;\-* #,##0.000000_-;_-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2"/>
      <color theme="3"/>
      <name val="Arial"/>
      <family val="2"/>
    </font>
    <font>
      <sz val="10"/>
      <color rgb="FF0070C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169" fontId="4" fillId="0" borderId="1" xfId="3" applyNumberFormat="1" applyFont="1" applyFill="1" applyBorder="1" applyAlignment="1">
      <alignment vertical="center"/>
    </xf>
    <xf numFmtId="170" fontId="4" fillId="0" borderId="1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0" fontId="4" fillId="0" borderId="0" xfId="0" quotePrefix="1" applyNumberFormat="1" applyFont="1" applyAlignment="1">
      <alignment horizontal="right" vertical="center"/>
    </xf>
    <xf numFmtId="172" fontId="4" fillId="0" borderId="0" xfId="0" quotePrefix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4" fillId="0" borderId="3" xfId="2" applyFont="1" applyFill="1" applyBorder="1" applyAlignment="1">
      <alignment horizontal="center" vertical="center"/>
    </xf>
    <xf numFmtId="164" fontId="4" fillId="0" borderId="1" xfId="2" quotePrefix="1" applyFont="1" applyFill="1" applyBorder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4" fontId="4" fillId="0" borderId="3" xfId="2" quotePrefix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4" fillId="0" borderId="0" xfId="2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164" fontId="4" fillId="0" borderId="0" xfId="2" quotePrefix="1" applyFont="1" applyFill="1" applyBorder="1" applyAlignment="1">
      <alignment horizontal="right" vertical="center"/>
    </xf>
    <xf numFmtId="167" fontId="4" fillId="0" borderId="0" xfId="0" quotePrefix="1" applyNumberFormat="1" applyFont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3" xfId="2" applyFont="1" applyFill="1" applyBorder="1" applyAlignment="1">
      <alignment horizontal="center" vertical="center"/>
    </xf>
    <xf numFmtId="164" fontId="4" fillId="2" borderId="2" xfId="2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9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0" quotePrefix="1" applyNumberFormat="1" applyFont="1" applyFill="1" applyAlignment="1">
      <alignment horizontal="right" vertical="center"/>
    </xf>
    <xf numFmtId="172" fontId="4" fillId="2" borderId="0" xfId="0" quotePrefix="1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1" applyFont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9" xfId="2" quotePrefix="1" applyFont="1" applyFill="1" applyBorder="1" applyAlignment="1">
      <alignment horizontal="right" vertical="center"/>
    </xf>
    <xf numFmtId="169" fontId="4" fillId="0" borderId="2" xfId="2" applyNumberFormat="1" applyFont="1" applyFill="1" applyBorder="1" applyAlignment="1">
      <alignment horizontal="center" vertical="center"/>
    </xf>
    <xf numFmtId="169" fontId="6" fillId="0" borderId="2" xfId="2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9" fontId="4" fillId="2" borderId="0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center" vertical="center"/>
    </xf>
    <xf numFmtId="169" fontId="6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9" fontId="4" fillId="0" borderId="0" xfId="2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169" fontId="4" fillId="0" borderId="5" xfId="3" applyNumberFormat="1" applyFont="1" applyFill="1" applyBorder="1" applyAlignment="1">
      <alignment vertical="center"/>
    </xf>
    <xf numFmtId="170" fontId="4" fillId="0" borderId="5" xfId="3" applyNumberFormat="1" applyFont="1" applyFill="1" applyBorder="1" applyAlignment="1">
      <alignment vertical="center"/>
    </xf>
    <xf numFmtId="0" fontId="1" fillId="0" borderId="0" xfId="7"/>
    <xf numFmtId="0" fontId="1" fillId="2" borderId="0" xfId="7" applyFill="1"/>
    <xf numFmtId="0" fontId="16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7" applyFont="1"/>
    <xf numFmtId="0" fontId="18" fillId="3" borderId="1" xfId="7" applyFont="1" applyFill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left" vertical="center" wrapText="1"/>
    </xf>
    <xf numFmtId="14" fontId="7" fillId="0" borderId="1" xfId="7" applyNumberFormat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center" vertical="center" wrapText="1"/>
    </xf>
    <xf numFmtId="14" fontId="4" fillId="0" borderId="1" xfId="7" applyNumberFormat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left" vertical="center" wrapText="1"/>
    </xf>
    <xf numFmtId="8" fontId="7" fillId="0" borderId="1" xfId="7" applyNumberFormat="1" applyFont="1" applyBorder="1" applyAlignment="1">
      <alignment horizontal="center" vertical="center" wrapText="1"/>
    </xf>
    <xf numFmtId="10" fontId="7" fillId="0" borderId="1" xfId="9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10" fontId="7" fillId="0" borderId="1" xfId="9" applyNumberFormat="1" applyFont="1" applyFill="1" applyBorder="1" applyAlignment="1">
      <alignment horizontal="center" vertical="center" wrapText="1"/>
    </xf>
    <xf numFmtId="3" fontId="1" fillId="0" borderId="0" xfId="7" applyNumberFormat="1"/>
    <xf numFmtId="10" fontId="0" fillId="0" borderId="0" xfId="9" applyNumberFormat="1" applyFont="1"/>
    <xf numFmtId="0" fontId="18" fillId="3" borderId="8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164" fontId="4" fillId="0" borderId="10" xfId="2" quotePrefix="1" applyFont="1" applyFill="1" applyBorder="1" applyAlignment="1">
      <alignment horizontal="center" vertical="center"/>
    </xf>
    <xf numFmtId="164" fontId="4" fillId="0" borderId="2" xfId="2" quotePrefix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3" fillId="0" borderId="14" xfId="7" applyFont="1" applyBorder="1" applyAlignment="1">
      <alignment horizontal="justify" vertical="center" wrapText="1"/>
    </xf>
    <xf numFmtId="0" fontId="11" fillId="0" borderId="0" xfId="7" applyFont="1" applyAlignment="1">
      <alignment horizontal="left" vertical="top" wrapText="1"/>
    </xf>
  </cellXfs>
  <cellStyles count="10">
    <cellStyle name="Hiperlink 2" xfId="8" xr:uid="{118E2F4E-992B-40CD-8009-2961CB77C177}"/>
    <cellStyle name="Normal" xfId="0" builtinId="0"/>
    <cellStyle name="Normal 2" xfId="1" xr:uid="{00000000-0005-0000-0000-000001000000}"/>
    <cellStyle name="Normal 3" xfId="7" xr:uid="{02D83A55-8F15-4F99-B6C4-A29F179493BC}"/>
    <cellStyle name="Porcentagem" xfId="6" builtinId="5"/>
    <cellStyle name="Porcentagem 2" xfId="9" xr:uid="{37673650-600A-4E58-8691-E372E1B6EB1C}"/>
    <cellStyle name="Vírgula" xfId="2" builtinId="3"/>
    <cellStyle name="Vírgula 2" xfId="3" xr:uid="{00000000-0005-0000-0000-000003000000}"/>
    <cellStyle name="Vírgula 2 2" xfId="4" xr:uid="{00000000-0005-0000-0000-000004000000}"/>
    <cellStyle name="Vírgula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52"/>
  <sheetViews>
    <sheetView showGridLines="0" tabSelected="1" zoomScaleNormal="100" workbookViewId="0"/>
  </sheetViews>
  <sheetFormatPr defaultColWidth="9.1796875" defaultRowHeight="12.5" x14ac:dyDescent="0.25"/>
  <cols>
    <col min="1" max="1" width="2.54296875" style="3" customWidth="1"/>
    <col min="2" max="2" width="30.453125" style="3" bestFit="1" customWidth="1"/>
    <col min="3" max="3" width="17.453125" style="3" bestFit="1" customWidth="1"/>
    <col min="4" max="4" width="14.453125" style="3" customWidth="1"/>
    <col min="5" max="5" width="14.453125" style="3" bestFit="1" customWidth="1"/>
    <col min="6" max="7" width="12.54296875" style="3" customWidth="1"/>
    <col min="8" max="8" width="2.54296875" style="3" customWidth="1"/>
    <col min="9" max="9" width="9" style="3" hidden="1" customWidth="1"/>
    <col min="10" max="10" width="12.54296875" style="3" hidden="1" customWidth="1"/>
    <col min="11" max="11" width="9.54296875" style="3" hidden="1" customWidth="1"/>
    <col min="12" max="12" width="12.54296875" style="3" hidden="1" customWidth="1"/>
    <col min="13" max="13" width="2.54296875" style="3" hidden="1" customWidth="1"/>
    <col min="14" max="14" width="10.81640625" style="3" hidden="1" customWidth="1"/>
    <col min="15" max="16" width="12.08984375" style="3" hidden="1" customWidth="1"/>
    <col min="17" max="17" width="14" style="3" bestFit="1" customWidth="1"/>
    <col min="18" max="18" width="14.54296875" style="3" customWidth="1"/>
    <col min="19" max="19" width="9.1796875" style="3" customWidth="1"/>
    <col min="20" max="20" width="10.54296875" style="3" bestFit="1" customWidth="1"/>
    <col min="21" max="16384" width="9.1796875" style="3"/>
  </cols>
  <sheetData>
    <row r="2" spans="2:16" ht="15.5" x14ac:dyDescent="0.25">
      <c r="B2" s="153" t="s">
        <v>101</v>
      </c>
      <c r="C2" s="153"/>
      <c r="D2" s="153"/>
      <c r="E2" s="153"/>
      <c r="F2" s="153"/>
      <c r="G2" s="153"/>
    </row>
    <row r="3" spans="2:16" ht="15.5" x14ac:dyDescent="0.25">
      <c r="B3" s="6"/>
      <c r="C3" s="38"/>
      <c r="D3" s="39"/>
      <c r="E3" s="39"/>
      <c r="J3" s="116"/>
    </row>
    <row r="4" spans="2:16" ht="21.75" customHeight="1" thickBot="1" x14ac:dyDescent="0.3">
      <c r="B4" s="154" t="s">
        <v>303</v>
      </c>
      <c r="C4" s="154"/>
      <c r="D4" s="154"/>
      <c r="E4" s="154"/>
      <c r="F4" s="154"/>
      <c r="G4" s="154"/>
      <c r="H4" s="49"/>
      <c r="J4" s="122"/>
      <c r="K4" s="123"/>
      <c r="M4" s="49"/>
    </row>
    <row r="5" spans="2:16" ht="17.25" customHeight="1" x14ac:dyDescent="0.25">
      <c r="B5" s="49"/>
      <c r="C5" s="49"/>
      <c r="D5" s="49"/>
      <c r="E5" s="49"/>
      <c r="F5" s="49"/>
      <c r="G5" s="49"/>
      <c r="H5" s="49"/>
      <c r="J5" s="116"/>
      <c r="M5" s="49"/>
    </row>
    <row r="6" spans="2:16" ht="13" x14ac:dyDescent="0.25">
      <c r="B6" s="67" t="s">
        <v>0</v>
      </c>
      <c r="C6" s="67" t="s">
        <v>1</v>
      </c>
      <c r="D6" s="67" t="s">
        <v>72</v>
      </c>
      <c r="E6" s="67" t="s">
        <v>2</v>
      </c>
      <c r="F6" s="144" t="s">
        <v>3</v>
      </c>
      <c r="G6" s="146"/>
      <c r="H6" s="49"/>
      <c r="I6" s="144" t="s">
        <v>293</v>
      </c>
      <c r="J6" s="145"/>
      <c r="K6" s="145"/>
      <c r="L6" s="146"/>
      <c r="M6" s="49"/>
      <c r="N6" s="144" t="s">
        <v>300</v>
      </c>
      <c r="O6" s="145"/>
      <c r="P6" s="146"/>
    </row>
    <row r="7" spans="2:16" ht="13" x14ac:dyDescent="0.25">
      <c r="B7" s="68" t="s">
        <v>343</v>
      </c>
      <c r="C7" s="68" t="s">
        <v>110</v>
      </c>
      <c r="D7" s="69" t="s">
        <v>73</v>
      </c>
      <c r="E7" s="70" t="s">
        <v>6</v>
      </c>
      <c r="F7" s="71" t="s">
        <v>7</v>
      </c>
      <c r="G7" s="69" t="s">
        <v>113</v>
      </c>
      <c r="H7" s="49"/>
      <c r="I7" s="71" t="s">
        <v>297</v>
      </c>
      <c r="J7" s="71" t="s">
        <v>294</v>
      </c>
      <c r="K7" s="69" t="s">
        <v>295</v>
      </c>
      <c r="L7" s="69" t="s">
        <v>296</v>
      </c>
      <c r="M7" s="49"/>
      <c r="N7" s="71" t="s">
        <v>297</v>
      </c>
      <c r="O7" s="71" t="s">
        <v>301</v>
      </c>
      <c r="P7" s="71" t="s">
        <v>302</v>
      </c>
    </row>
    <row r="8" spans="2:16" ht="13" x14ac:dyDescent="0.25">
      <c r="B8" s="93" t="s">
        <v>344</v>
      </c>
      <c r="C8" s="45">
        <v>45992</v>
      </c>
      <c r="D8" s="41">
        <v>46000</v>
      </c>
      <c r="E8" s="42">
        <v>46010</v>
      </c>
      <c r="F8" s="17">
        <f>0.775364*1000</f>
        <v>775.36400000000003</v>
      </c>
      <c r="G8" s="17">
        <f>0.775364*1000</f>
        <v>775.36400000000003</v>
      </c>
      <c r="H8" s="49"/>
      <c r="I8" s="41">
        <f>D8</f>
        <v>46000</v>
      </c>
      <c r="J8" s="101">
        <v>10993810633</v>
      </c>
      <c r="K8" s="101">
        <v>2294423</v>
      </c>
      <c r="L8" s="101">
        <f t="shared" ref="L8" si="0">J8-K8</f>
        <v>10991516210</v>
      </c>
      <c r="M8" s="49"/>
      <c r="N8" s="41">
        <f>E8</f>
        <v>46010</v>
      </c>
      <c r="O8" s="101">
        <f t="shared" ref="O8" si="1">F8/1000*L8</f>
        <v>8522425974.6504402</v>
      </c>
      <c r="P8" s="101">
        <f t="shared" ref="P8" si="2">G8/1000*L8</f>
        <v>8522425974.6504402</v>
      </c>
    </row>
    <row r="9" spans="2:16" ht="13" x14ac:dyDescent="0.25">
      <c r="B9" s="93" t="s">
        <v>56</v>
      </c>
      <c r="C9" s="45">
        <v>45992</v>
      </c>
      <c r="D9" s="41">
        <v>46000</v>
      </c>
      <c r="E9" s="42">
        <v>46142</v>
      </c>
      <c r="F9" s="17">
        <f>0.0182*1000</f>
        <v>18.2</v>
      </c>
      <c r="G9" s="17">
        <f>0.01547*1000</f>
        <v>15.469999999999999</v>
      </c>
      <c r="H9" s="49"/>
      <c r="I9" s="41">
        <f t="shared" ref="I9:I10" si="3">D9</f>
        <v>46000</v>
      </c>
      <c r="J9" s="101">
        <v>10993810633</v>
      </c>
      <c r="K9" s="101">
        <v>2294423</v>
      </c>
      <c r="L9" s="101">
        <f t="shared" ref="L9" si="4">J9-K9</f>
        <v>10991516210</v>
      </c>
      <c r="M9" s="49"/>
      <c r="N9" s="41">
        <f t="shared" ref="N9:N10" si="5">E9</f>
        <v>46142</v>
      </c>
      <c r="O9" s="101">
        <f t="shared" ref="O9" si="6">F9/1000*L9</f>
        <v>200045595.02200001</v>
      </c>
      <c r="P9" s="101">
        <f t="shared" ref="P9" si="7">G9/1000*L9</f>
        <v>170038755.7687</v>
      </c>
    </row>
    <row r="10" spans="2:16" ht="13" x14ac:dyDescent="0.25">
      <c r="B10" s="93" t="s">
        <v>56</v>
      </c>
      <c r="C10" s="40">
        <v>45880</v>
      </c>
      <c r="D10" s="41">
        <v>45887</v>
      </c>
      <c r="E10" s="42">
        <v>45898</v>
      </c>
      <c r="F10" s="17">
        <f>0.1859*1000</f>
        <v>185.9</v>
      </c>
      <c r="G10" s="17">
        <f>0.158015*1000</f>
        <v>158.01499999999999</v>
      </c>
      <c r="H10" s="49"/>
      <c r="I10" s="41">
        <f t="shared" si="3"/>
        <v>45887</v>
      </c>
      <c r="J10" s="101">
        <v>10993810633</v>
      </c>
      <c r="K10" s="101">
        <v>2294423</v>
      </c>
      <c r="L10" s="101">
        <f t="shared" ref="L10" si="8">J10-K10</f>
        <v>10991516210</v>
      </c>
      <c r="M10" s="49"/>
      <c r="N10" s="41">
        <f t="shared" si="5"/>
        <v>45898</v>
      </c>
      <c r="O10" s="101">
        <f t="shared" ref="O10" si="9">F10/1000*L10</f>
        <v>2043322863.4390001</v>
      </c>
      <c r="P10" s="101">
        <f t="shared" ref="P10" si="10">G10/1000*L10</f>
        <v>1736824433.9231498</v>
      </c>
    </row>
    <row r="11" spans="2:16" ht="13" x14ac:dyDescent="0.25">
      <c r="B11" s="93" t="s">
        <v>56</v>
      </c>
      <c r="C11" s="40">
        <v>45824</v>
      </c>
      <c r="D11" s="41">
        <v>45828</v>
      </c>
      <c r="E11" s="42">
        <v>45898</v>
      </c>
      <c r="F11" s="17">
        <f>0.0591*1000</f>
        <v>59.1</v>
      </c>
      <c r="G11" s="17">
        <f>0.050235*1000</f>
        <v>50.234999999999999</v>
      </c>
      <c r="H11" s="49"/>
      <c r="I11" s="41">
        <f t="shared" ref="I11:I13" si="11">D11</f>
        <v>45828</v>
      </c>
      <c r="J11" s="101">
        <v>10993810633</v>
      </c>
      <c r="K11" s="101">
        <v>2294423</v>
      </c>
      <c r="L11" s="101">
        <f t="shared" ref="L11:L13" si="12">J11-K11</f>
        <v>10991516210</v>
      </c>
      <c r="M11" s="49"/>
      <c r="N11" s="41">
        <f t="shared" ref="N11:N13" si="13">E11</f>
        <v>45898</v>
      </c>
      <c r="O11" s="101">
        <f t="shared" ref="O11:O13" si="14">F11/1000*L11</f>
        <v>649598608.01100004</v>
      </c>
      <c r="P11" s="101">
        <f t="shared" ref="P11:P13" si="15">G11/1000*L11</f>
        <v>552158816.80935001</v>
      </c>
    </row>
    <row r="12" spans="2:16" ht="13" x14ac:dyDescent="0.25">
      <c r="B12" s="93" t="s">
        <v>118</v>
      </c>
      <c r="C12" s="40">
        <v>45698</v>
      </c>
      <c r="D12" s="41">
        <v>45989</v>
      </c>
      <c r="E12" s="42">
        <v>46024</v>
      </c>
      <c r="F12" s="17">
        <f>0.0235295*1000</f>
        <v>23.529499999999999</v>
      </c>
      <c r="G12" s="17">
        <f>1000*0.02</f>
        <v>20</v>
      </c>
      <c r="H12" s="49"/>
      <c r="I12" s="41">
        <f t="shared" si="11"/>
        <v>45989</v>
      </c>
      <c r="J12" s="101">
        <v>10993810633</v>
      </c>
      <c r="K12" s="101">
        <v>2294423</v>
      </c>
      <c r="L12" s="101">
        <f t="shared" si="12"/>
        <v>10991516210</v>
      </c>
      <c r="M12" s="49"/>
      <c r="N12" s="41">
        <f t="shared" si="13"/>
        <v>46024</v>
      </c>
      <c r="O12" s="101">
        <f t="shared" si="14"/>
        <v>258624880.66319498</v>
      </c>
      <c r="P12" s="101">
        <f t="shared" si="15"/>
        <v>219830324.20000002</v>
      </c>
    </row>
    <row r="13" spans="2:16" ht="13" x14ac:dyDescent="0.25">
      <c r="B13" s="93" t="s">
        <v>119</v>
      </c>
      <c r="C13" s="40">
        <v>45698</v>
      </c>
      <c r="D13" s="41">
        <v>45898</v>
      </c>
      <c r="E13" s="42">
        <v>45931</v>
      </c>
      <c r="F13" s="17">
        <f>0.0235295*1000</f>
        <v>23.529499999999999</v>
      </c>
      <c r="G13" s="17">
        <f>1000*0.02</f>
        <v>20</v>
      </c>
      <c r="H13" s="49"/>
      <c r="I13" s="41">
        <f t="shared" si="11"/>
        <v>45898</v>
      </c>
      <c r="J13" s="101">
        <v>10993810633</v>
      </c>
      <c r="K13" s="101">
        <v>2294423</v>
      </c>
      <c r="L13" s="101">
        <f t="shared" si="12"/>
        <v>10991516210</v>
      </c>
      <c r="M13" s="49"/>
      <c r="N13" s="41">
        <f t="shared" si="13"/>
        <v>45931</v>
      </c>
      <c r="O13" s="101">
        <f t="shared" si="14"/>
        <v>258624880.66319498</v>
      </c>
      <c r="P13" s="101">
        <f t="shared" si="15"/>
        <v>219830324.20000002</v>
      </c>
    </row>
    <row r="14" spans="2:16" ht="13" x14ac:dyDescent="0.25">
      <c r="B14" s="93" t="s">
        <v>120</v>
      </c>
      <c r="C14" s="40">
        <v>45698</v>
      </c>
      <c r="D14" s="41">
        <v>45807</v>
      </c>
      <c r="E14" s="42">
        <v>45839</v>
      </c>
      <c r="F14" s="17">
        <f>0.0235295*1000</f>
        <v>23.529499999999999</v>
      </c>
      <c r="G14" s="17">
        <f>1000*0.02</f>
        <v>20</v>
      </c>
      <c r="H14" s="49"/>
      <c r="I14" s="41">
        <f t="shared" ref="I14:I15" si="16">D14</f>
        <v>45807</v>
      </c>
      <c r="J14" s="101">
        <v>10993810633</v>
      </c>
      <c r="K14" s="101">
        <v>2574310</v>
      </c>
      <c r="L14" s="101">
        <f t="shared" ref="L14:L15" si="17">J14-K14</f>
        <v>10991236323</v>
      </c>
      <c r="M14" s="49"/>
      <c r="N14" s="41">
        <f t="shared" ref="N14:N15" si="18">E14</f>
        <v>45839</v>
      </c>
      <c r="O14" s="101">
        <f t="shared" ref="O14:O15" si="19">F14/1000*L14</f>
        <v>258618295.06202847</v>
      </c>
      <c r="P14" s="101">
        <f t="shared" ref="P14:P15" si="20">G14/1000*L14</f>
        <v>219824726.46000001</v>
      </c>
    </row>
    <row r="15" spans="2:16" ht="13" x14ac:dyDescent="0.25">
      <c r="B15" s="93" t="s">
        <v>117</v>
      </c>
      <c r="C15" s="40">
        <v>45698</v>
      </c>
      <c r="D15" s="41">
        <v>45716</v>
      </c>
      <c r="E15" s="42">
        <v>45748</v>
      </c>
      <c r="F15" s="17">
        <f>0.0235295*1000</f>
        <v>23.529499999999999</v>
      </c>
      <c r="G15" s="17">
        <f>0.02*1000</f>
        <v>20</v>
      </c>
      <c r="H15" s="49"/>
      <c r="I15" s="41">
        <f t="shared" si="16"/>
        <v>45716</v>
      </c>
      <c r="J15" s="101">
        <v>10844556902</v>
      </c>
      <c r="K15" s="101">
        <v>2890452</v>
      </c>
      <c r="L15" s="101">
        <f t="shared" si="17"/>
        <v>10841666450</v>
      </c>
      <c r="M15" s="49"/>
      <c r="N15" s="41">
        <f t="shared" si="18"/>
        <v>45748</v>
      </c>
      <c r="O15" s="101">
        <f t="shared" si="19"/>
        <v>255098990.73527497</v>
      </c>
      <c r="P15" s="101">
        <f t="shared" si="20"/>
        <v>216833329</v>
      </c>
    </row>
    <row r="16" spans="2:16" ht="13" x14ac:dyDescent="0.25">
      <c r="B16" s="18" t="s">
        <v>18</v>
      </c>
      <c r="C16" s="49"/>
      <c r="D16" s="49"/>
      <c r="E16" s="49"/>
      <c r="F16" s="49"/>
      <c r="G16" s="49"/>
      <c r="H16" s="49"/>
      <c r="J16" s="116"/>
      <c r="M16" s="49"/>
      <c r="N16" s="103" t="s">
        <v>294</v>
      </c>
      <c r="O16" s="102">
        <f>SUM(O8:O15)</f>
        <v>12446360088.246132</v>
      </c>
      <c r="P16" s="102">
        <f>SUM(P8:P15)</f>
        <v>11857766685.011639</v>
      </c>
    </row>
    <row r="17" spans="2:17" ht="13" x14ac:dyDescent="0.25">
      <c r="B17" s="152" t="s">
        <v>8</v>
      </c>
      <c r="C17" s="152"/>
      <c r="D17" s="152"/>
      <c r="E17" s="152"/>
      <c r="F17" s="152"/>
      <c r="G17" s="152"/>
      <c r="H17" s="49"/>
      <c r="J17" s="116"/>
      <c r="M17" s="49"/>
    </row>
    <row r="18" spans="2:17" ht="13" x14ac:dyDescent="0.25">
      <c r="B18" s="110"/>
      <c r="C18" s="110"/>
      <c r="D18" s="110"/>
      <c r="E18" s="110"/>
      <c r="F18" s="110"/>
      <c r="G18" s="110"/>
      <c r="H18" s="49"/>
      <c r="J18" s="116"/>
      <c r="M18" s="49"/>
    </row>
    <row r="19" spans="2:17" ht="13" x14ac:dyDescent="0.25">
      <c r="B19" s="110"/>
      <c r="C19" s="110"/>
      <c r="D19" s="110"/>
      <c r="E19" s="110"/>
      <c r="F19" s="110"/>
      <c r="G19" s="110"/>
      <c r="H19" s="49"/>
      <c r="J19" s="116"/>
      <c r="M19" s="49"/>
    </row>
    <row r="20" spans="2:17" ht="13" x14ac:dyDescent="0.25">
      <c r="B20" s="67" t="s">
        <v>0</v>
      </c>
      <c r="C20" s="67" t="s">
        <v>1</v>
      </c>
      <c r="D20" s="67" t="s">
        <v>72</v>
      </c>
      <c r="E20" s="67" t="s">
        <v>2</v>
      </c>
      <c r="F20" s="144" t="s">
        <v>3</v>
      </c>
      <c r="G20" s="146"/>
      <c r="H20" s="49"/>
      <c r="I20" s="144" t="s">
        <v>293</v>
      </c>
      <c r="J20" s="145"/>
      <c r="K20" s="145"/>
      <c r="L20" s="146"/>
      <c r="M20" s="49"/>
      <c r="N20" s="144" t="s">
        <v>300</v>
      </c>
      <c r="O20" s="145"/>
      <c r="P20" s="146"/>
      <c r="Q20" s="119"/>
    </row>
    <row r="21" spans="2:17" ht="13" x14ac:dyDescent="0.25">
      <c r="B21" s="68" t="s">
        <v>329</v>
      </c>
      <c r="C21" s="68" t="s">
        <v>110</v>
      </c>
      <c r="D21" s="69" t="s">
        <v>73</v>
      </c>
      <c r="E21" s="70" t="s">
        <v>6</v>
      </c>
      <c r="F21" s="71" t="s">
        <v>7</v>
      </c>
      <c r="G21" s="69" t="s">
        <v>113</v>
      </c>
      <c r="H21" s="49"/>
      <c r="I21" s="71" t="s">
        <v>297</v>
      </c>
      <c r="J21" s="71" t="s">
        <v>294</v>
      </c>
      <c r="K21" s="69" t="s">
        <v>295</v>
      </c>
      <c r="L21" s="69" t="s">
        <v>296</v>
      </c>
      <c r="M21" s="49"/>
      <c r="N21" s="71" t="s">
        <v>297</v>
      </c>
      <c r="O21" s="71" t="s">
        <v>301</v>
      </c>
      <c r="P21" s="71" t="s">
        <v>302</v>
      </c>
    </row>
    <row r="22" spans="2:17" ht="13" customHeight="1" x14ac:dyDescent="0.25">
      <c r="B22" s="93" t="s">
        <v>344</v>
      </c>
      <c r="C22" s="45">
        <v>45698</v>
      </c>
      <c r="D22" s="41">
        <v>45705</v>
      </c>
      <c r="E22" s="42">
        <v>45769</v>
      </c>
      <c r="F22" s="17">
        <f>1000*0.09224</f>
        <v>92.240000000000009</v>
      </c>
      <c r="G22" s="17">
        <f>1000*0.09224</f>
        <v>92.240000000000009</v>
      </c>
      <c r="H22" s="49"/>
      <c r="I22" s="41">
        <f t="shared" ref="I22" si="21">D22</f>
        <v>45705</v>
      </c>
      <c r="J22" s="101">
        <v>10844556902</v>
      </c>
      <c r="K22" s="101">
        <v>2890452</v>
      </c>
      <c r="L22" s="101">
        <f t="shared" ref="L22" si="22">J22-K22</f>
        <v>10841666450</v>
      </c>
      <c r="M22" s="49"/>
      <c r="N22" s="41">
        <f t="shared" ref="N22" si="23">E22</f>
        <v>45769</v>
      </c>
      <c r="O22" s="101">
        <f t="shared" ref="O22" si="24">F22/1000*L22</f>
        <v>1000035313.348</v>
      </c>
      <c r="P22" s="101">
        <f t="shared" ref="P22" si="25">G22/1000*L22</f>
        <v>1000035313.348</v>
      </c>
      <c r="Q22" s="118"/>
    </row>
    <row r="23" spans="2:17" ht="13" customHeight="1" x14ac:dyDescent="0.25">
      <c r="B23" s="93" t="s">
        <v>344</v>
      </c>
      <c r="C23" s="45">
        <v>45698</v>
      </c>
      <c r="D23" s="41">
        <v>45705</v>
      </c>
      <c r="E23" s="42">
        <v>45723</v>
      </c>
      <c r="F23" s="17">
        <f>1000*0.40815</f>
        <v>408.15000000000003</v>
      </c>
      <c r="G23" s="17">
        <f>1000*0.40815</f>
        <v>408.15000000000003</v>
      </c>
      <c r="H23" s="49"/>
      <c r="I23" s="41">
        <f t="shared" ref="I23" si="26">D23</f>
        <v>45705</v>
      </c>
      <c r="J23" s="101">
        <v>10844556902</v>
      </c>
      <c r="K23" s="101">
        <v>2890452</v>
      </c>
      <c r="L23" s="101">
        <f t="shared" ref="L23" si="27">J23-K23</f>
        <v>10841666450</v>
      </c>
      <c r="M23" s="49"/>
      <c r="N23" s="41">
        <f t="shared" ref="N23" si="28">E23</f>
        <v>45723</v>
      </c>
      <c r="O23" s="101">
        <f t="shared" ref="O23" si="29">F23/1000*L23</f>
        <v>4425026161.5675001</v>
      </c>
      <c r="P23" s="101">
        <f t="shared" ref="P23" si="30">G23/1000*L23</f>
        <v>4425026161.5675001</v>
      </c>
      <c r="Q23" s="118"/>
    </row>
    <row r="24" spans="2:17" ht="13" customHeight="1" x14ac:dyDescent="0.25">
      <c r="B24" s="93" t="s">
        <v>56</v>
      </c>
      <c r="C24" s="45">
        <v>45698</v>
      </c>
      <c r="D24" s="41">
        <v>45705</v>
      </c>
      <c r="E24" s="42">
        <v>45723</v>
      </c>
      <c r="F24" s="17">
        <f>1000*0.1011</f>
        <v>101.1</v>
      </c>
      <c r="G24" s="17">
        <f>1000*0.085935</f>
        <v>85.935000000000002</v>
      </c>
      <c r="H24" s="49"/>
      <c r="I24" s="41">
        <f t="shared" ref="I24" si="31">D24</f>
        <v>45705</v>
      </c>
      <c r="J24" s="101">
        <v>10844556902</v>
      </c>
      <c r="K24" s="101">
        <v>2890452</v>
      </c>
      <c r="L24" s="101">
        <f t="shared" ref="L24" si="32">J24-K24</f>
        <v>10841666450</v>
      </c>
      <c r="M24" s="49"/>
      <c r="N24" s="41">
        <f t="shared" ref="N24" si="33">E24</f>
        <v>45723</v>
      </c>
      <c r="O24" s="101">
        <f t="shared" ref="O24" si="34">F24/1000*L24</f>
        <v>1096092478.095</v>
      </c>
      <c r="P24" s="101">
        <f t="shared" ref="P24" si="35">G24/1000*L24</f>
        <v>931678606.38074994</v>
      </c>
      <c r="Q24" s="118"/>
    </row>
    <row r="25" spans="2:17" ht="13" customHeight="1" x14ac:dyDescent="0.25">
      <c r="B25" s="93" t="s">
        <v>56</v>
      </c>
      <c r="C25" s="40">
        <v>45632</v>
      </c>
      <c r="D25" s="41">
        <v>45637</v>
      </c>
      <c r="E25" s="92" t="s">
        <v>345</v>
      </c>
      <c r="F25" s="17">
        <f>1000*0.0581</f>
        <v>58.1</v>
      </c>
      <c r="G25" s="17">
        <f>1000*0.049385</f>
        <v>49.384999999999998</v>
      </c>
      <c r="H25" s="49"/>
      <c r="I25" s="41">
        <f t="shared" ref="I25:I26" si="36">D25</f>
        <v>45637</v>
      </c>
      <c r="J25" s="101">
        <v>10844556902</v>
      </c>
      <c r="K25" s="101">
        <v>2890452</v>
      </c>
      <c r="L25" s="101">
        <f t="shared" ref="L25:L26" si="37">J25-K25</f>
        <v>10841666450</v>
      </c>
      <c r="M25" s="49"/>
      <c r="N25" s="41" t="str">
        <f t="shared" ref="N25" si="38">E25</f>
        <v>07/03/2025 (*)</v>
      </c>
      <c r="O25" s="101">
        <f t="shared" ref="O25" si="39">F25/1000*L25</f>
        <v>629900820.745</v>
      </c>
      <c r="P25" s="101">
        <f t="shared" ref="P25" si="40">G25/1000*L25</f>
        <v>535415697.63325</v>
      </c>
      <c r="Q25" s="118"/>
    </row>
    <row r="26" spans="2:17" ht="13" customHeight="1" x14ac:dyDescent="0.25">
      <c r="B26" s="93" t="s">
        <v>56</v>
      </c>
      <c r="C26" s="40">
        <v>45551</v>
      </c>
      <c r="D26" s="41">
        <v>45554</v>
      </c>
      <c r="E26" s="92" t="s">
        <v>345</v>
      </c>
      <c r="F26" s="17">
        <f>1000*0.0484</f>
        <v>48.4</v>
      </c>
      <c r="G26" s="17">
        <f>1000*0.04114</f>
        <v>41.14</v>
      </c>
      <c r="H26" s="49"/>
      <c r="I26" s="41">
        <f t="shared" si="36"/>
        <v>45554</v>
      </c>
      <c r="J26" s="101">
        <v>10328149431</v>
      </c>
      <c r="K26" s="101">
        <v>1252812</v>
      </c>
      <c r="L26" s="101">
        <f t="shared" si="37"/>
        <v>10326896619</v>
      </c>
      <c r="M26" s="49"/>
      <c r="N26" s="41" t="str">
        <f t="shared" ref="N26" si="41">E26</f>
        <v>07/03/2025 (*)</v>
      </c>
      <c r="O26" s="101">
        <f t="shared" ref="O26" si="42">F26/1000*L26</f>
        <v>499821796.35960001</v>
      </c>
      <c r="P26" s="101">
        <f t="shared" ref="P26" si="43">G26/1000*L26</f>
        <v>424848526.90566003</v>
      </c>
      <c r="Q26" s="118"/>
    </row>
    <row r="27" spans="2:17" ht="13" customHeight="1" x14ac:dyDescent="0.25">
      <c r="B27" s="93" t="s">
        <v>56</v>
      </c>
      <c r="C27" s="40">
        <v>45460</v>
      </c>
      <c r="D27" s="41">
        <v>45463</v>
      </c>
      <c r="E27" s="42">
        <v>45534</v>
      </c>
      <c r="F27" s="17">
        <f>1000*0.0946</f>
        <v>94.600000000000009</v>
      </c>
      <c r="G27" s="17">
        <f>1000*0.08041</f>
        <v>80.41</v>
      </c>
      <c r="H27" s="49"/>
      <c r="I27" s="41">
        <f t="shared" ref="I27:I32" si="44">D27</f>
        <v>45463</v>
      </c>
      <c r="J27" s="101">
        <v>10328149431</v>
      </c>
      <c r="K27" s="101">
        <v>1252812</v>
      </c>
      <c r="L27" s="101">
        <f t="shared" ref="L27:L32" si="45">J27-K27</f>
        <v>10326896619</v>
      </c>
      <c r="M27" s="49"/>
      <c r="N27" s="41">
        <f t="shared" ref="N27:N32" si="46">E27</f>
        <v>45534</v>
      </c>
      <c r="O27" s="101">
        <f t="shared" ref="O27:O32" si="47">F27/1000*L27</f>
        <v>976924420.15740001</v>
      </c>
      <c r="P27" s="101">
        <f t="shared" ref="P27:P32" si="48">G27/1000*L27</f>
        <v>830385757.1337899</v>
      </c>
      <c r="Q27" s="118"/>
    </row>
    <row r="28" spans="2:17" ht="13" customHeight="1" x14ac:dyDescent="0.25">
      <c r="B28" s="93" t="s">
        <v>56</v>
      </c>
      <c r="C28" s="40">
        <v>45369</v>
      </c>
      <c r="D28" s="41">
        <v>45372</v>
      </c>
      <c r="E28" s="42">
        <v>45534</v>
      </c>
      <c r="F28" s="17">
        <f>1000*0.07</f>
        <v>70</v>
      </c>
      <c r="G28" s="17">
        <f>1000*0.0595</f>
        <v>59.5</v>
      </c>
      <c r="H28" s="49"/>
      <c r="I28" s="41">
        <f t="shared" si="44"/>
        <v>45372</v>
      </c>
      <c r="J28" s="101">
        <v>10328149431</v>
      </c>
      <c r="K28" s="101">
        <v>1500000</v>
      </c>
      <c r="L28" s="101">
        <f t="shared" si="45"/>
        <v>10326649431</v>
      </c>
      <c r="M28" s="49"/>
      <c r="N28" s="41">
        <f t="shared" si="46"/>
        <v>45534</v>
      </c>
      <c r="O28" s="101">
        <f t="shared" si="47"/>
        <v>722865460.17000008</v>
      </c>
      <c r="P28" s="101">
        <f t="shared" si="48"/>
        <v>614435641.14450002</v>
      </c>
      <c r="Q28" s="118"/>
    </row>
    <row r="29" spans="2:17" ht="13" customHeight="1" x14ac:dyDescent="0.25">
      <c r="B29" s="93" t="s">
        <v>118</v>
      </c>
      <c r="C29" s="40">
        <v>45341</v>
      </c>
      <c r="D29" s="41">
        <v>45716</v>
      </c>
      <c r="E29" s="42">
        <v>45748</v>
      </c>
      <c r="F29" s="17">
        <f>0.0235295*1000</f>
        <v>23.529499999999999</v>
      </c>
      <c r="G29" s="17">
        <f>1000*0.02</f>
        <v>20</v>
      </c>
      <c r="H29" s="49"/>
      <c r="I29" s="41">
        <f t="shared" si="44"/>
        <v>45716</v>
      </c>
      <c r="J29" s="101">
        <v>10328149431</v>
      </c>
      <c r="K29" s="101">
        <v>2752812</v>
      </c>
      <c r="L29" s="101">
        <f t="shared" si="45"/>
        <v>10325396619</v>
      </c>
      <c r="M29" s="49"/>
      <c r="N29" s="41">
        <f t="shared" si="46"/>
        <v>45748</v>
      </c>
      <c r="O29" s="101">
        <f t="shared" si="47"/>
        <v>242951419.74676049</v>
      </c>
      <c r="P29" s="101">
        <f t="shared" si="48"/>
        <v>206507932.38</v>
      </c>
      <c r="Q29" s="118"/>
    </row>
    <row r="30" spans="2:17" ht="13" customHeight="1" x14ac:dyDescent="0.25">
      <c r="B30" s="93" t="s">
        <v>119</v>
      </c>
      <c r="C30" s="40">
        <v>45341</v>
      </c>
      <c r="D30" s="41">
        <v>45625</v>
      </c>
      <c r="E30" s="42">
        <v>45659</v>
      </c>
      <c r="F30" s="17">
        <f>0.0235295*1000</f>
        <v>23.529499999999999</v>
      </c>
      <c r="G30" s="17">
        <f>1000*0.02</f>
        <v>20</v>
      </c>
      <c r="H30" s="49"/>
      <c r="I30" s="41">
        <f t="shared" si="44"/>
        <v>45625</v>
      </c>
      <c r="J30" s="101">
        <v>10328149431</v>
      </c>
      <c r="K30" s="101">
        <v>2752812</v>
      </c>
      <c r="L30" s="101">
        <f t="shared" si="45"/>
        <v>10325396619</v>
      </c>
      <c r="M30" s="49"/>
      <c r="N30" s="41">
        <f t="shared" si="46"/>
        <v>45659</v>
      </c>
      <c r="O30" s="101">
        <f t="shared" si="47"/>
        <v>242951419.74676049</v>
      </c>
      <c r="P30" s="101">
        <f t="shared" si="48"/>
        <v>206507932.38</v>
      </c>
      <c r="Q30" s="118"/>
    </row>
    <row r="31" spans="2:17" ht="13" customHeight="1" x14ac:dyDescent="0.25">
      <c r="B31" s="93" t="s">
        <v>120</v>
      </c>
      <c r="C31" s="40">
        <v>45341</v>
      </c>
      <c r="D31" s="41">
        <v>45534</v>
      </c>
      <c r="E31" s="42">
        <v>45566</v>
      </c>
      <c r="F31" s="17">
        <f>0.0235295*1000</f>
        <v>23.529499999999999</v>
      </c>
      <c r="G31" s="17">
        <f>1000*0.02</f>
        <v>20</v>
      </c>
      <c r="H31" s="49"/>
      <c r="I31" s="41">
        <f t="shared" si="44"/>
        <v>45534</v>
      </c>
      <c r="J31" s="101">
        <v>10328149431</v>
      </c>
      <c r="K31" s="101">
        <v>1252812</v>
      </c>
      <c r="L31" s="101">
        <f t="shared" si="45"/>
        <v>10326896619</v>
      </c>
      <c r="M31" s="49"/>
      <c r="N31" s="41">
        <f t="shared" si="46"/>
        <v>45566</v>
      </c>
      <c r="O31" s="101">
        <f t="shared" si="47"/>
        <v>242986713.99676049</v>
      </c>
      <c r="P31" s="101">
        <f t="shared" si="48"/>
        <v>206537932.38</v>
      </c>
      <c r="Q31" s="118"/>
    </row>
    <row r="32" spans="2:17" ht="13" customHeight="1" x14ac:dyDescent="0.25">
      <c r="B32" s="93" t="s">
        <v>117</v>
      </c>
      <c r="C32" s="40">
        <v>45341</v>
      </c>
      <c r="D32" s="41">
        <v>45443</v>
      </c>
      <c r="E32" s="42">
        <v>45474</v>
      </c>
      <c r="F32" s="17">
        <f>0.0235295*1000</f>
        <v>23.529499999999999</v>
      </c>
      <c r="G32" s="17">
        <f>0.02*1000</f>
        <v>20</v>
      </c>
      <c r="H32" s="49"/>
      <c r="I32" s="41">
        <f t="shared" si="44"/>
        <v>45443</v>
      </c>
      <c r="J32" s="101">
        <v>10328149431</v>
      </c>
      <c r="K32" s="101">
        <v>1500000</v>
      </c>
      <c r="L32" s="101">
        <f t="shared" si="45"/>
        <v>10326649431</v>
      </c>
      <c r="M32" s="49"/>
      <c r="N32" s="41">
        <f t="shared" si="46"/>
        <v>45474</v>
      </c>
      <c r="O32" s="101">
        <f t="shared" si="47"/>
        <v>242980897.78671449</v>
      </c>
      <c r="P32" s="101">
        <f t="shared" si="48"/>
        <v>206532988.62</v>
      </c>
      <c r="Q32" s="118"/>
    </row>
    <row r="33" spans="2:21" ht="13.5" customHeight="1" x14ac:dyDescent="0.25">
      <c r="B33" s="18" t="s">
        <v>18</v>
      </c>
      <c r="C33" s="29"/>
      <c r="D33" s="29"/>
      <c r="E33" s="29"/>
      <c r="F33" s="19"/>
      <c r="G33" s="20"/>
      <c r="H33" s="49"/>
      <c r="I33" s="47"/>
      <c r="J33" s="117"/>
      <c r="K33" s="117"/>
      <c r="L33" s="117"/>
      <c r="M33" s="49"/>
      <c r="N33" s="103" t="s">
        <v>294</v>
      </c>
      <c r="O33" s="102">
        <f>SUM(O22:O32)</f>
        <v>10322536901.7195</v>
      </c>
      <c r="P33" s="102">
        <f>SUM(P22:P32)</f>
        <v>9587912489.8734493</v>
      </c>
      <c r="Q33" s="119"/>
    </row>
    <row r="34" spans="2:21" ht="13.5" customHeight="1" x14ac:dyDescent="0.25">
      <c r="B34" s="152" t="s">
        <v>8</v>
      </c>
      <c r="C34" s="152"/>
      <c r="D34" s="152"/>
      <c r="E34" s="152"/>
      <c r="F34" s="152"/>
      <c r="G34" s="152"/>
      <c r="H34" s="49"/>
      <c r="M34" s="49"/>
    </row>
    <row r="35" spans="2:21" ht="13.5" customHeight="1" x14ac:dyDescent="0.25">
      <c r="B35" s="147" t="s">
        <v>346</v>
      </c>
      <c r="C35" s="147"/>
      <c r="D35" s="147"/>
      <c r="E35" s="147"/>
      <c r="F35" s="147"/>
      <c r="G35" s="147"/>
      <c r="H35" s="49"/>
      <c r="M35" s="49"/>
    </row>
    <row r="36" spans="2:21" ht="13.5" customHeight="1" x14ac:dyDescent="0.25">
      <c r="B36" s="110"/>
      <c r="C36" s="110"/>
      <c r="D36" s="110"/>
      <c r="E36" s="110"/>
      <c r="F36" s="110"/>
      <c r="G36" s="110"/>
      <c r="H36" s="49"/>
      <c r="M36" s="49"/>
    </row>
    <row r="37" spans="2:21" ht="13.5" customHeight="1" x14ac:dyDescent="0.25">
      <c r="B37" s="49"/>
      <c r="C37" s="49"/>
      <c r="D37" s="49"/>
      <c r="E37" s="49"/>
      <c r="F37" s="49"/>
      <c r="G37" s="49"/>
      <c r="H37" s="49"/>
      <c r="M37" s="49"/>
    </row>
    <row r="38" spans="2:21" ht="13" x14ac:dyDescent="0.25">
      <c r="B38" s="67" t="s">
        <v>0</v>
      </c>
      <c r="C38" s="67" t="s">
        <v>1</v>
      </c>
      <c r="D38" s="67" t="s">
        <v>72</v>
      </c>
      <c r="E38" s="67" t="s">
        <v>2</v>
      </c>
      <c r="F38" s="144" t="s">
        <v>3</v>
      </c>
      <c r="G38" s="146"/>
      <c r="H38" s="49"/>
      <c r="I38" s="144" t="s">
        <v>293</v>
      </c>
      <c r="J38" s="145"/>
      <c r="K38" s="145"/>
      <c r="L38" s="146"/>
      <c r="M38" s="49"/>
      <c r="N38" s="144" t="s">
        <v>300</v>
      </c>
      <c r="O38" s="145"/>
      <c r="P38" s="146"/>
    </row>
    <row r="39" spans="2:21" ht="13" x14ac:dyDescent="0.25">
      <c r="B39" s="68" t="s">
        <v>316</v>
      </c>
      <c r="C39" s="68" t="s">
        <v>110</v>
      </c>
      <c r="D39" s="69" t="s">
        <v>73</v>
      </c>
      <c r="E39" s="70" t="s">
        <v>6</v>
      </c>
      <c r="F39" s="71" t="s">
        <v>7</v>
      </c>
      <c r="G39" s="69" t="s">
        <v>113</v>
      </c>
      <c r="H39" s="49"/>
      <c r="I39" s="71" t="s">
        <v>297</v>
      </c>
      <c r="J39" s="71" t="s">
        <v>294</v>
      </c>
      <c r="K39" s="69" t="s">
        <v>295</v>
      </c>
      <c r="L39" s="69" t="s">
        <v>296</v>
      </c>
      <c r="M39" s="49"/>
      <c r="N39" s="71" t="s">
        <v>297</v>
      </c>
      <c r="O39" s="71" t="s">
        <v>301</v>
      </c>
      <c r="P39" s="71" t="s">
        <v>302</v>
      </c>
    </row>
    <row r="40" spans="2:21" ht="13" x14ac:dyDescent="0.25">
      <c r="B40" s="93" t="s">
        <v>79</v>
      </c>
      <c r="C40" s="95">
        <v>45341</v>
      </c>
      <c r="D40" s="41">
        <v>45344</v>
      </c>
      <c r="E40" s="42">
        <v>45359</v>
      </c>
      <c r="F40" s="61">
        <f>0.3005*1000</f>
        <v>300.5</v>
      </c>
      <c r="G40" s="61">
        <f>0.3005*1000</f>
        <v>300.5</v>
      </c>
      <c r="H40" s="49"/>
      <c r="I40" s="41">
        <f t="shared" ref="I40" si="49">D40</f>
        <v>45344</v>
      </c>
      <c r="J40" s="101">
        <v>10328149431</v>
      </c>
      <c r="K40" s="101">
        <v>1500000</v>
      </c>
      <c r="L40" s="101">
        <f t="shared" ref="L40" si="50">J40-K40</f>
        <v>10326649431</v>
      </c>
      <c r="M40" s="49"/>
      <c r="N40" s="41">
        <f t="shared" ref="N40" si="51">E40</f>
        <v>45359</v>
      </c>
      <c r="O40" s="101">
        <f t="shared" ref="O40" si="52">F40/1000*L40</f>
        <v>3103158154.0155001</v>
      </c>
      <c r="P40" s="101">
        <f t="shared" ref="P40" si="53">G40/1000*L40</f>
        <v>3103158154.0155001</v>
      </c>
      <c r="Q40" s="118"/>
      <c r="S40" s="120"/>
    </row>
    <row r="41" spans="2:21" ht="13" x14ac:dyDescent="0.25">
      <c r="B41" s="93" t="s">
        <v>56</v>
      </c>
      <c r="C41" s="82">
        <v>45273</v>
      </c>
      <c r="D41" s="41">
        <v>45278</v>
      </c>
      <c r="E41" s="42" t="s">
        <v>327</v>
      </c>
      <c r="F41" s="61">
        <f>0.0794*1000</f>
        <v>79.399999999999991</v>
      </c>
      <c r="G41" s="61">
        <f>0.06749*1000</f>
        <v>67.489999999999995</v>
      </c>
      <c r="H41" s="49"/>
      <c r="I41" s="41">
        <f t="shared" ref="I41" si="54">D41</f>
        <v>45278</v>
      </c>
      <c r="J41" s="101">
        <v>10328149431</v>
      </c>
      <c r="K41" s="101">
        <v>0</v>
      </c>
      <c r="L41" s="101">
        <f t="shared" ref="L41" si="55">J41-K41</f>
        <v>10328149431</v>
      </c>
      <c r="M41" s="49"/>
      <c r="N41" s="41" t="str">
        <f t="shared" ref="N41" si="56">E41</f>
        <v>08/03/2024 (**)</v>
      </c>
      <c r="O41" s="101">
        <f t="shared" ref="O41" si="57">F41/1000*L41</f>
        <v>820055064.82139993</v>
      </c>
      <c r="P41" s="101">
        <f t="shared" ref="P41" si="58">G41/1000*L41</f>
        <v>697046805.09818995</v>
      </c>
      <c r="Q41" s="118"/>
      <c r="S41" s="120"/>
    </row>
    <row r="42" spans="2:21" ht="13" x14ac:dyDescent="0.25">
      <c r="B42" s="93" t="s">
        <v>56</v>
      </c>
      <c r="C42" s="82">
        <v>45215</v>
      </c>
      <c r="D42" s="41">
        <v>45218</v>
      </c>
      <c r="E42" s="42" t="s">
        <v>327</v>
      </c>
      <c r="F42" s="61">
        <f>0.0515*1000</f>
        <v>51.5</v>
      </c>
      <c r="G42" s="61">
        <f>0.043775*1000</f>
        <v>43.774999999999999</v>
      </c>
      <c r="H42" s="49"/>
      <c r="I42" s="41">
        <f t="shared" ref="I42:I45" si="59">D42</f>
        <v>45218</v>
      </c>
      <c r="J42" s="101">
        <v>9701409715</v>
      </c>
      <c r="K42" s="101">
        <v>0</v>
      </c>
      <c r="L42" s="101">
        <f t="shared" ref="L42:L45" si="60">J42-K42</f>
        <v>9701409715</v>
      </c>
      <c r="M42" s="49"/>
      <c r="N42" s="41" t="str">
        <f t="shared" ref="N42:N45" si="61">E42</f>
        <v>08/03/2024 (**)</v>
      </c>
      <c r="O42" s="101">
        <f t="shared" ref="O42" si="62">F42/1000*L42</f>
        <v>499622600.32249999</v>
      </c>
      <c r="P42" s="101">
        <f t="shared" ref="P42" si="63">G42/1000*L42</f>
        <v>424679210.27412504</v>
      </c>
      <c r="Q42" s="118"/>
    </row>
    <row r="43" spans="2:21" ht="13.5" customHeight="1" x14ac:dyDescent="0.25">
      <c r="B43" s="93" t="s">
        <v>56</v>
      </c>
      <c r="C43" s="82">
        <v>45187</v>
      </c>
      <c r="D43" s="41">
        <v>45190</v>
      </c>
      <c r="E43" s="42" t="s">
        <v>327</v>
      </c>
      <c r="F43" s="61">
        <f>0.1165*1000</f>
        <v>116.5</v>
      </c>
      <c r="G43" s="61">
        <f>0.099025*1000</f>
        <v>99.025000000000006</v>
      </c>
      <c r="H43" s="49"/>
      <c r="I43" s="41">
        <f t="shared" si="59"/>
        <v>45190</v>
      </c>
      <c r="J43" s="101">
        <v>9701409715</v>
      </c>
      <c r="K43" s="101">
        <v>0</v>
      </c>
      <c r="L43" s="101">
        <f t="shared" si="60"/>
        <v>9701409715</v>
      </c>
      <c r="M43" s="49"/>
      <c r="N43" s="41" t="str">
        <f t="shared" si="61"/>
        <v>08/03/2024 (**)</v>
      </c>
      <c r="O43" s="101">
        <f t="shared" ref="O43:O45" si="64">F43/1000*L43</f>
        <v>1130214231.7975001</v>
      </c>
      <c r="P43" s="101">
        <f t="shared" ref="P43:P45" si="65">G43/1000*L43</f>
        <v>960682097.02787507</v>
      </c>
    </row>
    <row r="44" spans="2:21" ht="13.5" customHeight="1" x14ac:dyDescent="0.25">
      <c r="B44" s="93" t="s">
        <v>56</v>
      </c>
      <c r="C44" s="82">
        <v>45127</v>
      </c>
      <c r="D44" s="41">
        <v>45132</v>
      </c>
      <c r="E44" s="42" t="s">
        <v>327</v>
      </c>
      <c r="F44" s="61">
        <f>0.0515*1000</f>
        <v>51.5</v>
      </c>
      <c r="G44" s="61">
        <f>0.043775*1000</f>
        <v>43.774999999999999</v>
      </c>
      <c r="H44" s="49"/>
      <c r="I44" s="41">
        <f t="shared" si="59"/>
        <v>45132</v>
      </c>
      <c r="J44" s="101">
        <v>9701409715</v>
      </c>
      <c r="K44" s="101">
        <v>0</v>
      </c>
      <c r="L44" s="101">
        <f t="shared" si="60"/>
        <v>9701409715</v>
      </c>
      <c r="M44" s="49"/>
      <c r="N44" s="41" t="str">
        <f t="shared" si="61"/>
        <v>08/03/2024 (**)</v>
      </c>
      <c r="O44" s="101">
        <f t="shared" si="64"/>
        <v>499622600.32249999</v>
      </c>
      <c r="P44" s="101">
        <f t="shared" si="65"/>
        <v>424679210.27412504</v>
      </c>
    </row>
    <row r="45" spans="2:21" ht="13.5" customHeight="1" x14ac:dyDescent="0.25">
      <c r="B45" s="93" t="s">
        <v>56</v>
      </c>
      <c r="C45" s="82">
        <v>45096</v>
      </c>
      <c r="D45" s="41">
        <v>45099</v>
      </c>
      <c r="E45" s="92">
        <v>45163</v>
      </c>
      <c r="F45" s="61">
        <f>0.1144*1000</f>
        <v>114.4</v>
      </c>
      <c r="G45" s="61">
        <f>0.09724*1000</f>
        <v>97.24</v>
      </c>
      <c r="H45" s="49"/>
      <c r="I45" s="41">
        <f t="shared" si="59"/>
        <v>45099</v>
      </c>
      <c r="J45" s="101">
        <v>9701409715</v>
      </c>
      <c r="K45" s="101">
        <v>0</v>
      </c>
      <c r="L45" s="101">
        <f t="shared" si="60"/>
        <v>9701409715</v>
      </c>
      <c r="M45" s="49"/>
      <c r="N45" s="41">
        <f t="shared" si="61"/>
        <v>45163</v>
      </c>
      <c r="O45" s="101">
        <f t="shared" si="64"/>
        <v>1109841271.3959999</v>
      </c>
      <c r="P45" s="101">
        <f t="shared" si="65"/>
        <v>943365080.68659997</v>
      </c>
      <c r="R45" s="118"/>
      <c r="S45" s="81"/>
      <c r="T45" s="81"/>
      <c r="U45" s="118"/>
    </row>
    <row r="46" spans="2:21" s="89" customFormat="1" ht="13.5" customHeight="1" x14ac:dyDescent="0.25">
      <c r="B46" s="94" t="s">
        <v>56</v>
      </c>
      <c r="C46" s="82" t="s">
        <v>318</v>
      </c>
      <c r="D46" s="41" t="s">
        <v>317</v>
      </c>
      <c r="E46" s="92" t="s">
        <v>319</v>
      </c>
      <c r="F46" s="61">
        <f>0.0773*1000</f>
        <v>77.3</v>
      </c>
      <c r="G46" s="61">
        <f>0.065705*1000</f>
        <v>65.704999999999998</v>
      </c>
      <c r="H46" s="104"/>
      <c r="I46" s="91" t="str">
        <f>D46</f>
        <v>23/03/2023</v>
      </c>
      <c r="J46" s="105">
        <v>9701409715</v>
      </c>
      <c r="K46" s="105">
        <v>0</v>
      </c>
      <c r="L46" s="105">
        <f t="shared" ref="L46" si="66">J46-K46</f>
        <v>9701409715</v>
      </c>
      <c r="M46" s="104"/>
      <c r="N46" s="91" t="str">
        <f>E46</f>
        <v>25/08/2023 (*)</v>
      </c>
      <c r="O46" s="101">
        <f>F46/1000*L46</f>
        <v>749918970.96949995</v>
      </c>
      <c r="P46" s="105">
        <f>G46/1000*L46</f>
        <v>637431125.32407498</v>
      </c>
      <c r="R46" s="118"/>
      <c r="S46" s="81"/>
      <c r="T46" s="81"/>
      <c r="U46" s="118"/>
    </row>
    <row r="47" spans="2:21" s="89" customFormat="1" ht="13.5" customHeight="1" x14ac:dyDescent="0.25">
      <c r="B47" s="93" t="s">
        <v>118</v>
      </c>
      <c r="C47" s="40">
        <v>45341</v>
      </c>
      <c r="D47" s="41">
        <v>45351</v>
      </c>
      <c r="E47" s="42">
        <v>45383</v>
      </c>
      <c r="F47" s="61">
        <f>0.0235295*1000</f>
        <v>23.529499999999999</v>
      </c>
      <c r="G47" s="61">
        <f>1000*0.02</f>
        <v>20</v>
      </c>
      <c r="H47" s="104"/>
      <c r="I47" s="91">
        <f>D47</f>
        <v>45351</v>
      </c>
      <c r="J47" s="101">
        <v>10328149431</v>
      </c>
      <c r="K47" s="105">
        <v>1500000</v>
      </c>
      <c r="L47" s="105">
        <f t="shared" ref="L47" si="67">J47-K47</f>
        <v>10326649431</v>
      </c>
      <c r="M47" s="104"/>
      <c r="N47" s="91">
        <f>E47</f>
        <v>45383</v>
      </c>
      <c r="O47" s="101">
        <f>F47/1000*L47</f>
        <v>242980897.78671449</v>
      </c>
      <c r="P47" s="105">
        <f>G47/1000*L47</f>
        <v>206532988.62</v>
      </c>
      <c r="Q47" s="118"/>
      <c r="R47" s="118"/>
      <c r="U47" s="118"/>
    </row>
    <row r="48" spans="2:21" ht="13" x14ac:dyDescent="0.25">
      <c r="B48" s="94" t="s">
        <v>119</v>
      </c>
      <c r="C48" s="82">
        <v>45243</v>
      </c>
      <c r="D48" s="41">
        <v>45260</v>
      </c>
      <c r="E48" s="92">
        <v>45293</v>
      </c>
      <c r="F48" s="61">
        <f>0.0235295*1000</f>
        <v>23.529499999999999</v>
      </c>
      <c r="G48" s="61">
        <f>1000*0.02</f>
        <v>20</v>
      </c>
      <c r="H48" s="49"/>
      <c r="I48" s="41">
        <f>D48</f>
        <v>45260</v>
      </c>
      <c r="J48" s="101">
        <v>10328149431</v>
      </c>
      <c r="K48" s="101">
        <v>0</v>
      </c>
      <c r="L48" s="101">
        <f>J48-K48</f>
        <v>10328149431</v>
      </c>
      <c r="M48" s="49"/>
      <c r="N48" s="41">
        <f>E48</f>
        <v>45293</v>
      </c>
      <c r="O48" s="101">
        <f>F48/1000*L48</f>
        <v>243016192.03671449</v>
      </c>
      <c r="P48" s="101">
        <f>G48/1000*L48</f>
        <v>206562988.62</v>
      </c>
      <c r="Q48" s="118"/>
      <c r="R48" s="118"/>
      <c r="S48" s="81"/>
      <c r="T48" s="81"/>
      <c r="U48" s="118"/>
    </row>
    <row r="49" spans="2:21" ht="13.5" customHeight="1" x14ac:dyDescent="0.25">
      <c r="B49" s="94" t="s">
        <v>120</v>
      </c>
      <c r="C49" s="82">
        <v>45152</v>
      </c>
      <c r="D49" s="41">
        <v>45155</v>
      </c>
      <c r="E49" s="92">
        <v>45201</v>
      </c>
      <c r="F49" s="61">
        <f>0.0235295*1000</f>
        <v>23.529499999999999</v>
      </c>
      <c r="G49" s="61">
        <f>1000*0.02</f>
        <v>20</v>
      </c>
      <c r="H49" s="49"/>
      <c r="I49" s="41">
        <f>D49</f>
        <v>45155</v>
      </c>
      <c r="J49" s="101">
        <v>9701409715</v>
      </c>
      <c r="K49" s="101">
        <v>0</v>
      </c>
      <c r="L49" s="101">
        <f>J49-K49</f>
        <v>9701409715</v>
      </c>
      <c r="M49" s="49"/>
      <c r="N49" s="41">
        <f>E49</f>
        <v>45201</v>
      </c>
      <c r="O49" s="101">
        <f>F49/1000*L49</f>
        <v>228269319.88909248</v>
      </c>
      <c r="P49" s="101">
        <f>G49/1000*L49</f>
        <v>194028194.30000001</v>
      </c>
      <c r="R49" s="118"/>
      <c r="S49" s="81"/>
      <c r="T49" s="81"/>
      <c r="U49" s="118"/>
    </row>
    <row r="50" spans="2:21" ht="13.4" customHeight="1" x14ac:dyDescent="0.25">
      <c r="B50" s="94" t="s">
        <v>117</v>
      </c>
      <c r="C50" s="82">
        <v>45061</v>
      </c>
      <c r="D50" s="91">
        <v>45077</v>
      </c>
      <c r="E50" s="92">
        <v>45110</v>
      </c>
      <c r="F50" s="61">
        <f>0.0235295*1000</f>
        <v>23.529499999999999</v>
      </c>
      <c r="G50" s="61">
        <f>0.02*1000</f>
        <v>20</v>
      </c>
      <c r="H50" s="49"/>
      <c r="I50" s="41">
        <f>D50</f>
        <v>45077</v>
      </c>
      <c r="J50" s="101">
        <v>9701409715</v>
      </c>
      <c r="K50" s="101">
        <v>0</v>
      </c>
      <c r="L50" s="101">
        <f>J50-K50</f>
        <v>9701409715</v>
      </c>
      <c r="M50" s="49"/>
      <c r="N50" s="41">
        <f>E50</f>
        <v>45110</v>
      </c>
      <c r="O50" s="101">
        <f>F50/1000*L50</f>
        <v>228269319.88909248</v>
      </c>
      <c r="P50" s="101">
        <f>G50/1000*L50</f>
        <v>194028194.30000001</v>
      </c>
      <c r="R50" s="118"/>
      <c r="S50" s="81"/>
      <c r="T50" s="81"/>
      <c r="U50" s="118"/>
    </row>
    <row r="51" spans="2:21" s="89" customFormat="1" ht="13.5" customHeight="1" x14ac:dyDescent="0.25">
      <c r="B51" s="84" t="s">
        <v>18</v>
      </c>
      <c r="C51" s="85"/>
      <c r="D51" s="85"/>
      <c r="E51" s="85"/>
      <c r="F51" s="86"/>
      <c r="G51" s="87"/>
      <c r="H51" s="104"/>
      <c r="I51" s="106"/>
      <c r="J51" s="107"/>
      <c r="K51" s="107"/>
      <c r="L51" s="107"/>
      <c r="M51" s="104"/>
      <c r="N51" s="108" t="s">
        <v>294</v>
      </c>
      <c r="O51" s="109">
        <f>SUM(O40:O50)</f>
        <v>8854968623.2465153</v>
      </c>
      <c r="P51" s="109">
        <f>SUM(P40:P50)</f>
        <v>7992194048.5404902</v>
      </c>
      <c r="R51" s="118"/>
      <c r="U51" s="118"/>
    </row>
    <row r="52" spans="2:21" s="89" customFormat="1" ht="13.5" customHeight="1" x14ac:dyDescent="0.25">
      <c r="B52" s="152" t="s">
        <v>8</v>
      </c>
      <c r="C52" s="152"/>
      <c r="D52" s="152"/>
      <c r="E52" s="152"/>
      <c r="F52" s="152"/>
      <c r="G52" s="152"/>
      <c r="H52" s="104"/>
      <c r="I52" s="106"/>
      <c r="J52" s="107"/>
      <c r="K52" s="107"/>
      <c r="L52" s="107"/>
      <c r="M52" s="104"/>
      <c r="N52" s="111"/>
      <c r="O52" s="112"/>
      <c r="P52" s="112"/>
      <c r="R52" s="118"/>
      <c r="U52" s="118"/>
    </row>
    <row r="53" spans="2:21" s="89" customFormat="1" ht="13.5" customHeight="1" x14ac:dyDescent="0.25">
      <c r="B53" s="156" t="s">
        <v>320</v>
      </c>
      <c r="C53" s="156"/>
      <c r="D53" s="156"/>
      <c r="E53" s="156"/>
      <c r="F53" s="156"/>
      <c r="G53" s="156"/>
      <c r="H53" s="104"/>
      <c r="I53" s="106"/>
      <c r="J53" s="107"/>
      <c r="K53" s="107"/>
      <c r="L53" s="107"/>
      <c r="M53" s="104"/>
      <c r="N53" s="111"/>
      <c r="O53" s="112"/>
      <c r="P53" s="112"/>
      <c r="R53" s="118"/>
      <c r="U53" s="118"/>
    </row>
    <row r="54" spans="2:21" s="89" customFormat="1" ht="13.5" customHeight="1" x14ac:dyDescent="0.25">
      <c r="B54" s="156" t="s">
        <v>328</v>
      </c>
      <c r="C54" s="156"/>
      <c r="D54" s="156"/>
      <c r="E54" s="156"/>
      <c r="F54" s="156"/>
      <c r="G54" s="156"/>
      <c r="H54" s="104"/>
      <c r="I54" s="106"/>
      <c r="J54" s="107"/>
      <c r="K54" s="107"/>
      <c r="L54" s="107"/>
      <c r="M54" s="104"/>
      <c r="N54" s="111"/>
      <c r="O54" s="112"/>
      <c r="P54" s="112"/>
      <c r="R54" s="118"/>
      <c r="U54" s="118"/>
    </row>
    <row r="55" spans="2:21" s="89" customFormat="1" ht="13.5" customHeight="1" x14ac:dyDescent="0.25">
      <c r="B55" s="113"/>
      <c r="C55" s="110"/>
      <c r="D55" s="110"/>
      <c r="E55" s="110"/>
      <c r="F55" s="110"/>
      <c r="G55" s="110"/>
      <c r="H55" s="104"/>
      <c r="I55" s="106"/>
      <c r="J55" s="107"/>
      <c r="K55" s="107"/>
      <c r="L55" s="107"/>
      <c r="M55" s="104"/>
      <c r="N55" s="111"/>
      <c r="O55" s="112"/>
      <c r="P55" s="112"/>
      <c r="R55" s="118"/>
      <c r="U55" s="118"/>
    </row>
    <row r="56" spans="2:21" ht="13.5" customHeight="1" x14ac:dyDescent="0.25">
      <c r="B56" s="49"/>
      <c r="C56" s="49"/>
      <c r="D56" s="49"/>
      <c r="E56" s="49"/>
      <c r="F56" s="49"/>
      <c r="G56" s="49"/>
      <c r="H56" s="49"/>
      <c r="M56" s="49"/>
      <c r="R56" s="118"/>
      <c r="U56" s="118"/>
    </row>
    <row r="57" spans="2:21" ht="13.5" customHeight="1" x14ac:dyDescent="0.25">
      <c r="B57" s="67" t="s">
        <v>0</v>
      </c>
      <c r="C57" s="67" t="s">
        <v>1</v>
      </c>
      <c r="D57" s="67" t="s">
        <v>72</v>
      </c>
      <c r="E57" s="67" t="s">
        <v>2</v>
      </c>
      <c r="F57" s="144" t="s">
        <v>3</v>
      </c>
      <c r="G57" s="146"/>
      <c r="H57" s="49"/>
      <c r="I57" s="144" t="s">
        <v>293</v>
      </c>
      <c r="J57" s="145"/>
      <c r="K57" s="145"/>
      <c r="L57" s="146"/>
      <c r="M57" s="49"/>
      <c r="N57" s="144" t="s">
        <v>300</v>
      </c>
      <c r="O57" s="145"/>
      <c r="P57" s="146"/>
      <c r="R57" s="118"/>
      <c r="U57" s="118"/>
    </row>
    <row r="58" spans="2:21" ht="13.5" customHeight="1" x14ac:dyDescent="0.25">
      <c r="B58" s="68" t="s">
        <v>109</v>
      </c>
      <c r="C58" s="68" t="s">
        <v>110</v>
      </c>
      <c r="D58" s="69" t="s">
        <v>73</v>
      </c>
      <c r="E58" s="70" t="s">
        <v>6</v>
      </c>
      <c r="F58" s="71" t="s">
        <v>7</v>
      </c>
      <c r="G58" s="69" t="s">
        <v>113</v>
      </c>
      <c r="H58" s="49"/>
      <c r="I58" s="71" t="s">
        <v>297</v>
      </c>
      <c r="J58" s="71" t="s">
        <v>294</v>
      </c>
      <c r="K58" s="69" t="s">
        <v>295</v>
      </c>
      <c r="L58" s="69" t="s">
        <v>296</v>
      </c>
      <c r="M58" s="49"/>
      <c r="N58" s="71" t="s">
        <v>297</v>
      </c>
      <c r="O58" s="71" t="s">
        <v>301</v>
      </c>
      <c r="P58" s="71" t="s">
        <v>302</v>
      </c>
      <c r="R58" s="118"/>
      <c r="U58" s="118"/>
    </row>
    <row r="59" spans="2:21" ht="13.5" customHeight="1" x14ac:dyDescent="0.25">
      <c r="B59" s="93" t="s">
        <v>56</v>
      </c>
      <c r="C59" s="40">
        <v>44896</v>
      </c>
      <c r="D59" s="41" t="s">
        <v>315</v>
      </c>
      <c r="E59" s="92" t="s">
        <v>324</v>
      </c>
      <c r="F59" s="22">
        <f>0.0445*1000</f>
        <v>44.5</v>
      </c>
      <c r="G59" s="17">
        <f>0.037825*1000</f>
        <v>37.824999999999996</v>
      </c>
      <c r="H59" s="49"/>
      <c r="I59" s="41" t="str">
        <f>D59</f>
        <v xml:space="preserve"> 08/12/2022</v>
      </c>
      <c r="J59" s="101">
        <v>9701409715</v>
      </c>
      <c r="K59" s="101">
        <v>0</v>
      </c>
      <c r="L59" s="101">
        <f t="shared" ref="L59:L61" si="68">J59-K59</f>
        <v>9701409715</v>
      </c>
      <c r="M59" s="49"/>
      <c r="N59" s="41" t="str">
        <f>E59</f>
        <v>02/10/2023(**)</v>
      </c>
      <c r="O59" s="101">
        <f t="shared" ref="O59:O61" si="69">F59/1000*L59</f>
        <v>431712732.3175</v>
      </c>
      <c r="P59" s="101">
        <f t="shared" ref="P59:P61" si="70">G59/1000*L59</f>
        <v>366955822.46987498</v>
      </c>
      <c r="R59" s="118"/>
      <c r="S59" s="81"/>
      <c r="T59" s="81"/>
      <c r="U59" s="118"/>
    </row>
    <row r="60" spans="2:21" ht="13.5" customHeight="1" x14ac:dyDescent="0.25">
      <c r="B60" s="93" t="s">
        <v>56</v>
      </c>
      <c r="C60" s="40">
        <v>44896</v>
      </c>
      <c r="D60" s="41" t="s">
        <v>315</v>
      </c>
      <c r="E60" s="92">
        <v>44995</v>
      </c>
      <c r="F60" s="22">
        <f>0.141*1000</f>
        <v>141</v>
      </c>
      <c r="G60" s="17">
        <f>0.11985*1000</f>
        <v>119.85</v>
      </c>
      <c r="H60" s="49"/>
      <c r="I60" s="41" t="str">
        <f t="shared" ref="I60:I61" si="71">D60</f>
        <v xml:space="preserve"> 08/12/2022</v>
      </c>
      <c r="J60" s="101">
        <v>9701409715</v>
      </c>
      <c r="K60" s="101">
        <v>0</v>
      </c>
      <c r="L60" s="101">
        <f t="shared" si="68"/>
        <v>9701409715</v>
      </c>
      <c r="M60" s="49"/>
      <c r="N60" s="41">
        <f t="shared" ref="N60:N61" si="72">E60</f>
        <v>44995</v>
      </c>
      <c r="O60" s="101">
        <f t="shared" si="69"/>
        <v>1367898769.8149998</v>
      </c>
      <c r="P60" s="101">
        <f t="shared" si="70"/>
        <v>1162713954.3427501</v>
      </c>
      <c r="R60" s="118"/>
      <c r="S60" s="81"/>
      <c r="T60" s="81"/>
      <c r="U60" s="118"/>
    </row>
    <row r="61" spans="2:21" ht="13.5" customHeight="1" x14ac:dyDescent="0.25">
      <c r="B61" s="93" t="s">
        <v>56</v>
      </c>
      <c r="C61" s="40">
        <v>44875</v>
      </c>
      <c r="D61" s="41">
        <v>44883</v>
      </c>
      <c r="E61" s="92" t="s">
        <v>324</v>
      </c>
      <c r="F61" s="17">
        <f>0.05154*1000</f>
        <v>51.54</v>
      </c>
      <c r="G61" s="17">
        <f>0.043809*1000</f>
        <v>43.808999999999997</v>
      </c>
      <c r="H61" s="49"/>
      <c r="I61" s="41">
        <f t="shared" si="71"/>
        <v>44883</v>
      </c>
      <c r="J61" s="101">
        <v>9701409715</v>
      </c>
      <c r="K61" s="101">
        <v>0</v>
      </c>
      <c r="L61" s="101">
        <f t="shared" si="68"/>
        <v>9701409715</v>
      </c>
      <c r="M61" s="49"/>
      <c r="N61" s="41" t="str">
        <f t="shared" si="72"/>
        <v>02/10/2023(**)</v>
      </c>
      <c r="O61" s="101">
        <f t="shared" si="69"/>
        <v>500010656.71110004</v>
      </c>
      <c r="P61" s="101">
        <f t="shared" si="70"/>
        <v>425009058.20443499</v>
      </c>
      <c r="R61" s="118"/>
      <c r="S61" s="81"/>
      <c r="T61" s="81"/>
      <c r="U61" s="118"/>
    </row>
    <row r="62" spans="2:21" ht="13.5" customHeight="1" x14ac:dyDescent="0.25">
      <c r="B62" s="93" t="s">
        <v>56</v>
      </c>
      <c r="C62" s="40">
        <v>44788</v>
      </c>
      <c r="D62" s="41">
        <v>44791</v>
      </c>
      <c r="E62" s="92" t="s">
        <v>324</v>
      </c>
      <c r="F62" s="17">
        <f>0.0494*1000</f>
        <v>49.4</v>
      </c>
      <c r="G62" s="17">
        <f>0.04199*1000</f>
        <v>41.99</v>
      </c>
      <c r="H62" s="49"/>
      <c r="I62" s="41">
        <f>D62</f>
        <v>44791</v>
      </c>
      <c r="J62" s="101">
        <v>8831355677</v>
      </c>
      <c r="K62" s="101">
        <v>11892300</v>
      </c>
      <c r="L62" s="101">
        <f t="shared" ref="L62:L67" si="73">J62-K62</f>
        <v>8819463377</v>
      </c>
      <c r="M62" s="49"/>
      <c r="N62" s="41" t="str">
        <f>E62</f>
        <v>02/10/2023(**)</v>
      </c>
      <c r="O62" s="101">
        <f t="shared" ref="O62:O68" si="74">F62/1000*L62</f>
        <v>435681490.82379997</v>
      </c>
      <c r="P62" s="101">
        <f>G62/1000*L62</f>
        <v>370329267.20023</v>
      </c>
      <c r="R62" s="118"/>
      <c r="S62" s="81"/>
      <c r="T62" s="81"/>
      <c r="U62" s="118"/>
    </row>
    <row r="63" spans="2:21" ht="13.5" customHeight="1" x14ac:dyDescent="0.25">
      <c r="B63" s="93" t="s">
        <v>56</v>
      </c>
      <c r="C63" s="40">
        <v>44788</v>
      </c>
      <c r="D63" s="41">
        <v>44791</v>
      </c>
      <c r="E63" s="92">
        <v>44803</v>
      </c>
      <c r="F63" s="17">
        <f>0.0103*1000</f>
        <v>10.3</v>
      </c>
      <c r="G63" s="17">
        <f>0.008755*1000</f>
        <v>8.7550000000000008</v>
      </c>
      <c r="H63" s="49"/>
      <c r="I63" s="41">
        <f t="shared" ref="I63:I68" si="75">D63</f>
        <v>44791</v>
      </c>
      <c r="J63" s="101">
        <v>8831355677</v>
      </c>
      <c r="K63" s="101">
        <v>11892300</v>
      </c>
      <c r="L63" s="101">
        <f t="shared" si="73"/>
        <v>8819463377</v>
      </c>
      <c r="M63" s="49"/>
      <c r="N63" s="41">
        <f t="shared" ref="N63:N68" si="76">E63</f>
        <v>44803</v>
      </c>
      <c r="O63" s="101">
        <f t="shared" si="74"/>
        <v>90840472.783099994</v>
      </c>
      <c r="P63" s="101">
        <f t="shared" ref="P63:P68" si="77">G63/1000*L63</f>
        <v>77214401.865635008</v>
      </c>
      <c r="R63" s="118"/>
      <c r="S63" s="81"/>
      <c r="T63" s="81"/>
      <c r="U63" s="118"/>
    </row>
    <row r="64" spans="2:21" s="89" customFormat="1" ht="13.5" customHeight="1" x14ac:dyDescent="0.25">
      <c r="B64" s="94" t="s">
        <v>56</v>
      </c>
      <c r="C64" s="82">
        <v>44641</v>
      </c>
      <c r="D64" s="91">
        <v>44644</v>
      </c>
      <c r="E64" s="92" t="s">
        <v>321</v>
      </c>
      <c r="F64" s="61">
        <f>0.11337*1000</f>
        <v>113.37</v>
      </c>
      <c r="G64" s="61">
        <f>0.0963645*1000</f>
        <v>96.364500000000007</v>
      </c>
      <c r="H64" s="104"/>
      <c r="I64" s="91">
        <f t="shared" si="75"/>
        <v>44644</v>
      </c>
      <c r="J64" s="105">
        <v>8831355677</v>
      </c>
      <c r="K64" s="105">
        <v>11892300</v>
      </c>
      <c r="L64" s="105">
        <f t="shared" si="73"/>
        <v>8819463377</v>
      </c>
      <c r="M64" s="104"/>
      <c r="N64" s="91" t="str">
        <f t="shared" si="76"/>
        <v>30/08/2022 (*)</v>
      </c>
      <c r="O64" s="105">
        <f t="shared" si="74"/>
        <v>999862563.05049002</v>
      </c>
      <c r="P64" s="105">
        <f t="shared" si="77"/>
        <v>849883178.59291661</v>
      </c>
      <c r="R64" s="118"/>
      <c r="U64" s="118"/>
    </row>
    <row r="65" spans="2:21" s="89" customFormat="1" ht="13.5" customHeight="1" x14ac:dyDescent="0.25">
      <c r="B65" s="94" t="s">
        <v>118</v>
      </c>
      <c r="C65" s="82">
        <v>44690</v>
      </c>
      <c r="D65" s="91">
        <v>44985</v>
      </c>
      <c r="E65" s="92">
        <v>45019</v>
      </c>
      <c r="F65" s="61">
        <f>0.0235295*1000</f>
        <v>23.529499999999999</v>
      </c>
      <c r="G65" s="61">
        <f>0.02*1000</f>
        <v>20</v>
      </c>
      <c r="H65" s="104"/>
      <c r="I65" s="91">
        <f t="shared" si="75"/>
        <v>44985</v>
      </c>
      <c r="J65" s="105">
        <v>9701409715</v>
      </c>
      <c r="K65" s="105">
        <v>0</v>
      </c>
      <c r="L65" s="105">
        <f t="shared" si="73"/>
        <v>9701409715</v>
      </c>
      <c r="M65" s="104"/>
      <c r="N65" s="91">
        <f t="shared" si="76"/>
        <v>45019</v>
      </c>
      <c r="O65" s="105">
        <f t="shared" si="74"/>
        <v>228269319.88909248</v>
      </c>
      <c r="P65" s="105">
        <f t="shared" si="77"/>
        <v>194028194.30000001</v>
      </c>
      <c r="R65" s="118"/>
      <c r="S65" s="81"/>
      <c r="T65" s="81"/>
      <c r="U65" s="118"/>
    </row>
    <row r="66" spans="2:21" s="89" customFormat="1" ht="13.5" customHeight="1" x14ac:dyDescent="0.25">
      <c r="B66" s="94" t="s">
        <v>119</v>
      </c>
      <c r="C66" s="82">
        <v>44690</v>
      </c>
      <c r="D66" s="91">
        <v>44895</v>
      </c>
      <c r="E66" s="92">
        <v>44928</v>
      </c>
      <c r="F66" s="61">
        <f>0.0235295*1000</f>
        <v>23.529499999999999</v>
      </c>
      <c r="G66" s="61">
        <f>0.02*1000</f>
        <v>20</v>
      </c>
      <c r="H66" s="104"/>
      <c r="I66" s="91">
        <f>D66</f>
        <v>44895</v>
      </c>
      <c r="J66" s="105">
        <v>9701409715</v>
      </c>
      <c r="K66" s="105">
        <v>0</v>
      </c>
      <c r="L66" s="105">
        <f t="shared" si="73"/>
        <v>9701409715</v>
      </c>
      <c r="M66" s="104"/>
      <c r="N66" s="91">
        <f t="shared" si="76"/>
        <v>44928</v>
      </c>
      <c r="O66" s="105">
        <f t="shared" si="74"/>
        <v>228269319.88909248</v>
      </c>
      <c r="P66" s="105">
        <f t="shared" si="77"/>
        <v>194028194.30000001</v>
      </c>
      <c r="R66" s="118"/>
      <c r="S66" s="81"/>
      <c r="T66" s="81"/>
      <c r="U66" s="118"/>
    </row>
    <row r="67" spans="2:21" s="89" customFormat="1" ht="13.5" customHeight="1" x14ac:dyDescent="0.25">
      <c r="B67" s="94" t="s">
        <v>120</v>
      </c>
      <c r="C67" s="82">
        <v>44690</v>
      </c>
      <c r="D67" s="91">
        <v>44804</v>
      </c>
      <c r="E67" s="92">
        <v>44837</v>
      </c>
      <c r="F67" s="61">
        <f>0.0235295*1000</f>
        <v>23.529499999999999</v>
      </c>
      <c r="G67" s="61">
        <f>0.02*1000</f>
        <v>20</v>
      </c>
      <c r="H67" s="104"/>
      <c r="I67" s="91">
        <f t="shared" si="75"/>
        <v>44804</v>
      </c>
      <c r="J67" s="105">
        <v>8831355677</v>
      </c>
      <c r="K67" s="105">
        <v>11892300</v>
      </c>
      <c r="L67" s="105">
        <f t="shared" si="73"/>
        <v>8819463377</v>
      </c>
      <c r="M67" s="104"/>
      <c r="N67" s="91">
        <f t="shared" si="76"/>
        <v>44837</v>
      </c>
      <c r="O67" s="105">
        <f t="shared" si="74"/>
        <v>207517563.52912149</v>
      </c>
      <c r="P67" s="105">
        <f t="shared" si="77"/>
        <v>176389267.53999999</v>
      </c>
      <c r="R67" s="118"/>
      <c r="S67" s="81"/>
      <c r="T67" s="81"/>
      <c r="U67" s="118"/>
    </row>
    <row r="68" spans="2:21" s="89" customFormat="1" ht="13.5" customHeight="1" x14ac:dyDescent="0.25">
      <c r="B68" s="94" t="s">
        <v>117</v>
      </c>
      <c r="C68" s="82">
        <v>44690</v>
      </c>
      <c r="D68" s="91">
        <v>44712</v>
      </c>
      <c r="E68" s="92">
        <v>44743</v>
      </c>
      <c r="F68" s="61">
        <f>0.0235295*1000</f>
        <v>23.529499999999999</v>
      </c>
      <c r="G68" s="61">
        <f>0.02*1000</f>
        <v>20</v>
      </c>
      <c r="H68" s="104"/>
      <c r="I68" s="91">
        <f t="shared" si="75"/>
        <v>44712</v>
      </c>
      <c r="J68" s="105">
        <v>8831355677</v>
      </c>
      <c r="K68" s="105">
        <v>11892300</v>
      </c>
      <c r="L68" s="105">
        <f>J68-K68</f>
        <v>8819463377</v>
      </c>
      <c r="M68" s="104"/>
      <c r="N68" s="91">
        <f t="shared" si="76"/>
        <v>44743</v>
      </c>
      <c r="O68" s="105">
        <f t="shared" si="74"/>
        <v>207517563.52912149</v>
      </c>
      <c r="P68" s="105">
        <f t="shared" si="77"/>
        <v>176389267.53999999</v>
      </c>
      <c r="R68" s="121"/>
      <c r="S68" s="121"/>
      <c r="T68" s="121"/>
      <c r="U68" s="121"/>
    </row>
    <row r="69" spans="2:21" s="89" customFormat="1" ht="13" x14ac:dyDescent="0.25">
      <c r="B69" s="84" t="s">
        <v>18</v>
      </c>
      <c r="C69" s="85"/>
      <c r="D69" s="85"/>
      <c r="E69" s="85"/>
      <c r="F69" s="86"/>
      <c r="G69" s="87"/>
      <c r="H69" s="104"/>
      <c r="M69" s="104"/>
      <c r="N69" s="108" t="s">
        <v>294</v>
      </c>
      <c r="O69" s="109">
        <f>SUM(O59:O68)</f>
        <v>4697580452.3374176</v>
      </c>
      <c r="P69" s="109">
        <f>SUM(P59:P68)</f>
        <v>3992940606.3558416</v>
      </c>
      <c r="S69" s="121"/>
      <c r="T69" s="121"/>
    </row>
    <row r="70" spans="2:21" s="89" customFormat="1" ht="13" x14ac:dyDescent="0.25">
      <c r="B70" s="152" t="s">
        <v>8</v>
      </c>
      <c r="C70" s="152"/>
      <c r="D70" s="152"/>
      <c r="E70" s="152"/>
      <c r="F70" s="152"/>
      <c r="G70" s="152"/>
      <c r="H70" s="104"/>
      <c r="K70" s="114"/>
      <c r="L70" s="115"/>
      <c r="M70" s="104"/>
    </row>
    <row r="71" spans="2:21" s="89" customFormat="1" ht="13" x14ac:dyDescent="0.25">
      <c r="B71" s="156" t="s">
        <v>231</v>
      </c>
      <c r="C71" s="156"/>
      <c r="D71" s="156"/>
      <c r="E71" s="156"/>
      <c r="F71" s="156"/>
      <c r="G71" s="156"/>
      <c r="H71" s="104"/>
      <c r="K71" s="114"/>
      <c r="L71" s="115"/>
      <c r="M71" s="104"/>
    </row>
    <row r="72" spans="2:21" ht="14.25" customHeight="1" x14ac:dyDescent="0.25">
      <c r="B72" s="156" t="s">
        <v>325</v>
      </c>
      <c r="C72" s="156"/>
      <c r="D72" s="156"/>
      <c r="E72" s="156"/>
      <c r="F72" s="156"/>
      <c r="G72" s="156"/>
      <c r="H72" s="49"/>
      <c r="L72" s="116"/>
      <c r="M72" s="49"/>
    </row>
    <row r="73" spans="2:21" ht="14.25" customHeight="1" x14ac:dyDescent="0.25">
      <c r="B73" s="113"/>
      <c r="C73" s="113"/>
      <c r="D73" s="113"/>
      <c r="E73" s="113"/>
      <c r="F73" s="113"/>
      <c r="G73" s="113"/>
      <c r="H73" s="49"/>
      <c r="L73" s="116"/>
      <c r="M73" s="49"/>
    </row>
    <row r="74" spans="2:21" ht="13.5" customHeight="1" x14ac:dyDescent="0.25">
      <c r="B74" s="27"/>
      <c r="C74" s="10"/>
      <c r="D74" s="26"/>
      <c r="E74" s="10"/>
      <c r="F74" s="10"/>
      <c r="G74" s="10"/>
      <c r="H74" s="49"/>
      <c r="M74" s="49"/>
    </row>
    <row r="75" spans="2:21" ht="13.5" customHeight="1" x14ac:dyDescent="0.25">
      <c r="B75" s="67" t="s">
        <v>0</v>
      </c>
      <c r="C75" s="67" t="s">
        <v>1</v>
      </c>
      <c r="D75" s="67" t="s">
        <v>72</v>
      </c>
      <c r="E75" s="67" t="s">
        <v>2</v>
      </c>
      <c r="F75" s="144" t="s">
        <v>3</v>
      </c>
      <c r="G75" s="146"/>
      <c r="H75" s="49"/>
      <c r="I75" s="144" t="s">
        <v>293</v>
      </c>
      <c r="J75" s="145"/>
      <c r="K75" s="145"/>
      <c r="L75" s="146"/>
      <c r="M75" s="49"/>
      <c r="N75" s="144" t="s">
        <v>300</v>
      </c>
      <c r="O75" s="145"/>
      <c r="P75" s="146"/>
    </row>
    <row r="76" spans="2:21" ht="13.5" customHeight="1" x14ac:dyDescent="0.25">
      <c r="B76" s="68" t="s">
        <v>108</v>
      </c>
      <c r="C76" s="68" t="s">
        <v>110</v>
      </c>
      <c r="D76" s="69" t="s">
        <v>73</v>
      </c>
      <c r="E76" s="70" t="s">
        <v>6</v>
      </c>
      <c r="F76" s="71" t="s">
        <v>7</v>
      </c>
      <c r="G76" s="69" t="s">
        <v>113</v>
      </c>
      <c r="H76" s="49"/>
      <c r="I76" s="71" t="s">
        <v>297</v>
      </c>
      <c r="J76" s="71" t="s">
        <v>294</v>
      </c>
      <c r="K76" s="69" t="s">
        <v>295</v>
      </c>
      <c r="L76" s="69" t="s">
        <v>296</v>
      </c>
      <c r="M76" s="49"/>
      <c r="N76" s="71" t="s">
        <v>297</v>
      </c>
      <c r="O76" s="71" t="s">
        <v>301</v>
      </c>
      <c r="P76" s="71" t="s">
        <v>302</v>
      </c>
    </row>
    <row r="77" spans="2:21" s="89" customFormat="1" ht="12.75" customHeight="1" x14ac:dyDescent="0.25">
      <c r="B77" s="94" t="s">
        <v>56</v>
      </c>
      <c r="C77" s="82">
        <v>44543</v>
      </c>
      <c r="D77" s="91">
        <v>44575</v>
      </c>
      <c r="E77" s="92" t="s">
        <v>322</v>
      </c>
      <c r="F77" s="61">
        <f>0.13334*1000</f>
        <v>133.33999999999997</v>
      </c>
      <c r="G77" s="61">
        <f>0.113339*1000</f>
        <v>113.339</v>
      </c>
      <c r="I77" s="91">
        <f t="shared" ref="I77:I87" si="78">D77</f>
        <v>44575</v>
      </c>
      <c r="J77" s="105">
        <f>3034329659+5797026018</f>
        <v>8831355677</v>
      </c>
      <c r="K77" s="105">
        <v>8400000</v>
      </c>
      <c r="L77" s="105">
        <f>J77-K77</f>
        <v>8822955677</v>
      </c>
      <c r="N77" s="91" t="str">
        <f t="shared" ref="N77:N86" si="79">E77</f>
        <v>11/03/2022 (*)</v>
      </c>
      <c r="O77" s="105">
        <f t="shared" ref="O77:O87" si="80">F77/1000*L77</f>
        <v>1176452909.97118</v>
      </c>
      <c r="P77" s="105">
        <f>G77/1000*L77</f>
        <v>999984973.47550297</v>
      </c>
    </row>
    <row r="78" spans="2:21" s="89" customFormat="1" ht="12.75" customHeight="1" x14ac:dyDescent="0.25">
      <c r="B78" s="94" t="s">
        <v>56</v>
      </c>
      <c r="C78" s="82">
        <v>44508</v>
      </c>
      <c r="D78" s="91">
        <v>44523</v>
      </c>
      <c r="E78" s="92" t="s">
        <v>322</v>
      </c>
      <c r="F78" s="61">
        <f>0.15472*1000</f>
        <v>154.72</v>
      </c>
      <c r="G78" s="61">
        <f>0.131512*1000</f>
        <v>131.512</v>
      </c>
      <c r="H78" s="88"/>
      <c r="I78" s="91">
        <f t="shared" si="78"/>
        <v>44523</v>
      </c>
      <c r="J78" s="105">
        <f t="shared" ref="J78:J86" si="81" xml:space="preserve"> 2889837770+5520977160</f>
        <v>8410814930</v>
      </c>
      <c r="K78" s="105">
        <v>8000000</v>
      </c>
      <c r="L78" s="105">
        <f>J78-K78</f>
        <v>8402814930</v>
      </c>
      <c r="M78" s="88"/>
      <c r="N78" s="91" t="str">
        <f t="shared" si="79"/>
        <v>11/03/2022 (*)</v>
      </c>
      <c r="O78" s="105">
        <f t="shared" si="80"/>
        <v>1300083525.9696</v>
      </c>
      <c r="P78" s="105">
        <f t="shared" ref="P78:P83" si="82">G78/1000*L78</f>
        <v>1105070997.0741599</v>
      </c>
    </row>
    <row r="79" spans="2:21" ht="12.75" customHeight="1" x14ac:dyDescent="0.25">
      <c r="B79" s="94" t="s">
        <v>56</v>
      </c>
      <c r="C79" s="82">
        <v>44417</v>
      </c>
      <c r="D79" s="91">
        <v>44421</v>
      </c>
      <c r="E79" s="92">
        <v>44434</v>
      </c>
      <c r="F79" s="17">
        <f>0.03734*1000</f>
        <v>37.339999999999996</v>
      </c>
      <c r="G79" s="17">
        <f>0.031739*1000</f>
        <v>31.739000000000004</v>
      </c>
      <c r="H79" s="88"/>
      <c r="I79" s="41">
        <f t="shared" si="78"/>
        <v>44421</v>
      </c>
      <c r="J79" s="101">
        <f t="shared" si="81"/>
        <v>8410814930</v>
      </c>
      <c r="K79" s="101">
        <v>4000000</v>
      </c>
      <c r="L79" s="101">
        <f t="shared" ref="L79:L87" si="83">J79-K79</f>
        <v>8406814930</v>
      </c>
      <c r="M79" s="88"/>
      <c r="N79" s="41">
        <f t="shared" si="79"/>
        <v>44434</v>
      </c>
      <c r="O79" s="101">
        <f t="shared" si="80"/>
        <v>313910469.48619998</v>
      </c>
      <c r="P79" s="101">
        <f t="shared" si="82"/>
        <v>266823899.06327003</v>
      </c>
    </row>
    <row r="80" spans="2:21" ht="12.75" customHeight="1" x14ac:dyDescent="0.25">
      <c r="B80" s="94" t="s">
        <v>56</v>
      </c>
      <c r="C80" s="82">
        <v>44330</v>
      </c>
      <c r="D80" s="91">
        <v>44340</v>
      </c>
      <c r="E80" s="92">
        <v>44434</v>
      </c>
      <c r="F80" s="17">
        <f>0.0184*1000</f>
        <v>18.399999999999999</v>
      </c>
      <c r="G80" s="17">
        <f>0.01564*1000</f>
        <v>15.64</v>
      </c>
      <c r="H80" s="88"/>
      <c r="I80" s="41">
        <f t="shared" si="78"/>
        <v>44340</v>
      </c>
      <c r="J80" s="101">
        <f t="shared" si="81"/>
        <v>8410814930</v>
      </c>
      <c r="K80" s="101">
        <v>0</v>
      </c>
      <c r="L80" s="101">
        <f t="shared" si="83"/>
        <v>8410814930</v>
      </c>
      <c r="M80" s="88"/>
      <c r="N80" s="41">
        <f t="shared" si="79"/>
        <v>44434</v>
      </c>
      <c r="O80" s="101">
        <f t="shared" si="80"/>
        <v>154758994.71199998</v>
      </c>
      <c r="P80" s="101">
        <f t="shared" si="82"/>
        <v>131545145.50520001</v>
      </c>
    </row>
    <row r="81" spans="1:16" ht="12.75" customHeight="1" x14ac:dyDescent="0.25">
      <c r="B81" s="94" t="s">
        <v>56</v>
      </c>
      <c r="C81" s="82">
        <v>44305</v>
      </c>
      <c r="D81" s="91">
        <v>44313</v>
      </c>
      <c r="E81" s="92">
        <v>44434</v>
      </c>
      <c r="F81" s="17">
        <f>0.02131*1000</f>
        <v>21.31</v>
      </c>
      <c r="G81" s="17">
        <f>0.0181135*1000</f>
        <v>18.113500000000002</v>
      </c>
      <c r="H81" s="88"/>
      <c r="I81" s="41">
        <f t="shared" si="78"/>
        <v>44313</v>
      </c>
      <c r="J81" s="101">
        <f t="shared" si="81"/>
        <v>8410814930</v>
      </c>
      <c r="K81" s="101">
        <v>0</v>
      </c>
      <c r="L81" s="101">
        <f t="shared" si="83"/>
        <v>8410814930</v>
      </c>
      <c r="N81" s="41">
        <f t="shared" si="79"/>
        <v>44434</v>
      </c>
      <c r="O81" s="101">
        <f t="shared" si="80"/>
        <v>179234466.15829998</v>
      </c>
      <c r="P81" s="101">
        <f t="shared" si="82"/>
        <v>152349296.23455501</v>
      </c>
    </row>
    <row r="82" spans="1:16" ht="12.75" customHeight="1" x14ac:dyDescent="0.25">
      <c r="B82" s="94" t="s">
        <v>56</v>
      </c>
      <c r="C82" s="82">
        <v>44273</v>
      </c>
      <c r="D82" s="91">
        <v>44280</v>
      </c>
      <c r="E82" s="92">
        <v>44434</v>
      </c>
      <c r="F82" s="17">
        <f>0.01908*1000</f>
        <v>19.079999999999998</v>
      </c>
      <c r="G82" s="17">
        <f>0.016218*1000</f>
        <v>16.218</v>
      </c>
      <c r="H82" s="88"/>
      <c r="I82" s="41">
        <f t="shared" si="78"/>
        <v>44280</v>
      </c>
      <c r="J82" s="101">
        <f t="shared" si="81"/>
        <v>8410814930</v>
      </c>
      <c r="K82" s="101">
        <v>0</v>
      </c>
      <c r="L82" s="101">
        <f t="shared" si="83"/>
        <v>8410814930</v>
      </c>
      <c r="M82" s="88"/>
      <c r="N82" s="41">
        <f t="shared" si="79"/>
        <v>44434</v>
      </c>
      <c r="O82" s="101">
        <f t="shared" si="80"/>
        <v>160478348.8644</v>
      </c>
      <c r="P82" s="101">
        <f t="shared" si="82"/>
        <v>136406596.53474</v>
      </c>
    </row>
    <row r="83" spans="1:16" ht="12.75" customHeight="1" x14ac:dyDescent="0.25">
      <c r="B83" s="94" t="s">
        <v>56</v>
      </c>
      <c r="C83" s="82">
        <v>44259</v>
      </c>
      <c r="D83" s="91">
        <v>44264</v>
      </c>
      <c r="E83" s="92">
        <v>44434</v>
      </c>
      <c r="F83" s="17">
        <f>0.01546*1000</f>
        <v>15.459999999999999</v>
      </c>
      <c r="G83" s="17">
        <f>0.0131376*1000</f>
        <v>13.137599999999999</v>
      </c>
      <c r="H83" s="88"/>
      <c r="I83" s="41">
        <f t="shared" si="78"/>
        <v>44264</v>
      </c>
      <c r="J83" s="101">
        <f t="shared" si="81"/>
        <v>8410814930</v>
      </c>
      <c r="K83" s="101">
        <v>0</v>
      </c>
      <c r="L83" s="101">
        <f t="shared" si="83"/>
        <v>8410814930</v>
      </c>
      <c r="M83" s="88"/>
      <c r="N83" s="41">
        <f t="shared" si="79"/>
        <v>44434</v>
      </c>
      <c r="O83" s="101">
        <f t="shared" si="80"/>
        <v>130031198.8178</v>
      </c>
      <c r="P83" s="101">
        <f t="shared" si="82"/>
        <v>110497922.22436799</v>
      </c>
    </row>
    <row r="84" spans="1:16" ht="12.75" customHeight="1" x14ac:dyDescent="0.25">
      <c r="B84" s="94" t="s">
        <v>115</v>
      </c>
      <c r="C84" s="82">
        <v>44508</v>
      </c>
      <c r="D84" s="91">
        <v>44543</v>
      </c>
      <c r="E84" s="92">
        <v>44652</v>
      </c>
      <c r="F84" s="17">
        <f>0.0235295*1000</f>
        <v>23.529499999999999</v>
      </c>
      <c r="G84" s="17">
        <f>0.02*1000</f>
        <v>20</v>
      </c>
      <c r="H84" s="88"/>
      <c r="I84" s="41">
        <f t="shared" si="78"/>
        <v>44543</v>
      </c>
      <c r="J84" s="101">
        <f>3034329659+5797026018</f>
        <v>8831355677</v>
      </c>
      <c r="K84" s="101">
        <v>8400000</v>
      </c>
      <c r="L84" s="101">
        <f t="shared" si="83"/>
        <v>8822955677</v>
      </c>
      <c r="M84" s="88"/>
      <c r="N84" s="41">
        <f t="shared" si="79"/>
        <v>44652</v>
      </c>
      <c r="O84" s="101">
        <f t="shared" si="80"/>
        <v>207599735.60197148</v>
      </c>
      <c r="P84" s="101">
        <f>G84/1000*L84</f>
        <v>176459113.53999999</v>
      </c>
    </row>
    <row r="85" spans="1:16" ht="12.75" customHeight="1" x14ac:dyDescent="0.25">
      <c r="B85" s="94" t="s">
        <v>114</v>
      </c>
      <c r="C85" s="82">
        <v>44508</v>
      </c>
      <c r="D85" s="91">
        <v>44530</v>
      </c>
      <c r="E85" s="92">
        <v>44564</v>
      </c>
      <c r="F85" s="17">
        <f>0.0235295*1000</f>
        <v>23.529499999999999</v>
      </c>
      <c r="G85" s="17">
        <f>0.02*1000</f>
        <v>20</v>
      </c>
      <c r="H85" s="88"/>
      <c r="I85" s="41">
        <f t="shared" si="78"/>
        <v>44530</v>
      </c>
      <c r="J85" s="101">
        <f t="shared" si="81"/>
        <v>8410814930</v>
      </c>
      <c r="K85" s="101">
        <v>8000000</v>
      </c>
      <c r="L85" s="101">
        <f t="shared" si="83"/>
        <v>8402814930</v>
      </c>
      <c r="M85" s="88"/>
      <c r="N85" s="41">
        <f t="shared" si="79"/>
        <v>44564</v>
      </c>
      <c r="O85" s="101">
        <f t="shared" si="80"/>
        <v>197714033.89543498</v>
      </c>
      <c r="P85" s="101">
        <f>G85/1000*L85</f>
        <v>168056298.59999999</v>
      </c>
    </row>
    <row r="86" spans="1:16" ht="12.75" customHeight="1" x14ac:dyDescent="0.25">
      <c r="B86" s="94" t="s">
        <v>49</v>
      </c>
      <c r="C86" s="82">
        <v>39762</v>
      </c>
      <c r="D86" s="91">
        <v>44439</v>
      </c>
      <c r="E86" s="92">
        <v>44470</v>
      </c>
      <c r="F86" s="17">
        <f>0.02*1000</f>
        <v>20</v>
      </c>
      <c r="G86" s="17">
        <f>0.02*1000</f>
        <v>20</v>
      </c>
      <c r="H86" s="88"/>
      <c r="I86" s="41">
        <f t="shared" si="78"/>
        <v>44439</v>
      </c>
      <c r="J86" s="101">
        <f t="shared" si="81"/>
        <v>8410814930</v>
      </c>
      <c r="K86" s="101">
        <v>5250000</v>
      </c>
      <c r="L86" s="101">
        <f t="shared" si="83"/>
        <v>8405564930</v>
      </c>
      <c r="M86" s="88"/>
      <c r="N86" s="41">
        <f t="shared" si="79"/>
        <v>44470</v>
      </c>
      <c r="O86" s="101">
        <f t="shared" si="80"/>
        <v>168111298.59999999</v>
      </c>
      <c r="P86" s="101">
        <f>G86/1000*L86</f>
        <v>168111298.59999999</v>
      </c>
    </row>
    <row r="87" spans="1:16" ht="12.75" customHeight="1" x14ac:dyDescent="0.25">
      <c r="B87" s="94" t="s">
        <v>48</v>
      </c>
      <c r="C87" s="82">
        <v>39762</v>
      </c>
      <c r="D87" s="91">
        <v>44347</v>
      </c>
      <c r="E87" s="92">
        <v>44378</v>
      </c>
      <c r="F87" s="17">
        <f>0.02*1000</f>
        <v>20</v>
      </c>
      <c r="G87" s="17">
        <f>0.02*1000</f>
        <v>20</v>
      </c>
      <c r="H87" s="88"/>
      <c r="I87" s="41">
        <f t="shared" si="78"/>
        <v>44347</v>
      </c>
      <c r="J87" s="101">
        <v>8410814930</v>
      </c>
      <c r="K87" s="101">
        <v>0</v>
      </c>
      <c r="L87" s="101">
        <f t="shared" si="83"/>
        <v>8410814930</v>
      </c>
      <c r="M87" s="88"/>
      <c r="N87" s="41">
        <f>E87</f>
        <v>44378</v>
      </c>
      <c r="O87" s="101">
        <f t="shared" si="80"/>
        <v>168216298.59999999</v>
      </c>
      <c r="P87" s="101">
        <f>G87/1000*L87</f>
        <v>168216298.59999999</v>
      </c>
    </row>
    <row r="88" spans="1:16" x14ac:dyDescent="0.25">
      <c r="B88" s="84" t="s">
        <v>18</v>
      </c>
      <c r="C88" s="85"/>
      <c r="D88" s="85"/>
      <c r="E88" s="85"/>
      <c r="F88" s="86"/>
      <c r="G88" s="87"/>
      <c r="H88" s="10"/>
      <c r="M88" s="10"/>
      <c r="N88" s="103" t="s">
        <v>294</v>
      </c>
      <c r="O88" s="102">
        <f>SUM(O77:O87)</f>
        <v>4156591280.6768856</v>
      </c>
      <c r="P88" s="102">
        <f>SUM(P77:P87)</f>
        <v>3583521839.4517956</v>
      </c>
    </row>
    <row r="89" spans="1:16" x14ac:dyDescent="0.25">
      <c r="B89" s="155" t="s">
        <v>8</v>
      </c>
      <c r="C89" s="155"/>
      <c r="D89" s="155"/>
      <c r="E89" s="155"/>
      <c r="F89" s="155"/>
      <c r="G89" s="155"/>
      <c r="H89" s="10"/>
      <c r="M89" s="10"/>
    </row>
    <row r="90" spans="1:16" x14ac:dyDescent="0.25">
      <c r="B90" s="161" t="s">
        <v>121</v>
      </c>
      <c r="C90" s="161"/>
      <c r="D90" s="161"/>
      <c r="E90" s="161"/>
      <c r="F90" s="161"/>
      <c r="G90" s="161"/>
      <c r="H90" s="10"/>
      <c r="M90" s="10"/>
    </row>
    <row r="91" spans="1:16" s="89" customFormat="1" x14ac:dyDescent="0.25">
      <c r="B91" s="156" t="s">
        <v>314</v>
      </c>
      <c r="C91" s="156"/>
      <c r="D91" s="156"/>
      <c r="E91" s="156"/>
      <c r="F91" s="156"/>
      <c r="G91" s="156"/>
      <c r="H91" s="88"/>
      <c r="M91" s="88"/>
    </row>
    <row r="92" spans="1:16" x14ac:dyDescent="0.25">
      <c r="B92" s="15"/>
      <c r="C92" s="15"/>
      <c r="D92" s="15"/>
      <c r="E92" s="15"/>
      <c r="F92" s="15"/>
      <c r="G92" s="15"/>
      <c r="H92" s="10"/>
      <c r="M92" s="10"/>
    </row>
    <row r="93" spans="1:16" s="89" customFormat="1" ht="12.75" customHeight="1" x14ac:dyDescent="0.25">
      <c r="A93" s="3"/>
      <c r="B93" s="21"/>
      <c r="C93" s="21"/>
      <c r="D93" s="21"/>
      <c r="E93" s="21"/>
      <c r="F93" s="21"/>
      <c r="G93" s="21"/>
      <c r="H93" s="88"/>
      <c r="M93" s="88"/>
    </row>
    <row r="94" spans="1:16" ht="12.75" customHeight="1" x14ac:dyDescent="0.25">
      <c r="B94" s="67" t="s">
        <v>0</v>
      </c>
      <c r="C94" s="67" t="s">
        <v>1</v>
      </c>
      <c r="D94" s="67" t="s">
        <v>72</v>
      </c>
      <c r="E94" s="67" t="s">
        <v>2</v>
      </c>
      <c r="F94" s="144" t="s">
        <v>3</v>
      </c>
      <c r="G94" s="146"/>
      <c r="H94" s="10"/>
      <c r="M94" s="10"/>
    </row>
    <row r="95" spans="1:16" ht="12.75" customHeight="1" x14ac:dyDescent="0.25">
      <c r="B95" s="68" t="s">
        <v>81</v>
      </c>
      <c r="C95" s="68" t="s">
        <v>110</v>
      </c>
      <c r="D95" s="69" t="s">
        <v>73</v>
      </c>
      <c r="E95" s="70" t="s">
        <v>6</v>
      </c>
      <c r="F95" s="71" t="s">
        <v>7</v>
      </c>
      <c r="G95" s="69" t="s">
        <v>113</v>
      </c>
      <c r="H95" s="90"/>
      <c r="M95" s="90"/>
    </row>
    <row r="96" spans="1:16" ht="12.75" customHeight="1" x14ac:dyDescent="0.25">
      <c r="B96" s="94" t="s">
        <v>82</v>
      </c>
      <c r="C96" s="82">
        <v>44214</v>
      </c>
      <c r="D96" s="91">
        <v>44218</v>
      </c>
      <c r="E96" s="92">
        <v>44267</v>
      </c>
      <c r="F96" s="17">
        <v>20.8</v>
      </c>
      <c r="G96" s="17">
        <v>17.68</v>
      </c>
      <c r="H96" s="10"/>
      <c r="M96" s="10"/>
    </row>
    <row r="97" spans="2:13" ht="12.75" customHeight="1" x14ac:dyDescent="0.25">
      <c r="B97" s="94" t="s">
        <v>56</v>
      </c>
      <c r="C97" s="82">
        <v>44172</v>
      </c>
      <c r="D97" s="82">
        <v>44175</v>
      </c>
      <c r="E97" s="82">
        <v>44267</v>
      </c>
      <c r="F97" s="17">
        <v>101.65</v>
      </c>
      <c r="G97" s="17">
        <v>86.402500000000003</v>
      </c>
      <c r="H97" s="10"/>
      <c r="M97" s="10"/>
    </row>
    <row r="98" spans="2:13" ht="12.75" customHeight="1" x14ac:dyDescent="0.25">
      <c r="B98" s="94" t="s">
        <v>79</v>
      </c>
      <c r="C98" s="82">
        <v>44053</v>
      </c>
      <c r="D98" s="82">
        <v>44060</v>
      </c>
      <c r="E98" s="82">
        <v>44069</v>
      </c>
      <c r="F98" s="17">
        <f t="shared" ref="F98:G102" si="84">0.02*1000</f>
        <v>20</v>
      </c>
      <c r="G98" s="17">
        <f t="shared" si="84"/>
        <v>20</v>
      </c>
      <c r="H98" s="31"/>
      <c r="M98" s="31"/>
    </row>
    <row r="99" spans="2:13" ht="12.75" customHeight="1" x14ac:dyDescent="0.25">
      <c r="B99" s="94" t="s">
        <v>53</v>
      </c>
      <c r="C99" s="82">
        <v>39762</v>
      </c>
      <c r="D99" s="91">
        <v>44253</v>
      </c>
      <c r="E99" s="92">
        <v>44287</v>
      </c>
      <c r="F99" s="17">
        <f t="shared" si="84"/>
        <v>20</v>
      </c>
      <c r="G99" s="17">
        <f t="shared" si="84"/>
        <v>20</v>
      </c>
      <c r="H99" s="31"/>
      <c r="M99" s="31"/>
    </row>
    <row r="100" spans="2:13" ht="12.75" customHeight="1" x14ac:dyDescent="0.25">
      <c r="B100" s="94" t="s">
        <v>50</v>
      </c>
      <c r="C100" s="82">
        <v>39762</v>
      </c>
      <c r="D100" s="91">
        <v>44165</v>
      </c>
      <c r="E100" s="92">
        <v>44200</v>
      </c>
      <c r="F100" s="17">
        <f t="shared" si="84"/>
        <v>20</v>
      </c>
      <c r="G100" s="17">
        <f t="shared" si="84"/>
        <v>20</v>
      </c>
      <c r="H100" s="50"/>
      <c r="L100" s="83"/>
      <c r="M100" s="50"/>
    </row>
    <row r="101" spans="2:13" ht="12.75" customHeight="1" x14ac:dyDescent="0.25">
      <c r="B101" s="94" t="s">
        <v>49</v>
      </c>
      <c r="C101" s="82">
        <v>39762</v>
      </c>
      <c r="D101" s="91">
        <v>44074</v>
      </c>
      <c r="E101" s="92">
        <v>44105</v>
      </c>
      <c r="F101" s="17">
        <f t="shared" si="84"/>
        <v>20</v>
      </c>
      <c r="G101" s="17">
        <f t="shared" si="84"/>
        <v>20</v>
      </c>
      <c r="H101" s="50"/>
      <c r="M101" s="50"/>
    </row>
    <row r="102" spans="2:13" ht="12.75" customHeight="1" x14ac:dyDescent="0.25">
      <c r="B102" s="93" t="s">
        <v>48</v>
      </c>
      <c r="C102" s="40">
        <v>39762</v>
      </c>
      <c r="D102" s="41">
        <v>43980</v>
      </c>
      <c r="E102" s="42">
        <v>44013</v>
      </c>
      <c r="F102" s="17">
        <f t="shared" si="84"/>
        <v>20</v>
      </c>
      <c r="G102" s="17">
        <f t="shared" si="84"/>
        <v>20</v>
      </c>
      <c r="H102" s="51"/>
      <c r="M102" s="51"/>
    </row>
    <row r="103" spans="2:13" ht="12.75" customHeight="1" x14ac:dyDescent="0.25">
      <c r="B103" s="18" t="s">
        <v>18</v>
      </c>
      <c r="C103" s="29"/>
      <c r="D103" s="29"/>
      <c r="E103" s="29"/>
      <c r="F103" s="19"/>
      <c r="G103" s="20"/>
      <c r="H103" s="51"/>
      <c r="M103" s="51"/>
    </row>
    <row r="104" spans="2:13" ht="12.75" customHeight="1" x14ac:dyDescent="0.25">
      <c r="B104" s="155" t="s">
        <v>8</v>
      </c>
      <c r="C104" s="155"/>
      <c r="D104" s="155"/>
      <c r="E104" s="155"/>
      <c r="F104" s="155"/>
      <c r="G104" s="155"/>
      <c r="H104" s="51"/>
      <c r="M104" s="51"/>
    </row>
    <row r="105" spans="2:13" ht="12.75" customHeight="1" x14ac:dyDescent="0.25">
      <c r="B105" s="21"/>
      <c r="C105" s="21"/>
      <c r="D105" s="21"/>
      <c r="E105" s="21"/>
      <c r="F105" s="21"/>
      <c r="G105" s="21"/>
      <c r="H105" s="51"/>
      <c r="M105" s="51"/>
    </row>
    <row r="106" spans="2:13" ht="12.75" customHeight="1" x14ac:dyDescent="0.25">
      <c r="B106" s="14"/>
      <c r="C106" s="10"/>
      <c r="D106" s="26"/>
      <c r="E106" s="10"/>
      <c r="F106" s="10"/>
      <c r="G106" s="10"/>
      <c r="H106" s="51"/>
      <c r="L106" s="81"/>
      <c r="M106" s="51"/>
    </row>
    <row r="107" spans="2:13" ht="12.75" customHeight="1" x14ac:dyDescent="0.25">
      <c r="B107" s="67" t="s">
        <v>0</v>
      </c>
      <c r="C107" s="67" t="s">
        <v>1</v>
      </c>
      <c r="D107" s="67" t="s">
        <v>72</v>
      </c>
      <c r="E107" s="67" t="s">
        <v>2</v>
      </c>
      <c r="F107" s="144" t="s">
        <v>3</v>
      </c>
      <c r="G107" s="146"/>
      <c r="H107" s="20"/>
      <c r="M107" s="20"/>
    </row>
    <row r="108" spans="2:13" ht="12.75" customHeight="1" x14ac:dyDescent="0.25">
      <c r="B108" s="68" t="s">
        <v>80</v>
      </c>
      <c r="C108" s="68" t="s">
        <v>110</v>
      </c>
      <c r="D108" s="69" t="s">
        <v>73</v>
      </c>
      <c r="E108" s="70" t="s">
        <v>6</v>
      </c>
      <c r="F108" s="71" t="s">
        <v>7</v>
      </c>
      <c r="G108" s="69" t="s">
        <v>113</v>
      </c>
      <c r="H108" s="21"/>
      <c r="M108" s="21"/>
    </row>
    <row r="109" spans="2:13" ht="12.75" customHeight="1" x14ac:dyDescent="0.25">
      <c r="B109" s="93" t="s">
        <v>56</v>
      </c>
      <c r="C109" s="40">
        <v>43808</v>
      </c>
      <c r="D109" s="41">
        <v>43811</v>
      </c>
      <c r="E109" s="42">
        <v>43951</v>
      </c>
      <c r="F109" s="17">
        <f>0.00595*1000</f>
        <v>5.95</v>
      </c>
      <c r="G109" s="17">
        <f>0.0050575*1000</f>
        <v>5.0575000000000001</v>
      </c>
      <c r="H109" s="21"/>
      <c r="M109" s="21"/>
    </row>
    <row r="110" spans="2:13" ht="12.75" customHeight="1" x14ac:dyDescent="0.25">
      <c r="B110" s="93" t="s">
        <v>79</v>
      </c>
      <c r="C110" s="40">
        <v>43689</v>
      </c>
      <c r="D110" s="41">
        <v>43692</v>
      </c>
      <c r="E110" s="42">
        <v>43700</v>
      </c>
      <c r="F110" s="17">
        <f>0.3405*1000</f>
        <v>340.5</v>
      </c>
      <c r="G110" s="17">
        <f>0.3405*1000</f>
        <v>340.5</v>
      </c>
      <c r="H110" s="10"/>
      <c r="M110" s="10"/>
    </row>
    <row r="111" spans="2:13" ht="12.75" customHeight="1" x14ac:dyDescent="0.25">
      <c r="B111" s="93" t="s">
        <v>56</v>
      </c>
      <c r="C111" s="40">
        <v>43878</v>
      </c>
      <c r="D111" s="40">
        <v>43881</v>
      </c>
      <c r="E111" s="40">
        <v>43896</v>
      </c>
      <c r="F111" s="17">
        <v>217.4</v>
      </c>
      <c r="G111" s="17">
        <f>0.18479*1000</f>
        <v>184.79000000000002</v>
      </c>
      <c r="H111" s="31"/>
      <c r="M111" s="31"/>
    </row>
    <row r="112" spans="2:13" ht="12.75" customHeight="1" x14ac:dyDescent="0.25">
      <c r="B112" s="93" t="s">
        <v>79</v>
      </c>
      <c r="C112" s="40">
        <v>43878</v>
      </c>
      <c r="D112" s="40">
        <v>43881</v>
      </c>
      <c r="E112" s="40">
        <v>43896</v>
      </c>
      <c r="F112" s="17">
        <v>226</v>
      </c>
      <c r="G112" s="17">
        <v>226</v>
      </c>
      <c r="H112" s="31"/>
      <c r="M112" s="31"/>
    </row>
    <row r="113" spans="2:13" s="43" customFormat="1" ht="12.75" customHeight="1" x14ac:dyDescent="0.25">
      <c r="B113" s="93" t="s">
        <v>53</v>
      </c>
      <c r="C113" s="40">
        <v>39762</v>
      </c>
      <c r="D113" s="41">
        <v>43889</v>
      </c>
      <c r="E113" s="42">
        <v>43922</v>
      </c>
      <c r="F113" s="17">
        <f t="shared" ref="F113:G116" si="85">0.02*1000</f>
        <v>20</v>
      </c>
      <c r="G113" s="17">
        <f t="shared" si="85"/>
        <v>20</v>
      </c>
      <c r="H113" s="50"/>
      <c r="M113" s="50"/>
    </row>
    <row r="114" spans="2:13" s="43" customFormat="1" ht="12.75" customHeight="1" x14ac:dyDescent="0.25">
      <c r="B114" s="93" t="s">
        <v>50</v>
      </c>
      <c r="C114" s="40">
        <v>39762</v>
      </c>
      <c r="D114" s="41">
        <v>43798</v>
      </c>
      <c r="E114" s="42">
        <v>43832</v>
      </c>
      <c r="F114" s="17">
        <f t="shared" si="85"/>
        <v>20</v>
      </c>
      <c r="G114" s="17">
        <f t="shared" si="85"/>
        <v>20</v>
      </c>
      <c r="H114" s="50"/>
      <c r="M114" s="50"/>
    </row>
    <row r="115" spans="2:13" s="43" customFormat="1" ht="12.75" customHeight="1" x14ac:dyDescent="0.25">
      <c r="B115" s="93" t="s">
        <v>49</v>
      </c>
      <c r="C115" s="40">
        <v>39762</v>
      </c>
      <c r="D115" s="41">
        <v>43707</v>
      </c>
      <c r="E115" s="42">
        <v>43739</v>
      </c>
      <c r="F115" s="17">
        <f t="shared" si="85"/>
        <v>20</v>
      </c>
      <c r="G115" s="17">
        <f t="shared" si="85"/>
        <v>20</v>
      </c>
      <c r="H115" s="50"/>
      <c r="M115" s="50"/>
    </row>
    <row r="116" spans="2:13" s="43" customFormat="1" ht="12.75" customHeight="1" x14ac:dyDescent="0.25">
      <c r="B116" s="93" t="s">
        <v>48</v>
      </c>
      <c r="C116" s="40">
        <v>39762</v>
      </c>
      <c r="D116" s="41">
        <v>43616</v>
      </c>
      <c r="E116" s="42">
        <v>43647</v>
      </c>
      <c r="F116" s="17">
        <f t="shared" si="85"/>
        <v>20</v>
      </c>
      <c r="G116" s="17">
        <f t="shared" si="85"/>
        <v>20</v>
      </c>
      <c r="H116" s="50"/>
      <c r="M116" s="50"/>
    </row>
    <row r="117" spans="2:13" s="43" customFormat="1" ht="12.75" customHeight="1" x14ac:dyDescent="0.25">
      <c r="B117" s="10" t="s">
        <v>18</v>
      </c>
      <c r="C117" s="29"/>
      <c r="D117" s="29"/>
      <c r="E117" s="29"/>
      <c r="F117" s="19"/>
      <c r="G117" s="20"/>
      <c r="H117" s="50"/>
      <c r="M117" s="50"/>
    </row>
    <row r="118" spans="2:13" s="44" customFormat="1" ht="12.75" customHeight="1" x14ac:dyDescent="0.25">
      <c r="B118" s="149" t="s">
        <v>8</v>
      </c>
      <c r="C118" s="149"/>
      <c r="D118" s="149"/>
      <c r="E118" s="149"/>
      <c r="F118" s="149"/>
      <c r="G118" s="149"/>
      <c r="H118" s="50"/>
      <c r="M118" s="50"/>
    </row>
    <row r="119" spans="2:13" s="44" customFormat="1" ht="12.75" customHeight="1" x14ac:dyDescent="0.25">
      <c r="B119" s="16"/>
      <c r="C119" s="16"/>
      <c r="D119" s="16"/>
      <c r="E119" s="16"/>
      <c r="F119" s="16"/>
      <c r="G119" s="16"/>
      <c r="H119" s="50"/>
      <c r="M119" s="50"/>
    </row>
    <row r="120" spans="2:13" s="44" customFormat="1" ht="12.75" customHeight="1" x14ac:dyDescent="0.25">
      <c r="B120" s="15"/>
      <c r="C120" s="10"/>
      <c r="D120" s="26"/>
      <c r="E120" s="10"/>
      <c r="F120" s="10"/>
      <c r="G120" s="10"/>
      <c r="H120" s="50"/>
      <c r="L120" s="81"/>
      <c r="M120" s="50"/>
    </row>
    <row r="121" spans="2:13" s="44" customFormat="1" ht="12.75" customHeight="1" x14ac:dyDescent="0.25">
      <c r="B121" s="67" t="s">
        <v>0</v>
      </c>
      <c r="C121" s="67" t="s">
        <v>1</v>
      </c>
      <c r="D121" s="67" t="s">
        <v>72</v>
      </c>
      <c r="E121" s="67" t="s">
        <v>2</v>
      </c>
      <c r="F121" s="144" t="s">
        <v>3</v>
      </c>
      <c r="G121" s="146"/>
      <c r="H121" s="20"/>
      <c r="M121" s="20"/>
    </row>
    <row r="122" spans="2:13" s="43" customFormat="1" ht="12.75" customHeight="1" x14ac:dyDescent="0.25">
      <c r="B122" s="68" t="s">
        <v>78</v>
      </c>
      <c r="C122" s="68" t="s">
        <v>110</v>
      </c>
      <c r="D122" s="69" t="s">
        <v>73</v>
      </c>
      <c r="E122" s="70" t="s">
        <v>6</v>
      </c>
      <c r="F122" s="71" t="s">
        <v>7</v>
      </c>
      <c r="G122" s="69" t="s">
        <v>113</v>
      </c>
      <c r="H122" s="16"/>
      <c r="M122" s="16"/>
    </row>
    <row r="123" spans="2:13" s="43" customFormat="1" ht="12.75" customHeight="1" x14ac:dyDescent="0.25">
      <c r="B123" s="93" t="s">
        <v>56</v>
      </c>
      <c r="C123" s="40">
        <v>43514</v>
      </c>
      <c r="D123" s="41">
        <v>43517</v>
      </c>
      <c r="E123" s="42">
        <v>43531</v>
      </c>
      <c r="F123" s="17">
        <f>0.3111*1000</f>
        <v>311.09999999999997</v>
      </c>
      <c r="G123" s="17">
        <f>0.264435*1000</f>
        <v>264.435</v>
      </c>
      <c r="H123" s="16"/>
      <c r="M123" s="16"/>
    </row>
    <row r="124" spans="2:13" s="43" customFormat="1" ht="12.75" customHeight="1" x14ac:dyDescent="0.25">
      <c r="B124" s="93" t="s">
        <v>79</v>
      </c>
      <c r="C124" s="40">
        <v>43514</v>
      </c>
      <c r="D124" s="41">
        <v>43517</v>
      </c>
      <c r="E124" s="42">
        <v>43531</v>
      </c>
      <c r="F124" s="17">
        <f>0.4532*1000</f>
        <v>453.2</v>
      </c>
      <c r="G124" s="17">
        <f>0.4532*1000</f>
        <v>453.2</v>
      </c>
      <c r="H124" s="10"/>
      <c r="M124" s="10"/>
    </row>
    <row r="125" spans="2:13" s="43" customFormat="1" ht="12.75" customHeight="1" x14ac:dyDescent="0.25">
      <c r="B125" s="93" t="s">
        <v>56</v>
      </c>
      <c r="C125" s="40">
        <v>43446</v>
      </c>
      <c r="D125" s="41">
        <v>43451</v>
      </c>
      <c r="E125" s="42">
        <v>43531</v>
      </c>
      <c r="F125" s="17">
        <f>0.0081*1000</f>
        <v>8.1</v>
      </c>
      <c r="G125" s="17">
        <f>0.006885*1000</f>
        <v>6.8849999999999998</v>
      </c>
      <c r="H125" s="31"/>
      <c r="M125" s="31"/>
    </row>
    <row r="126" spans="2:13" s="43" customFormat="1" ht="12.75" customHeight="1" x14ac:dyDescent="0.25">
      <c r="B126" s="93" t="s">
        <v>56</v>
      </c>
      <c r="C126" s="40">
        <v>43325</v>
      </c>
      <c r="D126" s="41">
        <v>43329</v>
      </c>
      <c r="E126" s="42">
        <v>43342</v>
      </c>
      <c r="F126" s="17">
        <f>0.0096*1000</f>
        <v>9.6</v>
      </c>
      <c r="G126" s="17">
        <f>0.00816*1000</f>
        <v>8.16</v>
      </c>
      <c r="H126" s="31"/>
      <c r="M126" s="31"/>
    </row>
    <row r="127" spans="2:13" s="43" customFormat="1" ht="12.75" customHeight="1" x14ac:dyDescent="0.25">
      <c r="B127" s="93" t="s">
        <v>95</v>
      </c>
      <c r="C127" s="40">
        <v>43325</v>
      </c>
      <c r="D127" s="41">
        <v>43329</v>
      </c>
      <c r="E127" s="42">
        <v>43342</v>
      </c>
      <c r="F127" s="17">
        <v>199.2</v>
      </c>
      <c r="G127" s="17">
        <v>199.2</v>
      </c>
      <c r="H127" s="50"/>
      <c r="M127" s="50"/>
    </row>
    <row r="128" spans="2:13" s="43" customFormat="1" ht="12.75" customHeight="1" x14ac:dyDescent="0.25">
      <c r="B128" s="93" t="s">
        <v>53</v>
      </c>
      <c r="C128" s="82">
        <v>39762</v>
      </c>
      <c r="D128" s="41">
        <v>43524</v>
      </c>
      <c r="E128" s="42">
        <v>43556</v>
      </c>
      <c r="F128" s="17">
        <f>0.02*1000</f>
        <v>20</v>
      </c>
      <c r="G128" s="17">
        <f>0.02*1000</f>
        <v>20</v>
      </c>
      <c r="H128" s="50"/>
      <c r="M128" s="50"/>
    </row>
    <row r="129" spans="2:13" s="43" customFormat="1" ht="12.75" customHeight="1" x14ac:dyDescent="0.25">
      <c r="B129" s="93" t="s">
        <v>50</v>
      </c>
      <c r="C129" s="82">
        <v>39762</v>
      </c>
      <c r="D129" s="41">
        <v>43434</v>
      </c>
      <c r="E129" s="42">
        <v>43467</v>
      </c>
      <c r="F129" s="17">
        <f>0.02*1000</f>
        <v>20</v>
      </c>
      <c r="G129" s="17">
        <f>0.02*1000</f>
        <v>20</v>
      </c>
      <c r="H129" s="50"/>
      <c r="M129" s="50"/>
    </row>
    <row r="130" spans="2:13" s="43" customFormat="1" ht="12.75" customHeight="1" x14ac:dyDescent="0.25">
      <c r="B130" s="93" t="s">
        <v>49</v>
      </c>
      <c r="C130" s="40">
        <v>39762</v>
      </c>
      <c r="D130" s="41">
        <v>43343</v>
      </c>
      <c r="E130" s="42">
        <v>43374</v>
      </c>
      <c r="F130" s="17">
        <v>15</v>
      </c>
      <c r="G130" s="17">
        <v>15</v>
      </c>
      <c r="H130" s="50"/>
      <c r="M130" s="50"/>
    </row>
    <row r="131" spans="2:13" s="43" customFormat="1" ht="12.75" customHeight="1" x14ac:dyDescent="0.25">
      <c r="B131" s="93" t="s">
        <v>48</v>
      </c>
      <c r="C131" s="40">
        <v>39762</v>
      </c>
      <c r="D131" s="41">
        <v>43250</v>
      </c>
      <c r="E131" s="42">
        <v>43283</v>
      </c>
      <c r="F131" s="17">
        <v>15</v>
      </c>
      <c r="G131" s="17">
        <v>15</v>
      </c>
      <c r="H131" s="50"/>
      <c r="M131" s="50"/>
    </row>
    <row r="132" spans="2:13" s="43" customFormat="1" ht="12.75" customHeight="1" x14ac:dyDescent="0.25">
      <c r="B132" s="10" t="s">
        <v>18</v>
      </c>
      <c r="C132" s="29"/>
      <c r="D132" s="29"/>
      <c r="E132" s="29"/>
      <c r="F132" s="19"/>
      <c r="G132" s="20"/>
      <c r="H132" s="50"/>
      <c r="M132" s="50"/>
    </row>
    <row r="133" spans="2:13" s="44" customFormat="1" ht="12.75" customHeight="1" x14ac:dyDescent="0.25">
      <c r="B133" s="149" t="s">
        <v>8</v>
      </c>
      <c r="C133" s="149"/>
      <c r="D133" s="149"/>
      <c r="E133" s="149"/>
      <c r="F133" s="149"/>
      <c r="G133" s="149"/>
      <c r="H133" s="50"/>
      <c r="M133" s="50"/>
    </row>
    <row r="134" spans="2:13" s="44" customFormat="1" ht="12.75" customHeight="1" x14ac:dyDescent="0.25">
      <c r="B134" s="16"/>
      <c r="C134" s="16"/>
      <c r="D134" s="16"/>
      <c r="E134" s="16"/>
      <c r="F134" s="16"/>
      <c r="G134" s="16"/>
      <c r="H134" s="50"/>
      <c r="M134" s="50"/>
    </row>
    <row r="135" spans="2:13" s="44" customFormat="1" ht="12.75" customHeight="1" x14ac:dyDescent="0.25">
      <c r="B135" s="27"/>
      <c r="C135" s="10"/>
      <c r="D135" s="26"/>
      <c r="E135" s="10"/>
      <c r="F135" s="10"/>
      <c r="G135" s="10"/>
      <c r="H135" s="50"/>
      <c r="L135" s="81"/>
      <c r="M135" s="50"/>
    </row>
    <row r="136" spans="2:13" s="44" customFormat="1" ht="12.75" customHeight="1" x14ac:dyDescent="0.25">
      <c r="B136" s="67" t="s">
        <v>0</v>
      </c>
      <c r="C136" s="67" t="s">
        <v>1</v>
      </c>
      <c r="D136" s="67" t="s">
        <v>72</v>
      </c>
      <c r="E136" s="67" t="s">
        <v>2</v>
      </c>
      <c r="F136" s="144" t="s">
        <v>3</v>
      </c>
      <c r="G136" s="146"/>
      <c r="H136" s="20"/>
      <c r="M136" s="20"/>
    </row>
    <row r="137" spans="2:13" ht="12.75" customHeight="1" x14ac:dyDescent="0.25">
      <c r="B137" s="68" t="s">
        <v>77</v>
      </c>
      <c r="C137" s="68" t="s">
        <v>110</v>
      </c>
      <c r="D137" s="69" t="s">
        <v>73</v>
      </c>
      <c r="E137" s="70" t="s">
        <v>6</v>
      </c>
      <c r="F137" s="71" t="s">
        <v>7</v>
      </c>
      <c r="G137" s="69" t="s">
        <v>113</v>
      </c>
      <c r="H137" s="16"/>
      <c r="M137" s="16"/>
    </row>
    <row r="138" spans="2:13" ht="12.75" customHeight="1" x14ac:dyDescent="0.25">
      <c r="B138" s="93" t="s">
        <v>96</v>
      </c>
      <c r="C138" s="40">
        <v>43150</v>
      </c>
      <c r="D138" s="41">
        <v>43153</v>
      </c>
      <c r="E138" s="42">
        <v>43166</v>
      </c>
      <c r="F138" s="22">
        <v>110.25</v>
      </c>
      <c r="G138" s="17">
        <v>110.25</v>
      </c>
      <c r="H138" s="16"/>
      <c r="M138" s="16"/>
    </row>
    <row r="139" spans="2:13" ht="12.75" customHeight="1" x14ac:dyDescent="0.25">
      <c r="B139" s="93" t="s">
        <v>97</v>
      </c>
      <c r="C139" s="40">
        <v>43150</v>
      </c>
      <c r="D139" s="41">
        <v>43153</v>
      </c>
      <c r="E139" s="42">
        <v>43195</v>
      </c>
      <c r="F139" s="22">
        <v>185</v>
      </c>
      <c r="G139" s="17">
        <v>185</v>
      </c>
      <c r="H139" s="10"/>
      <c r="M139" s="10"/>
    </row>
    <row r="140" spans="2:13" ht="12.75" customHeight="1" x14ac:dyDescent="0.25">
      <c r="B140" s="93" t="s">
        <v>56</v>
      </c>
      <c r="C140" s="40">
        <v>43150</v>
      </c>
      <c r="D140" s="41">
        <v>43153</v>
      </c>
      <c r="E140" s="42">
        <v>43166</v>
      </c>
      <c r="F140" s="22">
        <v>374</v>
      </c>
      <c r="G140" s="17">
        <v>317.90000000000003</v>
      </c>
      <c r="H140" s="31"/>
      <c r="M140" s="31"/>
    </row>
    <row r="141" spans="2:13" ht="12.75" customHeight="1" x14ac:dyDescent="0.25">
      <c r="B141" s="93" t="s">
        <v>56</v>
      </c>
      <c r="C141" s="40">
        <v>43088</v>
      </c>
      <c r="D141" s="41">
        <v>43091</v>
      </c>
      <c r="E141" s="42">
        <v>43166</v>
      </c>
      <c r="F141" s="22">
        <v>168.05999999999997</v>
      </c>
      <c r="G141" s="17">
        <v>142.851</v>
      </c>
      <c r="H141" s="31"/>
      <c r="M141" s="31"/>
    </row>
    <row r="142" spans="2:13" s="44" customFormat="1" ht="12.75" customHeight="1" x14ac:dyDescent="0.25">
      <c r="B142" s="93" t="s">
        <v>56</v>
      </c>
      <c r="C142" s="40">
        <v>42954</v>
      </c>
      <c r="D142" s="41">
        <v>42961</v>
      </c>
      <c r="E142" s="42">
        <v>42972</v>
      </c>
      <c r="F142" s="22">
        <v>79</v>
      </c>
      <c r="G142" s="17">
        <v>67.150000000000006</v>
      </c>
      <c r="H142" s="50"/>
      <c r="M142" s="50"/>
    </row>
    <row r="143" spans="2:13" s="44" customFormat="1" ht="12.75" customHeight="1" x14ac:dyDescent="0.25">
      <c r="B143" s="93" t="s">
        <v>53</v>
      </c>
      <c r="C143" s="40">
        <v>39762</v>
      </c>
      <c r="D143" s="41">
        <v>43159</v>
      </c>
      <c r="E143" s="42">
        <v>43192</v>
      </c>
      <c r="F143" s="17">
        <v>15</v>
      </c>
      <c r="G143" s="17">
        <v>15</v>
      </c>
      <c r="H143" s="50"/>
      <c r="M143" s="50"/>
    </row>
    <row r="144" spans="2:13" s="44" customFormat="1" ht="12.75" customHeight="1" x14ac:dyDescent="0.25">
      <c r="B144" s="93" t="s">
        <v>50</v>
      </c>
      <c r="C144" s="40">
        <v>39762</v>
      </c>
      <c r="D144" s="41">
        <v>43069</v>
      </c>
      <c r="E144" s="42">
        <v>43102</v>
      </c>
      <c r="F144" s="22">
        <v>15</v>
      </c>
      <c r="G144" s="17">
        <v>15</v>
      </c>
      <c r="H144" s="50"/>
      <c r="M144" s="50"/>
    </row>
    <row r="145" spans="2:13" ht="12.75" customHeight="1" x14ac:dyDescent="0.25">
      <c r="B145" s="93" t="s">
        <v>49</v>
      </c>
      <c r="C145" s="40">
        <v>39762</v>
      </c>
      <c r="D145" s="41">
        <v>42978</v>
      </c>
      <c r="E145" s="42">
        <v>43010</v>
      </c>
      <c r="F145" s="22">
        <v>15</v>
      </c>
      <c r="G145" s="17">
        <v>15</v>
      </c>
      <c r="H145" s="50"/>
      <c r="M145" s="50"/>
    </row>
    <row r="146" spans="2:13" ht="12.75" customHeight="1" x14ac:dyDescent="0.25">
      <c r="B146" s="93" t="s">
        <v>48</v>
      </c>
      <c r="C146" s="40">
        <v>39762</v>
      </c>
      <c r="D146" s="41">
        <v>42886</v>
      </c>
      <c r="E146" s="42">
        <v>42919</v>
      </c>
      <c r="F146" s="22">
        <v>15</v>
      </c>
      <c r="G146" s="17">
        <v>15</v>
      </c>
      <c r="H146" s="50"/>
      <c r="M146" s="50"/>
    </row>
    <row r="147" spans="2:13" ht="12.75" customHeight="1" x14ac:dyDescent="0.25">
      <c r="B147" s="10" t="s">
        <v>18</v>
      </c>
      <c r="C147" s="29"/>
      <c r="D147" s="29"/>
      <c r="E147" s="29"/>
      <c r="F147" s="19"/>
      <c r="G147" s="20"/>
      <c r="H147" s="50"/>
      <c r="M147" s="50"/>
    </row>
    <row r="148" spans="2:13" ht="12.75" customHeight="1" x14ac:dyDescent="0.25">
      <c r="B148" s="149" t="s">
        <v>8</v>
      </c>
      <c r="C148" s="149"/>
      <c r="D148" s="149"/>
      <c r="E148" s="149"/>
      <c r="F148" s="149"/>
      <c r="G148" s="149"/>
      <c r="H148" s="50"/>
      <c r="M148" s="50"/>
    </row>
    <row r="149" spans="2:13" ht="12.75" customHeight="1" x14ac:dyDescent="0.25">
      <c r="B149" s="16"/>
      <c r="C149" s="16"/>
      <c r="D149" s="16"/>
      <c r="E149" s="16"/>
      <c r="F149" s="16"/>
      <c r="G149" s="16"/>
      <c r="H149" s="50"/>
      <c r="M149" s="50"/>
    </row>
    <row r="150" spans="2:13" ht="12.75" customHeight="1" x14ac:dyDescent="0.25">
      <c r="B150" s="16"/>
      <c r="C150" s="16"/>
      <c r="D150" s="16"/>
      <c r="E150" s="16"/>
      <c r="F150" s="16"/>
      <c r="G150" s="16"/>
      <c r="H150" s="50"/>
      <c r="L150" s="81"/>
      <c r="M150" s="50"/>
    </row>
    <row r="151" spans="2:13" ht="12.75" customHeight="1" x14ac:dyDescent="0.25">
      <c r="B151" s="67" t="s">
        <v>0</v>
      </c>
      <c r="C151" s="67" t="s">
        <v>1</v>
      </c>
      <c r="D151" s="67" t="s">
        <v>72</v>
      </c>
      <c r="E151" s="67" t="s">
        <v>2</v>
      </c>
      <c r="F151" s="144" t="s">
        <v>3</v>
      </c>
      <c r="G151" s="146"/>
      <c r="H151" s="20"/>
      <c r="M151" s="20"/>
    </row>
    <row r="152" spans="2:13" ht="12.75" customHeight="1" x14ac:dyDescent="0.25">
      <c r="B152" s="68" t="s">
        <v>71</v>
      </c>
      <c r="C152" s="68" t="s">
        <v>110</v>
      </c>
      <c r="D152" s="69" t="s">
        <v>73</v>
      </c>
      <c r="E152" s="70" t="s">
        <v>6</v>
      </c>
      <c r="F152" s="71" t="s">
        <v>7</v>
      </c>
      <c r="G152" s="69" t="s">
        <v>113</v>
      </c>
      <c r="H152" s="16"/>
      <c r="M152" s="16"/>
    </row>
    <row r="153" spans="2:13" ht="12.75" customHeight="1" x14ac:dyDescent="0.25">
      <c r="B153" s="94" t="s">
        <v>74</v>
      </c>
      <c r="C153" s="95">
        <v>42779</v>
      </c>
      <c r="D153" s="91">
        <v>42786</v>
      </c>
      <c r="E153" s="92">
        <v>42797</v>
      </c>
      <c r="F153" s="60">
        <f>0.049*1000</f>
        <v>49</v>
      </c>
      <c r="G153" s="61">
        <f>0.04165*1000</f>
        <v>41.65</v>
      </c>
      <c r="H153" s="16"/>
      <c r="M153" s="16"/>
    </row>
    <row r="154" spans="2:13" ht="12.75" customHeight="1" x14ac:dyDescent="0.25">
      <c r="B154" s="94" t="s">
        <v>75</v>
      </c>
      <c r="C154" s="95">
        <v>42779</v>
      </c>
      <c r="D154" s="91">
        <v>42786</v>
      </c>
      <c r="E154" s="42">
        <v>42831</v>
      </c>
      <c r="F154" s="60">
        <f>0.1188*1000</f>
        <v>118.8</v>
      </c>
      <c r="G154" s="61">
        <f>0.10098*1000</f>
        <v>100.98</v>
      </c>
      <c r="H154" s="16"/>
      <c r="M154" s="16"/>
    </row>
    <row r="155" spans="2:13" ht="12.75" customHeight="1" x14ac:dyDescent="0.2">
      <c r="B155" s="96" t="s">
        <v>76</v>
      </c>
      <c r="C155" s="59">
        <v>42723</v>
      </c>
      <c r="D155" s="91">
        <v>42726</v>
      </c>
      <c r="E155" s="92">
        <v>42797</v>
      </c>
      <c r="F155" s="60">
        <f>0.276*1000</f>
        <v>276</v>
      </c>
      <c r="G155" s="61">
        <f>0.2346*1000</f>
        <v>234.6</v>
      </c>
      <c r="H155" s="31"/>
      <c r="M155" s="31"/>
    </row>
    <row r="156" spans="2:13" ht="12.75" customHeight="1" x14ac:dyDescent="0.2">
      <c r="B156" s="94" t="s">
        <v>56</v>
      </c>
      <c r="C156" s="59">
        <v>42590</v>
      </c>
      <c r="D156" s="91">
        <v>42594</v>
      </c>
      <c r="E156" s="92">
        <v>42607</v>
      </c>
      <c r="F156" s="60">
        <f>0.079*1000</f>
        <v>79</v>
      </c>
      <c r="G156" s="61">
        <f>0.06715*1000</f>
        <v>67.150000000000006</v>
      </c>
      <c r="H156" s="31"/>
      <c r="M156" s="31"/>
    </row>
    <row r="157" spans="2:13" s="43" customFormat="1" ht="12.75" customHeight="1" x14ac:dyDescent="0.2">
      <c r="B157" s="93" t="s">
        <v>53</v>
      </c>
      <c r="C157" s="59">
        <v>39762</v>
      </c>
      <c r="D157" s="91">
        <v>42790</v>
      </c>
      <c r="E157" s="92">
        <v>42828</v>
      </c>
      <c r="F157" s="22">
        <v>15</v>
      </c>
      <c r="G157" s="17">
        <v>15</v>
      </c>
      <c r="H157" s="32"/>
      <c r="M157" s="32"/>
    </row>
    <row r="158" spans="2:13" s="43" customFormat="1" ht="12.75" customHeight="1" x14ac:dyDescent="0.2">
      <c r="B158" s="93" t="s">
        <v>50</v>
      </c>
      <c r="C158" s="59">
        <v>39762</v>
      </c>
      <c r="D158" s="91">
        <v>42704</v>
      </c>
      <c r="E158" s="92">
        <v>42737</v>
      </c>
      <c r="F158" s="22">
        <v>15</v>
      </c>
      <c r="G158" s="17">
        <v>15</v>
      </c>
      <c r="H158" s="30"/>
      <c r="M158" s="30"/>
    </row>
    <row r="159" spans="2:13" ht="12.75" customHeight="1" x14ac:dyDescent="0.2">
      <c r="B159" s="93" t="s">
        <v>49</v>
      </c>
      <c r="C159" s="59">
        <v>39762</v>
      </c>
      <c r="D159" s="91">
        <v>42613</v>
      </c>
      <c r="E159" s="92">
        <v>42646</v>
      </c>
      <c r="F159" s="22">
        <v>15</v>
      </c>
      <c r="G159" s="17">
        <v>15</v>
      </c>
      <c r="H159" s="30"/>
      <c r="M159" s="30"/>
    </row>
    <row r="160" spans="2:13" ht="12.75" customHeight="1" x14ac:dyDescent="0.2">
      <c r="B160" s="94" t="s">
        <v>48</v>
      </c>
      <c r="C160" s="59">
        <v>39762</v>
      </c>
      <c r="D160" s="91">
        <v>42521</v>
      </c>
      <c r="E160" s="92">
        <v>42552</v>
      </c>
      <c r="F160" s="22">
        <v>15</v>
      </c>
      <c r="G160" s="17">
        <v>15</v>
      </c>
      <c r="H160" s="50"/>
      <c r="M160" s="50"/>
    </row>
    <row r="161" spans="2:13" ht="12.75" customHeight="1" x14ac:dyDescent="0.25">
      <c r="B161" s="10" t="s">
        <v>18</v>
      </c>
      <c r="C161" s="29"/>
      <c r="D161" s="29"/>
      <c r="E161" s="29"/>
      <c r="F161" s="19"/>
      <c r="G161" s="20"/>
      <c r="H161" s="50"/>
      <c r="M161" s="50"/>
    </row>
    <row r="162" spans="2:13" ht="12.75" customHeight="1" x14ac:dyDescent="0.25">
      <c r="B162" s="149" t="s">
        <v>8</v>
      </c>
      <c r="C162" s="149"/>
      <c r="D162" s="149"/>
      <c r="E162" s="149"/>
      <c r="F162" s="149"/>
      <c r="G162" s="149"/>
      <c r="H162" s="50"/>
      <c r="M162" s="50"/>
    </row>
    <row r="163" spans="2:13" ht="12.75" customHeight="1" x14ac:dyDescent="0.25">
      <c r="B163" s="16"/>
      <c r="C163" s="16"/>
      <c r="D163" s="16"/>
      <c r="E163" s="16"/>
      <c r="F163" s="16"/>
      <c r="G163" s="16"/>
      <c r="H163" s="50"/>
      <c r="M163" s="50"/>
    </row>
    <row r="164" spans="2:13" ht="12.75" customHeight="1" x14ac:dyDescent="0.25">
      <c r="B164" s="16"/>
      <c r="C164" s="16"/>
      <c r="D164" s="16"/>
      <c r="E164" s="16"/>
      <c r="F164" s="16"/>
      <c r="G164" s="16"/>
      <c r="H164" s="50"/>
      <c r="L164" s="81"/>
      <c r="M164" s="50"/>
    </row>
    <row r="165" spans="2:13" ht="12.75" customHeight="1" x14ac:dyDescent="0.25">
      <c r="B165" s="67" t="s">
        <v>0</v>
      </c>
      <c r="C165" s="67" t="s">
        <v>1</v>
      </c>
      <c r="D165" s="67" t="s">
        <v>72</v>
      </c>
      <c r="E165" s="67" t="s">
        <v>2</v>
      </c>
      <c r="F165" s="144" t="s">
        <v>3</v>
      </c>
      <c r="G165" s="146"/>
      <c r="H165" s="20"/>
      <c r="M165" s="20"/>
    </row>
    <row r="166" spans="2:13" ht="12.75" customHeight="1" x14ac:dyDescent="0.25">
      <c r="B166" s="68" t="s">
        <v>68</v>
      </c>
      <c r="C166" s="68" t="s">
        <v>110</v>
      </c>
      <c r="D166" s="69" t="s">
        <v>73</v>
      </c>
      <c r="E166" s="70" t="s">
        <v>6</v>
      </c>
      <c r="F166" s="71" t="s">
        <v>7</v>
      </c>
      <c r="G166" s="69" t="s">
        <v>113</v>
      </c>
      <c r="H166" s="16"/>
      <c r="M166" s="16"/>
    </row>
    <row r="167" spans="2:13" ht="12.75" customHeight="1" x14ac:dyDescent="0.25">
      <c r="B167" s="93" t="s">
        <v>69</v>
      </c>
      <c r="C167" s="45">
        <v>42418</v>
      </c>
      <c r="D167" s="41">
        <v>42418</v>
      </c>
      <c r="E167" s="42">
        <v>42429</v>
      </c>
      <c r="F167" s="22">
        <f>0.0755*1000</f>
        <v>75.5</v>
      </c>
      <c r="G167" s="17">
        <f>0.0755*1000</f>
        <v>75.5</v>
      </c>
      <c r="H167" s="16"/>
      <c r="M167" s="16"/>
    </row>
    <row r="168" spans="2:13" ht="12.75" customHeight="1" x14ac:dyDescent="0.25">
      <c r="B168" s="97" t="s">
        <v>70</v>
      </c>
      <c r="C168" s="45">
        <v>42418</v>
      </c>
      <c r="D168" s="41">
        <v>42418</v>
      </c>
      <c r="E168" s="42">
        <v>42429</v>
      </c>
      <c r="F168" s="22">
        <f>0.1063*1000</f>
        <v>106.30000000000001</v>
      </c>
      <c r="G168" s="17">
        <f>0.090355*1000</f>
        <v>90.355000000000004</v>
      </c>
      <c r="H168" s="16"/>
      <c r="M168" s="16"/>
    </row>
    <row r="169" spans="2:13" ht="12.75" customHeight="1" x14ac:dyDescent="0.25">
      <c r="B169" s="97" t="s">
        <v>70</v>
      </c>
      <c r="C169" s="40">
        <v>42345</v>
      </c>
      <c r="D169" s="41">
        <v>42347</v>
      </c>
      <c r="E169" s="42">
        <v>42429</v>
      </c>
      <c r="F169" s="22">
        <f>0.1209*1000</f>
        <v>120.89999999999999</v>
      </c>
      <c r="G169" s="17">
        <f>0.102765*1000</f>
        <v>102.765</v>
      </c>
      <c r="H169" s="31"/>
      <c r="M169" s="31"/>
    </row>
    <row r="170" spans="2:13" ht="12.75" customHeight="1" x14ac:dyDescent="0.25">
      <c r="B170" s="93" t="s">
        <v>56</v>
      </c>
      <c r="C170" s="41">
        <v>42226</v>
      </c>
      <c r="D170" s="41">
        <v>42228</v>
      </c>
      <c r="E170" s="42">
        <v>42241</v>
      </c>
      <c r="F170" s="22">
        <f>0.0865*1000</f>
        <v>86.5</v>
      </c>
      <c r="G170" s="17">
        <f>0.073525*1000</f>
        <v>73.524999999999991</v>
      </c>
      <c r="H170" s="31"/>
      <c r="M170" s="31"/>
    </row>
    <row r="171" spans="2:13" ht="12.75" customHeight="1" x14ac:dyDescent="0.25">
      <c r="B171" s="93" t="s">
        <v>53</v>
      </c>
      <c r="C171" s="40">
        <v>39762</v>
      </c>
      <c r="D171" s="41">
        <v>42429</v>
      </c>
      <c r="E171" s="42">
        <v>42461</v>
      </c>
      <c r="F171" s="22">
        <v>15</v>
      </c>
      <c r="G171" s="17">
        <v>15</v>
      </c>
      <c r="H171" s="50"/>
      <c r="M171" s="50"/>
    </row>
    <row r="172" spans="2:13" ht="12.75" customHeight="1" x14ac:dyDescent="0.25">
      <c r="B172" s="93" t="s">
        <v>50</v>
      </c>
      <c r="C172" s="40">
        <v>39762</v>
      </c>
      <c r="D172" s="41">
        <v>42338</v>
      </c>
      <c r="E172" s="42">
        <v>42373</v>
      </c>
      <c r="F172" s="22">
        <v>15</v>
      </c>
      <c r="G172" s="17">
        <v>15</v>
      </c>
      <c r="H172" s="50"/>
      <c r="M172" s="50"/>
    </row>
    <row r="173" spans="2:13" ht="12.75" customHeight="1" x14ac:dyDescent="0.25">
      <c r="B173" s="93" t="s">
        <v>49</v>
      </c>
      <c r="C173" s="40">
        <v>39762</v>
      </c>
      <c r="D173" s="41">
        <v>42247</v>
      </c>
      <c r="E173" s="42">
        <v>42278</v>
      </c>
      <c r="F173" s="22">
        <v>15</v>
      </c>
      <c r="G173" s="17">
        <v>15</v>
      </c>
      <c r="H173" s="50"/>
      <c r="M173" s="50"/>
    </row>
    <row r="174" spans="2:13" ht="12.75" customHeight="1" x14ac:dyDescent="0.25">
      <c r="B174" s="93" t="s">
        <v>48</v>
      </c>
      <c r="C174" s="40">
        <v>39762</v>
      </c>
      <c r="D174" s="41">
        <v>42153</v>
      </c>
      <c r="E174" s="42">
        <v>42186</v>
      </c>
      <c r="F174" s="22">
        <v>15</v>
      </c>
      <c r="G174" s="17">
        <v>15</v>
      </c>
      <c r="H174" s="50"/>
      <c r="M174" s="50"/>
    </row>
    <row r="175" spans="2:13" ht="12.75" customHeight="1" x14ac:dyDescent="0.25">
      <c r="B175" s="10" t="s">
        <v>18</v>
      </c>
      <c r="C175" s="29"/>
      <c r="D175" s="29"/>
      <c r="E175" s="29"/>
      <c r="F175" s="19"/>
      <c r="G175" s="20"/>
      <c r="H175" s="50"/>
      <c r="M175" s="50"/>
    </row>
    <row r="176" spans="2:13" ht="12.75" customHeight="1" x14ac:dyDescent="0.25">
      <c r="B176" s="149" t="s">
        <v>8</v>
      </c>
      <c r="C176" s="149"/>
      <c r="D176" s="149"/>
      <c r="E176" s="149"/>
      <c r="F176" s="149"/>
      <c r="G176" s="149"/>
      <c r="H176" s="50"/>
      <c r="M176" s="50"/>
    </row>
    <row r="177" spans="2:13" ht="12.75" customHeight="1" x14ac:dyDescent="0.25">
      <c r="B177" s="16"/>
      <c r="C177" s="16"/>
      <c r="D177" s="16"/>
      <c r="E177" s="16"/>
      <c r="F177" s="16"/>
      <c r="G177" s="16"/>
      <c r="H177" s="50"/>
      <c r="M177" s="50"/>
    </row>
    <row r="178" spans="2:13" ht="12.75" customHeight="1" x14ac:dyDescent="0.25">
      <c r="B178" s="14"/>
      <c r="C178" s="10"/>
      <c r="D178" s="26"/>
      <c r="E178" s="10"/>
      <c r="F178" s="10"/>
      <c r="G178" s="10"/>
      <c r="H178" s="50"/>
      <c r="L178" s="81"/>
      <c r="M178" s="50"/>
    </row>
    <row r="179" spans="2:13" ht="12.75" customHeight="1" x14ac:dyDescent="0.25">
      <c r="B179" s="67" t="s">
        <v>0</v>
      </c>
      <c r="C179" s="67" t="s">
        <v>1</v>
      </c>
      <c r="D179" s="67" t="s">
        <v>72</v>
      </c>
      <c r="E179" s="67" t="s">
        <v>2</v>
      </c>
      <c r="F179" s="144" t="s">
        <v>3</v>
      </c>
      <c r="G179" s="146"/>
      <c r="H179" s="20"/>
      <c r="M179" s="20"/>
    </row>
    <row r="180" spans="2:13" ht="12.75" customHeight="1" x14ac:dyDescent="0.25">
      <c r="B180" s="69" t="s">
        <v>64</v>
      </c>
      <c r="C180" s="68" t="s">
        <v>110</v>
      </c>
      <c r="D180" s="69" t="s">
        <v>73</v>
      </c>
      <c r="E180" s="70" t="s">
        <v>6</v>
      </c>
      <c r="F180" s="71" t="s">
        <v>7</v>
      </c>
      <c r="G180" s="69" t="s">
        <v>113</v>
      </c>
      <c r="H180" s="16"/>
      <c r="M180" s="16"/>
    </row>
    <row r="181" spans="2:13" ht="12.75" customHeight="1" x14ac:dyDescent="0.25">
      <c r="B181" s="93" t="s">
        <v>97</v>
      </c>
      <c r="C181" s="41">
        <v>42044</v>
      </c>
      <c r="D181" s="41">
        <v>42045</v>
      </c>
      <c r="E181" s="42">
        <v>42094</v>
      </c>
      <c r="F181" s="17">
        <v>49.7</v>
      </c>
      <c r="G181" s="17">
        <v>49.7</v>
      </c>
      <c r="H181" s="16"/>
      <c r="M181" s="16"/>
    </row>
    <row r="182" spans="2:13" ht="12.75" customHeight="1" x14ac:dyDescent="0.25">
      <c r="B182" s="93" t="s">
        <v>96</v>
      </c>
      <c r="C182" s="41">
        <v>42044</v>
      </c>
      <c r="D182" s="41">
        <v>42045</v>
      </c>
      <c r="E182" s="42">
        <v>42061</v>
      </c>
      <c r="F182" s="17">
        <v>41.9</v>
      </c>
      <c r="G182" s="17">
        <v>41.9</v>
      </c>
      <c r="H182" s="10"/>
      <c r="M182" s="10"/>
    </row>
    <row r="183" spans="2:13" ht="12.75" customHeight="1" x14ac:dyDescent="0.25">
      <c r="B183" s="97" t="s">
        <v>62</v>
      </c>
      <c r="C183" s="41">
        <v>42044</v>
      </c>
      <c r="D183" s="41">
        <v>42045</v>
      </c>
      <c r="E183" s="42">
        <v>42061</v>
      </c>
      <c r="F183" s="17">
        <v>174.12</v>
      </c>
      <c r="G183" s="17">
        <v>148.00200000000001</v>
      </c>
      <c r="H183" s="31"/>
      <c r="M183" s="31"/>
    </row>
    <row r="184" spans="2:13" ht="12.75" customHeight="1" x14ac:dyDescent="0.25">
      <c r="B184" s="97" t="s">
        <v>56</v>
      </c>
      <c r="C184" s="45">
        <v>41990</v>
      </c>
      <c r="D184" s="41">
        <v>41992</v>
      </c>
      <c r="E184" s="42">
        <v>42061</v>
      </c>
      <c r="F184" s="22">
        <v>35.6</v>
      </c>
      <c r="G184" s="17">
        <v>30.26</v>
      </c>
      <c r="H184" s="31"/>
      <c r="M184" s="31"/>
    </row>
    <row r="185" spans="2:13" ht="12.75" customHeight="1" x14ac:dyDescent="0.25">
      <c r="B185" s="97" t="s">
        <v>56</v>
      </c>
      <c r="C185" s="45">
        <v>41862</v>
      </c>
      <c r="D185" s="41">
        <v>41864</v>
      </c>
      <c r="E185" s="42">
        <v>41876</v>
      </c>
      <c r="F185" s="22">
        <v>82</v>
      </c>
      <c r="G185" s="17">
        <v>69.7</v>
      </c>
      <c r="H185" s="50"/>
      <c r="M185" s="50"/>
    </row>
    <row r="186" spans="2:13" ht="12.75" customHeight="1" x14ac:dyDescent="0.25">
      <c r="B186" s="93" t="s">
        <v>53</v>
      </c>
      <c r="C186" s="40">
        <v>39762</v>
      </c>
      <c r="D186" s="41">
        <v>42062</v>
      </c>
      <c r="E186" s="42">
        <v>42095</v>
      </c>
      <c r="F186" s="22">
        <v>15</v>
      </c>
      <c r="G186" s="17">
        <v>15</v>
      </c>
      <c r="H186" s="50"/>
      <c r="M186" s="50"/>
    </row>
    <row r="187" spans="2:13" ht="12.75" customHeight="1" x14ac:dyDescent="0.25">
      <c r="B187" s="93" t="s">
        <v>50</v>
      </c>
      <c r="C187" s="40">
        <v>39762</v>
      </c>
      <c r="D187" s="41">
        <v>41971</v>
      </c>
      <c r="E187" s="42">
        <v>42006</v>
      </c>
      <c r="F187" s="22">
        <v>15</v>
      </c>
      <c r="G187" s="17">
        <v>15</v>
      </c>
      <c r="H187" s="50"/>
      <c r="M187" s="50"/>
    </row>
    <row r="188" spans="2:13" ht="12.75" customHeight="1" x14ac:dyDescent="0.25">
      <c r="B188" s="93" t="s">
        <v>49</v>
      </c>
      <c r="C188" s="40">
        <v>39762</v>
      </c>
      <c r="D188" s="41">
        <v>41880</v>
      </c>
      <c r="E188" s="42">
        <v>41913</v>
      </c>
      <c r="F188" s="22">
        <v>15</v>
      </c>
      <c r="G188" s="17">
        <v>15</v>
      </c>
      <c r="H188" s="50"/>
      <c r="M188" s="50"/>
    </row>
    <row r="189" spans="2:13" ht="12.75" customHeight="1" x14ac:dyDescent="0.25">
      <c r="B189" s="93" t="s">
        <v>48</v>
      </c>
      <c r="C189" s="40">
        <v>39762</v>
      </c>
      <c r="D189" s="41">
        <v>41789</v>
      </c>
      <c r="E189" s="42">
        <v>41821</v>
      </c>
      <c r="F189" s="22">
        <v>15</v>
      </c>
      <c r="G189" s="17">
        <v>15</v>
      </c>
      <c r="H189" s="50"/>
      <c r="M189" s="50"/>
    </row>
    <row r="190" spans="2:13" ht="12.75" customHeight="1" x14ac:dyDescent="0.25">
      <c r="B190" s="10" t="s">
        <v>18</v>
      </c>
      <c r="C190" s="29"/>
      <c r="D190" s="29"/>
      <c r="E190" s="29"/>
      <c r="F190" s="19"/>
      <c r="G190" s="20"/>
      <c r="H190" s="50"/>
      <c r="M190" s="50"/>
    </row>
    <row r="191" spans="2:13" ht="12.75" customHeight="1" x14ac:dyDescent="0.25">
      <c r="B191" s="149" t="s">
        <v>8</v>
      </c>
      <c r="C191" s="149"/>
      <c r="D191" s="149"/>
      <c r="E191" s="149"/>
      <c r="F191" s="149"/>
      <c r="G191" s="149"/>
      <c r="H191" s="50"/>
      <c r="M191" s="50"/>
    </row>
    <row r="192" spans="2:13" ht="12.75" customHeight="1" x14ac:dyDescent="0.25">
      <c r="B192" s="16"/>
      <c r="C192" s="16"/>
      <c r="D192" s="16"/>
      <c r="E192" s="16"/>
      <c r="F192" s="16"/>
      <c r="G192" s="16"/>
      <c r="H192" s="50"/>
      <c r="M192" s="50"/>
    </row>
    <row r="193" spans="1:13" ht="12.75" customHeight="1" x14ac:dyDescent="0.25">
      <c r="B193" s="14"/>
      <c r="C193" s="10"/>
      <c r="D193" s="26"/>
      <c r="E193" s="10"/>
      <c r="F193" s="10"/>
      <c r="G193" s="10"/>
      <c r="H193" s="50"/>
      <c r="L193" s="81"/>
      <c r="M193" s="50"/>
    </row>
    <row r="194" spans="1:13" ht="12.75" customHeight="1" x14ac:dyDescent="0.25">
      <c r="B194" s="67" t="s">
        <v>0</v>
      </c>
      <c r="C194" s="67" t="s">
        <v>1</v>
      </c>
      <c r="D194" s="67" t="s">
        <v>72</v>
      </c>
      <c r="E194" s="67" t="s">
        <v>2</v>
      </c>
      <c r="F194" s="144" t="s">
        <v>3</v>
      </c>
      <c r="G194" s="146"/>
      <c r="H194" s="20"/>
      <c r="M194" s="20"/>
    </row>
    <row r="195" spans="1:13" ht="12.75" customHeight="1" x14ac:dyDescent="0.25">
      <c r="B195" s="69" t="s">
        <v>63</v>
      </c>
      <c r="C195" s="68" t="s">
        <v>110</v>
      </c>
      <c r="D195" s="69" t="s">
        <v>73</v>
      </c>
      <c r="E195" s="70" t="s">
        <v>6</v>
      </c>
      <c r="F195" s="71" t="s">
        <v>7</v>
      </c>
      <c r="G195" s="69" t="s">
        <v>113</v>
      </c>
      <c r="H195" s="16"/>
      <c r="M195" s="16"/>
    </row>
    <row r="196" spans="1:13" ht="12.75" customHeight="1" x14ac:dyDescent="0.25">
      <c r="B196" s="97" t="s">
        <v>103</v>
      </c>
      <c r="C196" s="45">
        <v>41688</v>
      </c>
      <c r="D196" s="41">
        <v>41688</v>
      </c>
      <c r="E196" s="99">
        <v>41736</v>
      </c>
      <c r="F196" s="23">
        <v>114</v>
      </c>
      <c r="G196" s="23">
        <v>96.9</v>
      </c>
      <c r="H196" s="16"/>
      <c r="M196" s="16"/>
    </row>
    <row r="197" spans="1:13" ht="12.75" customHeight="1" x14ac:dyDescent="0.25">
      <c r="B197" s="97" t="s">
        <v>102</v>
      </c>
      <c r="C197" s="45">
        <v>41688</v>
      </c>
      <c r="D197" s="41">
        <v>41688</v>
      </c>
      <c r="E197" s="99">
        <v>41698</v>
      </c>
      <c r="F197" s="23">
        <v>62.6</v>
      </c>
      <c r="G197" s="23">
        <v>53.21</v>
      </c>
      <c r="H197" s="10"/>
      <c r="M197" s="10"/>
    </row>
    <row r="198" spans="1:13" ht="12.75" customHeight="1" x14ac:dyDescent="0.25">
      <c r="B198" s="93" t="s">
        <v>56</v>
      </c>
      <c r="C198" s="45">
        <v>41626</v>
      </c>
      <c r="D198" s="41">
        <v>41628</v>
      </c>
      <c r="E198" s="42">
        <v>41698</v>
      </c>
      <c r="F198" s="23">
        <v>86</v>
      </c>
      <c r="G198" s="23">
        <v>73.099999999999994</v>
      </c>
      <c r="H198" s="31"/>
      <c r="M198" s="31"/>
    </row>
    <row r="199" spans="1:13" ht="12.75" customHeight="1" x14ac:dyDescent="0.25">
      <c r="B199" s="97" t="s">
        <v>56</v>
      </c>
      <c r="C199" s="40">
        <v>41491</v>
      </c>
      <c r="D199" s="40">
        <v>41492</v>
      </c>
      <c r="E199" s="40">
        <v>41507</v>
      </c>
      <c r="F199" s="23">
        <v>71</v>
      </c>
      <c r="G199" s="23">
        <v>60.35</v>
      </c>
      <c r="H199" s="31"/>
      <c r="M199" s="31"/>
    </row>
    <row r="200" spans="1:13" s="43" customFormat="1" ht="12.75" customHeight="1" x14ac:dyDescent="0.25">
      <c r="A200" s="3"/>
      <c r="B200" s="93" t="s">
        <v>53</v>
      </c>
      <c r="C200" s="40">
        <v>39762</v>
      </c>
      <c r="D200" s="41">
        <v>41698</v>
      </c>
      <c r="E200" s="42">
        <v>41730</v>
      </c>
      <c r="F200" s="22">
        <v>15</v>
      </c>
      <c r="G200" s="17">
        <v>15</v>
      </c>
      <c r="H200" s="30"/>
      <c r="M200" s="30"/>
    </row>
    <row r="201" spans="1:13" ht="12.75" customHeight="1" x14ac:dyDescent="0.25">
      <c r="B201" s="97" t="s">
        <v>50</v>
      </c>
      <c r="C201" s="40">
        <v>39762</v>
      </c>
      <c r="D201" s="40">
        <v>41607</v>
      </c>
      <c r="E201" s="40">
        <v>41641</v>
      </c>
      <c r="F201" s="23">
        <v>15</v>
      </c>
      <c r="G201" s="23">
        <v>15</v>
      </c>
      <c r="H201" s="30"/>
      <c r="M201" s="30"/>
    </row>
    <row r="202" spans="1:13" ht="12.75" customHeight="1" x14ac:dyDescent="0.25">
      <c r="B202" s="97" t="s">
        <v>49</v>
      </c>
      <c r="C202" s="40">
        <v>39762</v>
      </c>
      <c r="D202" s="40">
        <v>41516</v>
      </c>
      <c r="E202" s="40">
        <v>41548</v>
      </c>
      <c r="F202" s="23">
        <v>15</v>
      </c>
      <c r="G202" s="23">
        <v>15</v>
      </c>
      <c r="H202" s="32"/>
      <c r="M202" s="32"/>
    </row>
    <row r="203" spans="1:13" ht="12.75" customHeight="1" x14ac:dyDescent="0.25">
      <c r="B203" s="97" t="s">
        <v>48</v>
      </c>
      <c r="C203" s="40">
        <v>39762</v>
      </c>
      <c r="D203" s="40">
        <v>41425</v>
      </c>
      <c r="E203" s="40">
        <v>41456</v>
      </c>
      <c r="F203" s="23">
        <v>15</v>
      </c>
      <c r="G203" s="23">
        <v>15</v>
      </c>
      <c r="H203" s="52"/>
      <c r="M203" s="52"/>
    </row>
    <row r="204" spans="1:13" ht="12.75" customHeight="1" x14ac:dyDescent="0.25">
      <c r="B204" s="10" t="s">
        <v>18</v>
      </c>
      <c r="C204" s="29"/>
      <c r="D204" s="29"/>
      <c r="E204" s="29"/>
      <c r="F204" s="19"/>
      <c r="G204" s="24"/>
      <c r="H204" s="52"/>
      <c r="M204" s="52"/>
    </row>
    <row r="205" spans="1:13" ht="12.75" customHeight="1" x14ac:dyDescent="0.25">
      <c r="B205" s="149" t="s">
        <v>8</v>
      </c>
      <c r="C205" s="149"/>
      <c r="D205" s="149"/>
      <c r="E205" s="149"/>
      <c r="F205" s="149"/>
      <c r="G205" s="149"/>
      <c r="H205" s="52"/>
      <c r="M205" s="52"/>
    </row>
    <row r="206" spans="1:13" ht="12.75" customHeight="1" x14ac:dyDescent="0.25">
      <c r="B206" s="16"/>
      <c r="C206" s="16"/>
      <c r="D206" s="16"/>
      <c r="E206" s="16"/>
      <c r="F206" s="16"/>
      <c r="G206" s="16"/>
      <c r="H206" s="52"/>
      <c r="M206" s="52"/>
    </row>
    <row r="207" spans="1:13" ht="12.75" customHeight="1" x14ac:dyDescent="0.25">
      <c r="B207" s="14"/>
      <c r="C207" s="10"/>
      <c r="D207" s="26"/>
      <c r="E207" s="10"/>
      <c r="F207" s="10"/>
      <c r="G207" s="10"/>
      <c r="H207" s="52"/>
      <c r="L207" s="81"/>
      <c r="M207" s="52"/>
    </row>
    <row r="208" spans="1:13" ht="12.75" customHeight="1" x14ac:dyDescent="0.25">
      <c r="B208" s="75" t="s">
        <v>0</v>
      </c>
      <c r="C208" s="75" t="s">
        <v>1</v>
      </c>
      <c r="D208" s="67" t="s">
        <v>72</v>
      </c>
      <c r="E208" s="67" t="s">
        <v>2</v>
      </c>
      <c r="F208" s="144" t="s">
        <v>3</v>
      </c>
      <c r="G208" s="146"/>
      <c r="H208" s="24"/>
      <c r="M208" s="24"/>
    </row>
    <row r="209" spans="2:13" ht="12.75" customHeight="1" x14ac:dyDescent="0.25">
      <c r="B209" s="68" t="s">
        <v>59</v>
      </c>
      <c r="C209" s="68" t="s">
        <v>110</v>
      </c>
      <c r="D209" s="69" t="s">
        <v>73</v>
      </c>
      <c r="E209" s="70" t="s">
        <v>6</v>
      </c>
      <c r="F209" s="71" t="s">
        <v>7</v>
      </c>
      <c r="G209" s="69" t="s">
        <v>113</v>
      </c>
      <c r="H209" s="16"/>
      <c r="M209" s="16"/>
    </row>
    <row r="210" spans="2:13" ht="12.75" customHeight="1" x14ac:dyDescent="0.25">
      <c r="B210" s="97" t="s">
        <v>62</v>
      </c>
      <c r="C210" s="40">
        <v>41337</v>
      </c>
      <c r="D210" s="40">
        <v>41338</v>
      </c>
      <c r="E210" s="40">
        <v>41446</v>
      </c>
      <c r="F210" s="23">
        <v>125.8</v>
      </c>
      <c r="G210" s="23">
        <v>106.93</v>
      </c>
      <c r="H210" s="16"/>
      <c r="M210" s="16"/>
    </row>
    <row r="211" spans="2:13" ht="12.75" customHeight="1" x14ac:dyDescent="0.25">
      <c r="B211" s="98" t="s">
        <v>60</v>
      </c>
      <c r="C211" s="40">
        <v>41260</v>
      </c>
      <c r="D211" s="40">
        <v>41261</v>
      </c>
      <c r="E211" s="40">
        <v>41446</v>
      </c>
      <c r="F211" s="23">
        <v>97</v>
      </c>
      <c r="G211" s="23">
        <v>82.45</v>
      </c>
      <c r="H211" s="10"/>
      <c r="M211" s="10"/>
    </row>
    <row r="212" spans="2:13" ht="12.75" customHeight="1" x14ac:dyDescent="0.25">
      <c r="B212" s="98" t="s">
        <v>61</v>
      </c>
      <c r="C212" s="40">
        <v>41260</v>
      </c>
      <c r="D212" s="40">
        <v>41261</v>
      </c>
      <c r="E212" s="40">
        <v>41347</v>
      </c>
      <c r="F212" s="23">
        <v>110</v>
      </c>
      <c r="G212" s="23">
        <v>93.5</v>
      </c>
      <c r="H212" s="31"/>
      <c r="M212" s="31"/>
    </row>
    <row r="213" spans="2:13" ht="12.75" customHeight="1" x14ac:dyDescent="0.25">
      <c r="B213" s="97" t="s">
        <v>53</v>
      </c>
      <c r="C213" s="40">
        <v>39762</v>
      </c>
      <c r="D213" s="40">
        <v>41333</v>
      </c>
      <c r="E213" s="40">
        <v>41365</v>
      </c>
      <c r="F213" s="23">
        <v>15</v>
      </c>
      <c r="G213" s="23">
        <v>15</v>
      </c>
      <c r="H213" s="31"/>
      <c r="M213" s="31"/>
    </row>
    <row r="214" spans="2:13" ht="12.75" customHeight="1" x14ac:dyDescent="0.25">
      <c r="B214" s="97" t="s">
        <v>50</v>
      </c>
      <c r="C214" s="40">
        <v>39762</v>
      </c>
      <c r="D214" s="40">
        <v>41243</v>
      </c>
      <c r="E214" s="40">
        <v>41276</v>
      </c>
      <c r="F214" s="23">
        <v>15</v>
      </c>
      <c r="G214" s="23">
        <v>15</v>
      </c>
      <c r="H214" s="52"/>
      <c r="M214" s="52"/>
    </row>
    <row r="215" spans="2:13" ht="12.75" customHeight="1" x14ac:dyDescent="0.25">
      <c r="B215" s="97" t="s">
        <v>49</v>
      </c>
      <c r="C215" s="40">
        <v>39762</v>
      </c>
      <c r="D215" s="40">
        <v>41152</v>
      </c>
      <c r="E215" s="40">
        <v>41183</v>
      </c>
      <c r="F215" s="23">
        <v>15</v>
      </c>
      <c r="G215" s="23">
        <v>15</v>
      </c>
      <c r="H215" s="52"/>
      <c r="M215" s="52"/>
    </row>
    <row r="216" spans="2:13" ht="12.75" customHeight="1" x14ac:dyDescent="0.25">
      <c r="B216" s="97" t="s">
        <v>48</v>
      </c>
      <c r="C216" s="40">
        <v>39762</v>
      </c>
      <c r="D216" s="40">
        <v>41060</v>
      </c>
      <c r="E216" s="40">
        <v>41092</v>
      </c>
      <c r="F216" s="23">
        <v>15</v>
      </c>
      <c r="G216" s="23">
        <v>15</v>
      </c>
      <c r="H216" s="52"/>
      <c r="M216" s="52"/>
    </row>
    <row r="217" spans="2:13" ht="12.75" customHeight="1" x14ac:dyDescent="0.25">
      <c r="B217" s="10" t="s">
        <v>18</v>
      </c>
      <c r="C217" s="29"/>
      <c r="D217" s="29"/>
      <c r="E217" s="29"/>
      <c r="F217" s="19"/>
      <c r="G217" s="24"/>
      <c r="H217" s="52"/>
      <c r="M217" s="52"/>
    </row>
    <row r="218" spans="2:13" ht="12.75" customHeight="1" x14ac:dyDescent="0.25">
      <c r="B218" s="149" t="s">
        <v>8</v>
      </c>
      <c r="C218" s="149"/>
      <c r="D218" s="149"/>
      <c r="E218" s="149"/>
      <c r="F218" s="149"/>
      <c r="G218" s="149"/>
      <c r="H218" s="52"/>
      <c r="M218" s="52"/>
    </row>
    <row r="219" spans="2:13" ht="12.75" customHeight="1" x14ac:dyDescent="0.25">
      <c r="B219" s="16"/>
      <c r="C219" s="16"/>
      <c r="D219" s="16"/>
      <c r="E219" s="16"/>
      <c r="F219" s="16"/>
      <c r="G219" s="16"/>
      <c r="H219" s="52"/>
      <c r="M219" s="52"/>
    </row>
    <row r="220" spans="2:13" ht="12.75" customHeight="1" x14ac:dyDescent="0.25">
      <c r="B220" s="14"/>
      <c r="C220" s="10"/>
      <c r="D220" s="26"/>
      <c r="E220" s="10"/>
      <c r="F220" s="10"/>
      <c r="G220" s="10"/>
      <c r="H220" s="52"/>
      <c r="L220" s="81"/>
      <c r="M220" s="52"/>
    </row>
    <row r="221" spans="2:13" ht="12.75" customHeight="1" x14ac:dyDescent="0.25">
      <c r="B221" s="75" t="s">
        <v>0</v>
      </c>
      <c r="C221" s="75" t="s">
        <v>1</v>
      </c>
      <c r="D221" s="67" t="s">
        <v>72</v>
      </c>
      <c r="E221" s="67" t="s">
        <v>2</v>
      </c>
      <c r="F221" s="144" t="s">
        <v>3</v>
      </c>
      <c r="G221" s="146"/>
      <c r="H221" s="24"/>
      <c r="M221" s="24"/>
    </row>
    <row r="222" spans="2:13" ht="12.75" customHeight="1" x14ac:dyDescent="0.25">
      <c r="B222" s="68" t="s">
        <v>55</v>
      </c>
      <c r="C222" s="68" t="s">
        <v>110</v>
      </c>
      <c r="D222" s="69" t="s">
        <v>73</v>
      </c>
      <c r="E222" s="70" t="s">
        <v>6</v>
      </c>
      <c r="F222" s="71" t="s">
        <v>7</v>
      </c>
      <c r="G222" s="69" t="s">
        <v>113</v>
      </c>
      <c r="H222" s="16"/>
      <c r="M222" s="16"/>
    </row>
    <row r="223" spans="2:13" ht="12.75" customHeight="1" x14ac:dyDescent="0.25">
      <c r="B223" s="98" t="s">
        <v>58</v>
      </c>
      <c r="C223" s="40">
        <v>40967</v>
      </c>
      <c r="D223" s="40">
        <v>40968</v>
      </c>
      <c r="E223" s="40">
        <v>41068</v>
      </c>
      <c r="F223" s="23">
        <v>134.82</v>
      </c>
      <c r="G223" s="23">
        <v>114.6</v>
      </c>
      <c r="H223" s="16"/>
      <c r="M223" s="16"/>
    </row>
    <row r="224" spans="2:13" ht="12.75" customHeight="1" x14ac:dyDescent="0.25">
      <c r="B224" s="98" t="s">
        <v>57</v>
      </c>
      <c r="C224" s="40">
        <v>40967</v>
      </c>
      <c r="D224" s="40">
        <v>40968</v>
      </c>
      <c r="E224" s="40">
        <v>40981</v>
      </c>
      <c r="F224" s="23">
        <v>12.88</v>
      </c>
      <c r="G224" s="23">
        <v>10.95</v>
      </c>
      <c r="H224" s="10"/>
      <c r="M224" s="10"/>
    </row>
    <row r="225" spans="2:13" ht="12.75" customHeight="1" x14ac:dyDescent="0.25">
      <c r="B225" s="97" t="s">
        <v>56</v>
      </c>
      <c r="C225" s="40">
        <v>40896</v>
      </c>
      <c r="D225" s="40">
        <v>40903</v>
      </c>
      <c r="E225" s="40">
        <v>40981</v>
      </c>
      <c r="F225" s="23">
        <v>140</v>
      </c>
      <c r="G225" s="23">
        <v>119</v>
      </c>
      <c r="H225" s="31"/>
      <c r="M225" s="31"/>
    </row>
    <row r="226" spans="2:13" ht="12.75" customHeight="1" x14ac:dyDescent="0.25">
      <c r="B226" s="98" t="s">
        <v>52</v>
      </c>
      <c r="C226" s="40">
        <v>40763</v>
      </c>
      <c r="D226" s="40">
        <v>40763</v>
      </c>
      <c r="E226" s="40">
        <v>40777</v>
      </c>
      <c r="F226" s="23">
        <v>78</v>
      </c>
      <c r="G226" s="23">
        <v>66.3</v>
      </c>
      <c r="H226" s="31"/>
      <c r="M226" s="31"/>
    </row>
    <row r="227" spans="2:13" ht="12.75" customHeight="1" x14ac:dyDescent="0.25">
      <c r="B227" s="97" t="s">
        <v>53</v>
      </c>
      <c r="C227" s="40">
        <v>39762</v>
      </c>
      <c r="D227" s="40">
        <v>40968</v>
      </c>
      <c r="E227" s="40">
        <v>41001</v>
      </c>
      <c r="F227" s="23">
        <v>14</v>
      </c>
      <c r="G227" s="23">
        <v>14</v>
      </c>
      <c r="H227" s="52"/>
      <c r="M227" s="52"/>
    </row>
    <row r="228" spans="2:13" ht="12.75" customHeight="1" x14ac:dyDescent="0.25">
      <c r="B228" s="97" t="s">
        <v>50</v>
      </c>
      <c r="C228" s="40">
        <v>39762</v>
      </c>
      <c r="D228" s="40">
        <v>40877</v>
      </c>
      <c r="E228" s="40">
        <v>40910</v>
      </c>
      <c r="F228" s="23">
        <v>14</v>
      </c>
      <c r="G228" s="23">
        <v>14</v>
      </c>
      <c r="H228" s="52"/>
      <c r="M228" s="52"/>
    </row>
    <row r="229" spans="2:13" ht="12.75" customHeight="1" x14ac:dyDescent="0.25">
      <c r="B229" s="97" t="s">
        <v>49</v>
      </c>
      <c r="C229" s="40">
        <v>39762</v>
      </c>
      <c r="D229" s="40">
        <v>40786</v>
      </c>
      <c r="E229" s="40">
        <v>40819</v>
      </c>
      <c r="F229" s="23">
        <v>14</v>
      </c>
      <c r="G229" s="23">
        <v>14</v>
      </c>
      <c r="H229" s="52"/>
      <c r="M229" s="52"/>
    </row>
    <row r="230" spans="2:13" ht="12.75" customHeight="1" x14ac:dyDescent="0.25">
      <c r="B230" s="97" t="s">
        <v>48</v>
      </c>
      <c r="C230" s="40">
        <v>39762</v>
      </c>
      <c r="D230" s="40">
        <v>40694</v>
      </c>
      <c r="E230" s="40">
        <v>40725</v>
      </c>
      <c r="F230" s="23">
        <v>14</v>
      </c>
      <c r="G230" s="23">
        <v>14</v>
      </c>
      <c r="H230" s="52"/>
      <c r="M230" s="52"/>
    </row>
    <row r="231" spans="2:13" ht="12.75" customHeight="1" x14ac:dyDescent="0.25">
      <c r="B231" s="10" t="s">
        <v>18</v>
      </c>
      <c r="C231" s="29"/>
      <c r="D231" s="29"/>
      <c r="E231" s="29"/>
      <c r="F231" s="19"/>
      <c r="G231" s="24"/>
      <c r="H231" s="52"/>
      <c r="M231" s="52"/>
    </row>
    <row r="232" spans="2:13" ht="12.75" customHeight="1" x14ac:dyDescent="0.25">
      <c r="B232" s="149" t="s">
        <v>8</v>
      </c>
      <c r="C232" s="149"/>
      <c r="D232" s="149"/>
      <c r="E232" s="149"/>
      <c r="F232" s="149"/>
      <c r="G232" s="149"/>
      <c r="H232" s="52"/>
      <c r="M232" s="52"/>
    </row>
    <row r="233" spans="2:13" ht="12.75" customHeight="1" x14ac:dyDescent="0.25">
      <c r="B233" s="16"/>
      <c r="C233" s="16"/>
      <c r="D233" s="16"/>
      <c r="E233" s="16"/>
      <c r="F233" s="16"/>
      <c r="G233" s="16"/>
      <c r="H233" s="52"/>
      <c r="M233" s="52"/>
    </row>
    <row r="234" spans="2:13" ht="12.75" customHeight="1" x14ac:dyDescent="0.25">
      <c r="B234" s="16"/>
      <c r="C234" s="16"/>
      <c r="D234" s="16"/>
      <c r="E234" s="16"/>
      <c r="F234" s="16"/>
      <c r="G234" s="16"/>
      <c r="H234" s="52"/>
      <c r="L234" s="81"/>
      <c r="M234" s="52"/>
    </row>
    <row r="235" spans="2:13" ht="12.75" customHeight="1" x14ac:dyDescent="0.25">
      <c r="B235" s="75" t="s">
        <v>0</v>
      </c>
      <c r="C235" s="75" t="s">
        <v>1</v>
      </c>
      <c r="D235" s="67" t="s">
        <v>72</v>
      </c>
      <c r="E235" s="67" t="s">
        <v>2</v>
      </c>
      <c r="F235" s="144" t="s">
        <v>3</v>
      </c>
      <c r="G235" s="146"/>
      <c r="H235" s="24"/>
      <c r="M235" s="24"/>
    </row>
    <row r="236" spans="2:13" ht="12.75" customHeight="1" x14ac:dyDescent="0.25">
      <c r="B236" s="68" t="s">
        <v>54</v>
      </c>
      <c r="C236" s="68" t="s">
        <v>110</v>
      </c>
      <c r="D236" s="69" t="s">
        <v>73</v>
      </c>
      <c r="E236" s="70" t="s">
        <v>6</v>
      </c>
      <c r="F236" s="71" t="s">
        <v>7</v>
      </c>
      <c r="G236" s="69" t="s">
        <v>113</v>
      </c>
      <c r="H236" s="16"/>
      <c r="M236" s="16"/>
    </row>
    <row r="237" spans="2:13" ht="12.75" customHeight="1" x14ac:dyDescent="0.25">
      <c r="B237" s="97" t="s">
        <v>56</v>
      </c>
      <c r="C237" s="45">
        <v>40630</v>
      </c>
      <c r="D237" s="41">
        <v>40631</v>
      </c>
      <c r="E237" s="42">
        <v>40704</v>
      </c>
      <c r="F237" s="25">
        <v>111.7</v>
      </c>
      <c r="G237" s="23">
        <v>94.95</v>
      </c>
      <c r="H237" s="16"/>
      <c r="M237" s="16"/>
    </row>
    <row r="238" spans="2:13" ht="12.75" customHeight="1" x14ac:dyDescent="0.25">
      <c r="B238" s="97" t="s">
        <v>56</v>
      </c>
      <c r="C238" s="45">
        <v>40605</v>
      </c>
      <c r="D238" s="41">
        <v>40606</v>
      </c>
      <c r="E238" s="42">
        <v>40619</v>
      </c>
      <c r="F238" s="25">
        <v>47.2</v>
      </c>
      <c r="G238" s="23">
        <v>40.119999999999997</v>
      </c>
      <c r="H238" s="16"/>
      <c r="M238" s="16"/>
    </row>
    <row r="239" spans="2:13" ht="12.75" customHeight="1" x14ac:dyDescent="0.25">
      <c r="B239" s="97" t="s">
        <v>56</v>
      </c>
      <c r="C239" s="45">
        <v>40526</v>
      </c>
      <c r="D239" s="41">
        <v>40542</v>
      </c>
      <c r="E239" s="42">
        <v>40619</v>
      </c>
      <c r="F239" s="25">
        <v>87.4</v>
      </c>
      <c r="G239" s="23">
        <v>74.290000000000006</v>
      </c>
      <c r="H239" s="31"/>
      <c r="M239" s="31"/>
    </row>
    <row r="240" spans="2:13" ht="12.75" customHeight="1" x14ac:dyDescent="0.25">
      <c r="B240" s="97" t="s">
        <v>52</v>
      </c>
      <c r="C240" s="45">
        <v>40399</v>
      </c>
      <c r="D240" s="41">
        <v>40400</v>
      </c>
      <c r="E240" s="42">
        <v>40410</v>
      </c>
      <c r="F240" s="23">
        <v>71.599999999999994</v>
      </c>
      <c r="G240" s="23">
        <v>60.86</v>
      </c>
      <c r="H240" s="31"/>
      <c r="M240" s="31"/>
    </row>
    <row r="241" spans="2:13" ht="12.75" customHeight="1" x14ac:dyDescent="0.25">
      <c r="B241" s="93" t="s">
        <v>53</v>
      </c>
      <c r="C241" s="45">
        <v>39762</v>
      </c>
      <c r="D241" s="41">
        <v>40602</v>
      </c>
      <c r="E241" s="42">
        <v>40634</v>
      </c>
      <c r="F241" s="25">
        <v>14</v>
      </c>
      <c r="G241" s="23">
        <v>14</v>
      </c>
      <c r="H241" s="52"/>
      <c r="M241" s="52"/>
    </row>
    <row r="242" spans="2:13" ht="12.75" customHeight="1" x14ac:dyDescent="0.25">
      <c r="B242" s="93" t="s">
        <v>50</v>
      </c>
      <c r="C242" s="45">
        <v>39762</v>
      </c>
      <c r="D242" s="41">
        <v>40512</v>
      </c>
      <c r="E242" s="42">
        <v>40546</v>
      </c>
      <c r="F242" s="25">
        <v>14</v>
      </c>
      <c r="G242" s="23">
        <v>14</v>
      </c>
      <c r="H242" s="52"/>
      <c r="M242" s="52"/>
    </row>
    <row r="243" spans="2:13" ht="12.75" customHeight="1" x14ac:dyDescent="0.25">
      <c r="B243" s="97" t="s">
        <v>49</v>
      </c>
      <c r="C243" s="40">
        <v>39762</v>
      </c>
      <c r="D243" s="40">
        <v>40421</v>
      </c>
      <c r="E243" s="40">
        <v>40452</v>
      </c>
      <c r="F243" s="23">
        <v>14</v>
      </c>
      <c r="G243" s="23">
        <v>14</v>
      </c>
      <c r="H243" s="52"/>
      <c r="M243" s="52"/>
    </row>
    <row r="244" spans="2:13" ht="12.75" customHeight="1" x14ac:dyDescent="0.25">
      <c r="B244" s="97" t="s">
        <v>48</v>
      </c>
      <c r="C244" s="40">
        <v>39762</v>
      </c>
      <c r="D244" s="40">
        <v>40329</v>
      </c>
      <c r="E244" s="40">
        <v>40360</v>
      </c>
      <c r="F244" s="23">
        <v>14</v>
      </c>
      <c r="G244" s="23">
        <v>14</v>
      </c>
      <c r="H244" s="52"/>
      <c r="M244" s="52"/>
    </row>
    <row r="245" spans="2:13" ht="12.75" customHeight="1" x14ac:dyDescent="0.25">
      <c r="B245" s="10" t="s">
        <v>18</v>
      </c>
      <c r="C245" s="29"/>
      <c r="D245" s="29"/>
      <c r="E245" s="29"/>
      <c r="F245" s="19"/>
      <c r="G245" s="24"/>
      <c r="H245" s="52"/>
      <c r="M245" s="52"/>
    </row>
    <row r="246" spans="2:13" ht="12.75" customHeight="1" x14ac:dyDescent="0.25">
      <c r="B246" s="149" t="s">
        <v>8</v>
      </c>
      <c r="C246" s="149"/>
      <c r="D246" s="149"/>
      <c r="E246" s="149"/>
      <c r="F246" s="149"/>
      <c r="G246" s="149"/>
      <c r="H246" s="52"/>
      <c r="M246" s="52"/>
    </row>
    <row r="247" spans="2:13" ht="12.75" customHeight="1" x14ac:dyDescent="0.25">
      <c r="B247" s="16"/>
      <c r="C247" s="16"/>
      <c r="D247" s="16"/>
      <c r="E247" s="16"/>
      <c r="F247" s="16"/>
      <c r="G247" s="16"/>
      <c r="H247" s="52"/>
      <c r="M247" s="52"/>
    </row>
    <row r="248" spans="2:13" ht="12.75" customHeight="1" x14ac:dyDescent="0.25">
      <c r="B248" s="14"/>
      <c r="C248" s="10"/>
      <c r="D248" s="26"/>
      <c r="E248" s="10"/>
      <c r="F248" s="10"/>
      <c r="G248" s="10"/>
      <c r="H248" s="52"/>
      <c r="L248" s="81"/>
      <c r="M248" s="52"/>
    </row>
    <row r="249" spans="2:13" ht="12.75" customHeight="1" x14ac:dyDescent="0.25">
      <c r="B249" s="75" t="s">
        <v>0</v>
      </c>
      <c r="C249" s="75" t="s">
        <v>1</v>
      </c>
      <c r="D249" s="67" t="s">
        <v>72</v>
      </c>
      <c r="E249" s="67" t="s">
        <v>2</v>
      </c>
      <c r="F249" s="144" t="s">
        <v>3</v>
      </c>
      <c r="G249" s="146"/>
      <c r="H249" s="24"/>
      <c r="M249" s="24"/>
    </row>
    <row r="250" spans="2:13" ht="12.75" customHeight="1" x14ac:dyDescent="0.25">
      <c r="B250" s="68" t="s">
        <v>47</v>
      </c>
      <c r="C250" s="68" t="s">
        <v>110</v>
      </c>
      <c r="D250" s="69" t="s">
        <v>73</v>
      </c>
      <c r="E250" s="70" t="s">
        <v>6</v>
      </c>
      <c r="F250" s="71" t="s">
        <v>7</v>
      </c>
      <c r="G250" s="69" t="s">
        <v>113</v>
      </c>
      <c r="H250" s="16"/>
      <c r="M250" s="16"/>
    </row>
    <row r="251" spans="2:13" ht="12.75" customHeight="1" x14ac:dyDescent="0.25">
      <c r="B251" s="97" t="s">
        <v>104</v>
      </c>
      <c r="C251" s="45">
        <v>40238</v>
      </c>
      <c r="D251" s="41">
        <v>40239</v>
      </c>
      <c r="E251" s="42">
        <v>40339</v>
      </c>
      <c r="F251" s="23">
        <v>73</v>
      </c>
      <c r="G251" s="23">
        <v>62.05</v>
      </c>
      <c r="H251" s="16"/>
      <c r="M251" s="16"/>
    </row>
    <row r="252" spans="2:13" ht="12.75" customHeight="1" x14ac:dyDescent="0.25">
      <c r="B252" s="97" t="s">
        <v>105</v>
      </c>
      <c r="C252" s="45">
        <v>40238</v>
      </c>
      <c r="D252" s="41">
        <v>40239</v>
      </c>
      <c r="E252" s="42">
        <v>40247</v>
      </c>
      <c r="F252" s="23">
        <v>108.46</v>
      </c>
      <c r="G252" s="23">
        <v>92.19</v>
      </c>
      <c r="H252" s="10"/>
      <c r="M252" s="10"/>
    </row>
    <row r="253" spans="2:13" ht="12.75" customHeight="1" x14ac:dyDescent="0.25">
      <c r="B253" s="97" t="s">
        <v>56</v>
      </c>
      <c r="C253" s="45">
        <v>40163</v>
      </c>
      <c r="D253" s="41">
        <v>40177</v>
      </c>
      <c r="E253" s="42">
        <v>40247</v>
      </c>
      <c r="F253" s="23">
        <v>35</v>
      </c>
      <c r="G253" s="23">
        <v>29.75</v>
      </c>
      <c r="H253" s="31"/>
      <c r="M253" s="31"/>
    </row>
    <row r="254" spans="2:13" ht="12.75" customHeight="1" x14ac:dyDescent="0.25">
      <c r="B254" s="97" t="s">
        <v>51</v>
      </c>
      <c r="C254" s="40">
        <v>40037</v>
      </c>
      <c r="D254" s="40">
        <v>40046</v>
      </c>
      <c r="E254" s="40">
        <v>40056</v>
      </c>
      <c r="F254" s="23">
        <v>51.2</v>
      </c>
      <c r="G254" s="23">
        <v>43.52</v>
      </c>
      <c r="H254" s="31"/>
      <c r="M254" s="31"/>
    </row>
    <row r="255" spans="2:13" ht="12.75" customHeight="1" x14ac:dyDescent="0.25">
      <c r="B255" s="97" t="s">
        <v>53</v>
      </c>
      <c r="C255" s="45">
        <v>39762</v>
      </c>
      <c r="D255" s="41">
        <v>40235</v>
      </c>
      <c r="E255" s="42">
        <v>40269</v>
      </c>
      <c r="F255" s="23">
        <v>14</v>
      </c>
      <c r="G255" s="23">
        <v>14</v>
      </c>
      <c r="H255" s="52"/>
      <c r="M255" s="52"/>
    </row>
    <row r="256" spans="2:13" ht="12.75" customHeight="1" x14ac:dyDescent="0.25">
      <c r="B256" s="97" t="s">
        <v>50</v>
      </c>
      <c r="C256" s="45">
        <v>39762</v>
      </c>
      <c r="D256" s="41">
        <v>40147</v>
      </c>
      <c r="E256" s="42">
        <v>40180</v>
      </c>
      <c r="F256" s="23">
        <v>14</v>
      </c>
      <c r="G256" s="23">
        <v>14</v>
      </c>
      <c r="H256" s="52"/>
      <c r="M256" s="52"/>
    </row>
    <row r="257" spans="2:13" ht="12.75" customHeight="1" x14ac:dyDescent="0.25">
      <c r="B257" s="97" t="s">
        <v>49</v>
      </c>
      <c r="C257" s="45">
        <v>39762</v>
      </c>
      <c r="D257" s="41">
        <v>40056</v>
      </c>
      <c r="E257" s="42">
        <v>40087</v>
      </c>
      <c r="F257" s="23">
        <v>14</v>
      </c>
      <c r="G257" s="23">
        <v>14</v>
      </c>
      <c r="H257" s="52"/>
      <c r="M257" s="52"/>
    </row>
    <row r="258" spans="2:13" ht="12.75" customHeight="1" x14ac:dyDescent="0.25">
      <c r="B258" s="97" t="s">
        <v>48</v>
      </c>
      <c r="C258" s="40">
        <v>39762</v>
      </c>
      <c r="D258" s="40">
        <v>39962</v>
      </c>
      <c r="E258" s="40">
        <v>39995</v>
      </c>
      <c r="F258" s="23">
        <v>14</v>
      </c>
      <c r="G258" s="23">
        <v>14</v>
      </c>
      <c r="H258" s="52"/>
      <c r="M258" s="52"/>
    </row>
    <row r="259" spans="2:13" ht="12.75" customHeight="1" x14ac:dyDescent="0.25">
      <c r="B259" s="10" t="s">
        <v>18</v>
      </c>
      <c r="C259" s="29"/>
      <c r="D259" s="29"/>
      <c r="E259" s="29"/>
      <c r="F259" s="19"/>
      <c r="G259" s="24"/>
      <c r="H259" s="52"/>
      <c r="M259" s="52"/>
    </row>
    <row r="260" spans="2:13" ht="12.75" customHeight="1" x14ac:dyDescent="0.25">
      <c r="B260" s="149" t="s">
        <v>8</v>
      </c>
      <c r="C260" s="149"/>
      <c r="D260" s="149"/>
      <c r="E260" s="149"/>
      <c r="F260" s="149"/>
      <c r="G260" s="149"/>
      <c r="H260" s="52"/>
      <c r="M260" s="52"/>
    </row>
    <row r="261" spans="2:13" ht="12.75" customHeight="1" x14ac:dyDescent="0.25">
      <c r="B261" s="16"/>
      <c r="C261" s="16"/>
      <c r="D261" s="16"/>
      <c r="E261" s="16"/>
      <c r="F261" s="16"/>
      <c r="G261" s="16"/>
      <c r="H261" s="52"/>
      <c r="M261" s="52"/>
    </row>
    <row r="262" spans="2:13" ht="12.75" customHeight="1" x14ac:dyDescent="0.25">
      <c r="B262" s="14"/>
      <c r="C262" s="10"/>
      <c r="D262" s="26"/>
      <c r="E262" s="10"/>
      <c r="F262" s="10"/>
      <c r="G262" s="10"/>
      <c r="H262" s="52"/>
      <c r="L262" s="81"/>
      <c r="M262" s="52"/>
    </row>
    <row r="263" spans="2:13" ht="12.75" customHeight="1" x14ac:dyDescent="0.25">
      <c r="B263" s="75" t="s">
        <v>0</v>
      </c>
      <c r="C263" s="75" t="s">
        <v>1</v>
      </c>
      <c r="D263" s="67" t="s">
        <v>72</v>
      </c>
      <c r="E263" s="67" t="s">
        <v>2</v>
      </c>
      <c r="F263" s="144" t="s">
        <v>3</v>
      </c>
      <c r="G263" s="146"/>
      <c r="H263" s="24"/>
      <c r="M263" s="24"/>
    </row>
    <row r="264" spans="2:13" ht="12.75" customHeight="1" x14ac:dyDescent="0.25">
      <c r="B264" s="68" t="s">
        <v>46</v>
      </c>
      <c r="C264" s="68" t="s">
        <v>110</v>
      </c>
      <c r="D264" s="69" t="s">
        <v>73</v>
      </c>
      <c r="E264" s="70" t="s">
        <v>6</v>
      </c>
      <c r="F264" s="71" t="s">
        <v>7</v>
      </c>
      <c r="G264" s="69" t="s">
        <v>113</v>
      </c>
      <c r="H264" s="16"/>
      <c r="M264" s="16"/>
    </row>
    <row r="265" spans="2:13" ht="12.75" customHeight="1" x14ac:dyDescent="0.25">
      <c r="B265" s="97" t="s">
        <v>51</v>
      </c>
      <c r="C265" s="45">
        <v>39874</v>
      </c>
      <c r="D265" s="41">
        <v>39881</v>
      </c>
      <c r="E265" s="42">
        <v>39974</v>
      </c>
      <c r="F265" s="23">
        <v>138</v>
      </c>
      <c r="G265" s="23">
        <v>117.3</v>
      </c>
      <c r="H265" s="16"/>
      <c r="M265" s="16"/>
    </row>
    <row r="266" spans="2:13" ht="12.75" customHeight="1" x14ac:dyDescent="0.25">
      <c r="B266" s="97" t="s">
        <v>51</v>
      </c>
      <c r="C266" s="40">
        <v>39874</v>
      </c>
      <c r="D266" s="40">
        <v>39881</v>
      </c>
      <c r="E266" s="40">
        <v>39889</v>
      </c>
      <c r="F266" s="23">
        <v>131.19999999999999</v>
      </c>
      <c r="G266" s="23">
        <v>111.52</v>
      </c>
      <c r="H266" s="10"/>
      <c r="M266" s="10"/>
    </row>
    <row r="267" spans="2:13" ht="12.75" customHeight="1" x14ac:dyDescent="0.25">
      <c r="B267" s="97" t="s">
        <v>51</v>
      </c>
      <c r="C267" s="40">
        <v>39800</v>
      </c>
      <c r="D267" s="40">
        <v>39812</v>
      </c>
      <c r="E267" s="40">
        <v>39889</v>
      </c>
      <c r="F267" s="23">
        <v>42.7</v>
      </c>
      <c r="G267" s="23">
        <v>36.295000000000002</v>
      </c>
      <c r="H267" s="31"/>
      <c r="M267" s="31"/>
    </row>
    <row r="268" spans="2:13" ht="12.75" customHeight="1" x14ac:dyDescent="0.25">
      <c r="B268" s="97" t="s">
        <v>116</v>
      </c>
      <c r="C268" s="40">
        <v>39671</v>
      </c>
      <c r="D268" s="40">
        <v>39675</v>
      </c>
      <c r="E268" s="40">
        <v>39685</v>
      </c>
      <c r="F268" s="23">
        <v>43.5</v>
      </c>
      <c r="G268" s="23">
        <v>43.5</v>
      </c>
      <c r="H268" s="31"/>
      <c r="M268" s="31"/>
    </row>
    <row r="269" spans="2:13" ht="12.75" customHeight="1" x14ac:dyDescent="0.25">
      <c r="B269" s="97" t="s">
        <v>53</v>
      </c>
      <c r="C269" s="45">
        <v>39762</v>
      </c>
      <c r="D269" s="41">
        <v>39871</v>
      </c>
      <c r="E269" s="42">
        <v>39904</v>
      </c>
      <c r="F269" s="23">
        <v>14</v>
      </c>
      <c r="G269" s="23">
        <v>14</v>
      </c>
      <c r="H269" s="32"/>
      <c r="M269" s="32"/>
    </row>
    <row r="270" spans="2:13" ht="12.75" customHeight="1" x14ac:dyDescent="0.25">
      <c r="B270" s="97" t="s">
        <v>50</v>
      </c>
      <c r="C270" s="40">
        <v>39762</v>
      </c>
      <c r="D270" s="40">
        <v>39780</v>
      </c>
      <c r="E270" s="40">
        <v>39815</v>
      </c>
      <c r="F270" s="23">
        <v>14</v>
      </c>
      <c r="G270" s="23">
        <v>14</v>
      </c>
      <c r="H270" s="32"/>
      <c r="M270" s="32"/>
    </row>
    <row r="271" spans="2:13" ht="12.75" customHeight="1" x14ac:dyDescent="0.25">
      <c r="B271" s="97" t="s">
        <v>49</v>
      </c>
      <c r="C271" s="40">
        <v>39708</v>
      </c>
      <c r="D271" s="40">
        <v>39709</v>
      </c>
      <c r="E271" s="40">
        <v>39722</v>
      </c>
      <c r="F271" s="23">
        <v>14</v>
      </c>
      <c r="G271" s="23">
        <v>14</v>
      </c>
      <c r="H271" s="32"/>
      <c r="M271" s="32"/>
    </row>
    <row r="272" spans="2:13" ht="12.75" customHeight="1" x14ac:dyDescent="0.25">
      <c r="B272" s="97" t="s">
        <v>48</v>
      </c>
      <c r="C272" s="40">
        <v>39548</v>
      </c>
      <c r="D272" s="40">
        <v>39619</v>
      </c>
      <c r="E272" s="40">
        <v>39630</v>
      </c>
      <c r="F272" s="23">
        <v>14</v>
      </c>
      <c r="G272" s="23">
        <v>14</v>
      </c>
      <c r="H272" s="32"/>
      <c r="M272" s="32"/>
    </row>
    <row r="273" spans="2:13" ht="12.75" customHeight="1" x14ac:dyDescent="0.25">
      <c r="B273" s="10" t="s">
        <v>18</v>
      </c>
      <c r="C273" s="29"/>
      <c r="D273" s="29"/>
      <c r="E273" s="29"/>
      <c r="F273" s="19"/>
      <c r="G273" s="24"/>
      <c r="H273" s="32"/>
      <c r="M273" s="32"/>
    </row>
    <row r="274" spans="2:13" ht="12.75" customHeight="1" x14ac:dyDescent="0.25">
      <c r="B274" s="149" t="s">
        <v>8</v>
      </c>
      <c r="C274" s="149"/>
      <c r="D274" s="149"/>
      <c r="E274" s="149"/>
      <c r="F274" s="149"/>
      <c r="G274" s="149"/>
      <c r="H274" s="32"/>
      <c r="M274" s="32"/>
    </row>
    <row r="275" spans="2:13" ht="12.75" customHeight="1" x14ac:dyDescent="0.25">
      <c r="B275" s="16"/>
      <c r="C275" s="16"/>
      <c r="D275" s="16"/>
      <c r="E275" s="16"/>
      <c r="F275" s="16"/>
      <c r="G275" s="16"/>
      <c r="H275" s="32"/>
      <c r="M275" s="32"/>
    </row>
    <row r="276" spans="2:13" ht="12.75" customHeight="1" x14ac:dyDescent="0.25">
      <c r="B276" s="14"/>
      <c r="C276" s="10"/>
      <c r="D276" s="26"/>
      <c r="E276" s="10"/>
      <c r="F276" s="10"/>
      <c r="G276" s="10"/>
      <c r="H276" s="32"/>
      <c r="L276" s="81"/>
      <c r="M276" s="32"/>
    </row>
    <row r="277" spans="2:13" ht="12.75" customHeight="1" x14ac:dyDescent="0.25">
      <c r="B277" s="75" t="s">
        <v>0</v>
      </c>
      <c r="C277" s="75" t="s">
        <v>1</v>
      </c>
      <c r="D277" s="67" t="s">
        <v>72</v>
      </c>
      <c r="E277" s="67" t="s">
        <v>2</v>
      </c>
      <c r="F277" s="144" t="s">
        <v>3</v>
      </c>
      <c r="G277" s="146"/>
      <c r="H277" s="24"/>
      <c r="M277" s="24"/>
    </row>
    <row r="278" spans="2:13" ht="12.75" customHeight="1" x14ac:dyDescent="0.25">
      <c r="B278" s="68" t="s">
        <v>45</v>
      </c>
      <c r="C278" s="68" t="s">
        <v>110</v>
      </c>
      <c r="D278" s="69" t="s">
        <v>73</v>
      </c>
      <c r="E278" s="70" t="s">
        <v>6</v>
      </c>
      <c r="F278" s="71" t="s">
        <v>7</v>
      </c>
      <c r="G278" s="69" t="s">
        <v>113</v>
      </c>
      <c r="H278" s="16"/>
      <c r="M278" s="16"/>
    </row>
    <row r="279" spans="2:13" ht="12.75" customHeight="1" x14ac:dyDescent="0.25">
      <c r="B279" s="97" t="s">
        <v>51</v>
      </c>
      <c r="C279" s="40">
        <v>39496</v>
      </c>
      <c r="D279" s="40">
        <v>39500</v>
      </c>
      <c r="E279" s="40">
        <v>39608</v>
      </c>
      <c r="F279" s="23">
        <v>85</v>
      </c>
      <c r="G279" s="23">
        <v>72.25</v>
      </c>
      <c r="H279" s="16"/>
      <c r="M279" s="16"/>
    </row>
    <row r="280" spans="2:13" ht="12.75" customHeight="1" x14ac:dyDescent="0.25">
      <c r="B280" s="97" t="s">
        <v>51</v>
      </c>
      <c r="C280" s="40">
        <v>39496</v>
      </c>
      <c r="D280" s="40">
        <v>39500</v>
      </c>
      <c r="E280" s="40">
        <v>39510</v>
      </c>
      <c r="F280" s="23">
        <v>173</v>
      </c>
      <c r="G280" s="23">
        <v>147.05000000000001</v>
      </c>
      <c r="H280" s="10"/>
      <c r="M280" s="10"/>
    </row>
    <row r="281" spans="2:13" ht="12.75" customHeight="1" x14ac:dyDescent="0.25">
      <c r="B281" s="97" t="s">
        <v>51</v>
      </c>
      <c r="C281" s="40">
        <v>39398</v>
      </c>
      <c r="D281" s="40">
        <v>39412</v>
      </c>
      <c r="E281" s="40">
        <v>39510</v>
      </c>
      <c r="F281" s="23">
        <v>23</v>
      </c>
      <c r="G281" s="23">
        <v>19.55</v>
      </c>
      <c r="H281" s="31"/>
      <c r="M281" s="31"/>
    </row>
    <row r="282" spans="2:13" ht="12.75" customHeight="1" x14ac:dyDescent="0.25">
      <c r="B282" s="97" t="s">
        <v>39</v>
      </c>
      <c r="C282" s="40">
        <v>39307</v>
      </c>
      <c r="D282" s="40">
        <v>39311</v>
      </c>
      <c r="E282" s="40">
        <v>39321</v>
      </c>
      <c r="F282" s="23">
        <v>51</v>
      </c>
      <c r="G282" s="23">
        <v>43.35</v>
      </c>
      <c r="H282" s="31"/>
      <c r="M282" s="31"/>
    </row>
    <row r="283" spans="2:13" ht="12.75" customHeight="1" x14ac:dyDescent="0.25">
      <c r="B283" s="97" t="s">
        <v>53</v>
      </c>
      <c r="C283" s="40">
        <v>39496</v>
      </c>
      <c r="D283" s="40">
        <v>39500</v>
      </c>
      <c r="E283" s="40">
        <v>39539</v>
      </c>
      <c r="F283" s="23">
        <v>12</v>
      </c>
      <c r="G283" s="23">
        <v>12</v>
      </c>
      <c r="H283" s="52"/>
      <c r="M283" s="52"/>
    </row>
    <row r="284" spans="2:13" ht="12.75" customHeight="1" x14ac:dyDescent="0.25">
      <c r="B284" s="97" t="s">
        <v>50</v>
      </c>
      <c r="C284" s="40">
        <v>39398</v>
      </c>
      <c r="D284" s="40">
        <v>39412</v>
      </c>
      <c r="E284" s="40">
        <v>39449</v>
      </c>
      <c r="F284" s="23">
        <v>12</v>
      </c>
      <c r="G284" s="23">
        <v>12</v>
      </c>
      <c r="H284" s="52"/>
      <c r="M284" s="52"/>
    </row>
    <row r="285" spans="2:13" ht="12.75" customHeight="1" x14ac:dyDescent="0.25">
      <c r="B285" s="97" t="s">
        <v>49</v>
      </c>
      <c r="C285" s="40">
        <v>39342</v>
      </c>
      <c r="D285" s="40">
        <v>39343</v>
      </c>
      <c r="E285" s="40">
        <v>39356</v>
      </c>
      <c r="F285" s="23">
        <v>12</v>
      </c>
      <c r="G285" s="23">
        <v>12</v>
      </c>
      <c r="H285" s="52"/>
      <c r="M285" s="52"/>
    </row>
    <row r="286" spans="2:13" ht="12.75" customHeight="1" x14ac:dyDescent="0.25">
      <c r="B286" s="97" t="s">
        <v>48</v>
      </c>
      <c r="C286" s="40">
        <v>39253</v>
      </c>
      <c r="D286" s="40">
        <v>39253</v>
      </c>
      <c r="E286" s="40">
        <v>39265</v>
      </c>
      <c r="F286" s="23">
        <v>12</v>
      </c>
      <c r="G286" s="23">
        <v>12</v>
      </c>
      <c r="H286" s="52"/>
      <c r="M286" s="52"/>
    </row>
    <row r="287" spans="2:13" ht="12.75" customHeight="1" x14ac:dyDescent="0.25">
      <c r="B287" s="10" t="s">
        <v>18</v>
      </c>
      <c r="C287" s="29"/>
      <c r="D287" s="29"/>
      <c r="E287" s="29"/>
      <c r="F287" s="19"/>
      <c r="G287" s="24"/>
      <c r="H287" s="52"/>
      <c r="M287" s="52"/>
    </row>
    <row r="288" spans="2:13" ht="12.75" customHeight="1" x14ac:dyDescent="0.25">
      <c r="B288" s="149" t="s">
        <v>8</v>
      </c>
      <c r="C288" s="149"/>
      <c r="D288" s="149"/>
      <c r="E288" s="149"/>
      <c r="F288" s="149"/>
      <c r="G288" s="149"/>
      <c r="H288" s="52"/>
      <c r="M288" s="52"/>
    </row>
    <row r="289" spans="2:13" ht="12.75" customHeight="1" x14ac:dyDescent="0.25">
      <c r="B289" s="16"/>
      <c r="C289" s="16"/>
      <c r="D289" s="16"/>
      <c r="E289" s="16"/>
      <c r="F289" s="16"/>
      <c r="G289" s="16"/>
      <c r="H289" s="52"/>
      <c r="M289" s="52"/>
    </row>
    <row r="290" spans="2:13" ht="12.75" customHeight="1" x14ac:dyDescent="0.25">
      <c r="B290" s="14"/>
      <c r="C290" s="10"/>
      <c r="D290" s="26"/>
      <c r="E290" s="10"/>
      <c r="F290" s="10"/>
      <c r="G290" s="10"/>
      <c r="H290" s="52"/>
      <c r="L290" s="81"/>
      <c r="M290" s="52"/>
    </row>
    <row r="291" spans="2:13" ht="12.75" customHeight="1" x14ac:dyDescent="0.25">
      <c r="B291" s="75" t="s">
        <v>0</v>
      </c>
      <c r="C291" s="75" t="s">
        <v>1</v>
      </c>
      <c r="D291" s="67" t="s">
        <v>72</v>
      </c>
      <c r="E291" s="67" t="s">
        <v>2</v>
      </c>
      <c r="F291" s="144" t="s">
        <v>3</v>
      </c>
      <c r="G291" s="146"/>
      <c r="H291" s="24"/>
      <c r="M291" s="24"/>
    </row>
    <row r="292" spans="2:13" ht="12.75" customHeight="1" x14ac:dyDescent="0.25">
      <c r="B292" s="68" t="s">
        <v>44</v>
      </c>
      <c r="C292" s="68" t="s">
        <v>110</v>
      </c>
      <c r="D292" s="69" t="s">
        <v>73</v>
      </c>
      <c r="E292" s="70" t="s">
        <v>6</v>
      </c>
      <c r="F292" s="71" t="s">
        <v>7</v>
      </c>
      <c r="G292" s="69" t="s">
        <v>113</v>
      </c>
      <c r="H292" s="16"/>
      <c r="M292" s="16"/>
    </row>
    <row r="293" spans="2:13" ht="12.75" customHeight="1" x14ac:dyDescent="0.25">
      <c r="B293" s="97" t="s">
        <v>39</v>
      </c>
      <c r="C293" s="40">
        <v>39139</v>
      </c>
      <c r="D293" s="40">
        <v>39140</v>
      </c>
      <c r="E293" s="40">
        <v>39241</v>
      </c>
      <c r="F293" s="23">
        <v>112.73</v>
      </c>
      <c r="G293" s="23">
        <v>95.82</v>
      </c>
      <c r="H293" s="16"/>
      <c r="M293" s="16"/>
    </row>
    <row r="294" spans="2:13" ht="12.75" customHeight="1" x14ac:dyDescent="0.25">
      <c r="B294" s="97" t="s">
        <v>39</v>
      </c>
      <c r="C294" s="40">
        <v>39139</v>
      </c>
      <c r="D294" s="40">
        <v>39140</v>
      </c>
      <c r="E294" s="40">
        <v>39149</v>
      </c>
      <c r="F294" s="23">
        <v>73</v>
      </c>
      <c r="G294" s="23">
        <v>62.05</v>
      </c>
      <c r="H294" s="10"/>
      <c r="M294" s="10"/>
    </row>
    <row r="295" spans="2:13" ht="12.75" customHeight="1" x14ac:dyDescent="0.25">
      <c r="B295" s="97" t="s">
        <v>39</v>
      </c>
      <c r="C295" s="40">
        <v>39069</v>
      </c>
      <c r="D295" s="40">
        <v>39070</v>
      </c>
      <c r="E295" s="40">
        <v>39149</v>
      </c>
      <c r="F295" s="23">
        <v>127.5</v>
      </c>
      <c r="G295" s="23">
        <v>108.38</v>
      </c>
      <c r="H295" s="31"/>
      <c r="M295" s="31"/>
    </row>
    <row r="296" spans="2:13" ht="12.75" customHeight="1" x14ac:dyDescent="0.25">
      <c r="B296" s="97" t="s">
        <v>39</v>
      </c>
      <c r="C296" s="40">
        <v>38940</v>
      </c>
      <c r="D296" s="40">
        <v>38940</v>
      </c>
      <c r="E296" s="40">
        <v>38950</v>
      </c>
      <c r="F296" s="23">
        <v>48</v>
      </c>
      <c r="G296" s="23">
        <v>40.799999999999997</v>
      </c>
      <c r="H296" s="31"/>
      <c r="M296" s="31"/>
    </row>
    <row r="297" spans="2:13" ht="12.75" customHeight="1" x14ac:dyDescent="0.25">
      <c r="B297" s="97" t="s">
        <v>40</v>
      </c>
      <c r="C297" s="40">
        <v>39139</v>
      </c>
      <c r="D297" s="40">
        <v>39140</v>
      </c>
      <c r="E297" s="40">
        <v>39174</v>
      </c>
      <c r="F297" s="23">
        <v>12</v>
      </c>
      <c r="G297" s="23">
        <v>10.199999999999999</v>
      </c>
      <c r="H297" s="19"/>
      <c r="M297" s="19"/>
    </row>
    <row r="298" spans="2:13" ht="12.75" customHeight="1" x14ac:dyDescent="0.25">
      <c r="B298" s="97" t="s">
        <v>38</v>
      </c>
      <c r="C298" s="40">
        <v>39069</v>
      </c>
      <c r="D298" s="40">
        <v>39071</v>
      </c>
      <c r="E298" s="40">
        <v>39084</v>
      </c>
      <c r="F298" s="23">
        <v>12</v>
      </c>
      <c r="G298" s="23">
        <v>10.199999999999999</v>
      </c>
      <c r="H298" s="19"/>
      <c r="M298" s="19"/>
    </row>
    <row r="299" spans="2:13" ht="12.75" customHeight="1" x14ac:dyDescent="0.25">
      <c r="B299" s="97" t="s">
        <v>99</v>
      </c>
      <c r="C299" s="40">
        <v>38980</v>
      </c>
      <c r="D299" s="40">
        <v>38616</v>
      </c>
      <c r="E299" s="40">
        <v>38992</v>
      </c>
      <c r="F299" s="23">
        <v>12</v>
      </c>
      <c r="G299" s="23">
        <v>10.199999999999999</v>
      </c>
      <c r="H299" s="19"/>
      <c r="M299" s="19"/>
    </row>
    <row r="300" spans="2:13" ht="12.75" customHeight="1" x14ac:dyDescent="0.25">
      <c r="B300" s="97" t="s">
        <v>98</v>
      </c>
      <c r="C300" s="40">
        <v>38782</v>
      </c>
      <c r="D300" s="40">
        <v>38526</v>
      </c>
      <c r="E300" s="40">
        <v>38901</v>
      </c>
      <c r="F300" s="23">
        <v>12</v>
      </c>
      <c r="G300" s="23">
        <v>10.199999999999999</v>
      </c>
      <c r="H300" s="19"/>
      <c r="M300" s="19"/>
    </row>
    <row r="301" spans="2:13" ht="12.75" customHeight="1" x14ac:dyDescent="0.25">
      <c r="B301" s="10" t="s">
        <v>18</v>
      </c>
      <c r="C301" s="29"/>
      <c r="D301" s="29"/>
      <c r="E301" s="29"/>
      <c r="F301" s="19"/>
      <c r="G301" s="24"/>
      <c r="H301" s="19"/>
      <c r="M301" s="19"/>
    </row>
    <row r="302" spans="2:13" ht="12.75" customHeight="1" x14ac:dyDescent="0.25">
      <c r="B302" s="149" t="s">
        <v>8</v>
      </c>
      <c r="C302" s="149"/>
      <c r="D302" s="149"/>
      <c r="E302" s="149"/>
      <c r="F302" s="149"/>
      <c r="G302" s="149"/>
      <c r="H302" s="19"/>
      <c r="M302" s="19"/>
    </row>
    <row r="303" spans="2:13" ht="12.75" customHeight="1" x14ac:dyDescent="0.25">
      <c r="B303" s="16"/>
      <c r="C303" s="16"/>
      <c r="D303" s="16"/>
      <c r="E303" s="16"/>
      <c r="F303" s="16"/>
      <c r="G303" s="16"/>
      <c r="H303" s="19"/>
      <c r="M303" s="19"/>
    </row>
    <row r="304" spans="2:13" ht="12.75" customHeight="1" x14ac:dyDescent="0.25">
      <c r="B304" s="16"/>
      <c r="C304" s="16"/>
      <c r="D304" s="16"/>
      <c r="E304" s="16"/>
      <c r="F304" s="16"/>
      <c r="G304" s="16"/>
      <c r="H304" s="19"/>
      <c r="L304" s="81"/>
      <c r="M304" s="19"/>
    </row>
    <row r="305" spans="2:13" ht="12.75" customHeight="1" x14ac:dyDescent="0.25">
      <c r="B305" s="75" t="s">
        <v>0</v>
      </c>
      <c r="C305" s="75" t="s">
        <v>1</v>
      </c>
      <c r="D305" s="67" t="s">
        <v>72</v>
      </c>
      <c r="E305" s="67" t="s">
        <v>2</v>
      </c>
      <c r="F305" s="144" t="s">
        <v>3</v>
      </c>
      <c r="G305" s="146"/>
      <c r="H305" s="24"/>
      <c r="M305" s="24"/>
    </row>
    <row r="306" spans="2:13" ht="12.75" customHeight="1" x14ac:dyDescent="0.25">
      <c r="B306" s="68" t="s">
        <v>43</v>
      </c>
      <c r="C306" s="68" t="s">
        <v>110</v>
      </c>
      <c r="D306" s="69" t="s">
        <v>73</v>
      </c>
      <c r="E306" s="70" t="s">
        <v>6</v>
      </c>
      <c r="F306" s="71" t="s">
        <v>7</v>
      </c>
      <c r="G306" s="69" t="s">
        <v>113</v>
      </c>
      <c r="H306" s="16"/>
      <c r="M306" s="16"/>
    </row>
    <row r="307" spans="2:13" ht="12.75" customHeight="1" x14ac:dyDescent="0.25">
      <c r="B307" s="97" t="s">
        <v>39</v>
      </c>
      <c r="C307" s="40">
        <v>38782</v>
      </c>
      <c r="D307" s="40">
        <v>38783</v>
      </c>
      <c r="E307" s="40">
        <v>38789</v>
      </c>
      <c r="F307" s="23">
        <v>30</v>
      </c>
      <c r="G307" s="23">
        <v>25.5</v>
      </c>
      <c r="H307" s="16"/>
      <c r="M307" s="16"/>
    </row>
    <row r="308" spans="2:13" ht="12.75" customHeight="1" x14ac:dyDescent="0.25">
      <c r="B308" s="97" t="s">
        <v>39</v>
      </c>
      <c r="C308" s="40">
        <v>38707</v>
      </c>
      <c r="D308" s="40">
        <v>38707</v>
      </c>
      <c r="E308" s="40">
        <v>38876</v>
      </c>
      <c r="F308" s="23">
        <v>38</v>
      </c>
      <c r="G308" s="23">
        <v>32.299999999999997</v>
      </c>
      <c r="H308" s="16"/>
      <c r="M308" s="16"/>
    </row>
    <row r="309" spans="2:13" ht="12.75" customHeight="1" x14ac:dyDescent="0.25">
      <c r="B309" s="97" t="s">
        <v>39</v>
      </c>
      <c r="C309" s="40">
        <v>38707</v>
      </c>
      <c r="D309" s="40">
        <v>38707</v>
      </c>
      <c r="E309" s="40">
        <v>38789</v>
      </c>
      <c r="F309" s="23">
        <v>136</v>
      </c>
      <c r="G309" s="23">
        <v>115.6</v>
      </c>
      <c r="H309" s="31"/>
      <c r="M309" s="31"/>
    </row>
    <row r="310" spans="2:13" ht="12.75" customHeight="1" x14ac:dyDescent="0.25">
      <c r="B310" s="97" t="s">
        <v>39</v>
      </c>
      <c r="C310" s="40">
        <v>38572</v>
      </c>
      <c r="D310" s="40">
        <v>38576</v>
      </c>
      <c r="E310" s="40">
        <v>38586</v>
      </c>
      <c r="F310" s="23">
        <v>38</v>
      </c>
      <c r="G310" s="23">
        <v>32.299999999999997</v>
      </c>
      <c r="H310" s="31"/>
      <c r="M310" s="31"/>
    </row>
    <row r="311" spans="2:13" ht="12.75" customHeight="1" x14ac:dyDescent="0.25">
      <c r="B311" s="97" t="s">
        <v>40</v>
      </c>
      <c r="C311" s="40">
        <v>38782</v>
      </c>
      <c r="D311" s="40">
        <v>38783</v>
      </c>
      <c r="E311" s="40">
        <v>38810</v>
      </c>
      <c r="F311" s="23">
        <v>9.5</v>
      </c>
      <c r="G311" s="23">
        <v>8.0749999999999993</v>
      </c>
      <c r="H311" s="19"/>
      <c r="M311" s="19"/>
    </row>
    <row r="312" spans="2:13" ht="12.75" customHeight="1" x14ac:dyDescent="0.25">
      <c r="B312" s="97" t="s">
        <v>38</v>
      </c>
      <c r="C312" s="40">
        <v>38707</v>
      </c>
      <c r="D312" s="40">
        <v>38707</v>
      </c>
      <c r="E312" s="40">
        <v>38719</v>
      </c>
      <c r="F312" s="23">
        <v>9.5</v>
      </c>
      <c r="G312" s="23">
        <v>8.0749999999999993</v>
      </c>
      <c r="H312" s="19"/>
      <c r="M312" s="19"/>
    </row>
    <row r="313" spans="2:13" ht="12.75" customHeight="1" x14ac:dyDescent="0.25">
      <c r="B313" s="97" t="s">
        <v>99</v>
      </c>
      <c r="C313" s="40">
        <v>38614</v>
      </c>
      <c r="D313" s="40">
        <v>38615</v>
      </c>
      <c r="E313" s="40">
        <v>38628</v>
      </c>
      <c r="F313" s="23">
        <v>9.5</v>
      </c>
      <c r="G313" s="23">
        <v>8.0749999999999993</v>
      </c>
      <c r="H313" s="19"/>
      <c r="M313" s="19"/>
    </row>
    <row r="314" spans="2:13" ht="12.75" customHeight="1" x14ac:dyDescent="0.25">
      <c r="B314" s="97" t="s">
        <v>98</v>
      </c>
      <c r="C314" s="40">
        <v>38481</v>
      </c>
      <c r="D314" s="40">
        <v>38526</v>
      </c>
      <c r="E314" s="40">
        <v>38534</v>
      </c>
      <c r="F314" s="23">
        <v>9.5</v>
      </c>
      <c r="G314" s="23">
        <v>8.0749999999999993</v>
      </c>
      <c r="H314" s="19"/>
      <c r="M314" s="19"/>
    </row>
    <row r="315" spans="2:13" ht="12.75" customHeight="1" x14ac:dyDescent="0.25">
      <c r="B315" s="10" t="s">
        <v>18</v>
      </c>
      <c r="C315" s="29"/>
      <c r="D315" s="29"/>
      <c r="E315" s="29"/>
      <c r="F315" s="19"/>
      <c r="G315" s="24"/>
      <c r="H315" s="19"/>
      <c r="M315" s="19"/>
    </row>
    <row r="316" spans="2:13" ht="12.75" customHeight="1" x14ac:dyDescent="0.25">
      <c r="B316" s="149" t="s">
        <v>8</v>
      </c>
      <c r="C316" s="149"/>
      <c r="D316" s="149"/>
      <c r="E316" s="149"/>
      <c r="F316" s="149"/>
      <c r="G316" s="149"/>
      <c r="H316" s="19"/>
      <c r="M316" s="19"/>
    </row>
    <row r="317" spans="2:13" ht="12.75" customHeight="1" x14ac:dyDescent="0.25">
      <c r="B317" s="16"/>
      <c r="C317" s="16"/>
      <c r="D317" s="16"/>
      <c r="E317" s="16"/>
      <c r="F317" s="16"/>
      <c r="G317" s="16"/>
      <c r="H317" s="19"/>
      <c r="M317" s="19"/>
    </row>
    <row r="318" spans="2:13" ht="12.75" customHeight="1" x14ac:dyDescent="0.25">
      <c r="B318" s="14"/>
      <c r="C318" s="10"/>
      <c r="D318" s="26"/>
      <c r="E318" s="10"/>
      <c r="F318" s="10"/>
      <c r="G318" s="10"/>
      <c r="H318" s="53"/>
      <c r="L318" s="81"/>
      <c r="M318" s="53"/>
    </row>
    <row r="319" spans="2:13" ht="12.75" customHeight="1" x14ac:dyDescent="0.25">
      <c r="B319" s="75" t="s">
        <v>0</v>
      </c>
      <c r="C319" s="75" t="s">
        <v>1</v>
      </c>
      <c r="D319" s="67" t="s">
        <v>72</v>
      </c>
      <c r="E319" s="67" t="s">
        <v>2</v>
      </c>
      <c r="F319" s="144" t="s">
        <v>3</v>
      </c>
      <c r="G319" s="146"/>
      <c r="H319" s="24"/>
      <c r="M319" s="24"/>
    </row>
    <row r="320" spans="2:13" ht="12.75" customHeight="1" x14ac:dyDescent="0.25">
      <c r="B320" s="68" t="s">
        <v>42</v>
      </c>
      <c r="C320" s="68" t="s">
        <v>110</v>
      </c>
      <c r="D320" s="69" t="s">
        <v>73</v>
      </c>
      <c r="E320" s="70" t="s">
        <v>6</v>
      </c>
      <c r="F320" s="71" t="s">
        <v>7</v>
      </c>
      <c r="G320" s="69" t="s">
        <v>113</v>
      </c>
      <c r="H320" s="16"/>
      <c r="M320" s="16"/>
    </row>
    <row r="321" spans="2:13" ht="12.75" customHeight="1" x14ac:dyDescent="0.25">
      <c r="B321" s="97" t="s">
        <v>39</v>
      </c>
      <c r="C321" s="40">
        <v>38418</v>
      </c>
      <c r="D321" s="40">
        <v>38418</v>
      </c>
      <c r="E321" s="40">
        <v>38511</v>
      </c>
      <c r="F321" s="23">
        <v>11.2</v>
      </c>
      <c r="G321" s="23">
        <v>9.52</v>
      </c>
      <c r="H321" s="16"/>
      <c r="M321" s="16"/>
    </row>
    <row r="322" spans="2:13" ht="12.75" customHeight="1" x14ac:dyDescent="0.25">
      <c r="B322" s="97" t="s">
        <v>39</v>
      </c>
      <c r="C322" s="40">
        <v>38418</v>
      </c>
      <c r="D322" s="40">
        <v>38418</v>
      </c>
      <c r="E322" s="40">
        <v>38425</v>
      </c>
      <c r="F322" s="23">
        <v>13.3</v>
      </c>
      <c r="G322" s="23">
        <v>11.3</v>
      </c>
      <c r="H322" s="10"/>
      <c r="M322" s="10"/>
    </row>
    <row r="323" spans="2:13" ht="12.75" customHeight="1" x14ac:dyDescent="0.25">
      <c r="B323" s="97" t="s">
        <v>39</v>
      </c>
      <c r="C323" s="40">
        <v>38327</v>
      </c>
      <c r="D323" s="40">
        <v>38328</v>
      </c>
      <c r="E323" s="40">
        <v>38511</v>
      </c>
      <c r="F323" s="23">
        <v>26.2</v>
      </c>
      <c r="G323" s="23">
        <v>22.27</v>
      </c>
      <c r="H323" s="31"/>
      <c r="M323" s="31"/>
    </row>
    <row r="324" spans="2:13" ht="12.75" customHeight="1" x14ac:dyDescent="0.25">
      <c r="B324" s="97" t="s">
        <v>39</v>
      </c>
      <c r="C324" s="40">
        <v>38327</v>
      </c>
      <c r="D324" s="40">
        <v>38328</v>
      </c>
      <c r="E324" s="40">
        <v>38425</v>
      </c>
      <c r="F324" s="23">
        <v>111.5</v>
      </c>
      <c r="G324" s="23">
        <v>94.78</v>
      </c>
      <c r="H324" s="31"/>
      <c r="M324" s="31"/>
    </row>
    <row r="325" spans="2:13" ht="12.75" customHeight="1" x14ac:dyDescent="0.25">
      <c r="B325" s="97" t="s">
        <v>39</v>
      </c>
      <c r="C325" s="46">
        <v>38208</v>
      </c>
      <c r="D325" s="40">
        <v>38212</v>
      </c>
      <c r="E325" s="40">
        <v>38222</v>
      </c>
      <c r="F325" s="23">
        <v>24.6</v>
      </c>
      <c r="G325" s="23">
        <v>20.91</v>
      </c>
      <c r="H325" s="32"/>
      <c r="M325" s="32"/>
    </row>
    <row r="326" spans="2:13" ht="12.75" customHeight="1" x14ac:dyDescent="0.25">
      <c r="B326" s="97" t="s">
        <v>40</v>
      </c>
      <c r="C326" s="40">
        <v>38418</v>
      </c>
      <c r="D326" s="40">
        <v>38418</v>
      </c>
      <c r="E326" s="40">
        <v>38443</v>
      </c>
      <c r="F326" s="23">
        <v>7.32</v>
      </c>
      <c r="G326" s="23">
        <v>6.22</v>
      </c>
      <c r="H326" s="32"/>
      <c r="M326" s="32"/>
    </row>
    <row r="327" spans="2:13" ht="12.75" customHeight="1" x14ac:dyDescent="0.25">
      <c r="B327" s="97" t="s">
        <v>38</v>
      </c>
      <c r="C327" s="46">
        <v>38327</v>
      </c>
      <c r="D327" s="40">
        <v>38328</v>
      </c>
      <c r="E327" s="40">
        <v>38355</v>
      </c>
      <c r="F327" s="23">
        <v>7.32</v>
      </c>
      <c r="G327" s="23">
        <v>6.22</v>
      </c>
      <c r="H327" s="32"/>
      <c r="M327" s="32"/>
    </row>
    <row r="328" spans="2:13" ht="12.75" customHeight="1" x14ac:dyDescent="0.25">
      <c r="B328" s="97" t="s">
        <v>99</v>
      </c>
      <c r="C328" s="40">
        <v>38250</v>
      </c>
      <c r="D328" s="40">
        <v>38251</v>
      </c>
      <c r="E328" s="40">
        <v>38261</v>
      </c>
      <c r="F328" s="23">
        <v>7.32</v>
      </c>
      <c r="G328" s="23">
        <v>6.22</v>
      </c>
      <c r="H328" s="32"/>
      <c r="M328" s="32"/>
    </row>
    <row r="329" spans="2:13" ht="12.75" customHeight="1" x14ac:dyDescent="0.25">
      <c r="B329" s="97" t="s">
        <v>98</v>
      </c>
      <c r="C329" s="40">
        <v>38117</v>
      </c>
      <c r="D329" s="40">
        <v>38159</v>
      </c>
      <c r="E329" s="40">
        <v>38169</v>
      </c>
      <c r="F329" s="23">
        <v>7.32</v>
      </c>
      <c r="G329" s="23">
        <v>6.22</v>
      </c>
      <c r="H329" s="28"/>
      <c r="M329" s="28"/>
    </row>
    <row r="330" spans="2:13" ht="12.75" customHeight="1" x14ac:dyDescent="0.25">
      <c r="B330" s="10" t="s">
        <v>18</v>
      </c>
      <c r="C330" s="29"/>
      <c r="D330" s="29"/>
      <c r="E330" s="29"/>
      <c r="F330" s="19"/>
      <c r="G330" s="24"/>
      <c r="H330" s="28"/>
      <c r="M330" s="28"/>
    </row>
    <row r="331" spans="2:13" ht="12.75" customHeight="1" x14ac:dyDescent="0.25">
      <c r="B331" s="149" t="s">
        <v>8</v>
      </c>
      <c r="C331" s="149"/>
      <c r="D331" s="149"/>
      <c r="E331" s="149"/>
      <c r="F331" s="149"/>
      <c r="G331" s="149"/>
      <c r="H331" s="28"/>
      <c r="M331" s="28"/>
    </row>
    <row r="332" spans="2:13" ht="12.75" customHeight="1" x14ac:dyDescent="0.25">
      <c r="B332" s="16"/>
      <c r="C332" s="16"/>
      <c r="D332" s="16"/>
      <c r="E332" s="16"/>
      <c r="F332" s="16"/>
      <c r="G332" s="16"/>
      <c r="H332" s="19"/>
      <c r="M332" s="19"/>
    </row>
    <row r="333" spans="2:13" ht="12.75" customHeight="1" x14ac:dyDescent="0.25">
      <c r="B333" s="10"/>
      <c r="C333" s="47"/>
      <c r="D333" s="47"/>
      <c r="E333" s="47"/>
      <c r="F333" s="19"/>
      <c r="G333" s="28"/>
      <c r="H333" s="19"/>
      <c r="L333" s="81"/>
      <c r="M333" s="19"/>
    </row>
    <row r="334" spans="2:13" ht="12.75" customHeight="1" x14ac:dyDescent="0.25">
      <c r="B334" s="75" t="s">
        <v>0</v>
      </c>
      <c r="C334" s="75" t="s">
        <v>1</v>
      </c>
      <c r="D334" s="67" t="s">
        <v>72</v>
      </c>
      <c r="E334" s="67" t="s">
        <v>2</v>
      </c>
      <c r="F334" s="144" t="s">
        <v>3</v>
      </c>
      <c r="G334" s="146"/>
      <c r="H334" s="24"/>
      <c r="M334" s="24"/>
    </row>
    <row r="335" spans="2:13" ht="12.75" customHeight="1" x14ac:dyDescent="0.25">
      <c r="B335" s="68" t="s">
        <v>41</v>
      </c>
      <c r="C335" s="68" t="s">
        <v>110</v>
      </c>
      <c r="D335" s="69" t="s">
        <v>73</v>
      </c>
      <c r="E335" s="70" t="s">
        <v>6</v>
      </c>
      <c r="F335" s="71" t="s">
        <v>7</v>
      </c>
      <c r="G335" s="69" t="s">
        <v>113</v>
      </c>
      <c r="H335" s="16"/>
      <c r="M335" s="16"/>
    </row>
    <row r="336" spans="2:13" ht="12.75" customHeight="1" x14ac:dyDescent="0.25">
      <c r="B336" s="97" t="s">
        <v>39</v>
      </c>
      <c r="C336" s="46">
        <v>38033</v>
      </c>
      <c r="D336" s="40">
        <v>38034</v>
      </c>
      <c r="E336" s="40">
        <v>38051</v>
      </c>
      <c r="F336" s="23">
        <v>14.6</v>
      </c>
      <c r="G336" s="23">
        <v>12.41</v>
      </c>
      <c r="H336" s="16"/>
      <c r="M336" s="16"/>
    </row>
    <row r="337" spans="2:13" ht="12.75" customHeight="1" x14ac:dyDescent="0.25">
      <c r="B337" s="97" t="s">
        <v>39</v>
      </c>
      <c r="C337" s="46">
        <v>37970</v>
      </c>
      <c r="D337" s="40">
        <v>37971</v>
      </c>
      <c r="E337" s="40">
        <v>38051</v>
      </c>
      <c r="F337" s="23">
        <v>75</v>
      </c>
      <c r="G337" s="23">
        <v>63.75</v>
      </c>
      <c r="H337" s="28"/>
      <c r="M337" s="28"/>
    </row>
    <row r="338" spans="2:13" ht="12.75" customHeight="1" x14ac:dyDescent="0.25">
      <c r="B338" s="97" t="s">
        <v>39</v>
      </c>
      <c r="C338" s="46">
        <v>37970</v>
      </c>
      <c r="D338" s="40">
        <v>37971</v>
      </c>
      <c r="E338" s="11" t="s">
        <v>221</v>
      </c>
      <c r="F338" s="23">
        <v>58.5</v>
      </c>
      <c r="G338" s="23">
        <v>49.725000000000001</v>
      </c>
      <c r="H338" s="31"/>
      <c r="M338" s="31"/>
    </row>
    <row r="339" spans="2:13" ht="12.75" customHeight="1" x14ac:dyDescent="0.25">
      <c r="B339" s="97" t="s">
        <v>39</v>
      </c>
      <c r="C339" s="46">
        <v>37844</v>
      </c>
      <c r="D339" s="40">
        <v>37848</v>
      </c>
      <c r="E339" s="40">
        <v>37858</v>
      </c>
      <c r="F339" s="23">
        <v>20.5</v>
      </c>
      <c r="G339" s="23">
        <v>17.425000000000001</v>
      </c>
      <c r="H339" s="31"/>
      <c r="M339" s="31"/>
    </row>
    <row r="340" spans="2:13" ht="12.75" customHeight="1" x14ac:dyDescent="0.25">
      <c r="B340" s="97" t="s">
        <v>40</v>
      </c>
      <c r="C340" s="40">
        <v>38054</v>
      </c>
      <c r="D340" s="40">
        <v>38055</v>
      </c>
      <c r="E340" s="40">
        <v>38078</v>
      </c>
      <c r="F340" s="23">
        <v>5.6</v>
      </c>
      <c r="G340" s="23">
        <v>4.76</v>
      </c>
      <c r="H340" s="28"/>
      <c r="M340" s="28"/>
    </row>
    <row r="341" spans="2:13" ht="12.75" customHeight="1" x14ac:dyDescent="0.25">
      <c r="B341" s="97" t="s">
        <v>38</v>
      </c>
      <c r="C341" s="46">
        <v>37970</v>
      </c>
      <c r="D341" s="40">
        <v>37971</v>
      </c>
      <c r="E341" s="40">
        <v>37988</v>
      </c>
      <c r="F341" s="23">
        <v>5.6</v>
      </c>
      <c r="G341" s="23">
        <v>4.76</v>
      </c>
      <c r="H341" s="28"/>
      <c r="M341" s="28"/>
    </row>
    <row r="342" spans="2:13" ht="12.75" customHeight="1" x14ac:dyDescent="0.25">
      <c r="B342" s="97" t="s">
        <v>99</v>
      </c>
      <c r="C342" s="46">
        <v>37881</v>
      </c>
      <c r="D342" s="40">
        <v>37882</v>
      </c>
      <c r="E342" s="40">
        <v>37895</v>
      </c>
      <c r="F342" s="23">
        <v>5.6</v>
      </c>
      <c r="G342" s="23">
        <v>4.76</v>
      </c>
      <c r="H342" s="54"/>
      <c r="M342" s="54"/>
    </row>
    <row r="343" spans="2:13" ht="12.75" customHeight="1" x14ac:dyDescent="0.25">
      <c r="B343" s="97" t="s">
        <v>98</v>
      </c>
      <c r="C343" s="46">
        <v>37697</v>
      </c>
      <c r="D343" s="40">
        <v>37698</v>
      </c>
      <c r="E343" s="40">
        <v>37803</v>
      </c>
      <c r="F343" s="23">
        <v>5.6</v>
      </c>
      <c r="G343" s="23">
        <v>4.76</v>
      </c>
      <c r="H343" s="54"/>
      <c r="M343" s="54"/>
    </row>
    <row r="344" spans="2:13" ht="12.75" customHeight="1" x14ac:dyDescent="0.25">
      <c r="B344" s="10" t="s">
        <v>18</v>
      </c>
      <c r="C344" s="29"/>
      <c r="D344" s="29"/>
      <c r="E344" s="29"/>
      <c r="F344" s="19"/>
      <c r="G344" s="24"/>
      <c r="H344" s="54"/>
      <c r="M344" s="54"/>
    </row>
    <row r="345" spans="2:13" ht="12.75" customHeight="1" x14ac:dyDescent="0.25">
      <c r="B345" s="149" t="s">
        <v>8</v>
      </c>
      <c r="C345" s="149"/>
      <c r="D345" s="149"/>
      <c r="E345" s="149"/>
      <c r="F345" s="149"/>
      <c r="G345" s="149"/>
      <c r="H345" s="54"/>
      <c r="M345" s="54"/>
    </row>
    <row r="346" spans="2:13" ht="12.75" customHeight="1" x14ac:dyDescent="0.25">
      <c r="B346" s="16"/>
      <c r="C346" s="16"/>
      <c r="D346" s="16"/>
      <c r="E346" s="16"/>
      <c r="F346" s="16"/>
      <c r="G346" s="16"/>
      <c r="H346" s="54"/>
      <c r="M346" s="54"/>
    </row>
    <row r="347" spans="2:13" ht="12.75" customHeight="1" x14ac:dyDescent="0.25">
      <c r="B347" s="14"/>
      <c r="C347" s="10"/>
      <c r="D347" s="26"/>
      <c r="E347" s="10"/>
      <c r="F347" s="10"/>
      <c r="G347" s="10"/>
      <c r="H347" s="28"/>
      <c r="L347" s="81"/>
      <c r="M347" s="28"/>
    </row>
    <row r="348" spans="2:13" ht="12.75" customHeight="1" x14ac:dyDescent="0.25">
      <c r="B348" s="75" t="s">
        <v>0</v>
      </c>
      <c r="C348" s="75" t="s">
        <v>1</v>
      </c>
      <c r="D348" s="67" t="s">
        <v>72</v>
      </c>
      <c r="E348" s="67" t="s">
        <v>2</v>
      </c>
      <c r="F348" s="144" t="s">
        <v>3</v>
      </c>
      <c r="G348" s="146"/>
      <c r="H348" s="24"/>
      <c r="M348" s="24"/>
    </row>
    <row r="349" spans="2:13" ht="12.75" customHeight="1" x14ac:dyDescent="0.25">
      <c r="B349" s="68" t="s">
        <v>37</v>
      </c>
      <c r="C349" s="68" t="s">
        <v>110</v>
      </c>
      <c r="D349" s="69" t="s">
        <v>73</v>
      </c>
      <c r="E349" s="70" t="s">
        <v>6</v>
      </c>
      <c r="F349" s="71" t="s">
        <v>7</v>
      </c>
      <c r="G349" s="69" t="s">
        <v>113</v>
      </c>
      <c r="H349" s="16"/>
      <c r="M349" s="16"/>
    </row>
    <row r="350" spans="2:13" ht="12.75" customHeight="1" x14ac:dyDescent="0.25">
      <c r="B350" s="97" t="s">
        <v>39</v>
      </c>
      <c r="C350" s="40">
        <v>37697</v>
      </c>
      <c r="D350" s="40">
        <v>37698</v>
      </c>
      <c r="E350" s="40">
        <v>37778</v>
      </c>
      <c r="F350" s="23">
        <v>43.64</v>
      </c>
      <c r="G350" s="23">
        <v>37.090000000000003</v>
      </c>
      <c r="H350" s="16"/>
      <c r="M350" s="16"/>
    </row>
    <row r="351" spans="2:13" ht="12.75" customHeight="1" x14ac:dyDescent="0.25">
      <c r="B351" s="97" t="s">
        <v>39</v>
      </c>
      <c r="C351" s="40">
        <v>37697</v>
      </c>
      <c r="D351" s="40">
        <v>37698</v>
      </c>
      <c r="E351" s="40">
        <v>37708</v>
      </c>
      <c r="F351" s="23">
        <v>5.4</v>
      </c>
      <c r="G351" s="23">
        <v>4.59</v>
      </c>
      <c r="H351" s="10"/>
      <c r="M351" s="10"/>
    </row>
    <row r="352" spans="2:13" ht="12.75" customHeight="1" x14ac:dyDescent="0.25">
      <c r="B352" s="97" t="s">
        <v>39</v>
      </c>
      <c r="C352" s="40">
        <v>37603</v>
      </c>
      <c r="D352" s="40">
        <v>37606</v>
      </c>
      <c r="E352" s="40">
        <v>37708</v>
      </c>
      <c r="F352" s="23">
        <v>47.6</v>
      </c>
      <c r="G352" s="23">
        <v>40.46</v>
      </c>
      <c r="H352" s="31"/>
      <c r="M352" s="31"/>
    </row>
    <row r="353" spans="2:13" ht="12.75" customHeight="1" x14ac:dyDescent="0.25">
      <c r="B353" s="97" t="s">
        <v>39</v>
      </c>
      <c r="C353" s="11" t="s">
        <v>222</v>
      </c>
      <c r="D353" s="40">
        <v>37481</v>
      </c>
      <c r="E353" s="40">
        <v>37501</v>
      </c>
      <c r="F353" s="23">
        <v>19.03</v>
      </c>
      <c r="G353" s="23">
        <v>16.18</v>
      </c>
      <c r="H353" s="31"/>
      <c r="M353" s="31"/>
    </row>
    <row r="354" spans="2:13" ht="12.75" customHeight="1" x14ac:dyDescent="0.25">
      <c r="B354" s="97" t="s">
        <v>40</v>
      </c>
      <c r="C354" s="40">
        <v>37697</v>
      </c>
      <c r="D354" s="40">
        <v>37698</v>
      </c>
      <c r="E354" s="40">
        <v>37712</v>
      </c>
      <c r="F354" s="23">
        <v>4</v>
      </c>
      <c r="G354" s="23">
        <v>3.4</v>
      </c>
      <c r="H354" s="28"/>
      <c r="M354" s="28"/>
    </row>
    <row r="355" spans="2:13" ht="12.75" customHeight="1" x14ac:dyDescent="0.25">
      <c r="B355" s="97" t="s">
        <v>38</v>
      </c>
      <c r="C355" s="40">
        <v>37603</v>
      </c>
      <c r="D355" s="40">
        <v>37606</v>
      </c>
      <c r="E355" s="40">
        <v>37623</v>
      </c>
      <c r="F355" s="23">
        <v>4</v>
      </c>
      <c r="G355" s="23">
        <v>3.4</v>
      </c>
      <c r="H355" s="28"/>
      <c r="M355" s="28"/>
    </row>
    <row r="356" spans="2:13" ht="12.75" customHeight="1" x14ac:dyDescent="0.25">
      <c r="B356" s="97" t="s">
        <v>99</v>
      </c>
      <c r="C356" s="40">
        <v>37515</v>
      </c>
      <c r="D356" s="40">
        <v>37516</v>
      </c>
      <c r="E356" s="40">
        <v>37530</v>
      </c>
      <c r="F356" s="23">
        <v>4</v>
      </c>
      <c r="G356" s="23">
        <v>3.4</v>
      </c>
      <c r="H356" s="28"/>
      <c r="M356" s="28"/>
    </row>
    <row r="357" spans="2:13" ht="12.75" customHeight="1" x14ac:dyDescent="0.25">
      <c r="B357" s="97" t="s">
        <v>98</v>
      </c>
      <c r="C357" s="11" t="s">
        <v>223</v>
      </c>
      <c r="D357" s="40">
        <v>37421</v>
      </c>
      <c r="E357" s="40">
        <v>37438</v>
      </c>
      <c r="F357" s="23">
        <v>4</v>
      </c>
      <c r="G357" s="23">
        <v>3.4</v>
      </c>
      <c r="H357" s="28"/>
      <c r="M357" s="28"/>
    </row>
    <row r="358" spans="2:13" ht="12.75" customHeight="1" x14ac:dyDescent="0.25">
      <c r="B358" s="10" t="s">
        <v>18</v>
      </c>
      <c r="C358" s="29"/>
      <c r="D358" s="29"/>
      <c r="E358" s="29"/>
      <c r="F358" s="19"/>
      <c r="G358" s="24"/>
      <c r="H358" s="28"/>
      <c r="M358" s="28"/>
    </row>
    <row r="359" spans="2:13" ht="12.75" customHeight="1" x14ac:dyDescent="0.25">
      <c r="B359" s="149" t="s">
        <v>8</v>
      </c>
      <c r="C359" s="149"/>
      <c r="D359" s="149"/>
      <c r="E359" s="149"/>
      <c r="F359" s="149"/>
      <c r="G359" s="149"/>
      <c r="H359" s="19"/>
      <c r="M359" s="19"/>
    </row>
    <row r="360" spans="2:13" ht="12.75" customHeight="1" x14ac:dyDescent="0.25">
      <c r="B360" s="16"/>
      <c r="C360" s="16"/>
      <c r="D360" s="16"/>
      <c r="E360" s="16"/>
      <c r="F360" s="16"/>
      <c r="G360" s="16"/>
      <c r="H360" s="19"/>
      <c r="M360" s="19"/>
    </row>
    <row r="361" spans="2:13" ht="12.75" customHeight="1" x14ac:dyDescent="0.25">
      <c r="B361" s="14"/>
      <c r="C361" s="10"/>
      <c r="D361" s="26"/>
      <c r="E361" s="10"/>
      <c r="F361" s="10"/>
      <c r="G361" s="10"/>
      <c r="H361" s="19"/>
      <c r="L361" s="81"/>
      <c r="M361" s="19"/>
    </row>
    <row r="362" spans="2:13" ht="12.75" customHeight="1" x14ac:dyDescent="0.25">
      <c r="B362" s="75" t="s">
        <v>0</v>
      </c>
      <c r="C362" s="75" t="s">
        <v>1</v>
      </c>
      <c r="D362" s="67" t="s">
        <v>72</v>
      </c>
      <c r="E362" s="67" t="s">
        <v>2</v>
      </c>
      <c r="F362" s="144" t="s">
        <v>3</v>
      </c>
      <c r="G362" s="146"/>
      <c r="H362" s="24"/>
      <c r="M362" s="24"/>
    </row>
    <row r="363" spans="2:13" ht="12.75" customHeight="1" x14ac:dyDescent="0.25">
      <c r="B363" s="68" t="s">
        <v>4</v>
      </c>
      <c r="C363" s="68" t="s">
        <v>110</v>
      </c>
      <c r="D363" s="69" t="s">
        <v>73</v>
      </c>
      <c r="E363" s="70" t="s">
        <v>6</v>
      </c>
      <c r="F363" s="71" t="s">
        <v>7</v>
      </c>
      <c r="G363" s="69" t="s">
        <v>113</v>
      </c>
      <c r="H363" s="16"/>
      <c r="M363" s="16"/>
    </row>
    <row r="364" spans="2:13" ht="12.75" customHeight="1" x14ac:dyDescent="0.25">
      <c r="B364" s="97" t="s">
        <v>39</v>
      </c>
      <c r="C364" s="40">
        <v>37333</v>
      </c>
      <c r="D364" s="40">
        <v>37375</v>
      </c>
      <c r="E364" s="40">
        <v>37412</v>
      </c>
      <c r="F364" s="23">
        <v>57</v>
      </c>
      <c r="G364" s="23">
        <v>48.45</v>
      </c>
      <c r="H364" s="16"/>
      <c r="M364" s="16"/>
    </row>
    <row r="365" spans="2:13" ht="12.75" customHeight="1" x14ac:dyDescent="0.25">
      <c r="B365" s="97" t="s">
        <v>39</v>
      </c>
      <c r="C365" s="40">
        <v>37251</v>
      </c>
      <c r="D365" s="40">
        <v>37256</v>
      </c>
      <c r="E365" s="40">
        <v>37334</v>
      </c>
      <c r="F365" s="23">
        <v>41.2</v>
      </c>
      <c r="G365" s="23">
        <v>35.020000000000003</v>
      </c>
      <c r="H365" s="10"/>
      <c r="M365" s="10"/>
    </row>
    <row r="366" spans="2:13" ht="12.75" customHeight="1" x14ac:dyDescent="0.25">
      <c r="B366" s="97" t="s">
        <v>39</v>
      </c>
      <c r="C366" s="40">
        <v>37116</v>
      </c>
      <c r="D366" s="40">
        <v>37117</v>
      </c>
      <c r="E366" s="40">
        <v>37137</v>
      </c>
      <c r="F366" s="23">
        <v>19.03</v>
      </c>
      <c r="G366" s="23">
        <v>16.1755</v>
      </c>
      <c r="H366" s="31"/>
      <c r="M366" s="31"/>
    </row>
    <row r="367" spans="2:13" ht="12.75" customHeight="1" x14ac:dyDescent="0.25">
      <c r="B367" s="97" t="s">
        <v>40</v>
      </c>
      <c r="C367" s="40">
        <v>37333</v>
      </c>
      <c r="D367" s="40">
        <v>37334</v>
      </c>
      <c r="E367" s="40">
        <v>37347</v>
      </c>
      <c r="F367" s="23">
        <v>2.83</v>
      </c>
      <c r="G367" s="23">
        <v>2.4055</v>
      </c>
      <c r="H367" s="31"/>
      <c r="M367" s="31"/>
    </row>
    <row r="368" spans="2:13" ht="12.75" customHeight="1" x14ac:dyDescent="0.25">
      <c r="B368" s="97" t="s">
        <v>38</v>
      </c>
      <c r="C368" s="40">
        <v>37238</v>
      </c>
      <c r="D368" s="40">
        <v>37239</v>
      </c>
      <c r="E368" s="40">
        <v>37258</v>
      </c>
      <c r="F368" s="23">
        <v>2.83</v>
      </c>
      <c r="G368" s="23">
        <v>2.4055</v>
      </c>
      <c r="H368" s="24"/>
      <c r="M368" s="24"/>
    </row>
    <row r="369" spans="2:13" ht="12.75" customHeight="1" x14ac:dyDescent="0.25">
      <c r="B369" s="97" t="s">
        <v>99</v>
      </c>
      <c r="C369" s="40">
        <v>37151</v>
      </c>
      <c r="D369" s="40">
        <v>37152</v>
      </c>
      <c r="E369" s="40">
        <v>37165</v>
      </c>
      <c r="F369" s="23">
        <v>2.83</v>
      </c>
      <c r="G369" s="23">
        <v>2.4055</v>
      </c>
      <c r="H369" s="24"/>
      <c r="M369" s="24"/>
    </row>
    <row r="370" spans="2:13" ht="12.75" customHeight="1" x14ac:dyDescent="0.25">
      <c r="B370" s="97" t="s">
        <v>98</v>
      </c>
      <c r="C370" s="11" t="s">
        <v>225</v>
      </c>
      <c r="D370" s="40">
        <v>37061</v>
      </c>
      <c r="E370" s="62" t="s">
        <v>224</v>
      </c>
      <c r="F370" s="23">
        <v>2.83</v>
      </c>
      <c r="G370" s="23">
        <v>2.4055</v>
      </c>
      <c r="H370" s="24"/>
      <c r="M370" s="24"/>
    </row>
    <row r="371" spans="2:13" ht="12.75" customHeight="1" x14ac:dyDescent="0.25">
      <c r="B371" s="10" t="s">
        <v>18</v>
      </c>
      <c r="C371" s="29"/>
      <c r="D371" s="29"/>
      <c r="E371" s="29"/>
      <c r="F371" s="30"/>
      <c r="G371" s="10"/>
      <c r="H371" s="24"/>
      <c r="M371" s="24"/>
    </row>
    <row r="372" spans="2:13" ht="12.75" customHeight="1" x14ac:dyDescent="0.25">
      <c r="B372" s="149" t="s">
        <v>8</v>
      </c>
      <c r="C372" s="149"/>
      <c r="D372" s="149"/>
      <c r="E372" s="149"/>
      <c r="F372" s="149"/>
      <c r="G372" s="149"/>
      <c r="H372" s="24"/>
      <c r="M372" s="24"/>
    </row>
    <row r="373" spans="2:13" ht="12.75" customHeight="1" x14ac:dyDescent="0.25">
      <c r="B373" s="16"/>
      <c r="C373" s="16"/>
      <c r="D373" s="16"/>
      <c r="E373" s="16"/>
      <c r="F373" s="16"/>
      <c r="G373" s="16"/>
      <c r="H373" s="24"/>
      <c r="M373" s="24"/>
    </row>
    <row r="374" spans="2:13" ht="12.75" customHeight="1" x14ac:dyDescent="0.25">
      <c r="B374" s="14"/>
      <c r="C374" s="10"/>
      <c r="D374" s="26"/>
      <c r="E374" s="10"/>
      <c r="F374" s="10"/>
      <c r="G374" s="10"/>
      <c r="H374" s="24"/>
      <c r="L374" s="81"/>
      <c r="M374" s="24"/>
    </row>
    <row r="375" spans="2:13" ht="12.75" customHeight="1" x14ac:dyDescent="0.25">
      <c r="B375" s="75" t="s">
        <v>0</v>
      </c>
      <c r="C375" s="75" t="s">
        <v>1</v>
      </c>
      <c r="D375" s="67" t="s">
        <v>72</v>
      </c>
      <c r="E375" s="67" t="s">
        <v>2</v>
      </c>
      <c r="F375" s="144" t="s">
        <v>3</v>
      </c>
      <c r="G375" s="146"/>
      <c r="H375" s="10"/>
      <c r="M375" s="10"/>
    </row>
    <row r="376" spans="2:13" ht="12.75" customHeight="1" x14ac:dyDescent="0.25">
      <c r="B376" s="68" t="s">
        <v>9</v>
      </c>
      <c r="C376" s="68" t="s">
        <v>110</v>
      </c>
      <c r="D376" s="69" t="s">
        <v>73</v>
      </c>
      <c r="E376" s="70" t="s">
        <v>6</v>
      </c>
      <c r="F376" s="71" t="s">
        <v>7</v>
      </c>
      <c r="G376" s="69" t="s">
        <v>113</v>
      </c>
      <c r="H376" s="16"/>
      <c r="M376" s="16"/>
    </row>
    <row r="377" spans="2:13" ht="12.75" customHeight="1" x14ac:dyDescent="0.25">
      <c r="B377" s="97" t="s">
        <v>39</v>
      </c>
      <c r="C377" s="40">
        <v>36958</v>
      </c>
      <c r="D377" s="40">
        <v>36959</v>
      </c>
      <c r="E377" s="62" t="s">
        <v>228</v>
      </c>
      <c r="F377" s="23">
        <v>29.75</v>
      </c>
      <c r="G377" s="23">
        <v>25.287500000000001</v>
      </c>
      <c r="H377" s="16"/>
      <c r="M377" s="16"/>
    </row>
    <row r="378" spans="2:13" ht="12.75" customHeight="1" x14ac:dyDescent="0.25">
      <c r="B378" s="97" t="s">
        <v>39</v>
      </c>
      <c r="C378" s="40">
        <v>36882</v>
      </c>
      <c r="D378" s="40">
        <v>36882</v>
      </c>
      <c r="E378" s="62" t="s">
        <v>229</v>
      </c>
      <c r="F378" s="23">
        <v>53.71</v>
      </c>
      <c r="G378" s="23">
        <v>45.65</v>
      </c>
      <c r="H378" s="10"/>
      <c r="M378" s="10"/>
    </row>
    <row r="379" spans="2:13" ht="12.75" customHeight="1" x14ac:dyDescent="0.25">
      <c r="B379" s="97" t="s">
        <v>39</v>
      </c>
      <c r="C379" s="40">
        <v>36752</v>
      </c>
      <c r="D379" s="40">
        <v>36753</v>
      </c>
      <c r="E379" s="40">
        <v>36770</v>
      </c>
      <c r="F379" s="23">
        <v>17.3</v>
      </c>
      <c r="G379" s="23">
        <v>14.705</v>
      </c>
      <c r="H379" s="31"/>
      <c r="M379" s="31"/>
    </row>
    <row r="380" spans="2:13" ht="12.75" customHeight="1" x14ac:dyDescent="0.25">
      <c r="B380" s="97" t="s">
        <v>40</v>
      </c>
      <c r="C380" s="40">
        <v>36958</v>
      </c>
      <c r="D380" s="40">
        <v>36959</v>
      </c>
      <c r="E380" s="40">
        <v>36983</v>
      </c>
      <c r="F380" s="23">
        <v>2.83</v>
      </c>
      <c r="G380" s="23">
        <v>2.4055</v>
      </c>
      <c r="H380" s="31"/>
      <c r="M380" s="31"/>
    </row>
    <row r="381" spans="2:13" ht="12.75" customHeight="1" x14ac:dyDescent="0.25">
      <c r="B381" s="97" t="s">
        <v>38</v>
      </c>
      <c r="C381" s="40">
        <v>36878</v>
      </c>
      <c r="D381" s="40">
        <v>36879</v>
      </c>
      <c r="E381" s="62" t="s">
        <v>230</v>
      </c>
      <c r="F381" s="23">
        <v>2.83</v>
      </c>
      <c r="G381" s="23">
        <v>2.4055</v>
      </c>
      <c r="H381" s="24"/>
      <c r="M381" s="24"/>
    </row>
    <row r="382" spans="2:13" ht="12.75" customHeight="1" x14ac:dyDescent="0.25">
      <c r="B382" s="97" t="s">
        <v>99</v>
      </c>
      <c r="C382" s="11" t="s">
        <v>226</v>
      </c>
      <c r="D382" s="40">
        <v>36787</v>
      </c>
      <c r="E382" s="40">
        <v>36801</v>
      </c>
      <c r="F382" s="23">
        <v>2.83</v>
      </c>
      <c r="G382" s="23">
        <v>2.4055</v>
      </c>
      <c r="H382" s="19"/>
      <c r="M382" s="19"/>
    </row>
    <row r="383" spans="2:13" ht="12.75" customHeight="1" x14ac:dyDescent="0.25">
      <c r="B383" s="97" t="s">
        <v>98</v>
      </c>
      <c r="C383" s="11" t="s">
        <v>227</v>
      </c>
      <c r="D383" s="40">
        <v>36696</v>
      </c>
      <c r="E383" s="40">
        <v>36710</v>
      </c>
      <c r="F383" s="23">
        <v>2.83</v>
      </c>
      <c r="G383" s="23">
        <v>2.4055</v>
      </c>
      <c r="H383" s="24"/>
      <c r="M383" s="24"/>
    </row>
    <row r="384" spans="2:13" ht="12.75" customHeight="1" x14ac:dyDescent="0.25">
      <c r="B384" s="10" t="s">
        <v>18</v>
      </c>
      <c r="C384" s="29"/>
      <c r="D384" s="29"/>
      <c r="E384" s="29"/>
      <c r="F384" s="30"/>
      <c r="G384" s="10"/>
      <c r="H384" s="24"/>
      <c r="M384" s="24"/>
    </row>
    <row r="385" spans="2:13" ht="12.75" customHeight="1" x14ac:dyDescent="0.25">
      <c r="B385" s="149" t="s">
        <v>8</v>
      </c>
      <c r="C385" s="149"/>
      <c r="D385" s="149"/>
      <c r="E385" s="149"/>
      <c r="F385" s="149"/>
      <c r="G385" s="149"/>
      <c r="H385" s="24"/>
      <c r="M385" s="24"/>
    </row>
    <row r="386" spans="2:13" ht="12.75" customHeight="1" x14ac:dyDescent="0.25">
      <c r="B386" s="15" t="s">
        <v>256</v>
      </c>
      <c r="C386" s="16"/>
      <c r="D386" s="16"/>
      <c r="E386" s="16"/>
      <c r="F386" s="16"/>
      <c r="G386" s="16"/>
      <c r="H386" s="24"/>
      <c r="M386" s="24"/>
    </row>
    <row r="387" spans="2:13" ht="12.75" customHeight="1" x14ac:dyDescent="0.25">
      <c r="B387" s="15"/>
      <c r="C387" s="16"/>
      <c r="D387" s="16"/>
      <c r="E387" s="16"/>
      <c r="F387" s="16"/>
      <c r="G387" s="16"/>
      <c r="H387" s="24"/>
      <c r="L387" s="81"/>
      <c r="M387" s="24"/>
    </row>
    <row r="388" spans="2:13" ht="12.75" customHeight="1" x14ac:dyDescent="0.25">
      <c r="B388" s="14"/>
      <c r="C388" s="10"/>
      <c r="D388" s="26"/>
      <c r="E388" s="10"/>
      <c r="F388" s="10"/>
      <c r="G388" s="10"/>
      <c r="H388" s="10"/>
      <c r="M388" s="10"/>
    </row>
    <row r="389" spans="2:13" ht="12.75" customHeight="1" x14ac:dyDescent="0.25">
      <c r="B389" s="75" t="s">
        <v>0</v>
      </c>
      <c r="C389" s="75" t="s">
        <v>1</v>
      </c>
      <c r="D389" s="67" t="s">
        <v>72</v>
      </c>
      <c r="E389" s="67" t="s">
        <v>2</v>
      </c>
      <c r="F389" s="144" t="s">
        <v>3</v>
      </c>
      <c r="G389" s="146"/>
      <c r="H389" s="16"/>
      <c r="M389" s="16"/>
    </row>
    <row r="390" spans="2:13" ht="12.75" customHeight="1" x14ac:dyDescent="0.25">
      <c r="B390" s="68" t="s">
        <v>10</v>
      </c>
      <c r="C390" s="68" t="s">
        <v>110</v>
      </c>
      <c r="D390" s="69" t="s">
        <v>73</v>
      </c>
      <c r="E390" s="70" t="s">
        <v>6</v>
      </c>
      <c r="F390" s="71" t="s">
        <v>7</v>
      </c>
      <c r="G390" s="69" t="s">
        <v>113</v>
      </c>
      <c r="H390" s="16"/>
      <c r="M390" s="16"/>
    </row>
    <row r="391" spans="2:13" ht="12.75" customHeight="1" x14ac:dyDescent="0.25">
      <c r="B391" s="97" t="s">
        <v>232</v>
      </c>
      <c r="C391" s="11" t="s">
        <v>237</v>
      </c>
      <c r="D391" s="40">
        <v>36333</v>
      </c>
      <c r="E391" s="11" t="s">
        <v>238</v>
      </c>
      <c r="F391" s="23">
        <v>2.83</v>
      </c>
      <c r="G391" s="23">
        <v>2.4055</v>
      </c>
      <c r="H391" s="16"/>
      <c r="M391" s="16"/>
    </row>
    <row r="392" spans="2:13" ht="12.75" customHeight="1" x14ac:dyDescent="0.25">
      <c r="B392" s="97" t="s">
        <v>233</v>
      </c>
      <c r="C392" s="40">
        <v>36384</v>
      </c>
      <c r="D392" s="40">
        <v>36385</v>
      </c>
      <c r="E392" s="40">
        <v>36434</v>
      </c>
      <c r="F392" s="23">
        <v>15.96</v>
      </c>
      <c r="G392" s="23">
        <v>13.566000000000001</v>
      </c>
      <c r="H392" s="10"/>
      <c r="M392" s="10"/>
    </row>
    <row r="393" spans="2:13" ht="12.75" customHeight="1" x14ac:dyDescent="0.25">
      <c r="B393" s="97" t="s">
        <v>234</v>
      </c>
      <c r="C393" s="40">
        <v>36419</v>
      </c>
      <c r="D393" s="40">
        <v>36420</v>
      </c>
      <c r="E393" s="40">
        <v>36434</v>
      </c>
      <c r="F393" s="23">
        <v>2.83</v>
      </c>
      <c r="G393" s="23">
        <v>2.4055</v>
      </c>
      <c r="H393" s="31"/>
      <c r="M393" s="31"/>
    </row>
    <row r="394" spans="2:13" ht="12.75" customHeight="1" x14ac:dyDescent="0.25">
      <c r="B394" s="97" t="s">
        <v>235</v>
      </c>
      <c r="C394" s="40">
        <v>36510</v>
      </c>
      <c r="D394" s="40">
        <v>36511</v>
      </c>
      <c r="E394" s="40">
        <v>36528</v>
      </c>
      <c r="F394" s="23">
        <v>2.83</v>
      </c>
      <c r="G394" s="23">
        <v>2.4055</v>
      </c>
      <c r="H394" s="31"/>
      <c r="M394" s="31"/>
    </row>
    <row r="395" spans="2:13" ht="12.75" customHeight="1" x14ac:dyDescent="0.25">
      <c r="B395" s="97" t="s">
        <v>236</v>
      </c>
      <c r="C395" s="40">
        <v>36518</v>
      </c>
      <c r="D395" s="40">
        <v>36521</v>
      </c>
      <c r="E395" s="40">
        <v>36584</v>
      </c>
      <c r="F395" s="23" t="s">
        <v>107</v>
      </c>
      <c r="G395" s="23" t="s">
        <v>106</v>
      </c>
      <c r="H395" s="24"/>
      <c r="M395" s="24"/>
    </row>
    <row r="396" spans="2:13" ht="12.75" customHeight="1" x14ac:dyDescent="0.25">
      <c r="B396" s="97" t="s">
        <v>40</v>
      </c>
      <c r="C396" s="40">
        <v>36605</v>
      </c>
      <c r="D396" s="40">
        <v>36606</v>
      </c>
      <c r="E396" s="62" t="s">
        <v>239</v>
      </c>
      <c r="F396" s="23" t="s">
        <v>11</v>
      </c>
      <c r="G396" s="23" t="s">
        <v>12</v>
      </c>
      <c r="H396" s="53"/>
      <c r="M396" s="53"/>
    </row>
    <row r="397" spans="2:13" ht="12.75" customHeight="1" x14ac:dyDescent="0.25">
      <c r="B397" s="10" t="s">
        <v>18</v>
      </c>
      <c r="C397" s="29"/>
      <c r="D397" s="29"/>
      <c r="E397" s="29"/>
      <c r="F397" s="30"/>
      <c r="G397" s="10"/>
      <c r="H397" s="24"/>
      <c r="M397" s="24"/>
    </row>
    <row r="398" spans="2:13" ht="12.75" customHeight="1" x14ac:dyDescent="0.25">
      <c r="B398" s="149" t="s">
        <v>8</v>
      </c>
      <c r="C398" s="149"/>
      <c r="D398" s="149"/>
      <c r="E398" s="149"/>
      <c r="F398" s="149"/>
      <c r="G398" s="149"/>
      <c r="H398" s="24"/>
      <c r="M398" s="24"/>
    </row>
    <row r="399" spans="2:13" ht="12.75" customHeight="1" x14ac:dyDescent="0.25">
      <c r="B399" s="16" t="s">
        <v>94</v>
      </c>
      <c r="C399" s="16"/>
      <c r="D399" s="16"/>
      <c r="E399" s="16"/>
      <c r="F399" s="16"/>
      <c r="G399" s="16"/>
      <c r="H399" s="55"/>
      <c r="M399" s="55"/>
    </row>
    <row r="400" spans="2:13" x14ac:dyDescent="0.25">
      <c r="B400" s="148" t="s">
        <v>290</v>
      </c>
      <c r="C400" s="148"/>
      <c r="D400" s="148"/>
      <c r="E400" s="148"/>
      <c r="F400" s="148"/>
      <c r="G400" s="148"/>
      <c r="H400" s="55"/>
      <c r="M400" s="55"/>
    </row>
    <row r="401" spans="2:13" x14ac:dyDescent="0.25">
      <c r="B401" s="148"/>
      <c r="C401" s="148"/>
      <c r="D401" s="148"/>
      <c r="E401" s="148"/>
      <c r="F401" s="148"/>
      <c r="G401" s="148"/>
      <c r="H401" s="55"/>
      <c r="M401" s="55"/>
    </row>
    <row r="402" spans="2:13" x14ac:dyDescent="0.25">
      <c r="B402" s="148" t="s">
        <v>289</v>
      </c>
      <c r="C402" s="148"/>
      <c r="D402" s="148"/>
      <c r="E402" s="148"/>
      <c r="F402" s="148"/>
      <c r="G402" s="148"/>
      <c r="H402" s="10"/>
      <c r="M402" s="10"/>
    </row>
    <row r="403" spans="2:13" x14ac:dyDescent="0.25">
      <c r="B403" s="148"/>
      <c r="C403" s="148"/>
      <c r="D403" s="148"/>
      <c r="E403" s="148"/>
      <c r="F403" s="148"/>
      <c r="G403" s="148"/>
      <c r="H403" s="10"/>
      <c r="M403" s="10"/>
    </row>
    <row r="404" spans="2:13" x14ac:dyDescent="0.25">
      <c r="B404" s="148" t="s">
        <v>288</v>
      </c>
      <c r="C404" s="148"/>
      <c r="D404" s="148"/>
      <c r="E404" s="148"/>
      <c r="F404" s="148"/>
      <c r="G404" s="148"/>
      <c r="H404" s="16"/>
      <c r="M404" s="16"/>
    </row>
    <row r="405" spans="2:13" x14ac:dyDescent="0.25">
      <c r="B405" s="148"/>
      <c r="C405" s="148"/>
      <c r="D405" s="148"/>
      <c r="E405" s="148"/>
      <c r="F405" s="148"/>
      <c r="G405" s="148"/>
      <c r="H405" s="16"/>
      <c r="M405" s="16"/>
    </row>
    <row r="406" spans="2:13" x14ac:dyDescent="0.25">
      <c r="B406" s="148" t="s">
        <v>291</v>
      </c>
      <c r="C406" s="148"/>
      <c r="D406" s="148"/>
      <c r="E406" s="148"/>
      <c r="F406" s="148"/>
      <c r="G406" s="148"/>
      <c r="H406" s="16"/>
      <c r="M406" s="16"/>
    </row>
    <row r="407" spans="2:13" x14ac:dyDescent="0.25">
      <c r="B407" s="148"/>
      <c r="C407" s="148"/>
      <c r="D407" s="148"/>
      <c r="E407" s="148"/>
      <c r="F407" s="148"/>
      <c r="G407" s="148"/>
      <c r="H407" s="16"/>
      <c r="M407" s="16"/>
    </row>
    <row r="408" spans="2:13" x14ac:dyDescent="0.25">
      <c r="B408" s="148" t="s">
        <v>292</v>
      </c>
      <c r="C408" s="148"/>
      <c r="D408" s="148"/>
      <c r="E408" s="148"/>
      <c r="F408" s="148"/>
      <c r="G408" s="148"/>
      <c r="H408" s="36"/>
      <c r="M408" s="36"/>
    </row>
    <row r="409" spans="2:13" x14ac:dyDescent="0.25">
      <c r="B409" s="148"/>
      <c r="C409" s="148"/>
      <c r="D409" s="148"/>
      <c r="E409" s="148"/>
      <c r="F409" s="148"/>
      <c r="G409" s="148"/>
      <c r="H409" s="36"/>
      <c r="M409" s="36"/>
    </row>
    <row r="410" spans="2:13" x14ac:dyDescent="0.25">
      <c r="B410" s="36"/>
      <c r="C410" s="36"/>
      <c r="D410" s="36"/>
      <c r="E410" s="36"/>
      <c r="F410" s="36"/>
      <c r="G410" s="36"/>
      <c r="H410" s="36"/>
      <c r="M410" s="36"/>
    </row>
    <row r="411" spans="2:13" ht="12.75" customHeight="1" x14ac:dyDescent="0.25">
      <c r="B411" s="15"/>
      <c r="C411" s="16"/>
      <c r="D411" s="16"/>
      <c r="E411" s="16"/>
      <c r="F411" s="16"/>
      <c r="G411" s="16"/>
      <c r="H411" s="24"/>
      <c r="L411" s="81"/>
      <c r="M411" s="24"/>
    </row>
    <row r="412" spans="2:13" x14ac:dyDescent="0.25">
      <c r="B412" s="75" t="s">
        <v>0</v>
      </c>
      <c r="C412" s="75" t="s">
        <v>1</v>
      </c>
      <c r="D412" s="67" t="s">
        <v>72</v>
      </c>
      <c r="E412" s="67" t="s">
        <v>2</v>
      </c>
      <c r="F412" s="144" t="s">
        <v>3</v>
      </c>
      <c r="G412" s="146"/>
      <c r="H412" s="36"/>
      <c r="M412" s="36"/>
    </row>
    <row r="413" spans="2:13" x14ac:dyDescent="0.25">
      <c r="B413" s="76" t="s">
        <v>13</v>
      </c>
      <c r="C413" s="68" t="s">
        <v>110</v>
      </c>
      <c r="D413" s="69" t="s">
        <v>73</v>
      </c>
      <c r="E413" s="77" t="s">
        <v>6</v>
      </c>
      <c r="F413" s="78" t="s">
        <v>7</v>
      </c>
      <c r="G413" s="69" t="s">
        <v>113</v>
      </c>
      <c r="H413" s="36"/>
      <c r="M413" s="36"/>
    </row>
    <row r="414" spans="2:13" x14ac:dyDescent="0.25">
      <c r="B414" s="97" t="s">
        <v>98</v>
      </c>
      <c r="C414" s="40">
        <v>35963</v>
      </c>
      <c r="D414" s="40">
        <v>35964</v>
      </c>
      <c r="E414" s="40">
        <v>35977</v>
      </c>
      <c r="F414" s="23"/>
      <c r="G414" s="23">
        <v>2.4</v>
      </c>
      <c r="H414" s="36"/>
      <c r="M414" s="36"/>
    </row>
    <row r="415" spans="2:13" ht="12.75" customHeight="1" x14ac:dyDescent="0.25">
      <c r="B415" s="97" t="s">
        <v>240</v>
      </c>
      <c r="C415" s="40">
        <v>36017</v>
      </c>
      <c r="D415" s="40">
        <v>36017</v>
      </c>
      <c r="E415" s="40">
        <v>36026</v>
      </c>
      <c r="F415" s="23"/>
      <c r="G415" s="23">
        <v>10.1</v>
      </c>
      <c r="H415" s="16"/>
      <c r="M415" s="16"/>
    </row>
    <row r="416" spans="2:13" ht="12.75" customHeight="1" x14ac:dyDescent="0.25">
      <c r="B416" s="97" t="s">
        <v>99</v>
      </c>
      <c r="C416" s="40">
        <v>36059</v>
      </c>
      <c r="D416" s="40">
        <v>36060</v>
      </c>
      <c r="E416" s="40">
        <v>36069</v>
      </c>
      <c r="F416" s="23"/>
      <c r="G416" s="23">
        <v>2.4</v>
      </c>
      <c r="H416" s="31"/>
      <c r="M416" s="31"/>
    </row>
    <row r="417" spans="2:13" ht="12.75" customHeight="1" x14ac:dyDescent="0.25">
      <c r="B417" s="158" t="s">
        <v>241</v>
      </c>
      <c r="C417" s="150">
        <v>36070</v>
      </c>
      <c r="D417" s="150">
        <v>36070</v>
      </c>
      <c r="E417" s="11" t="s">
        <v>244</v>
      </c>
      <c r="F417" s="159">
        <v>47.25</v>
      </c>
      <c r="G417" s="159">
        <v>40.162500000000001</v>
      </c>
      <c r="H417" s="31"/>
      <c r="M417" s="31"/>
    </row>
    <row r="418" spans="2:13" ht="12.75" customHeight="1" x14ac:dyDescent="0.25">
      <c r="B418" s="158"/>
      <c r="C418" s="151"/>
      <c r="D418" s="151"/>
      <c r="E418" s="11" t="s">
        <v>245</v>
      </c>
      <c r="F418" s="160"/>
      <c r="G418" s="160"/>
      <c r="H418" s="55"/>
      <c r="M418" s="55"/>
    </row>
    <row r="419" spans="2:13" ht="12.75" customHeight="1" x14ac:dyDescent="0.25">
      <c r="B419" s="97" t="s">
        <v>242</v>
      </c>
      <c r="C419" s="40">
        <v>36151</v>
      </c>
      <c r="D419" s="40">
        <v>36152</v>
      </c>
      <c r="E419" s="40">
        <v>36166</v>
      </c>
      <c r="F419" s="23">
        <v>2.83</v>
      </c>
      <c r="G419" s="23">
        <v>2.4055</v>
      </c>
      <c r="H419" s="55"/>
      <c r="M419" s="55"/>
    </row>
    <row r="420" spans="2:13" ht="12.75" customHeight="1" x14ac:dyDescent="0.25">
      <c r="B420" s="97" t="s">
        <v>243</v>
      </c>
      <c r="C420" s="40">
        <v>36234</v>
      </c>
      <c r="D420" s="40">
        <v>36235</v>
      </c>
      <c r="E420" s="40">
        <v>36255</v>
      </c>
      <c r="F420" s="23">
        <v>2.83</v>
      </c>
      <c r="G420" s="23">
        <v>2.4055</v>
      </c>
      <c r="H420" s="55"/>
      <c r="M420" s="55"/>
    </row>
    <row r="421" spans="2:13" ht="12.75" customHeight="1" x14ac:dyDescent="0.25">
      <c r="B421" s="10" t="s">
        <v>18</v>
      </c>
      <c r="C421" s="29"/>
      <c r="D421" s="29"/>
      <c r="E421" s="29"/>
      <c r="F421" s="30"/>
      <c r="G421" s="10"/>
      <c r="H421" s="24"/>
      <c r="M421" s="24"/>
    </row>
    <row r="422" spans="2:13" ht="12.75" customHeight="1" x14ac:dyDescent="0.25">
      <c r="B422" s="149" t="s">
        <v>8</v>
      </c>
      <c r="C422" s="149"/>
      <c r="D422" s="149"/>
      <c r="E422" s="149"/>
      <c r="F422" s="149"/>
      <c r="G422" s="149"/>
      <c r="H422" s="24"/>
      <c r="M422" s="24"/>
    </row>
    <row r="423" spans="2:13" ht="12.75" customHeight="1" x14ac:dyDescent="0.25">
      <c r="B423" s="10" t="s">
        <v>93</v>
      </c>
      <c r="C423" s="16"/>
      <c r="D423" s="16"/>
      <c r="E423" s="16"/>
      <c r="F423" s="16"/>
      <c r="G423" s="16"/>
      <c r="H423" s="24"/>
      <c r="M423" s="24"/>
    </row>
    <row r="424" spans="2:13" ht="12.75" customHeight="1" x14ac:dyDescent="0.25">
      <c r="B424" s="10"/>
      <c r="C424" s="16"/>
      <c r="D424" s="16"/>
      <c r="E424" s="16"/>
      <c r="F424" s="16"/>
      <c r="G424" s="16"/>
      <c r="H424" s="24"/>
      <c r="M424" s="24"/>
    </row>
    <row r="425" spans="2:13" ht="12.75" customHeight="1" x14ac:dyDescent="0.25">
      <c r="B425" s="16"/>
      <c r="C425" s="16"/>
      <c r="D425" s="16"/>
      <c r="E425" s="16"/>
      <c r="F425" s="16"/>
      <c r="G425" s="16"/>
      <c r="H425" s="10"/>
      <c r="M425" s="10"/>
    </row>
    <row r="426" spans="2:13" ht="12.75" customHeight="1" x14ac:dyDescent="0.25">
      <c r="B426" s="75" t="s">
        <v>0</v>
      </c>
      <c r="C426" s="75" t="s">
        <v>1</v>
      </c>
      <c r="D426" s="67" t="s">
        <v>72</v>
      </c>
      <c r="E426" s="67" t="s">
        <v>2</v>
      </c>
      <c r="F426" s="144" t="s">
        <v>6</v>
      </c>
      <c r="G426" s="146"/>
      <c r="H426" s="16"/>
      <c r="M426" s="16"/>
    </row>
    <row r="427" spans="2:13" ht="12.75" customHeight="1" x14ac:dyDescent="0.25">
      <c r="B427" s="68" t="s">
        <v>14</v>
      </c>
      <c r="C427" s="68" t="s">
        <v>110</v>
      </c>
      <c r="D427" s="69" t="s">
        <v>73</v>
      </c>
      <c r="E427" s="77" t="s">
        <v>6</v>
      </c>
      <c r="F427" s="144" t="s">
        <v>15</v>
      </c>
      <c r="G427" s="146"/>
      <c r="H427" s="16"/>
      <c r="M427" s="16"/>
    </row>
    <row r="428" spans="2:13" ht="12.75" customHeight="1" x14ac:dyDescent="0.25">
      <c r="B428" s="97" t="s">
        <v>98</v>
      </c>
      <c r="C428" s="40">
        <v>35601</v>
      </c>
      <c r="D428" s="40">
        <v>35601</v>
      </c>
      <c r="E428" s="40">
        <v>35612</v>
      </c>
      <c r="F428" s="48"/>
      <c r="G428" s="100">
        <v>2.4</v>
      </c>
      <c r="H428" s="16"/>
      <c r="M428" s="16"/>
    </row>
    <row r="429" spans="2:13" ht="12.75" customHeight="1" x14ac:dyDescent="0.25">
      <c r="B429" s="97" t="s">
        <v>240</v>
      </c>
      <c r="C429" s="40">
        <v>35653</v>
      </c>
      <c r="D429" s="40">
        <v>35654</v>
      </c>
      <c r="E429" s="40">
        <v>35663</v>
      </c>
      <c r="F429" s="48"/>
      <c r="G429" s="100">
        <v>7.75</v>
      </c>
      <c r="H429" s="16"/>
      <c r="M429" s="16"/>
    </row>
    <row r="430" spans="2:13" ht="12.75" customHeight="1" x14ac:dyDescent="0.25">
      <c r="B430" s="97" t="s">
        <v>99</v>
      </c>
      <c r="C430" s="40">
        <v>35688</v>
      </c>
      <c r="D430" s="40">
        <v>35689</v>
      </c>
      <c r="E430" s="40">
        <v>35704</v>
      </c>
      <c r="F430" s="48"/>
      <c r="G430" s="100">
        <v>2.4</v>
      </c>
      <c r="H430" s="31"/>
      <c r="M430" s="31"/>
    </row>
    <row r="431" spans="2:13" ht="12.75" customHeight="1" x14ac:dyDescent="0.25">
      <c r="B431" s="97" t="s">
        <v>38</v>
      </c>
      <c r="C431" s="40">
        <v>35781</v>
      </c>
      <c r="D431" s="40">
        <v>35781</v>
      </c>
      <c r="E431" s="40">
        <v>35797</v>
      </c>
      <c r="F431" s="48"/>
      <c r="G431" s="100">
        <v>2.4</v>
      </c>
      <c r="H431" s="31"/>
      <c r="M431" s="31"/>
    </row>
    <row r="432" spans="2:13" ht="12.75" customHeight="1" x14ac:dyDescent="0.25">
      <c r="B432" s="97" t="s">
        <v>40</v>
      </c>
      <c r="C432" s="40">
        <v>35856</v>
      </c>
      <c r="D432" s="40">
        <v>35857</v>
      </c>
      <c r="E432" s="40">
        <v>35886</v>
      </c>
      <c r="F432" s="48"/>
      <c r="G432" s="100">
        <v>2.4</v>
      </c>
      <c r="H432" s="55"/>
      <c r="M432" s="55"/>
    </row>
    <row r="433" spans="2:13" ht="12.75" customHeight="1" x14ac:dyDescent="0.25">
      <c r="B433" s="97" t="s">
        <v>246</v>
      </c>
      <c r="C433" s="40">
        <v>35856</v>
      </c>
      <c r="D433" s="40">
        <v>35857</v>
      </c>
      <c r="E433" s="40">
        <v>35886</v>
      </c>
      <c r="F433" s="48"/>
      <c r="G433" s="100">
        <v>11.56</v>
      </c>
      <c r="H433" s="55"/>
      <c r="M433" s="55"/>
    </row>
    <row r="434" spans="2:13" ht="12.75" customHeight="1" x14ac:dyDescent="0.25">
      <c r="B434" s="97" t="s">
        <v>39</v>
      </c>
      <c r="C434" s="40">
        <v>35856</v>
      </c>
      <c r="D434" s="40">
        <v>35857</v>
      </c>
      <c r="E434" s="40">
        <v>35886</v>
      </c>
      <c r="F434" s="48"/>
      <c r="G434" s="100">
        <v>9.9499999999999993</v>
      </c>
      <c r="H434" s="55"/>
      <c r="M434" s="55"/>
    </row>
    <row r="435" spans="2:13" ht="12.75" customHeight="1" x14ac:dyDescent="0.25">
      <c r="B435" s="10" t="s">
        <v>18</v>
      </c>
      <c r="C435" s="29"/>
      <c r="D435" s="29"/>
      <c r="E435" s="29"/>
      <c r="F435" s="30"/>
      <c r="G435" s="10"/>
      <c r="H435" s="55"/>
      <c r="M435" s="55"/>
    </row>
    <row r="436" spans="2:13" ht="12.75" customHeight="1" x14ac:dyDescent="0.25">
      <c r="B436" s="10"/>
      <c r="C436" s="29"/>
      <c r="D436" s="29"/>
      <c r="E436" s="29"/>
      <c r="F436" s="30"/>
      <c r="G436" s="10"/>
      <c r="H436" s="55"/>
      <c r="M436" s="55"/>
    </row>
    <row r="437" spans="2:13" ht="12.75" customHeight="1" x14ac:dyDescent="0.25">
      <c r="B437" s="157"/>
      <c r="C437" s="157"/>
      <c r="D437" s="157"/>
      <c r="E437" s="157"/>
      <c r="F437" s="157"/>
      <c r="G437" s="157"/>
      <c r="H437" s="55"/>
      <c r="M437" s="55"/>
    </row>
    <row r="438" spans="2:13" ht="12.75" customHeight="1" x14ac:dyDescent="0.25">
      <c r="B438" s="75" t="s">
        <v>0</v>
      </c>
      <c r="C438" s="75" t="s">
        <v>1</v>
      </c>
      <c r="D438" s="67" t="s">
        <v>72</v>
      </c>
      <c r="E438" s="67" t="s">
        <v>2</v>
      </c>
      <c r="F438" s="144" t="s">
        <v>16</v>
      </c>
      <c r="G438" s="146"/>
      <c r="H438" s="55"/>
      <c r="M438" s="55"/>
    </row>
    <row r="439" spans="2:13" ht="12.75" customHeight="1" x14ac:dyDescent="0.25">
      <c r="B439" s="68" t="s">
        <v>17</v>
      </c>
      <c r="C439" s="68" t="s">
        <v>110</v>
      </c>
      <c r="D439" s="69" t="s">
        <v>73</v>
      </c>
      <c r="E439" s="77" t="s">
        <v>6</v>
      </c>
      <c r="F439" s="144" t="s">
        <v>15</v>
      </c>
      <c r="G439" s="146"/>
      <c r="H439" s="10"/>
      <c r="M439" s="10"/>
    </row>
    <row r="440" spans="2:13" ht="12.75" customHeight="1" x14ac:dyDescent="0.25">
      <c r="B440" s="97" t="s">
        <v>98</v>
      </c>
      <c r="C440" s="40">
        <v>35233</v>
      </c>
      <c r="D440" s="40">
        <v>35234</v>
      </c>
      <c r="E440" s="40">
        <v>35247</v>
      </c>
      <c r="F440" s="48"/>
      <c r="G440" s="100">
        <v>2.4</v>
      </c>
      <c r="H440" s="10"/>
      <c r="M440" s="10"/>
    </row>
    <row r="441" spans="2:13" ht="12.75" customHeight="1" x14ac:dyDescent="0.25">
      <c r="B441" s="97" t="s">
        <v>240</v>
      </c>
      <c r="C441" s="40">
        <v>35289</v>
      </c>
      <c r="D441" s="40">
        <v>35290</v>
      </c>
      <c r="E441" s="40">
        <v>35303</v>
      </c>
      <c r="F441" s="48"/>
      <c r="G441" s="100">
        <v>4.4000000000000004</v>
      </c>
      <c r="H441" s="16"/>
      <c r="M441" s="16"/>
    </row>
    <row r="442" spans="2:13" ht="12.75" customHeight="1" x14ac:dyDescent="0.25">
      <c r="B442" s="97" t="s">
        <v>99</v>
      </c>
      <c r="C442" s="40">
        <v>35325</v>
      </c>
      <c r="D442" s="40">
        <v>35326</v>
      </c>
      <c r="E442" s="40">
        <v>35339</v>
      </c>
      <c r="F442" s="48"/>
      <c r="G442" s="100">
        <v>2.4</v>
      </c>
      <c r="H442" s="31"/>
      <c r="M442" s="31"/>
    </row>
    <row r="443" spans="2:13" ht="12.75" customHeight="1" x14ac:dyDescent="0.25">
      <c r="B443" s="97" t="s">
        <v>38</v>
      </c>
      <c r="C443" s="40">
        <v>35415</v>
      </c>
      <c r="D443" s="40">
        <v>35416</v>
      </c>
      <c r="E443" s="40">
        <v>35432</v>
      </c>
      <c r="F443" s="48"/>
      <c r="G443" s="100">
        <v>2.4</v>
      </c>
      <c r="H443" s="31"/>
      <c r="M443" s="31"/>
    </row>
    <row r="444" spans="2:13" ht="12.75" customHeight="1" x14ac:dyDescent="0.25">
      <c r="B444" s="97" t="s">
        <v>40</v>
      </c>
      <c r="C444" s="40">
        <v>35492</v>
      </c>
      <c r="D444" s="40">
        <v>35492</v>
      </c>
      <c r="E444" s="40">
        <v>35521</v>
      </c>
      <c r="F444" s="48"/>
      <c r="G444" s="100">
        <v>2.4</v>
      </c>
      <c r="H444" s="55"/>
      <c r="M444" s="55"/>
    </row>
    <row r="445" spans="2:13" ht="12.75" customHeight="1" x14ac:dyDescent="0.25">
      <c r="B445" s="97" t="s">
        <v>39</v>
      </c>
      <c r="C445" s="40">
        <v>35492</v>
      </c>
      <c r="D445" s="40">
        <v>35492</v>
      </c>
      <c r="E445" s="40">
        <v>35501</v>
      </c>
      <c r="F445" s="48"/>
      <c r="G445" s="100">
        <v>6</v>
      </c>
      <c r="H445" s="55"/>
      <c r="M445" s="55"/>
    </row>
    <row r="446" spans="2:13" ht="12.75" customHeight="1" x14ac:dyDescent="0.25">
      <c r="B446" s="10" t="s">
        <v>18</v>
      </c>
      <c r="C446" s="29"/>
      <c r="D446" s="29"/>
      <c r="E446" s="29"/>
      <c r="F446" s="30"/>
      <c r="G446" s="10"/>
      <c r="H446" s="55"/>
      <c r="M446" s="55"/>
    </row>
    <row r="447" spans="2:13" ht="12.75" customHeight="1" x14ac:dyDescent="0.25">
      <c r="B447" s="10"/>
      <c r="C447" s="29"/>
      <c r="D447" s="29"/>
      <c r="E447" s="29"/>
      <c r="F447" s="30"/>
      <c r="G447" s="10"/>
      <c r="H447" s="55"/>
      <c r="M447" s="55"/>
    </row>
    <row r="448" spans="2:13" ht="12.75" customHeight="1" x14ac:dyDescent="0.25">
      <c r="B448" s="10"/>
      <c r="C448" s="29"/>
      <c r="D448" s="29"/>
      <c r="E448" s="29"/>
      <c r="F448" s="30"/>
      <c r="G448" s="10"/>
      <c r="H448" s="55"/>
      <c r="M448" s="55"/>
    </row>
    <row r="449" spans="2:13" ht="12.75" customHeight="1" x14ac:dyDescent="0.25">
      <c r="B449" s="75" t="s">
        <v>0</v>
      </c>
      <c r="C449" s="75" t="s">
        <v>1</v>
      </c>
      <c r="D449" s="67" t="s">
        <v>72</v>
      </c>
      <c r="E449" s="67" t="s">
        <v>2</v>
      </c>
      <c r="F449" s="144" t="s">
        <v>16</v>
      </c>
      <c r="G449" s="146"/>
      <c r="H449" s="55"/>
      <c r="M449" s="55"/>
    </row>
    <row r="450" spans="2:13" ht="12.75" customHeight="1" x14ac:dyDescent="0.25">
      <c r="B450" s="68" t="s">
        <v>19</v>
      </c>
      <c r="C450" s="68" t="s">
        <v>110</v>
      </c>
      <c r="D450" s="69" t="s">
        <v>73</v>
      </c>
      <c r="E450" s="77" t="s">
        <v>6</v>
      </c>
      <c r="F450" s="144" t="s">
        <v>15</v>
      </c>
      <c r="G450" s="146"/>
      <c r="H450" s="10"/>
      <c r="M450" s="10"/>
    </row>
    <row r="451" spans="2:13" ht="12.75" customHeight="1" x14ac:dyDescent="0.25">
      <c r="B451" s="97" t="s">
        <v>98</v>
      </c>
      <c r="C451" s="40">
        <v>34872</v>
      </c>
      <c r="D451" s="40">
        <v>34873</v>
      </c>
      <c r="E451" s="40">
        <v>34883</v>
      </c>
      <c r="F451" s="48"/>
      <c r="G451" s="100">
        <v>1.9</v>
      </c>
      <c r="H451" s="10"/>
      <c r="M451" s="10"/>
    </row>
    <row r="452" spans="2:13" ht="12.75" customHeight="1" x14ac:dyDescent="0.25">
      <c r="B452" s="97" t="s">
        <v>240</v>
      </c>
      <c r="C452" s="40">
        <v>34920</v>
      </c>
      <c r="D452" s="40">
        <v>34921</v>
      </c>
      <c r="E452" s="40">
        <v>34934</v>
      </c>
      <c r="F452" s="48"/>
      <c r="G452" s="100">
        <v>2.62</v>
      </c>
      <c r="H452" s="10"/>
      <c r="M452" s="10"/>
    </row>
    <row r="453" spans="2:13" ht="12.75" customHeight="1" x14ac:dyDescent="0.25">
      <c r="B453" s="97" t="s">
        <v>99</v>
      </c>
      <c r="C453" s="40">
        <v>34960</v>
      </c>
      <c r="D453" s="40">
        <v>34961</v>
      </c>
      <c r="E453" s="40">
        <v>34974</v>
      </c>
      <c r="F453" s="48"/>
      <c r="G453" s="100">
        <v>1.9</v>
      </c>
      <c r="H453" s="31"/>
      <c r="M453" s="31"/>
    </row>
    <row r="454" spans="2:13" ht="12.75" customHeight="1" x14ac:dyDescent="0.25">
      <c r="B454" s="97" t="s">
        <v>38</v>
      </c>
      <c r="C454" s="40">
        <v>35048</v>
      </c>
      <c r="D454" s="40">
        <v>35051</v>
      </c>
      <c r="E454" s="40">
        <v>35066</v>
      </c>
      <c r="F454" s="48"/>
      <c r="G454" s="100">
        <v>1.9</v>
      </c>
      <c r="H454" s="31"/>
      <c r="M454" s="31"/>
    </row>
    <row r="455" spans="2:13" ht="12.75" customHeight="1" x14ac:dyDescent="0.25">
      <c r="B455" s="97" t="s">
        <v>40</v>
      </c>
      <c r="C455" s="40">
        <v>35135</v>
      </c>
      <c r="D455" s="40">
        <v>35136</v>
      </c>
      <c r="E455" s="40">
        <v>35156</v>
      </c>
      <c r="F455" s="48"/>
      <c r="G455" s="100">
        <v>1.9</v>
      </c>
      <c r="H455" s="56"/>
      <c r="M455" s="56"/>
    </row>
    <row r="456" spans="2:13" ht="12.75" customHeight="1" x14ac:dyDescent="0.25">
      <c r="B456" s="97" t="s">
        <v>39</v>
      </c>
      <c r="C456" s="40">
        <v>35135</v>
      </c>
      <c r="D456" s="40">
        <v>35136</v>
      </c>
      <c r="E456" s="40">
        <v>35146</v>
      </c>
      <c r="F456" s="48"/>
      <c r="G456" s="100">
        <v>5.01</v>
      </c>
      <c r="H456" s="56"/>
      <c r="M456" s="56"/>
    </row>
    <row r="457" spans="2:13" ht="12.75" customHeight="1" x14ac:dyDescent="0.25">
      <c r="B457" s="10" t="s">
        <v>18</v>
      </c>
      <c r="C457" s="29"/>
      <c r="D457" s="29"/>
      <c r="E457" s="29"/>
      <c r="F457" s="30"/>
      <c r="G457" s="10"/>
      <c r="H457" s="56"/>
      <c r="M457" s="56"/>
    </row>
    <row r="458" spans="2:13" ht="12.75" customHeight="1" x14ac:dyDescent="0.25">
      <c r="B458" s="10"/>
      <c r="C458" s="29"/>
      <c r="D458" s="29"/>
      <c r="E458" s="29"/>
      <c r="F458" s="30"/>
      <c r="G458" s="10"/>
      <c r="H458" s="56"/>
      <c r="M458" s="56"/>
    </row>
    <row r="459" spans="2:13" ht="12.75" customHeight="1" x14ac:dyDescent="0.25">
      <c r="B459" s="10"/>
      <c r="C459" s="29"/>
      <c r="D459" s="29"/>
      <c r="E459" s="29"/>
      <c r="F459" s="30"/>
      <c r="G459" s="10"/>
      <c r="H459" s="56"/>
      <c r="M459" s="56"/>
    </row>
    <row r="460" spans="2:13" ht="12.75" customHeight="1" x14ac:dyDescent="0.25">
      <c r="B460" s="75" t="s">
        <v>0</v>
      </c>
      <c r="C460" s="75" t="s">
        <v>1</v>
      </c>
      <c r="D460" s="67" t="s">
        <v>72</v>
      </c>
      <c r="E460" s="67" t="s">
        <v>2</v>
      </c>
      <c r="F460" s="144" t="s">
        <v>16</v>
      </c>
      <c r="G460" s="146"/>
      <c r="H460" s="56"/>
      <c r="M460" s="56"/>
    </row>
    <row r="461" spans="2:13" ht="12.75" customHeight="1" x14ac:dyDescent="0.25">
      <c r="B461" s="76" t="s">
        <v>20</v>
      </c>
      <c r="C461" s="68" t="s">
        <v>110</v>
      </c>
      <c r="D461" s="69" t="s">
        <v>73</v>
      </c>
      <c r="E461" s="77" t="s">
        <v>6</v>
      </c>
      <c r="F461" s="144" t="s">
        <v>15</v>
      </c>
      <c r="G461" s="146"/>
      <c r="H461" s="10"/>
      <c r="M461" s="10"/>
    </row>
    <row r="462" spans="2:13" ht="12.75" customHeight="1" x14ac:dyDescent="0.25">
      <c r="B462" s="97" t="s">
        <v>98</v>
      </c>
      <c r="C462" s="40">
        <v>34502</v>
      </c>
      <c r="D462" s="40">
        <v>34502</v>
      </c>
      <c r="E462" s="40">
        <v>34519</v>
      </c>
      <c r="F462" s="48"/>
      <c r="G462" s="100">
        <v>1.6</v>
      </c>
      <c r="H462" s="10"/>
      <c r="M462" s="10"/>
    </row>
    <row r="463" spans="2:13" ht="12.75" customHeight="1" x14ac:dyDescent="0.25">
      <c r="B463" s="97" t="s">
        <v>240</v>
      </c>
      <c r="C463" s="40">
        <v>34556</v>
      </c>
      <c r="D463" s="40">
        <v>34557</v>
      </c>
      <c r="E463" s="40">
        <v>34568</v>
      </c>
      <c r="F463" s="48"/>
      <c r="G463" s="100">
        <v>1.7</v>
      </c>
      <c r="H463" s="10"/>
      <c r="M463" s="10"/>
    </row>
    <row r="464" spans="2:13" ht="12.75" customHeight="1" x14ac:dyDescent="0.25">
      <c r="B464" s="97" t="s">
        <v>99</v>
      </c>
      <c r="C464" s="40">
        <v>34597</v>
      </c>
      <c r="D464" s="40">
        <v>34598</v>
      </c>
      <c r="E464" s="40">
        <v>34611</v>
      </c>
      <c r="F464" s="48"/>
      <c r="G464" s="100">
        <v>1.6</v>
      </c>
      <c r="H464" s="31"/>
      <c r="M464" s="31"/>
    </row>
    <row r="465" spans="2:13" ht="12.75" customHeight="1" x14ac:dyDescent="0.25">
      <c r="B465" s="97" t="s">
        <v>38</v>
      </c>
      <c r="C465" s="40">
        <v>34689</v>
      </c>
      <c r="D465" s="40">
        <v>34690</v>
      </c>
      <c r="E465" s="40">
        <v>34701</v>
      </c>
      <c r="F465" s="48"/>
      <c r="G465" s="100">
        <v>1.6</v>
      </c>
      <c r="H465" s="31"/>
      <c r="M465" s="31"/>
    </row>
    <row r="466" spans="2:13" ht="12.75" customHeight="1" x14ac:dyDescent="0.25">
      <c r="B466" s="97" t="s">
        <v>40</v>
      </c>
      <c r="C466" s="40">
        <v>34751</v>
      </c>
      <c r="D466" s="40">
        <v>34752</v>
      </c>
      <c r="E466" s="40">
        <v>34792</v>
      </c>
      <c r="F466" s="48"/>
      <c r="G466" s="100">
        <v>1.9</v>
      </c>
      <c r="H466" s="55"/>
      <c r="M466" s="55"/>
    </row>
    <row r="467" spans="2:13" ht="12.75" customHeight="1" x14ac:dyDescent="0.25">
      <c r="B467" s="97" t="s">
        <v>39</v>
      </c>
      <c r="C467" s="40">
        <v>34751</v>
      </c>
      <c r="D467" s="40">
        <v>34752</v>
      </c>
      <c r="E467" s="40">
        <v>34768</v>
      </c>
      <c r="F467" s="48"/>
      <c r="G467" s="100">
        <v>3.6</v>
      </c>
      <c r="H467" s="55"/>
      <c r="M467" s="55"/>
    </row>
    <row r="468" spans="2:13" ht="12.75" customHeight="1" x14ac:dyDescent="0.25">
      <c r="B468" s="10" t="s">
        <v>18</v>
      </c>
      <c r="C468" s="29"/>
      <c r="D468" s="29"/>
      <c r="E468" s="29"/>
      <c r="F468" s="29"/>
      <c r="G468" s="32"/>
      <c r="H468" s="55"/>
      <c r="M468" s="55"/>
    </row>
    <row r="469" spans="2:13" ht="12.75" customHeight="1" x14ac:dyDescent="0.25">
      <c r="B469" s="10"/>
      <c r="C469" s="29"/>
      <c r="D469" s="29"/>
      <c r="E469" s="29"/>
      <c r="F469" s="29"/>
      <c r="G469" s="32"/>
      <c r="H469" s="55"/>
      <c r="M469" s="55"/>
    </row>
    <row r="470" spans="2:13" ht="12.75" customHeight="1" x14ac:dyDescent="0.25">
      <c r="B470" s="10"/>
      <c r="C470" s="29"/>
      <c r="D470" s="29"/>
      <c r="E470" s="29"/>
      <c r="F470" s="29"/>
      <c r="G470" s="32"/>
      <c r="H470" s="55"/>
      <c r="M470" s="55"/>
    </row>
    <row r="471" spans="2:13" ht="12.75" customHeight="1" x14ac:dyDescent="0.25">
      <c r="B471" s="75" t="s">
        <v>0</v>
      </c>
      <c r="C471" s="75" t="s">
        <v>1</v>
      </c>
      <c r="D471" s="67" t="s">
        <v>72</v>
      </c>
      <c r="E471" s="67" t="s">
        <v>2</v>
      </c>
      <c r="F471" s="144" t="s">
        <v>16</v>
      </c>
      <c r="G471" s="146"/>
      <c r="H471" s="55"/>
      <c r="M471" s="55"/>
    </row>
    <row r="472" spans="2:13" ht="12.75" customHeight="1" x14ac:dyDescent="0.25">
      <c r="B472" s="68" t="s">
        <v>21</v>
      </c>
      <c r="C472" s="68" t="s">
        <v>110</v>
      </c>
      <c r="D472" s="69" t="s">
        <v>73</v>
      </c>
      <c r="E472" s="77" t="s">
        <v>6</v>
      </c>
      <c r="F472" s="144" t="s">
        <v>22</v>
      </c>
      <c r="G472" s="146"/>
      <c r="H472" s="32"/>
      <c r="M472" s="32"/>
    </row>
    <row r="473" spans="2:13" ht="12.75" customHeight="1" x14ac:dyDescent="0.25">
      <c r="B473" s="97" t="s">
        <v>98</v>
      </c>
      <c r="C473" s="40">
        <v>34127</v>
      </c>
      <c r="D473" s="40">
        <v>34127</v>
      </c>
      <c r="E473" s="40">
        <v>34151</v>
      </c>
      <c r="F473" s="48"/>
      <c r="G473" s="100">
        <v>100</v>
      </c>
      <c r="H473" s="32"/>
      <c r="M473" s="32"/>
    </row>
    <row r="474" spans="2:13" ht="12.75" customHeight="1" x14ac:dyDescent="0.25">
      <c r="B474" s="97" t="s">
        <v>247</v>
      </c>
      <c r="C474" s="40">
        <v>34185</v>
      </c>
      <c r="D474" s="40">
        <v>34185</v>
      </c>
      <c r="E474" s="40">
        <v>34206</v>
      </c>
      <c r="F474" s="65"/>
      <c r="G474" s="100">
        <v>0.25</v>
      </c>
      <c r="H474" s="32"/>
      <c r="M474" s="32"/>
    </row>
    <row r="475" spans="2:13" ht="12.75" customHeight="1" x14ac:dyDescent="0.25">
      <c r="B475" s="97" t="s">
        <v>99</v>
      </c>
      <c r="C475" s="40">
        <v>34232</v>
      </c>
      <c r="D475" s="40">
        <v>34232</v>
      </c>
      <c r="E475" s="40">
        <v>34243</v>
      </c>
      <c r="F475" s="65"/>
      <c r="G475" s="100">
        <v>0.2</v>
      </c>
      <c r="H475" s="31"/>
      <c r="M475" s="31"/>
    </row>
    <row r="476" spans="2:13" ht="12.75" customHeight="1" x14ac:dyDescent="0.25">
      <c r="B476" s="97" t="s">
        <v>38</v>
      </c>
      <c r="C476" s="40">
        <v>34323</v>
      </c>
      <c r="D476" s="40">
        <v>34323</v>
      </c>
      <c r="E476" s="40">
        <v>34337</v>
      </c>
      <c r="F476" s="65"/>
      <c r="G476" s="100">
        <v>0.5</v>
      </c>
      <c r="H476" s="31"/>
      <c r="M476" s="31"/>
    </row>
    <row r="477" spans="2:13" ht="12.75" customHeight="1" x14ac:dyDescent="0.25">
      <c r="B477" s="97" t="s">
        <v>248</v>
      </c>
      <c r="C477" s="40">
        <v>34374</v>
      </c>
      <c r="D477" s="40">
        <v>34374</v>
      </c>
      <c r="E477" s="40">
        <v>34428</v>
      </c>
      <c r="F477" s="65"/>
      <c r="G477" s="100">
        <v>0.5</v>
      </c>
      <c r="H477" s="30"/>
      <c r="M477" s="30"/>
    </row>
    <row r="478" spans="2:13" ht="12.75" customHeight="1" x14ac:dyDescent="0.25">
      <c r="B478" s="97" t="s">
        <v>249</v>
      </c>
      <c r="C478" s="40">
        <v>34374</v>
      </c>
      <c r="D478" s="40">
        <v>34374</v>
      </c>
      <c r="E478" s="40">
        <v>34388</v>
      </c>
      <c r="F478" s="65"/>
      <c r="G478" s="100">
        <v>0.89500000000000002</v>
      </c>
      <c r="H478" s="30"/>
      <c r="M478" s="30"/>
    </row>
    <row r="479" spans="2:13" ht="12.75" customHeight="1" x14ac:dyDescent="0.25">
      <c r="B479" s="10" t="s">
        <v>18</v>
      </c>
      <c r="C479" s="29"/>
      <c r="D479" s="29"/>
      <c r="E479" s="29"/>
      <c r="F479" s="29"/>
      <c r="G479" s="32"/>
      <c r="H479" s="30"/>
      <c r="M479" s="30"/>
    </row>
    <row r="480" spans="2:13" ht="12.75" customHeight="1" x14ac:dyDescent="0.25">
      <c r="B480" s="147" t="s">
        <v>285</v>
      </c>
      <c r="C480" s="147"/>
      <c r="D480" s="147"/>
      <c r="E480" s="147"/>
      <c r="F480" s="147"/>
      <c r="G480" s="147"/>
      <c r="H480" s="30"/>
      <c r="M480" s="30"/>
    </row>
    <row r="481" spans="2:13" ht="12.75" customHeight="1" x14ac:dyDescent="0.25">
      <c r="B481" s="147" t="s">
        <v>286</v>
      </c>
      <c r="C481" s="147"/>
      <c r="D481" s="147"/>
      <c r="E481" s="147"/>
      <c r="F481" s="147"/>
      <c r="G481" s="147"/>
      <c r="H481" s="30"/>
      <c r="M481" s="30"/>
    </row>
    <row r="482" spans="2:13" ht="12.75" customHeight="1" x14ac:dyDescent="0.25">
      <c r="B482" s="147" t="s">
        <v>287</v>
      </c>
      <c r="C482" s="147"/>
      <c r="D482" s="147"/>
      <c r="E482" s="147"/>
      <c r="F482" s="147"/>
      <c r="G482" s="147"/>
      <c r="H482" s="30"/>
      <c r="M482" s="30"/>
    </row>
    <row r="483" spans="2:13" ht="12.75" customHeight="1" x14ac:dyDescent="0.25">
      <c r="B483" s="10"/>
      <c r="C483" s="29"/>
      <c r="D483" s="29"/>
      <c r="E483" s="29"/>
      <c r="F483" s="29"/>
      <c r="G483" s="32"/>
      <c r="H483" s="32"/>
      <c r="M483" s="32"/>
    </row>
    <row r="484" spans="2:13" ht="12.75" customHeight="1" x14ac:dyDescent="0.25">
      <c r="B484" s="10"/>
      <c r="C484" s="29"/>
      <c r="D484" s="29"/>
      <c r="E484" s="29"/>
      <c r="F484" s="29"/>
      <c r="G484" s="32"/>
      <c r="H484" s="32"/>
      <c r="M484" s="32"/>
    </row>
    <row r="485" spans="2:13" ht="12.75" customHeight="1" x14ac:dyDescent="0.25">
      <c r="B485" s="75" t="s">
        <v>0</v>
      </c>
      <c r="C485" s="75" t="s">
        <v>1</v>
      </c>
      <c r="D485" s="67" t="s">
        <v>72</v>
      </c>
      <c r="E485" s="67" t="s">
        <v>2</v>
      </c>
      <c r="F485" s="144" t="s">
        <v>16</v>
      </c>
      <c r="G485" s="146"/>
      <c r="H485" s="32"/>
      <c r="M485" s="32"/>
    </row>
    <row r="486" spans="2:13" ht="12.75" customHeight="1" x14ac:dyDescent="0.25">
      <c r="B486" s="68" t="s">
        <v>23</v>
      </c>
      <c r="C486" s="68" t="s">
        <v>110</v>
      </c>
      <c r="D486" s="69" t="s">
        <v>73</v>
      </c>
      <c r="E486" s="77" t="s">
        <v>6</v>
      </c>
      <c r="F486" s="144" t="s">
        <v>22</v>
      </c>
      <c r="G486" s="146"/>
      <c r="H486" s="32"/>
      <c r="M486" s="32"/>
    </row>
    <row r="487" spans="2:13" ht="12.75" customHeight="1" x14ac:dyDescent="0.25">
      <c r="B487" s="97" t="s">
        <v>98</v>
      </c>
      <c r="C487" s="40">
        <v>33767</v>
      </c>
      <c r="D487" s="40">
        <v>33767</v>
      </c>
      <c r="E487" s="40">
        <v>33786</v>
      </c>
      <c r="F487" s="48"/>
      <c r="G487" s="100">
        <v>4</v>
      </c>
      <c r="H487" s="32"/>
      <c r="M487" s="32"/>
    </row>
    <row r="488" spans="2:13" ht="12.75" customHeight="1" x14ac:dyDescent="0.25">
      <c r="B488" s="97" t="s">
        <v>247</v>
      </c>
      <c r="C488" s="40">
        <v>33829</v>
      </c>
      <c r="D488" s="40">
        <v>33830</v>
      </c>
      <c r="E488" s="40">
        <v>33844</v>
      </c>
      <c r="F488" s="65"/>
      <c r="G488" s="100">
        <v>5</v>
      </c>
      <c r="H488" s="32"/>
      <c r="M488" s="32"/>
    </row>
    <row r="489" spans="2:13" ht="12.75" customHeight="1" x14ac:dyDescent="0.25">
      <c r="B489" s="97" t="s">
        <v>99</v>
      </c>
      <c r="C489" s="40">
        <v>33865</v>
      </c>
      <c r="D489" s="40">
        <v>33865</v>
      </c>
      <c r="E489" s="40">
        <v>33879</v>
      </c>
      <c r="F489" s="65"/>
      <c r="G489" s="100">
        <v>7.3</v>
      </c>
      <c r="H489" s="31"/>
      <c r="M489" s="31"/>
    </row>
    <row r="490" spans="2:13" ht="12.75" customHeight="1" x14ac:dyDescent="0.25">
      <c r="B490" s="97" t="s">
        <v>38</v>
      </c>
      <c r="C490" s="40">
        <v>33956</v>
      </c>
      <c r="D490" s="40">
        <v>33956</v>
      </c>
      <c r="E490" s="40">
        <v>33973</v>
      </c>
      <c r="F490" s="65"/>
      <c r="G490" s="100">
        <v>20</v>
      </c>
      <c r="H490" s="31"/>
      <c r="M490" s="31"/>
    </row>
    <row r="491" spans="2:13" ht="12.75" customHeight="1" x14ac:dyDescent="0.25">
      <c r="B491" s="97" t="s">
        <v>248</v>
      </c>
      <c r="C491" s="40">
        <v>34009</v>
      </c>
      <c r="D491" s="40">
        <v>34009</v>
      </c>
      <c r="E491" s="40">
        <v>34060</v>
      </c>
      <c r="F491" s="65"/>
      <c r="G491" s="100">
        <v>20</v>
      </c>
      <c r="H491" s="57"/>
      <c r="M491" s="57"/>
    </row>
    <row r="492" spans="2:13" ht="12.75" customHeight="1" x14ac:dyDescent="0.25">
      <c r="B492" s="97" t="s">
        <v>249</v>
      </c>
      <c r="C492" s="40">
        <v>34009</v>
      </c>
      <c r="D492" s="40">
        <v>34009</v>
      </c>
      <c r="E492" s="40">
        <v>34017</v>
      </c>
      <c r="F492" s="65"/>
      <c r="G492" s="100">
        <v>70</v>
      </c>
      <c r="H492" s="57"/>
      <c r="M492" s="57"/>
    </row>
    <row r="493" spans="2:13" ht="12.75" customHeight="1" x14ac:dyDescent="0.25">
      <c r="B493" s="10" t="s">
        <v>18</v>
      </c>
      <c r="C493" s="29"/>
      <c r="D493" s="29"/>
      <c r="E493" s="29"/>
      <c r="F493" s="29"/>
      <c r="G493" s="32"/>
      <c r="H493" s="57"/>
      <c r="M493" s="57"/>
    </row>
    <row r="494" spans="2:13" ht="12.75" customHeight="1" x14ac:dyDescent="0.25">
      <c r="B494" s="147" t="s">
        <v>282</v>
      </c>
      <c r="C494" s="147"/>
      <c r="D494" s="147"/>
      <c r="E494" s="147"/>
      <c r="F494" s="147"/>
      <c r="G494" s="147"/>
      <c r="H494" s="57"/>
      <c r="M494" s="57"/>
    </row>
    <row r="495" spans="2:13" ht="12.75" customHeight="1" x14ac:dyDescent="0.25">
      <c r="B495" s="147" t="s">
        <v>283</v>
      </c>
      <c r="C495" s="147"/>
      <c r="D495" s="147"/>
      <c r="E495" s="147"/>
      <c r="F495" s="147"/>
      <c r="G495" s="147"/>
      <c r="H495" s="57"/>
      <c r="M495" s="57"/>
    </row>
    <row r="496" spans="2:13" ht="12.75" customHeight="1" x14ac:dyDescent="0.25">
      <c r="B496" s="147" t="s">
        <v>284</v>
      </c>
      <c r="C496" s="147"/>
      <c r="D496" s="147"/>
      <c r="E496" s="147"/>
      <c r="F496" s="147"/>
      <c r="G496" s="147"/>
      <c r="H496" s="57"/>
      <c r="M496" s="57"/>
    </row>
    <row r="497" spans="2:13" ht="12.75" customHeight="1" x14ac:dyDescent="0.25">
      <c r="B497" s="10"/>
      <c r="C497" s="29"/>
      <c r="D497" s="29"/>
      <c r="E497" s="29"/>
      <c r="F497" s="29"/>
      <c r="G497" s="30"/>
      <c r="H497" s="32"/>
      <c r="M497" s="32"/>
    </row>
    <row r="498" spans="2:13" ht="12.75" customHeight="1" x14ac:dyDescent="0.25">
      <c r="B498" s="10"/>
      <c r="C498" s="29"/>
      <c r="D498" s="29"/>
      <c r="E498" s="29"/>
      <c r="F498" s="29"/>
      <c r="G498" s="30"/>
      <c r="H498" s="30"/>
      <c r="M498" s="30"/>
    </row>
    <row r="499" spans="2:13" ht="12.75" customHeight="1" x14ac:dyDescent="0.25">
      <c r="B499" s="75" t="s">
        <v>0</v>
      </c>
      <c r="C499" s="75" t="s">
        <v>1</v>
      </c>
      <c r="D499" s="67" t="s">
        <v>72</v>
      </c>
      <c r="E499" s="67" t="s">
        <v>2</v>
      </c>
      <c r="F499" s="144" t="s">
        <v>16</v>
      </c>
      <c r="G499" s="146"/>
      <c r="H499" s="30"/>
      <c r="M499" s="30"/>
    </row>
    <row r="500" spans="2:13" ht="12.75" customHeight="1" x14ac:dyDescent="0.25">
      <c r="B500" s="68" t="s">
        <v>24</v>
      </c>
      <c r="C500" s="68" t="s">
        <v>110</v>
      </c>
      <c r="D500" s="69" t="s">
        <v>73</v>
      </c>
      <c r="E500" s="77" t="s">
        <v>6</v>
      </c>
      <c r="F500" s="144" t="s">
        <v>25</v>
      </c>
      <c r="G500" s="146"/>
      <c r="H500" s="30"/>
      <c r="M500" s="30"/>
    </row>
    <row r="501" spans="2:13" ht="12.75" customHeight="1" x14ac:dyDescent="0.25">
      <c r="B501" s="97" t="s">
        <v>98</v>
      </c>
      <c r="C501" s="40">
        <v>33407</v>
      </c>
      <c r="D501" s="40">
        <v>33407</v>
      </c>
      <c r="E501" s="11" t="s">
        <v>252</v>
      </c>
      <c r="F501" s="48"/>
      <c r="G501" s="64">
        <v>200</v>
      </c>
      <c r="H501" s="30"/>
      <c r="M501" s="30"/>
    </row>
    <row r="502" spans="2:13" ht="12.75" customHeight="1" x14ac:dyDescent="0.25">
      <c r="B502" s="97" t="s">
        <v>99</v>
      </c>
      <c r="C502" s="40">
        <v>33498</v>
      </c>
      <c r="D502" s="40">
        <v>33498</v>
      </c>
      <c r="E502" s="11" t="s">
        <v>253</v>
      </c>
      <c r="F502" s="48"/>
      <c r="G502" s="64">
        <v>420</v>
      </c>
      <c r="H502" s="30"/>
      <c r="M502" s="30"/>
    </row>
    <row r="503" spans="2:13" ht="12.75" customHeight="1" x14ac:dyDescent="0.25">
      <c r="B503" s="97" t="s">
        <v>38</v>
      </c>
      <c r="C503" s="40">
        <v>33589</v>
      </c>
      <c r="D503" s="40">
        <v>33589</v>
      </c>
      <c r="E503" s="11" t="s">
        <v>254</v>
      </c>
      <c r="F503" s="48"/>
      <c r="G503" s="64">
        <v>840</v>
      </c>
      <c r="H503" s="31"/>
      <c r="M503" s="31"/>
    </row>
    <row r="504" spans="2:13" ht="12.75" customHeight="1" x14ac:dyDescent="0.25">
      <c r="B504" s="97" t="s">
        <v>243</v>
      </c>
      <c r="C504" s="40">
        <v>33660</v>
      </c>
      <c r="D504" s="40">
        <v>33660</v>
      </c>
      <c r="E504" s="11" t="s">
        <v>255</v>
      </c>
      <c r="F504" s="65"/>
      <c r="G504" s="64">
        <v>840</v>
      </c>
      <c r="H504" s="31"/>
      <c r="M504" s="31"/>
    </row>
    <row r="505" spans="2:13" ht="12.75" customHeight="1" x14ac:dyDescent="0.25">
      <c r="B505" s="97" t="s">
        <v>241</v>
      </c>
      <c r="C505" s="40">
        <v>33660</v>
      </c>
      <c r="D505" s="40">
        <v>33660</v>
      </c>
      <c r="E505" s="11" t="s">
        <v>255</v>
      </c>
      <c r="F505" s="65"/>
      <c r="G505" s="66">
        <v>6900</v>
      </c>
      <c r="H505" s="57"/>
      <c r="M505" s="57"/>
    </row>
    <row r="506" spans="2:13" ht="12.75" customHeight="1" x14ac:dyDescent="0.25">
      <c r="B506" s="33" t="s">
        <v>18</v>
      </c>
      <c r="C506" s="34"/>
      <c r="D506" s="34"/>
      <c r="E506" s="34"/>
      <c r="F506" s="34"/>
      <c r="G506" s="35"/>
      <c r="H506" s="57"/>
      <c r="M506" s="57"/>
    </row>
    <row r="507" spans="2:13" ht="12.75" customHeight="1" x14ac:dyDescent="0.25">
      <c r="B507" s="148" t="s">
        <v>281</v>
      </c>
      <c r="C507" s="148"/>
      <c r="D507" s="148"/>
      <c r="E507" s="148"/>
      <c r="F507" s="148"/>
      <c r="G507" s="148"/>
      <c r="H507" s="57"/>
      <c r="M507" s="57"/>
    </row>
    <row r="508" spans="2:13" ht="12.75" customHeight="1" x14ac:dyDescent="0.25">
      <c r="B508" s="36"/>
      <c r="C508" s="36"/>
      <c r="D508" s="36"/>
      <c r="E508" s="36"/>
      <c r="F508" s="36"/>
      <c r="G508" s="36"/>
      <c r="H508" s="57"/>
      <c r="M508" s="57"/>
    </row>
    <row r="509" spans="2:13" ht="12.75" customHeight="1" x14ac:dyDescent="0.25">
      <c r="B509" s="36"/>
      <c r="C509" s="36"/>
      <c r="D509" s="36"/>
      <c r="E509" s="36"/>
      <c r="F509" s="36"/>
      <c r="G509" s="36"/>
      <c r="H509" s="58"/>
      <c r="M509" s="58"/>
    </row>
    <row r="510" spans="2:13" ht="12.75" customHeight="1" x14ac:dyDescent="0.25">
      <c r="B510" s="75" t="s">
        <v>0</v>
      </c>
      <c r="C510" s="75" t="s">
        <v>1</v>
      </c>
      <c r="D510" s="67" t="s">
        <v>72</v>
      </c>
      <c r="E510" s="67" t="s">
        <v>2</v>
      </c>
      <c r="F510" s="144" t="s">
        <v>16</v>
      </c>
      <c r="G510" s="146"/>
      <c r="H510" s="32"/>
      <c r="M510" s="32"/>
    </row>
    <row r="511" spans="2:13" ht="12.75" customHeight="1" x14ac:dyDescent="0.25">
      <c r="B511" s="76" t="s">
        <v>26</v>
      </c>
      <c r="C511" s="68" t="s">
        <v>110</v>
      </c>
      <c r="D511" s="69" t="s">
        <v>73</v>
      </c>
      <c r="E511" s="77" t="s">
        <v>6</v>
      </c>
      <c r="F511" s="144" t="s">
        <v>25</v>
      </c>
      <c r="G511" s="146"/>
      <c r="H511" s="36"/>
      <c r="M511" s="36"/>
    </row>
    <row r="512" spans="2:13" ht="12.75" customHeight="1" x14ac:dyDescent="0.25">
      <c r="B512" s="97" t="s">
        <v>98</v>
      </c>
      <c r="C512" s="40">
        <v>33042</v>
      </c>
      <c r="D512" s="40">
        <v>33043</v>
      </c>
      <c r="E512" s="11" t="s">
        <v>214</v>
      </c>
      <c r="F512" s="48"/>
      <c r="G512" s="64">
        <v>10</v>
      </c>
      <c r="H512" s="36"/>
      <c r="M512" s="36"/>
    </row>
    <row r="513" spans="2:13" ht="12.75" customHeight="1" x14ac:dyDescent="0.25">
      <c r="B513" s="97" t="s">
        <v>39</v>
      </c>
      <c r="C513" s="40">
        <v>33085</v>
      </c>
      <c r="D513" s="40">
        <v>33085</v>
      </c>
      <c r="E513" s="11" t="s">
        <v>215</v>
      </c>
      <c r="F513" s="48"/>
      <c r="G513" s="64">
        <v>130</v>
      </c>
      <c r="H513" s="36"/>
      <c r="M513" s="36"/>
    </row>
    <row r="514" spans="2:13" ht="12.75" customHeight="1" x14ac:dyDescent="0.25">
      <c r="B514" s="97" t="s">
        <v>99</v>
      </c>
      <c r="C514" s="40">
        <v>33133</v>
      </c>
      <c r="D514" s="40">
        <v>33134</v>
      </c>
      <c r="E514" s="11" t="s">
        <v>216</v>
      </c>
      <c r="F514" s="48"/>
      <c r="G514" s="64">
        <v>50</v>
      </c>
      <c r="H514" s="31"/>
      <c r="M514" s="31"/>
    </row>
    <row r="515" spans="2:13" ht="12.75" customHeight="1" x14ac:dyDescent="0.25">
      <c r="B515" s="97" t="s">
        <v>38</v>
      </c>
      <c r="C515" s="40">
        <v>33228</v>
      </c>
      <c r="D515" s="40">
        <v>33228</v>
      </c>
      <c r="E515" s="11" t="s">
        <v>217</v>
      </c>
      <c r="F515" s="48"/>
      <c r="G515" s="64">
        <v>75</v>
      </c>
      <c r="H515" s="31"/>
      <c r="M515" s="31"/>
    </row>
    <row r="516" spans="2:13" ht="12.75" customHeight="1" x14ac:dyDescent="0.25">
      <c r="B516" s="97" t="s">
        <v>241</v>
      </c>
      <c r="C516" s="40">
        <v>33287</v>
      </c>
      <c r="D516" s="40">
        <v>33287</v>
      </c>
      <c r="E516" s="11" t="s">
        <v>218</v>
      </c>
      <c r="F516" s="65"/>
      <c r="G516" s="64">
        <v>520</v>
      </c>
      <c r="H516" s="57"/>
      <c r="M516" s="57"/>
    </row>
    <row r="517" spans="2:13" ht="12.75" customHeight="1" x14ac:dyDescent="0.25">
      <c r="B517" s="97" t="s">
        <v>40</v>
      </c>
      <c r="C517" s="40">
        <v>33315</v>
      </c>
      <c r="D517" s="40">
        <v>33315</v>
      </c>
      <c r="E517" s="11" t="s">
        <v>219</v>
      </c>
      <c r="F517" s="48"/>
      <c r="G517" s="64">
        <v>110</v>
      </c>
      <c r="H517" s="57"/>
      <c r="M517" s="57"/>
    </row>
    <row r="518" spans="2:13" ht="12.75" customHeight="1" x14ac:dyDescent="0.25">
      <c r="B518" s="97" t="s">
        <v>39</v>
      </c>
      <c r="C518" s="40">
        <v>33347</v>
      </c>
      <c r="D518" s="40">
        <v>33347</v>
      </c>
      <c r="E518" s="11" t="s">
        <v>220</v>
      </c>
      <c r="F518" s="48"/>
      <c r="G518" s="64">
        <v>112.23</v>
      </c>
      <c r="H518" s="57"/>
      <c r="M518" s="57"/>
    </row>
    <row r="519" spans="2:13" ht="12.75" customHeight="1" x14ac:dyDescent="0.25">
      <c r="B519" s="10" t="s">
        <v>18</v>
      </c>
      <c r="C519" s="29"/>
      <c r="D519" s="29"/>
      <c r="E519" s="29"/>
      <c r="F519" s="29"/>
      <c r="G519" s="32"/>
      <c r="H519" s="57"/>
      <c r="M519" s="57"/>
    </row>
    <row r="520" spans="2:13" ht="12.75" customHeight="1" x14ac:dyDescent="0.25">
      <c r="B520" s="147" t="s">
        <v>280</v>
      </c>
      <c r="C520" s="147"/>
      <c r="D520" s="147"/>
      <c r="E520" s="147"/>
      <c r="F520" s="147"/>
      <c r="G520" s="147"/>
      <c r="H520" s="57"/>
      <c r="M520" s="57"/>
    </row>
    <row r="521" spans="2:13" ht="12.75" customHeight="1" x14ac:dyDescent="0.25">
      <c r="B521" s="15"/>
      <c r="C521" s="29"/>
      <c r="D521" s="29"/>
      <c r="E521" s="29"/>
      <c r="F521" s="37"/>
      <c r="G521" s="37"/>
      <c r="H521" s="57"/>
      <c r="M521" s="57"/>
    </row>
    <row r="522" spans="2:13" ht="12.75" customHeight="1" x14ac:dyDescent="0.25">
      <c r="B522" s="10"/>
      <c r="C522" s="29"/>
      <c r="D522" s="29"/>
      <c r="E522" s="29"/>
      <c r="F522" s="37"/>
      <c r="G522" s="37"/>
      <c r="H522" s="57"/>
      <c r="M522" s="57"/>
    </row>
    <row r="523" spans="2:13" ht="12.75" customHeight="1" x14ac:dyDescent="0.25">
      <c r="B523" s="75" t="s">
        <v>0</v>
      </c>
      <c r="C523" s="75" t="s">
        <v>1</v>
      </c>
      <c r="D523" s="67" t="s">
        <v>72</v>
      </c>
      <c r="E523" s="67" t="s">
        <v>2</v>
      </c>
      <c r="F523" s="144" t="s">
        <v>16</v>
      </c>
      <c r="G523" s="146"/>
      <c r="H523" s="32"/>
      <c r="M523" s="32"/>
    </row>
    <row r="524" spans="2:13" ht="12.75" customHeight="1" x14ac:dyDescent="0.25">
      <c r="B524" s="76" t="s">
        <v>27</v>
      </c>
      <c r="C524" s="68" t="s">
        <v>110</v>
      </c>
      <c r="D524" s="69" t="s">
        <v>73</v>
      </c>
      <c r="E524" s="77" t="s">
        <v>6</v>
      </c>
      <c r="F524" s="144" t="s">
        <v>28</v>
      </c>
      <c r="G524" s="146"/>
      <c r="H524" s="37"/>
      <c r="M524" s="37"/>
    </row>
    <row r="525" spans="2:13" ht="12.75" customHeight="1" x14ac:dyDescent="0.25">
      <c r="B525" s="97" t="s">
        <v>98</v>
      </c>
      <c r="C525" s="40">
        <v>32667</v>
      </c>
      <c r="D525" s="11" t="s">
        <v>202</v>
      </c>
      <c r="E525" s="11" t="s">
        <v>208</v>
      </c>
      <c r="F525" s="48"/>
      <c r="G525" s="64">
        <v>2</v>
      </c>
      <c r="H525" s="37"/>
      <c r="M525" s="37"/>
    </row>
    <row r="526" spans="2:13" ht="12.75" customHeight="1" x14ac:dyDescent="0.25">
      <c r="B526" s="97" t="s">
        <v>250</v>
      </c>
      <c r="C526" s="40">
        <v>32706</v>
      </c>
      <c r="D526" s="11" t="s">
        <v>203</v>
      </c>
      <c r="E526" s="11" t="s">
        <v>209</v>
      </c>
      <c r="F526" s="48"/>
      <c r="G526" s="64">
        <v>3.2</v>
      </c>
      <c r="H526" s="37"/>
      <c r="M526" s="37"/>
    </row>
    <row r="527" spans="2:13" ht="12.75" customHeight="1" x14ac:dyDescent="0.25">
      <c r="B527" s="97" t="s">
        <v>99</v>
      </c>
      <c r="C527" s="40">
        <v>32764</v>
      </c>
      <c r="D527" s="11" t="s">
        <v>204</v>
      </c>
      <c r="E527" s="11" t="s">
        <v>210</v>
      </c>
      <c r="F527" s="48"/>
      <c r="G527" s="64">
        <v>4.8</v>
      </c>
      <c r="H527" s="31"/>
      <c r="M527" s="31"/>
    </row>
    <row r="528" spans="2:13" ht="12.75" customHeight="1" x14ac:dyDescent="0.25">
      <c r="B528" s="97" t="s">
        <v>38</v>
      </c>
      <c r="C528" s="40">
        <v>32839</v>
      </c>
      <c r="D528" s="11" t="s">
        <v>205</v>
      </c>
      <c r="E528" s="11" t="s">
        <v>211</v>
      </c>
      <c r="F528" s="48"/>
      <c r="G528" s="64">
        <v>10</v>
      </c>
      <c r="H528" s="31"/>
      <c r="M528" s="31"/>
    </row>
    <row r="529" spans="2:13" ht="12.75" customHeight="1" x14ac:dyDescent="0.25">
      <c r="B529" s="97" t="s">
        <v>247</v>
      </c>
      <c r="C529" s="40">
        <v>32882</v>
      </c>
      <c r="D529" s="11" t="s">
        <v>206</v>
      </c>
      <c r="E529" s="11" t="s">
        <v>212</v>
      </c>
      <c r="F529" s="48"/>
      <c r="G529" s="64">
        <v>250</v>
      </c>
      <c r="H529" s="57"/>
      <c r="M529" s="57"/>
    </row>
    <row r="530" spans="2:13" ht="12.75" customHeight="1" x14ac:dyDescent="0.25">
      <c r="B530" s="97" t="s">
        <v>40</v>
      </c>
      <c r="C530" s="40">
        <v>32955</v>
      </c>
      <c r="D530" s="11" t="s">
        <v>207</v>
      </c>
      <c r="E530" s="11" t="s">
        <v>213</v>
      </c>
      <c r="F530" s="65" t="s">
        <v>29</v>
      </c>
      <c r="G530" s="64">
        <v>10</v>
      </c>
      <c r="H530" s="57"/>
      <c r="M530" s="57"/>
    </row>
    <row r="531" spans="2:13" ht="12.75" customHeight="1" x14ac:dyDescent="0.25">
      <c r="B531" s="10" t="s">
        <v>18</v>
      </c>
      <c r="C531" s="29"/>
      <c r="D531" s="29"/>
      <c r="E531" s="29"/>
      <c r="F531" s="29"/>
      <c r="G531" s="32"/>
      <c r="H531" s="57"/>
      <c r="M531" s="57"/>
    </row>
    <row r="532" spans="2:13" ht="12.75" customHeight="1" x14ac:dyDescent="0.25">
      <c r="B532" s="147" t="s">
        <v>279</v>
      </c>
      <c r="C532" s="147"/>
      <c r="D532" s="147"/>
      <c r="E532" s="147"/>
      <c r="F532" s="147"/>
      <c r="G532" s="147"/>
      <c r="H532" s="57"/>
      <c r="M532" s="57"/>
    </row>
    <row r="533" spans="2:13" ht="12.75" customHeight="1" x14ac:dyDescent="0.25">
      <c r="B533" s="10" t="s">
        <v>92</v>
      </c>
      <c r="C533" s="29"/>
      <c r="D533" s="29"/>
      <c r="E533" s="29"/>
      <c r="F533" s="29"/>
      <c r="G533" s="30"/>
      <c r="H533" s="57"/>
      <c r="M533" s="57"/>
    </row>
    <row r="534" spans="2:13" ht="12.75" customHeight="1" x14ac:dyDescent="0.25">
      <c r="B534" s="10"/>
      <c r="C534" s="29"/>
      <c r="D534" s="29"/>
      <c r="E534" s="29"/>
      <c r="F534" s="29"/>
      <c r="G534" s="30"/>
      <c r="H534" s="57"/>
      <c r="M534" s="57"/>
    </row>
    <row r="535" spans="2:13" ht="12.75" customHeight="1" x14ac:dyDescent="0.25">
      <c r="B535" s="10"/>
      <c r="C535" s="29"/>
      <c r="D535" s="29"/>
      <c r="E535" s="29"/>
      <c r="F535" s="29"/>
      <c r="G535" s="30"/>
      <c r="H535" s="32"/>
      <c r="M535" s="32"/>
    </row>
    <row r="536" spans="2:13" ht="12.75" customHeight="1" x14ac:dyDescent="0.25">
      <c r="B536" s="75" t="s">
        <v>0</v>
      </c>
      <c r="C536" s="75" t="s">
        <v>1</v>
      </c>
      <c r="D536" s="67" t="s">
        <v>72</v>
      </c>
      <c r="E536" s="67" t="s">
        <v>2</v>
      </c>
      <c r="F536" s="144" t="s">
        <v>16</v>
      </c>
      <c r="G536" s="146"/>
      <c r="H536" s="30"/>
      <c r="M536" s="30"/>
    </row>
    <row r="537" spans="2:13" ht="12.75" customHeight="1" x14ac:dyDescent="0.25">
      <c r="B537" s="76" t="s">
        <v>30</v>
      </c>
      <c r="C537" s="68" t="s">
        <v>110</v>
      </c>
      <c r="D537" s="69" t="s">
        <v>73</v>
      </c>
      <c r="E537" s="77" t="s">
        <v>6</v>
      </c>
      <c r="F537" s="144" t="s">
        <v>31</v>
      </c>
      <c r="G537" s="146"/>
      <c r="H537" s="30"/>
      <c r="M537" s="30"/>
    </row>
    <row r="538" spans="2:13" ht="12.75" customHeight="1" x14ac:dyDescent="0.25">
      <c r="B538" s="97" t="s">
        <v>98</v>
      </c>
      <c r="C538" s="40">
        <v>32286</v>
      </c>
      <c r="D538" s="11" t="s">
        <v>190</v>
      </c>
      <c r="E538" s="11" t="s">
        <v>196</v>
      </c>
      <c r="F538" s="48"/>
      <c r="G538" s="64">
        <v>0.6</v>
      </c>
      <c r="H538" s="30"/>
      <c r="M538" s="30"/>
    </row>
    <row r="539" spans="2:13" ht="12.75" customHeight="1" x14ac:dyDescent="0.25">
      <c r="B539" s="97" t="s">
        <v>250</v>
      </c>
      <c r="C539" s="40">
        <v>32339</v>
      </c>
      <c r="D539" s="11" t="s">
        <v>191</v>
      </c>
      <c r="E539" s="11" t="s">
        <v>197</v>
      </c>
      <c r="F539" s="48"/>
      <c r="G539" s="64">
        <v>0.6</v>
      </c>
      <c r="H539" s="30"/>
      <c r="M539" s="30"/>
    </row>
    <row r="540" spans="2:13" ht="12.75" customHeight="1" x14ac:dyDescent="0.25">
      <c r="B540" s="97" t="s">
        <v>99</v>
      </c>
      <c r="C540" s="40">
        <v>32384</v>
      </c>
      <c r="D540" s="11" t="s">
        <v>192</v>
      </c>
      <c r="E540" s="11" t="s">
        <v>198</v>
      </c>
      <c r="F540" s="48"/>
      <c r="G540" s="64">
        <v>1</v>
      </c>
      <c r="H540" s="31"/>
      <c r="M540" s="31"/>
    </row>
    <row r="541" spans="2:13" ht="12.75" customHeight="1" x14ac:dyDescent="0.25">
      <c r="B541" s="97" t="s">
        <v>38</v>
      </c>
      <c r="C541" s="40">
        <v>32489</v>
      </c>
      <c r="D541" s="11" t="s">
        <v>193</v>
      </c>
      <c r="E541" s="11" t="s">
        <v>199</v>
      </c>
      <c r="F541" s="48"/>
      <c r="G541" s="64">
        <v>1</v>
      </c>
      <c r="H541" s="31"/>
      <c r="M541" s="31"/>
    </row>
    <row r="542" spans="2:13" ht="12.75" customHeight="1" x14ac:dyDescent="0.25">
      <c r="B542" s="97" t="s">
        <v>250</v>
      </c>
      <c r="C542" s="40">
        <v>32489</v>
      </c>
      <c r="D542" s="11" t="s">
        <v>193</v>
      </c>
      <c r="E542" s="11" t="s">
        <v>199</v>
      </c>
      <c r="F542" s="48"/>
      <c r="G542" s="64">
        <v>1</v>
      </c>
      <c r="H542" s="57"/>
      <c r="M542" s="57"/>
    </row>
    <row r="543" spans="2:13" ht="12.75" customHeight="1" x14ac:dyDescent="0.25">
      <c r="B543" s="97" t="s">
        <v>250</v>
      </c>
      <c r="C543" s="40">
        <v>32552</v>
      </c>
      <c r="D543" s="11" t="s">
        <v>194</v>
      </c>
      <c r="E543" s="11" t="s">
        <v>200</v>
      </c>
      <c r="F543" s="65" t="s">
        <v>32</v>
      </c>
      <c r="G543" s="64">
        <v>4.1500000000000004</v>
      </c>
      <c r="H543" s="57"/>
      <c r="M543" s="57"/>
    </row>
    <row r="544" spans="2:13" ht="12.75" customHeight="1" x14ac:dyDescent="0.25">
      <c r="B544" s="97" t="s">
        <v>251</v>
      </c>
      <c r="C544" s="40">
        <v>32552</v>
      </c>
      <c r="D544" s="11" t="s">
        <v>194</v>
      </c>
      <c r="E544" s="11" t="s">
        <v>200</v>
      </c>
      <c r="F544" s="65" t="s">
        <v>32</v>
      </c>
      <c r="G544" s="64">
        <v>8.1</v>
      </c>
      <c r="H544" s="57"/>
      <c r="M544" s="57"/>
    </row>
    <row r="545" spans="2:13" ht="12.75" customHeight="1" x14ac:dyDescent="0.25">
      <c r="B545" s="97" t="s">
        <v>40</v>
      </c>
      <c r="C545" s="40">
        <v>32581</v>
      </c>
      <c r="D545" s="11" t="s">
        <v>195</v>
      </c>
      <c r="E545" s="11" t="s">
        <v>201</v>
      </c>
      <c r="F545" s="65" t="s">
        <v>32</v>
      </c>
      <c r="G545" s="64">
        <v>1</v>
      </c>
      <c r="H545" s="57"/>
      <c r="M545" s="57"/>
    </row>
    <row r="546" spans="2:13" ht="12.75" customHeight="1" x14ac:dyDescent="0.25">
      <c r="B546" s="10" t="s">
        <v>18</v>
      </c>
      <c r="C546" s="29"/>
      <c r="D546" s="29"/>
      <c r="E546" s="29"/>
      <c r="F546" s="29"/>
      <c r="G546" s="32"/>
      <c r="H546" s="57"/>
      <c r="M546" s="57"/>
    </row>
    <row r="547" spans="2:13" ht="12.75" customHeight="1" x14ac:dyDescent="0.25">
      <c r="B547" s="10" t="s">
        <v>91</v>
      </c>
      <c r="C547" s="29"/>
      <c r="D547" s="29"/>
      <c r="E547" s="29"/>
      <c r="F547" s="29"/>
      <c r="G547" s="30"/>
      <c r="H547" s="57"/>
      <c r="M547" s="57"/>
    </row>
    <row r="548" spans="2:13" ht="12.75" customHeight="1" x14ac:dyDescent="0.25">
      <c r="B548" s="10"/>
      <c r="C548" s="29"/>
      <c r="D548" s="29"/>
      <c r="E548" s="29"/>
      <c r="F548" s="29"/>
      <c r="G548" s="30"/>
      <c r="H548" s="57"/>
      <c r="M548" s="57"/>
    </row>
    <row r="549" spans="2:13" ht="12.75" customHeight="1" x14ac:dyDescent="0.25">
      <c r="B549" s="10"/>
      <c r="C549" s="29"/>
      <c r="D549" s="29"/>
      <c r="E549" s="29"/>
      <c r="F549" s="29"/>
      <c r="G549" s="30"/>
      <c r="H549" s="57"/>
      <c r="M549" s="57"/>
    </row>
    <row r="550" spans="2:13" ht="12.75" customHeight="1" x14ac:dyDescent="0.25">
      <c r="B550" s="75" t="s">
        <v>0</v>
      </c>
      <c r="C550" s="75" t="s">
        <v>1</v>
      </c>
      <c r="D550" s="67" t="s">
        <v>72</v>
      </c>
      <c r="E550" s="67" t="s">
        <v>2</v>
      </c>
      <c r="F550" s="144" t="s">
        <v>16</v>
      </c>
      <c r="G550" s="146"/>
      <c r="H550" s="32"/>
      <c r="M550" s="32"/>
    </row>
    <row r="551" spans="2:13" ht="12.75" customHeight="1" x14ac:dyDescent="0.25">
      <c r="B551" s="68" t="s">
        <v>33</v>
      </c>
      <c r="C551" s="68" t="s">
        <v>110</v>
      </c>
      <c r="D551" s="69" t="s">
        <v>73</v>
      </c>
      <c r="E551" s="77" t="s">
        <v>6</v>
      </c>
      <c r="F551" s="144" t="s">
        <v>31</v>
      </c>
      <c r="G551" s="146"/>
      <c r="H551" s="30"/>
      <c r="M551" s="30"/>
    </row>
    <row r="552" spans="2:13" ht="12.75" customHeight="1" x14ac:dyDescent="0.25">
      <c r="B552" s="97" t="s">
        <v>98</v>
      </c>
      <c r="C552" s="40">
        <v>31932</v>
      </c>
      <c r="D552" s="11" t="s">
        <v>181</v>
      </c>
      <c r="E552" s="11" t="s">
        <v>185</v>
      </c>
      <c r="F552" s="48"/>
      <c r="G552" s="64">
        <v>0.4</v>
      </c>
      <c r="H552" s="30"/>
      <c r="M552" s="30"/>
    </row>
    <row r="553" spans="2:13" ht="12.75" customHeight="1" x14ac:dyDescent="0.25">
      <c r="B553" s="97" t="s">
        <v>250</v>
      </c>
      <c r="C553" s="40">
        <v>31932</v>
      </c>
      <c r="D553" s="11" t="s">
        <v>181</v>
      </c>
      <c r="E553" s="11" t="s">
        <v>185</v>
      </c>
      <c r="F553" s="48"/>
      <c r="G553" s="64">
        <v>0.16</v>
      </c>
      <c r="H553" s="30"/>
      <c r="M553" s="30"/>
    </row>
    <row r="554" spans="2:13" ht="12.75" customHeight="1" x14ac:dyDescent="0.25">
      <c r="B554" s="97" t="s">
        <v>99</v>
      </c>
      <c r="C554" s="40">
        <v>32017</v>
      </c>
      <c r="D554" s="11" t="s">
        <v>182</v>
      </c>
      <c r="E554" s="11" t="s">
        <v>186</v>
      </c>
      <c r="F554" s="48"/>
      <c r="G554" s="64">
        <v>0.4</v>
      </c>
      <c r="H554" s="31"/>
      <c r="M554" s="31"/>
    </row>
    <row r="555" spans="2:13" ht="12.75" customHeight="1" x14ac:dyDescent="0.25">
      <c r="B555" s="97" t="s">
        <v>38</v>
      </c>
      <c r="C555" s="40">
        <v>32119</v>
      </c>
      <c r="D555" s="11" t="s">
        <v>183</v>
      </c>
      <c r="E555" s="11" t="s">
        <v>187</v>
      </c>
      <c r="F555" s="48"/>
      <c r="G555" s="64">
        <v>0.4</v>
      </c>
      <c r="H555" s="31"/>
      <c r="M555" s="31"/>
    </row>
    <row r="556" spans="2:13" ht="12.75" customHeight="1" x14ac:dyDescent="0.25">
      <c r="B556" s="97" t="s">
        <v>40</v>
      </c>
      <c r="C556" s="40">
        <v>32202</v>
      </c>
      <c r="D556" s="11" t="s">
        <v>184</v>
      </c>
      <c r="E556" s="11" t="s">
        <v>188</v>
      </c>
      <c r="F556" s="48"/>
      <c r="G556" s="64">
        <v>0.4</v>
      </c>
      <c r="H556" s="57"/>
      <c r="M556" s="57"/>
    </row>
    <row r="557" spans="2:13" ht="12.75" customHeight="1" x14ac:dyDescent="0.25">
      <c r="B557" s="97" t="s">
        <v>247</v>
      </c>
      <c r="C557" s="40">
        <v>32202</v>
      </c>
      <c r="D557" s="11" t="s">
        <v>184</v>
      </c>
      <c r="E557" s="11" t="s">
        <v>189</v>
      </c>
      <c r="F557" s="48"/>
      <c r="G557" s="64">
        <v>0.15</v>
      </c>
      <c r="H557" s="57"/>
      <c r="M557" s="57"/>
    </row>
    <row r="558" spans="2:13" ht="12.75" customHeight="1" x14ac:dyDescent="0.25">
      <c r="B558" s="10" t="s">
        <v>18</v>
      </c>
      <c r="C558" s="29"/>
      <c r="D558" s="29"/>
      <c r="E558" s="29"/>
      <c r="F558" s="29"/>
      <c r="G558" s="32"/>
      <c r="H558" s="57"/>
      <c r="M558" s="57"/>
    </row>
    <row r="559" spans="2:13" ht="12.75" customHeight="1" x14ac:dyDescent="0.25">
      <c r="B559" s="147" t="s">
        <v>278</v>
      </c>
      <c r="C559" s="147"/>
      <c r="D559" s="147"/>
      <c r="E559" s="147"/>
      <c r="F559" s="147"/>
      <c r="G559" s="147"/>
      <c r="H559" s="57"/>
      <c r="M559" s="57"/>
    </row>
    <row r="560" spans="2:13" ht="12.75" customHeight="1" x14ac:dyDescent="0.25">
      <c r="B560" s="15"/>
      <c r="C560" s="29"/>
      <c r="D560" s="29"/>
      <c r="E560" s="29"/>
      <c r="F560" s="29"/>
      <c r="G560" s="30"/>
      <c r="H560" s="57"/>
      <c r="M560" s="57"/>
    </row>
    <row r="561" spans="2:13" ht="12.75" customHeight="1" x14ac:dyDescent="0.25">
      <c r="B561" s="10"/>
      <c r="C561" s="29"/>
      <c r="D561" s="29"/>
      <c r="E561" s="29"/>
      <c r="F561" s="29"/>
      <c r="G561" s="30"/>
      <c r="H561" s="57"/>
      <c r="M561" s="57"/>
    </row>
    <row r="562" spans="2:13" ht="12.75" customHeight="1" x14ac:dyDescent="0.25">
      <c r="B562" s="75" t="s">
        <v>0</v>
      </c>
      <c r="C562" s="75" t="s">
        <v>1</v>
      </c>
      <c r="D562" s="67" t="s">
        <v>72</v>
      </c>
      <c r="E562" s="67" t="s">
        <v>2</v>
      </c>
      <c r="F562" s="144" t="s">
        <v>16</v>
      </c>
      <c r="G562" s="146"/>
      <c r="H562" s="32"/>
      <c r="M562" s="32"/>
    </row>
    <row r="563" spans="2:13" ht="12.75" customHeight="1" x14ac:dyDescent="0.25">
      <c r="B563" s="76" t="s">
        <v>34</v>
      </c>
      <c r="C563" s="68" t="s">
        <v>110</v>
      </c>
      <c r="D563" s="69" t="s">
        <v>73</v>
      </c>
      <c r="E563" s="77" t="s">
        <v>6</v>
      </c>
      <c r="F563" s="144" t="s">
        <v>35</v>
      </c>
      <c r="G563" s="146"/>
      <c r="H563" s="30"/>
      <c r="M563" s="30"/>
    </row>
    <row r="564" spans="2:13" ht="12.75" customHeight="1" x14ac:dyDescent="0.25">
      <c r="B564" s="97" t="s">
        <v>98</v>
      </c>
      <c r="C564" s="40">
        <v>31559</v>
      </c>
      <c r="D564" s="11" t="s">
        <v>173</v>
      </c>
      <c r="E564" s="11" t="s">
        <v>177</v>
      </c>
      <c r="F564" s="48"/>
      <c r="G564" s="64">
        <v>0.2</v>
      </c>
      <c r="H564" s="30"/>
      <c r="M564" s="30"/>
    </row>
    <row r="565" spans="2:13" ht="12.75" customHeight="1" x14ac:dyDescent="0.25">
      <c r="B565" s="97" t="s">
        <v>99</v>
      </c>
      <c r="C565" s="40">
        <v>31674</v>
      </c>
      <c r="D565" s="11" t="s">
        <v>174</v>
      </c>
      <c r="E565" s="11" t="s">
        <v>178</v>
      </c>
      <c r="F565" s="48"/>
      <c r="G565" s="64">
        <v>0.2</v>
      </c>
      <c r="H565" s="30"/>
      <c r="M565" s="30"/>
    </row>
    <row r="566" spans="2:13" ht="12.75" customHeight="1" x14ac:dyDescent="0.25">
      <c r="B566" s="97" t="s">
        <v>38</v>
      </c>
      <c r="C566" s="40">
        <v>31755</v>
      </c>
      <c r="D566" s="11" t="s">
        <v>175</v>
      </c>
      <c r="E566" s="11" t="s">
        <v>179</v>
      </c>
      <c r="F566" s="48"/>
      <c r="G566" s="64">
        <v>0.2</v>
      </c>
      <c r="H566" s="31"/>
      <c r="M566" s="31"/>
    </row>
    <row r="567" spans="2:13" ht="12.75" customHeight="1" x14ac:dyDescent="0.25">
      <c r="B567" s="97" t="s">
        <v>40</v>
      </c>
      <c r="C567" s="40">
        <v>31847</v>
      </c>
      <c r="D567" s="11" t="s">
        <v>176</v>
      </c>
      <c r="E567" s="11" t="s">
        <v>180</v>
      </c>
      <c r="F567" s="48"/>
      <c r="G567" s="64">
        <v>0.2</v>
      </c>
      <c r="H567" s="31"/>
      <c r="M567" s="31"/>
    </row>
    <row r="568" spans="2:13" ht="12.75" customHeight="1" x14ac:dyDescent="0.25">
      <c r="B568" s="97" t="s">
        <v>247</v>
      </c>
      <c r="C568" s="40">
        <v>31831</v>
      </c>
      <c r="D568" s="11" t="s">
        <v>176</v>
      </c>
      <c r="E568" s="11" t="s">
        <v>180</v>
      </c>
      <c r="F568" s="48"/>
      <c r="G568" s="64">
        <v>0.1</v>
      </c>
      <c r="H568" s="57"/>
      <c r="M568" s="57"/>
    </row>
    <row r="569" spans="2:13" ht="12.75" customHeight="1" x14ac:dyDescent="0.25">
      <c r="B569" s="10" t="s">
        <v>18</v>
      </c>
      <c r="C569" s="29"/>
      <c r="D569" s="29"/>
      <c r="E569" s="29"/>
      <c r="F569" s="29"/>
      <c r="G569" s="32"/>
      <c r="H569" s="57"/>
      <c r="M569" s="57"/>
    </row>
    <row r="570" spans="2:13" ht="12.75" customHeight="1" x14ac:dyDescent="0.25">
      <c r="B570" s="147" t="s">
        <v>278</v>
      </c>
      <c r="C570" s="147"/>
      <c r="D570" s="147"/>
      <c r="E570" s="147"/>
      <c r="F570" s="147"/>
      <c r="G570" s="147"/>
      <c r="H570" s="57"/>
      <c r="M570" s="57"/>
    </row>
    <row r="571" spans="2:13" ht="12.75" customHeight="1" x14ac:dyDescent="0.25">
      <c r="B571" s="15"/>
      <c r="C571" s="29"/>
      <c r="D571" s="29"/>
      <c r="E571" s="29"/>
      <c r="F571" s="29"/>
      <c r="G571" s="30"/>
      <c r="H571" s="57"/>
      <c r="M571" s="57"/>
    </row>
    <row r="572" spans="2:13" ht="12.75" customHeight="1" x14ac:dyDescent="0.25">
      <c r="B572" s="10"/>
      <c r="C572" s="29"/>
      <c r="D572" s="29"/>
      <c r="E572" s="29"/>
      <c r="F572" s="29"/>
      <c r="G572" s="30"/>
      <c r="H572" s="57"/>
      <c r="M572" s="57"/>
    </row>
    <row r="573" spans="2:13" ht="12.75" customHeight="1" x14ac:dyDescent="0.25">
      <c r="B573" s="75" t="s">
        <v>0</v>
      </c>
      <c r="C573" s="75" t="s">
        <v>1</v>
      </c>
      <c r="D573" s="67" t="s">
        <v>72</v>
      </c>
      <c r="E573" s="67" t="s">
        <v>2</v>
      </c>
      <c r="F573" s="144" t="s">
        <v>16</v>
      </c>
      <c r="G573" s="146"/>
      <c r="H573" s="32"/>
      <c r="M573" s="32"/>
    </row>
    <row r="574" spans="2:13" ht="12.75" customHeight="1" x14ac:dyDescent="0.25">
      <c r="B574" s="76" t="s">
        <v>83</v>
      </c>
      <c r="C574" s="68" t="s">
        <v>110</v>
      </c>
      <c r="D574" s="69" t="s">
        <v>73</v>
      </c>
      <c r="E574" s="77" t="s">
        <v>6</v>
      </c>
      <c r="F574" s="144" t="s">
        <v>22</v>
      </c>
      <c r="G574" s="146"/>
      <c r="H574" s="30"/>
      <c r="M574" s="30"/>
    </row>
    <row r="575" spans="2:13" ht="12.75" customHeight="1" x14ac:dyDescent="0.25">
      <c r="B575" s="97" t="s">
        <v>257</v>
      </c>
      <c r="C575" s="40">
        <v>31229</v>
      </c>
      <c r="D575" s="11" t="s">
        <v>163</v>
      </c>
      <c r="E575" s="11" t="s">
        <v>165</v>
      </c>
      <c r="F575" s="48"/>
      <c r="G575" s="64">
        <v>0.2</v>
      </c>
      <c r="H575" s="30"/>
      <c r="M575" s="30"/>
    </row>
    <row r="576" spans="2:13" ht="12.75" customHeight="1" x14ac:dyDescent="0.25">
      <c r="B576" s="97" t="s">
        <v>258</v>
      </c>
      <c r="C576" s="40">
        <v>31321</v>
      </c>
      <c r="D576" s="11" t="s">
        <v>164</v>
      </c>
      <c r="E576" s="11" t="s">
        <v>166</v>
      </c>
      <c r="F576" s="48"/>
      <c r="G576" s="64">
        <v>0.2</v>
      </c>
      <c r="H576" s="30"/>
      <c r="M576" s="30"/>
    </row>
    <row r="577" spans="2:13" ht="12.75" customHeight="1" x14ac:dyDescent="0.25">
      <c r="B577" s="97" t="s">
        <v>250</v>
      </c>
      <c r="C577" s="40">
        <v>31321</v>
      </c>
      <c r="D577" s="11" t="s">
        <v>164</v>
      </c>
      <c r="E577" s="11" t="s">
        <v>166</v>
      </c>
      <c r="F577" s="48"/>
      <c r="G577" s="64">
        <v>0.2</v>
      </c>
      <c r="H577" s="31"/>
      <c r="M577" s="31"/>
    </row>
    <row r="578" spans="2:13" ht="12.75" customHeight="1" x14ac:dyDescent="0.25">
      <c r="B578" s="97" t="s">
        <v>259</v>
      </c>
      <c r="C578" s="11" t="s">
        <v>172</v>
      </c>
      <c r="D578" s="11" t="s">
        <v>167</v>
      </c>
      <c r="E578" s="11" t="s">
        <v>170</v>
      </c>
      <c r="F578" s="65" t="s">
        <v>32</v>
      </c>
      <c r="G578" s="64">
        <v>0.2</v>
      </c>
      <c r="H578" s="31"/>
      <c r="M578" s="31"/>
    </row>
    <row r="579" spans="2:13" ht="12.75" customHeight="1" x14ac:dyDescent="0.25">
      <c r="B579" s="97" t="s">
        <v>260</v>
      </c>
      <c r="C579" s="40">
        <v>31414</v>
      </c>
      <c r="D579" s="11" t="s">
        <v>168</v>
      </c>
      <c r="E579" s="11" t="s">
        <v>171</v>
      </c>
      <c r="F579" s="65"/>
      <c r="G579" s="64">
        <v>0.2</v>
      </c>
      <c r="H579" s="57"/>
      <c r="M579" s="57"/>
    </row>
    <row r="580" spans="2:13" ht="12.75" customHeight="1" x14ac:dyDescent="0.25">
      <c r="B580" s="97" t="s">
        <v>261</v>
      </c>
      <c r="C580" s="40">
        <v>31482</v>
      </c>
      <c r="D580" s="11" t="s">
        <v>169</v>
      </c>
      <c r="E580" s="11" t="s">
        <v>170</v>
      </c>
      <c r="F580" s="65" t="s">
        <v>32</v>
      </c>
      <c r="G580" s="64">
        <v>0.2</v>
      </c>
      <c r="H580" s="57"/>
      <c r="M580" s="57"/>
    </row>
    <row r="581" spans="2:13" ht="12.75" customHeight="1" x14ac:dyDescent="0.25">
      <c r="B581" s="10" t="s">
        <v>18</v>
      </c>
      <c r="C581" s="29"/>
      <c r="D581" s="29"/>
      <c r="E581" s="29"/>
      <c r="F581" s="29"/>
      <c r="G581" s="32"/>
      <c r="H581" s="57"/>
      <c r="M581" s="57"/>
    </row>
    <row r="582" spans="2:13" ht="12.75" customHeight="1" x14ac:dyDescent="0.25">
      <c r="B582" s="10" t="s">
        <v>90</v>
      </c>
      <c r="C582" s="29"/>
      <c r="D582" s="29"/>
      <c r="E582" s="29"/>
      <c r="F582" s="29"/>
      <c r="G582" s="32"/>
      <c r="H582" s="57"/>
      <c r="M582" s="57"/>
    </row>
    <row r="583" spans="2:13" ht="12.75" customHeight="1" x14ac:dyDescent="0.25">
      <c r="B583" s="10"/>
      <c r="C583" s="29"/>
      <c r="D583" s="29"/>
      <c r="E583" s="29"/>
      <c r="F583" s="29"/>
      <c r="G583" s="32"/>
      <c r="H583" s="57"/>
      <c r="M583" s="57"/>
    </row>
    <row r="584" spans="2:13" ht="12.75" customHeight="1" x14ac:dyDescent="0.25">
      <c r="B584" s="10"/>
      <c r="C584" s="29"/>
      <c r="D584" s="29"/>
      <c r="E584" s="29"/>
      <c r="F584" s="29"/>
      <c r="G584" s="32"/>
      <c r="H584" s="57"/>
      <c r="M584" s="57"/>
    </row>
    <row r="585" spans="2:13" ht="12.75" customHeight="1" x14ac:dyDescent="0.25">
      <c r="B585" s="75" t="s">
        <v>0</v>
      </c>
      <c r="C585" s="75" t="s">
        <v>1</v>
      </c>
      <c r="D585" s="67" t="s">
        <v>72</v>
      </c>
      <c r="E585" s="67" t="s">
        <v>2</v>
      </c>
      <c r="F585" s="144" t="s">
        <v>16</v>
      </c>
      <c r="G585" s="146"/>
      <c r="H585" s="32"/>
      <c r="M585" s="32"/>
    </row>
    <row r="586" spans="2:13" ht="12.75" customHeight="1" x14ac:dyDescent="0.25">
      <c r="B586" s="76" t="s">
        <v>84</v>
      </c>
      <c r="C586" s="68" t="s">
        <v>110</v>
      </c>
      <c r="D586" s="69" t="s">
        <v>73</v>
      </c>
      <c r="E586" s="77" t="s">
        <v>6</v>
      </c>
      <c r="F586" s="144" t="s">
        <v>22</v>
      </c>
      <c r="G586" s="146"/>
      <c r="H586" s="32"/>
      <c r="M586" s="32"/>
    </row>
    <row r="587" spans="2:13" ht="12.75" customHeight="1" x14ac:dyDescent="0.25">
      <c r="B587" s="97" t="s">
        <v>262</v>
      </c>
      <c r="C587" s="40">
        <v>30867</v>
      </c>
      <c r="D587" s="11" t="s">
        <v>155</v>
      </c>
      <c r="E587" s="11" t="s">
        <v>159</v>
      </c>
      <c r="F587" s="48"/>
      <c r="G587" s="64">
        <v>0.2</v>
      </c>
      <c r="H587" s="32"/>
      <c r="M587" s="32"/>
    </row>
    <row r="588" spans="2:13" ht="12.75" customHeight="1" x14ac:dyDescent="0.25">
      <c r="B588" s="97" t="s">
        <v>250</v>
      </c>
      <c r="C588" s="40">
        <v>30894</v>
      </c>
      <c r="D588" s="11" t="s">
        <v>156</v>
      </c>
      <c r="E588" s="11" t="s">
        <v>160</v>
      </c>
      <c r="F588" s="48"/>
      <c r="G588" s="64">
        <v>0.25</v>
      </c>
      <c r="H588" s="32"/>
      <c r="M588" s="32"/>
    </row>
    <row r="589" spans="2:13" ht="12.75" customHeight="1" x14ac:dyDescent="0.25">
      <c r="B589" s="97" t="s">
        <v>263</v>
      </c>
      <c r="C589" s="40">
        <v>30957</v>
      </c>
      <c r="D589" s="11" t="s">
        <v>157</v>
      </c>
      <c r="E589" s="11" t="s">
        <v>161</v>
      </c>
      <c r="F589" s="48"/>
      <c r="G589" s="64">
        <v>0.2</v>
      </c>
      <c r="H589" s="31"/>
      <c r="M589" s="31"/>
    </row>
    <row r="590" spans="2:13" ht="12.75" customHeight="1" x14ac:dyDescent="0.25">
      <c r="B590" s="97" t="s">
        <v>264</v>
      </c>
      <c r="C590" s="40">
        <v>31049</v>
      </c>
      <c r="D590" s="11" t="s">
        <v>149</v>
      </c>
      <c r="E590" s="11" t="s">
        <v>153</v>
      </c>
      <c r="F590" s="48"/>
      <c r="G590" s="64">
        <v>0.2</v>
      </c>
      <c r="H590" s="31"/>
      <c r="M590" s="31"/>
    </row>
    <row r="591" spans="2:13" ht="12.75" customHeight="1" x14ac:dyDescent="0.25">
      <c r="B591" s="97" t="s">
        <v>265</v>
      </c>
      <c r="C591" s="40">
        <v>31138</v>
      </c>
      <c r="D591" s="11" t="s">
        <v>158</v>
      </c>
      <c r="E591" s="11" t="s">
        <v>162</v>
      </c>
      <c r="F591" s="48"/>
      <c r="G591" s="64">
        <v>0.2</v>
      </c>
      <c r="H591" s="57"/>
      <c r="M591" s="57"/>
    </row>
    <row r="592" spans="2:13" ht="12.75" customHeight="1" x14ac:dyDescent="0.25">
      <c r="B592" s="10" t="s">
        <v>18</v>
      </c>
      <c r="C592" s="29"/>
      <c r="D592" s="29"/>
      <c r="E592" s="29"/>
      <c r="F592" s="29"/>
      <c r="G592" s="32"/>
      <c r="H592" s="57"/>
      <c r="M592" s="57"/>
    </row>
    <row r="593" spans="2:13" ht="12.75" customHeight="1" x14ac:dyDescent="0.25">
      <c r="B593" s="10"/>
      <c r="C593" s="29"/>
      <c r="D593" s="29"/>
      <c r="E593" s="29"/>
      <c r="F593" s="29"/>
      <c r="G593" s="32"/>
      <c r="H593" s="57"/>
      <c r="M593" s="57"/>
    </row>
    <row r="594" spans="2:13" ht="12.75" customHeight="1" x14ac:dyDescent="0.25">
      <c r="B594" s="10"/>
      <c r="C594" s="29"/>
      <c r="D594" s="29"/>
      <c r="E594" s="29"/>
      <c r="F594" s="29"/>
      <c r="G594" s="32"/>
      <c r="H594" s="57"/>
      <c r="M594" s="57"/>
    </row>
    <row r="595" spans="2:13" ht="12.75" customHeight="1" x14ac:dyDescent="0.25">
      <c r="B595" s="75" t="s">
        <v>0</v>
      </c>
      <c r="C595" s="75" t="s">
        <v>1</v>
      </c>
      <c r="D595" s="67" t="s">
        <v>72</v>
      </c>
      <c r="E595" s="67" t="s">
        <v>2</v>
      </c>
      <c r="F595" s="144" t="s">
        <v>16</v>
      </c>
      <c r="G595" s="146"/>
      <c r="H595" s="57"/>
      <c r="M595" s="57"/>
    </row>
    <row r="596" spans="2:13" ht="12.75" customHeight="1" x14ac:dyDescent="0.25">
      <c r="B596" s="76" t="s">
        <v>85</v>
      </c>
      <c r="C596" s="68" t="s">
        <v>110</v>
      </c>
      <c r="D596" s="69" t="s">
        <v>73</v>
      </c>
      <c r="E596" s="77" t="s">
        <v>6</v>
      </c>
      <c r="F596" s="144" t="s">
        <v>22</v>
      </c>
      <c r="G596" s="146"/>
      <c r="H596" s="32"/>
      <c r="M596" s="32"/>
    </row>
    <row r="597" spans="2:13" ht="12.75" customHeight="1" x14ac:dyDescent="0.25">
      <c r="B597" s="97" t="s">
        <v>266</v>
      </c>
      <c r="C597" s="40">
        <v>30498</v>
      </c>
      <c r="D597" s="11" t="s">
        <v>147</v>
      </c>
      <c r="E597" s="11" t="s">
        <v>151</v>
      </c>
      <c r="F597" s="48"/>
      <c r="G597" s="64">
        <v>0.2</v>
      </c>
      <c r="H597" s="32"/>
      <c r="M597" s="32"/>
    </row>
    <row r="598" spans="2:13" ht="12.75" customHeight="1" x14ac:dyDescent="0.25">
      <c r="B598" s="97" t="s">
        <v>267</v>
      </c>
      <c r="C598" s="40">
        <v>30593</v>
      </c>
      <c r="D598" s="11" t="s">
        <v>148</v>
      </c>
      <c r="E598" s="11" t="s">
        <v>152</v>
      </c>
      <c r="F598" s="48"/>
      <c r="G598" s="64">
        <v>0.2</v>
      </c>
      <c r="H598" s="32"/>
      <c r="M598" s="32"/>
    </row>
    <row r="599" spans="2:13" ht="12.75" customHeight="1" x14ac:dyDescent="0.25">
      <c r="B599" s="97" t="s">
        <v>268</v>
      </c>
      <c r="C599" s="40">
        <v>30687</v>
      </c>
      <c r="D599" s="11" t="s">
        <v>149</v>
      </c>
      <c r="E599" s="11" t="s">
        <v>153</v>
      </c>
      <c r="F599" s="48"/>
      <c r="G599" s="64">
        <v>0.2</v>
      </c>
      <c r="H599" s="31"/>
      <c r="M599" s="31"/>
    </row>
    <row r="600" spans="2:13" ht="12.75" customHeight="1" x14ac:dyDescent="0.25">
      <c r="B600" s="97" t="s">
        <v>269</v>
      </c>
      <c r="C600" s="40">
        <v>30774</v>
      </c>
      <c r="D600" s="11" t="s">
        <v>150</v>
      </c>
      <c r="E600" s="11" t="s">
        <v>154</v>
      </c>
      <c r="F600" s="48"/>
      <c r="G600" s="64">
        <v>0.2</v>
      </c>
      <c r="H600" s="31"/>
      <c r="M600" s="31"/>
    </row>
    <row r="601" spans="2:13" ht="12.75" customHeight="1" x14ac:dyDescent="0.25">
      <c r="B601" s="10" t="s">
        <v>18</v>
      </c>
      <c r="C601" s="29"/>
      <c r="D601" s="29"/>
      <c r="E601" s="29"/>
      <c r="F601" s="29"/>
      <c r="G601" s="32"/>
      <c r="H601" s="57"/>
      <c r="M601" s="57"/>
    </row>
    <row r="602" spans="2:13" ht="12.75" customHeight="1" x14ac:dyDescent="0.25">
      <c r="B602" s="10"/>
      <c r="C602" s="29"/>
      <c r="D602" s="29"/>
      <c r="E602" s="29"/>
      <c r="F602" s="29"/>
      <c r="G602" s="32"/>
      <c r="H602" s="57"/>
      <c r="M602" s="57"/>
    </row>
    <row r="603" spans="2:13" ht="12.75" customHeight="1" x14ac:dyDescent="0.25">
      <c r="B603" s="10"/>
      <c r="C603" s="29"/>
      <c r="D603" s="29"/>
      <c r="E603" s="29"/>
      <c r="F603" s="29"/>
      <c r="G603" s="32"/>
      <c r="H603" s="57"/>
      <c r="M603" s="57"/>
    </row>
    <row r="604" spans="2:13" ht="12.75" customHeight="1" x14ac:dyDescent="0.25">
      <c r="B604" s="75" t="s">
        <v>0</v>
      </c>
      <c r="C604" s="75" t="s">
        <v>1</v>
      </c>
      <c r="D604" s="67" t="s">
        <v>72</v>
      </c>
      <c r="E604" s="67" t="s">
        <v>2</v>
      </c>
      <c r="F604" s="144" t="s">
        <v>16</v>
      </c>
      <c r="G604" s="146"/>
      <c r="H604" s="57"/>
      <c r="M604" s="57"/>
    </row>
    <row r="605" spans="2:13" ht="12.75" customHeight="1" x14ac:dyDescent="0.25">
      <c r="B605" s="76" t="s">
        <v>86</v>
      </c>
      <c r="C605" s="68" t="s">
        <v>110</v>
      </c>
      <c r="D605" s="69" t="s">
        <v>73</v>
      </c>
      <c r="E605" s="77" t="s">
        <v>6</v>
      </c>
      <c r="F605" s="144" t="s">
        <v>22</v>
      </c>
      <c r="G605" s="146"/>
      <c r="H605" s="32"/>
      <c r="M605" s="32"/>
    </row>
    <row r="606" spans="2:13" ht="12.75" customHeight="1" x14ac:dyDescent="0.25">
      <c r="B606" s="97" t="s">
        <v>270</v>
      </c>
      <c r="C606" s="40">
        <v>30130</v>
      </c>
      <c r="D606" s="11" t="s">
        <v>139</v>
      </c>
      <c r="E606" s="11" t="s">
        <v>143</v>
      </c>
      <c r="F606" s="48"/>
      <c r="G606" s="64">
        <v>0.1</v>
      </c>
      <c r="H606" s="32"/>
      <c r="M606" s="32"/>
    </row>
    <row r="607" spans="2:13" ht="12.75" customHeight="1" x14ac:dyDescent="0.25">
      <c r="B607" s="97" t="s">
        <v>271</v>
      </c>
      <c r="C607" s="40">
        <v>30222</v>
      </c>
      <c r="D607" s="11" t="s">
        <v>140</v>
      </c>
      <c r="E607" s="11" t="s">
        <v>144</v>
      </c>
      <c r="F607" s="48"/>
      <c r="G607" s="64">
        <v>0.1</v>
      </c>
      <c r="H607" s="32"/>
      <c r="M607" s="32"/>
    </row>
    <row r="608" spans="2:13" ht="12.75" customHeight="1" x14ac:dyDescent="0.25">
      <c r="B608" s="97" t="s">
        <v>272</v>
      </c>
      <c r="C608" s="40">
        <v>30302</v>
      </c>
      <c r="D608" s="11" t="s">
        <v>141</v>
      </c>
      <c r="E608" s="11" t="s">
        <v>145</v>
      </c>
      <c r="F608" s="48"/>
      <c r="G608" s="64">
        <v>0.2</v>
      </c>
      <c r="H608" s="31"/>
      <c r="M608" s="31"/>
    </row>
    <row r="609" spans="2:13" ht="12.75" customHeight="1" x14ac:dyDescent="0.25">
      <c r="B609" s="97" t="s">
        <v>273</v>
      </c>
      <c r="C609" s="40">
        <v>30410</v>
      </c>
      <c r="D609" s="11" t="s">
        <v>142</v>
      </c>
      <c r="E609" s="11" t="s">
        <v>146</v>
      </c>
      <c r="F609" s="48"/>
      <c r="G609" s="64">
        <v>0.2</v>
      </c>
      <c r="H609" s="31"/>
      <c r="M609" s="31"/>
    </row>
    <row r="610" spans="2:13" ht="12.75" customHeight="1" x14ac:dyDescent="0.25">
      <c r="B610" s="10" t="s">
        <v>18</v>
      </c>
      <c r="C610" s="29"/>
      <c r="D610" s="29"/>
      <c r="E610" s="29"/>
      <c r="F610" s="29"/>
      <c r="G610" s="32"/>
      <c r="H610" s="57"/>
      <c r="M610" s="57"/>
    </row>
    <row r="611" spans="2:13" ht="12.75" customHeight="1" x14ac:dyDescent="0.25">
      <c r="B611" s="10"/>
      <c r="C611" s="29"/>
      <c r="D611" s="29"/>
      <c r="E611" s="29"/>
      <c r="F611" s="29"/>
      <c r="G611" s="32"/>
      <c r="H611" s="57"/>
      <c r="M611" s="57"/>
    </row>
    <row r="612" spans="2:13" ht="12.75" customHeight="1" x14ac:dyDescent="0.25">
      <c r="B612" s="10"/>
      <c r="C612" s="29"/>
      <c r="D612" s="29"/>
      <c r="E612" s="29"/>
      <c r="F612" s="29"/>
      <c r="G612" s="32"/>
      <c r="H612" s="57"/>
      <c r="M612" s="57"/>
    </row>
    <row r="613" spans="2:13" ht="12.75" customHeight="1" x14ac:dyDescent="0.25">
      <c r="B613" s="75" t="s">
        <v>0</v>
      </c>
      <c r="C613" s="75" t="s">
        <v>1</v>
      </c>
      <c r="D613" s="67" t="s">
        <v>72</v>
      </c>
      <c r="E613" s="67" t="s">
        <v>2</v>
      </c>
      <c r="F613" s="144" t="s">
        <v>16</v>
      </c>
      <c r="G613" s="146"/>
      <c r="H613" s="57"/>
      <c r="M613" s="57"/>
    </row>
    <row r="614" spans="2:13" ht="12.75" customHeight="1" x14ac:dyDescent="0.25">
      <c r="B614" s="76" t="s">
        <v>87</v>
      </c>
      <c r="C614" s="68" t="s">
        <v>110</v>
      </c>
      <c r="D614" s="69" t="s">
        <v>73</v>
      </c>
      <c r="E614" s="77" t="s">
        <v>6</v>
      </c>
      <c r="F614" s="144" t="s">
        <v>22</v>
      </c>
      <c r="G614" s="146"/>
      <c r="H614" s="32"/>
      <c r="M614" s="32"/>
    </row>
    <row r="615" spans="2:13" ht="12.75" customHeight="1" x14ac:dyDescent="0.25">
      <c r="B615" s="97" t="s">
        <v>274</v>
      </c>
      <c r="C615" s="40">
        <v>29769</v>
      </c>
      <c r="D615" s="11" t="s">
        <v>131</v>
      </c>
      <c r="E615" s="11" t="s">
        <v>135</v>
      </c>
      <c r="F615" s="48"/>
      <c r="G615" s="64">
        <v>0.1</v>
      </c>
      <c r="H615" s="32"/>
      <c r="M615" s="32"/>
    </row>
    <row r="616" spans="2:13" ht="12.75" customHeight="1" x14ac:dyDescent="0.25">
      <c r="B616" s="97" t="s">
        <v>275</v>
      </c>
      <c r="C616" s="40">
        <v>29861</v>
      </c>
      <c r="D616" s="11" t="s">
        <v>132</v>
      </c>
      <c r="E616" s="11" t="s">
        <v>136</v>
      </c>
      <c r="F616" s="48"/>
      <c r="G616" s="64">
        <v>0.1</v>
      </c>
      <c r="H616" s="32"/>
      <c r="M616" s="32"/>
    </row>
    <row r="617" spans="2:13" ht="12.75" customHeight="1" x14ac:dyDescent="0.25">
      <c r="B617" s="97" t="s">
        <v>276</v>
      </c>
      <c r="C617" s="40">
        <v>29920</v>
      </c>
      <c r="D617" s="11" t="s">
        <v>133</v>
      </c>
      <c r="E617" s="11" t="s">
        <v>137</v>
      </c>
      <c r="F617" s="48"/>
      <c r="G617" s="64">
        <v>0.1</v>
      </c>
      <c r="H617" s="31"/>
      <c r="M617" s="31"/>
    </row>
    <row r="618" spans="2:13" ht="12.75" customHeight="1" x14ac:dyDescent="0.25">
      <c r="B618" s="97" t="s">
        <v>277</v>
      </c>
      <c r="C618" s="40">
        <v>30043</v>
      </c>
      <c r="D618" s="11" t="s">
        <v>134</v>
      </c>
      <c r="E618" s="11" t="s">
        <v>138</v>
      </c>
      <c r="F618" s="48"/>
      <c r="G618" s="64">
        <v>0.1</v>
      </c>
      <c r="H618" s="31"/>
      <c r="M618" s="31"/>
    </row>
    <row r="619" spans="2:13" ht="12.75" customHeight="1" x14ac:dyDescent="0.25">
      <c r="B619" s="10" t="s">
        <v>18</v>
      </c>
      <c r="C619" s="29"/>
      <c r="D619" s="29"/>
      <c r="E619" s="29"/>
      <c r="F619" s="29"/>
      <c r="G619" s="32"/>
      <c r="H619" s="57"/>
      <c r="M619" s="57"/>
    </row>
    <row r="620" spans="2:13" ht="12.75" customHeight="1" x14ac:dyDescent="0.25">
      <c r="B620" s="10"/>
      <c r="C620" s="29"/>
      <c r="D620" s="29"/>
      <c r="E620" s="29"/>
      <c r="F620" s="29"/>
      <c r="G620" s="32"/>
      <c r="H620" s="57"/>
      <c r="M620" s="57"/>
    </row>
    <row r="621" spans="2:13" ht="12.75" customHeight="1" x14ac:dyDescent="0.25">
      <c r="B621" s="10"/>
      <c r="C621" s="29"/>
      <c r="D621" s="29"/>
      <c r="E621" s="29"/>
      <c r="F621" s="29"/>
      <c r="G621" s="32"/>
      <c r="H621" s="57"/>
      <c r="M621" s="57"/>
    </row>
    <row r="622" spans="2:13" ht="12.75" customHeight="1" x14ac:dyDescent="0.25">
      <c r="B622" s="75" t="s">
        <v>0</v>
      </c>
      <c r="C622" s="75" t="s">
        <v>1</v>
      </c>
      <c r="D622" s="67" t="s">
        <v>72</v>
      </c>
      <c r="E622" s="67" t="s">
        <v>2</v>
      </c>
      <c r="F622" s="144" t="s">
        <v>16</v>
      </c>
      <c r="G622" s="146"/>
      <c r="H622" s="57"/>
      <c r="M622" s="57"/>
    </row>
    <row r="623" spans="2:13" ht="12.75" customHeight="1" x14ac:dyDescent="0.25">
      <c r="B623" s="69" t="s">
        <v>88</v>
      </c>
      <c r="C623" s="76" t="s">
        <v>5</v>
      </c>
      <c r="D623" s="69" t="s">
        <v>73</v>
      </c>
      <c r="E623" s="77" t="s">
        <v>6</v>
      </c>
      <c r="F623" s="144" t="s">
        <v>22</v>
      </c>
      <c r="G623" s="146"/>
      <c r="H623" s="32"/>
      <c r="M623" s="32"/>
    </row>
    <row r="624" spans="2:13" ht="12.75" customHeight="1" x14ac:dyDescent="0.25">
      <c r="B624" s="97" t="s">
        <v>128</v>
      </c>
      <c r="C624" s="40">
        <v>29382</v>
      </c>
      <c r="D624" s="40">
        <v>29406</v>
      </c>
      <c r="E624" s="40">
        <v>29439</v>
      </c>
      <c r="F624" s="48"/>
      <c r="G624" s="64">
        <v>0.05</v>
      </c>
      <c r="H624" s="32"/>
      <c r="M624" s="32"/>
    </row>
    <row r="625" spans="2:13" ht="12.75" customHeight="1" x14ac:dyDescent="0.25">
      <c r="B625" s="97" t="s">
        <v>129</v>
      </c>
      <c r="C625" s="40">
        <v>29465</v>
      </c>
      <c r="D625" s="40">
        <v>29506</v>
      </c>
      <c r="E625" s="40">
        <v>29531</v>
      </c>
      <c r="F625" s="48"/>
      <c r="G625" s="64">
        <v>7.4999999999999997E-2</v>
      </c>
      <c r="H625" s="32"/>
      <c r="M625" s="32"/>
    </row>
    <row r="626" spans="2:13" ht="12.75" customHeight="1" x14ac:dyDescent="0.25">
      <c r="B626" s="97" t="s">
        <v>130</v>
      </c>
      <c r="C626" s="40">
        <v>29465</v>
      </c>
      <c r="D626" s="40">
        <v>29595</v>
      </c>
      <c r="E626" s="40">
        <v>29623</v>
      </c>
      <c r="F626" s="48"/>
      <c r="G626" s="64">
        <v>7.4999999999999997E-2</v>
      </c>
      <c r="H626" s="31"/>
      <c r="M626" s="31"/>
    </row>
    <row r="627" spans="2:13" ht="12.75" customHeight="1" x14ac:dyDescent="0.25">
      <c r="B627" s="97" t="s">
        <v>127</v>
      </c>
      <c r="C627" s="40">
        <v>29661</v>
      </c>
      <c r="D627" s="40">
        <v>29696</v>
      </c>
      <c r="E627" s="40">
        <v>29712</v>
      </c>
      <c r="F627" s="48"/>
      <c r="G627" s="64">
        <v>7.4999999999999997E-2</v>
      </c>
      <c r="H627" s="31"/>
      <c r="M627" s="31"/>
    </row>
    <row r="628" spans="2:13" ht="12.75" customHeight="1" x14ac:dyDescent="0.25">
      <c r="B628" s="10" t="s">
        <v>18</v>
      </c>
      <c r="C628" s="29"/>
      <c r="D628" s="29"/>
      <c r="E628" s="29"/>
      <c r="F628" s="29"/>
      <c r="G628" s="32"/>
      <c r="H628" s="30"/>
      <c r="M628" s="30"/>
    </row>
    <row r="629" spans="2:13" ht="12.75" customHeight="1" x14ac:dyDescent="0.25">
      <c r="B629" s="10"/>
      <c r="C629" s="29"/>
      <c r="D629" s="29"/>
      <c r="E629" s="29"/>
      <c r="F629" s="29"/>
      <c r="G629" s="32"/>
      <c r="H629" s="30"/>
      <c r="M629" s="30"/>
    </row>
    <row r="630" spans="2:13" ht="12.75" customHeight="1" x14ac:dyDescent="0.25">
      <c r="B630" s="10"/>
      <c r="C630" s="10"/>
      <c r="D630" s="10"/>
      <c r="E630" s="10"/>
      <c r="F630" s="10"/>
      <c r="G630" s="10"/>
      <c r="H630" s="30"/>
      <c r="M630" s="30"/>
    </row>
    <row r="631" spans="2:13" ht="12.75" customHeight="1" x14ac:dyDescent="0.25">
      <c r="B631" s="75" t="s">
        <v>0</v>
      </c>
      <c r="C631" s="75" t="s">
        <v>1</v>
      </c>
      <c r="D631" s="67" t="s">
        <v>72</v>
      </c>
      <c r="E631" s="67" t="s">
        <v>2</v>
      </c>
      <c r="F631" s="144" t="s">
        <v>16</v>
      </c>
      <c r="G631" s="146"/>
      <c r="H631" s="30"/>
      <c r="M631" s="30"/>
    </row>
    <row r="632" spans="2:13" ht="12.75" customHeight="1" x14ac:dyDescent="0.25">
      <c r="B632" s="76" t="s">
        <v>89</v>
      </c>
      <c r="C632" s="68" t="s">
        <v>110</v>
      </c>
      <c r="D632" s="69" t="s">
        <v>73</v>
      </c>
      <c r="E632" s="77" t="s">
        <v>6</v>
      </c>
      <c r="F632" s="144" t="s">
        <v>22</v>
      </c>
      <c r="G632" s="146"/>
      <c r="H632" s="32"/>
      <c r="M632" s="32"/>
    </row>
    <row r="633" spans="2:13" ht="12.75" customHeight="1" x14ac:dyDescent="0.25">
      <c r="B633" s="97" t="s">
        <v>126</v>
      </c>
      <c r="C633" s="40">
        <v>28951</v>
      </c>
      <c r="D633" s="40">
        <v>28919</v>
      </c>
      <c r="E633" s="40">
        <v>28951</v>
      </c>
      <c r="F633" s="63"/>
      <c r="G633" s="64">
        <v>0.09</v>
      </c>
      <c r="H633" s="32"/>
      <c r="M633" s="32"/>
    </row>
    <row r="634" spans="2:13" ht="12.75" customHeight="1" x14ac:dyDescent="0.25">
      <c r="B634" s="97"/>
      <c r="C634" s="40">
        <v>28954</v>
      </c>
      <c r="D634" s="40">
        <v>28956</v>
      </c>
      <c r="E634" s="40">
        <v>28982</v>
      </c>
      <c r="F634" s="63"/>
      <c r="G634" s="64">
        <v>0.13</v>
      </c>
      <c r="H634" s="10"/>
      <c r="M634" s="10"/>
    </row>
    <row r="635" spans="2:13" ht="12.75" customHeight="1" x14ac:dyDescent="0.25">
      <c r="B635" s="97" t="s">
        <v>125</v>
      </c>
      <c r="C635" s="40">
        <v>29026</v>
      </c>
      <c r="D635" s="40">
        <v>29038</v>
      </c>
      <c r="E635" s="40">
        <v>29073</v>
      </c>
      <c r="F635" s="48"/>
      <c r="G635" s="64">
        <v>0.05</v>
      </c>
      <c r="H635" s="31"/>
      <c r="M635" s="31"/>
    </row>
    <row r="636" spans="2:13" ht="12.75" customHeight="1" x14ac:dyDescent="0.25">
      <c r="B636" s="97" t="s">
        <v>124</v>
      </c>
      <c r="C636" s="40">
        <v>29108</v>
      </c>
      <c r="D636" s="40">
        <v>29130</v>
      </c>
      <c r="E636" s="40">
        <v>29165</v>
      </c>
      <c r="F636" s="48"/>
      <c r="G636" s="64">
        <v>0.05</v>
      </c>
      <c r="H636" s="31"/>
      <c r="M636" s="31"/>
    </row>
    <row r="637" spans="2:13" ht="12.75" customHeight="1" x14ac:dyDescent="0.25">
      <c r="B637" s="97" t="s">
        <v>123</v>
      </c>
      <c r="C637" s="40">
        <v>29215</v>
      </c>
      <c r="D637" s="40">
        <v>29224</v>
      </c>
      <c r="E637" s="40">
        <v>29257</v>
      </c>
      <c r="F637" s="48"/>
      <c r="G637" s="64">
        <v>0.05</v>
      </c>
      <c r="H637" s="30"/>
      <c r="M637" s="30"/>
    </row>
    <row r="638" spans="2:13" ht="12.75" customHeight="1" x14ac:dyDescent="0.25">
      <c r="B638" s="97" t="s">
        <v>122</v>
      </c>
      <c r="C638" s="40">
        <v>29311</v>
      </c>
      <c r="D638" s="40">
        <v>29313</v>
      </c>
      <c r="E638" s="40">
        <v>29347</v>
      </c>
      <c r="F638" s="48"/>
      <c r="G638" s="64">
        <v>0.05</v>
      </c>
      <c r="H638" s="30"/>
      <c r="M638" s="30"/>
    </row>
    <row r="639" spans="2:13" ht="12.75" customHeight="1" x14ac:dyDescent="0.25">
      <c r="B639" s="10" t="s">
        <v>18</v>
      </c>
      <c r="C639" s="29"/>
      <c r="D639" s="29"/>
      <c r="E639" s="29"/>
      <c r="F639" s="29"/>
      <c r="G639" s="32"/>
      <c r="H639" s="30"/>
      <c r="M639" s="30"/>
    </row>
    <row r="640" spans="2:13" ht="12.75" customHeight="1" x14ac:dyDescent="0.25">
      <c r="B640" s="10"/>
      <c r="C640" s="29"/>
      <c r="D640" s="29"/>
      <c r="E640" s="29"/>
      <c r="F640" s="29"/>
      <c r="G640" s="32"/>
      <c r="H640" s="30"/>
      <c r="M640" s="30"/>
    </row>
    <row r="641" spans="2:13" ht="12.75" customHeight="1" x14ac:dyDescent="0.25">
      <c r="B641" s="10"/>
      <c r="C641" s="29"/>
      <c r="D641" s="29"/>
      <c r="E641" s="29"/>
      <c r="F641" s="29"/>
      <c r="G641" s="32"/>
      <c r="H641" s="30"/>
      <c r="M641" s="30"/>
    </row>
    <row r="642" spans="2:13" ht="12.75" customHeight="1" x14ac:dyDescent="0.25">
      <c r="B642" s="75" t="s">
        <v>0</v>
      </c>
      <c r="C642" s="75" t="s">
        <v>1</v>
      </c>
      <c r="D642" s="67" t="s">
        <v>72</v>
      </c>
      <c r="E642" s="67" t="s">
        <v>2</v>
      </c>
      <c r="F642" s="144" t="s">
        <v>16</v>
      </c>
      <c r="G642" s="146"/>
      <c r="H642" s="30"/>
      <c r="M642" s="30"/>
    </row>
    <row r="643" spans="2:13" ht="12.75" customHeight="1" x14ac:dyDescent="0.25">
      <c r="B643" s="68" t="s">
        <v>36</v>
      </c>
      <c r="C643" s="68" t="s">
        <v>110</v>
      </c>
      <c r="D643" s="69" t="s">
        <v>73</v>
      </c>
      <c r="E643" s="77" t="s">
        <v>6</v>
      </c>
      <c r="F643" s="144" t="s">
        <v>22</v>
      </c>
      <c r="G643" s="146"/>
      <c r="H643" s="32"/>
      <c r="M643" s="32"/>
    </row>
    <row r="644" spans="2:13" ht="12.75" customHeight="1" x14ac:dyDescent="0.25">
      <c r="B644" s="97" t="s">
        <v>98</v>
      </c>
      <c r="C644" s="40">
        <v>28579</v>
      </c>
      <c r="D644" s="40">
        <v>28564</v>
      </c>
      <c r="E644" s="40">
        <v>28586</v>
      </c>
      <c r="F644" s="48"/>
      <c r="G644" s="64">
        <v>0.09</v>
      </c>
      <c r="H644" s="32"/>
      <c r="M644" s="32"/>
    </row>
    <row r="645" spans="2:13" ht="12.75" customHeight="1" x14ac:dyDescent="0.25">
      <c r="B645" s="97" t="s">
        <v>99</v>
      </c>
      <c r="C645" s="40">
        <v>28671</v>
      </c>
      <c r="D645" s="40">
        <v>28643</v>
      </c>
      <c r="E645" s="40">
        <v>28677</v>
      </c>
      <c r="F645" s="48"/>
      <c r="G645" s="64">
        <v>0.09</v>
      </c>
      <c r="H645" s="32"/>
      <c r="M645" s="32"/>
    </row>
    <row r="646" spans="2:13" ht="12.75" customHeight="1" x14ac:dyDescent="0.25">
      <c r="B646" s="97" t="s">
        <v>38</v>
      </c>
      <c r="C646" s="40">
        <v>28731</v>
      </c>
      <c r="D646" s="40">
        <v>28741</v>
      </c>
      <c r="E646" s="11" t="s">
        <v>111</v>
      </c>
      <c r="F646" s="48"/>
      <c r="G646" s="64">
        <v>0.09</v>
      </c>
      <c r="H646" s="31"/>
      <c r="M646" s="31"/>
    </row>
    <row r="647" spans="2:13" ht="12.75" customHeight="1" x14ac:dyDescent="0.25">
      <c r="B647" s="97" t="s">
        <v>40</v>
      </c>
      <c r="C647" s="40">
        <v>28804</v>
      </c>
      <c r="D647" s="40">
        <v>28825</v>
      </c>
      <c r="E647" s="11" t="s">
        <v>112</v>
      </c>
      <c r="F647" s="48"/>
      <c r="G647" s="64">
        <v>0.09</v>
      </c>
      <c r="H647" s="31"/>
      <c r="M647" s="31"/>
    </row>
    <row r="648" spans="2:13" ht="12.75" customHeight="1" x14ac:dyDescent="0.25">
      <c r="B648" s="10" t="s">
        <v>18</v>
      </c>
      <c r="C648" s="29"/>
      <c r="D648" s="29"/>
      <c r="E648" s="29"/>
      <c r="F648" s="29"/>
      <c r="G648" s="32"/>
      <c r="H648" s="30"/>
      <c r="M648" s="30"/>
    </row>
    <row r="649" spans="2:13" ht="12.75" customHeight="1" x14ac:dyDescent="0.25">
      <c r="H649" s="30"/>
      <c r="M649" s="30"/>
    </row>
    <row r="650" spans="2:13" ht="12.75" customHeight="1" x14ac:dyDescent="0.25">
      <c r="H650" s="30"/>
      <c r="M650" s="30"/>
    </row>
    <row r="651" spans="2:13" ht="12.75" customHeight="1" x14ac:dyDescent="0.25">
      <c r="H651" s="30"/>
      <c r="M651" s="30"/>
    </row>
    <row r="652" spans="2:13" ht="12.75" customHeight="1" x14ac:dyDescent="0.25">
      <c r="H652" s="32"/>
      <c r="M652" s="32"/>
    </row>
  </sheetData>
  <mergeCells count="137">
    <mergeCell ref="F151:G151"/>
    <mergeCell ref="F208:G208"/>
    <mergeCell ref="F221:G221"/>
    <mergeCell ref="B148:G148"/>
    <mergeCell ref="I38:L38"/>
    <mergeCell ref="N38:P38"/>
    <mergeCell ref="I57:L57"/>
    <mergeCell ref="N57:P57"/>
    <mergeCell ref="I75:L75"/>
    <mergeCell ref="N75:P75"/>
    <mergeCell ref="B90:G90"/>
    <mergeCell ref="F57:G57"/>
    <mergeCell ref="B70:G70"/>
    <mergeCell ref="B52:G52"/>
    <mergeCell ref="B71:G71"/>
    <mergeCell ref="B53:G53"/>
    <mergeCell ref="B72:G72"/>
    <mergeCell ref="B54:G54"/>
    <mergeCell ref="F511:G511"/>
    <mergeCell ref="F510:G510"/>
    <mergeCell ref="F562:G562"/>
    <mergeCell ref="B246:G246"/>
    <mergeCell ref="F165:G165"/>
    <mergeCell ref="B176:G176"/>
    <mergeCell ref="F179:G179"/>
    <mergeCell ref="B191:G191"/>
    <mergeCell ref="B218:G218"/>
    <mergeCell ref="B232:G232"/>
    <mergeCell ref="F194:G194"/>
    <mergeCell ref="F277:G277"/>
    <mergeCell ref="B205:G205"/>
    <mergeCell ref="B288:G288"/>
    <mergeCell ref="F375:G375"/>
    <mergeCell ref="B385:G385"/>
    <mergeCell ref="F362:G362"/>
    <mergeCell ref="F263:G263"/>
    <mergeCell ref="F249:G249"/>
    <mergeCell ref="B260:G260"/>
    <mergeCell ref="B274:G274"/>
    <mergeCell ref="B302:G302"/>
    <mergeCell ref="B331:G331"/>
    <mergeCell ref="F348:G348"/>
    <mergeCell ref="F523:G523"/>
    <mergeCell ref="F643:G643"/>
    <mergeCell ref="F613:G613"/>
    <mergeCell ref="F614:G614"/>
    <mergeCell ref="F622:G622"/>
    <mergeCell ref="F623:G623"/>
    <mergeCell ref="F631:G631"/>
    <mergeCell ref="F632:G632"/>
    <mergeCell ref="F563:G563"/>
    <mergeCell ref="F642:G642"/>
    <mergeCell ref="F605:G605"/>
    <mergeCell ref="F595:G595"/>
    <mergeCell ref="F604:G604"/>
    <mergeCell ref="F574:G574"/>
    <mergeCell ref="F596:G596"/>
    <mergeCell ref="F585:G585"/>
    <mergeCell ref="F586:G586"/>
    <mergeCell ref="F573:G573"/>
    <mergeCell ref="F524:G524"/>
    <mergeCell ref="F550:G550"/>
    <mergeCell ref="F551:G551"/>
    <mergeCell ref="B570:G570"/>
    <mergeCell ref="F536:G536"/>
    <mergeCell ref="B437:G437"/>
    <mergeCell ref="F389:G389"/>
    <mergeCell ref="F319:G319"/>
    <mergeCell ref="B417:B418"/>
    <mergeCell ref="F417:F418"/>
    <mergeCell ref="G417:G418"/>
    <mergeCell ref="C417:C418"/>
    <mergeCell ref="B398:G398"/>
    <mergeCell ref="B507:G507"/>
    <mergeCell ref="B372:G372"/>
    <mergeCell ref="B345:G345"/>
    <mergeCell ref="F334:G334"/>
    <mergeCell ref="B359:G359"/>
    <mergeCell ref="F426:G426"/>
    <mergeCell ref="F427:G427"/>
    <mergeCell ref="F472:G472"/>
    <mergeCell ref="B481:G481"/>
    <mergeCell ref="B482:G482"/>
    <mergeCell ref="B400:G401"/>
    <mergeCell ref="F485:G485"/>
    <mergeCell ref="F486:G486"/>
    <mergeCell ref="F499:G499"/>
    <mergeCell ref="F500:G500"/>
    <mergeCell ref="F438:G438"/>
    <mergeCell ref="F412:G412"/>
    <mergeCell ref="B34:G34"/>
    <mergeCell ref="B2:G2"/>
    <mergeCell ref="F107:G107"/>
    <mergeCell ref="B118:G118"/>
    <mergeCell ref="F121:G121"/>
    <mergeCell ref="B133:G133"/>
    <mergeCell ref="B4:G4"/>
    <mergeCell ref="F75:G75"/>
    <mergeCell ref="B89:G89"/>
    <mergeCell ref="F94:G94"/>
    <mergeCell ref="B91:G91"/>
    <mergeCell ref="F38:G38"/>
    <mergeCell ref="F20:G20"/>
    <mergeCell ref="F6:G6"/>
    <mergeCell ref="B17:G17"/>
    <mergeCell ref="B35:G35"/>
    <mergeCell ref="F305:G305"/>
    <mergeCell ref="B316:G316"/>
    <mergeCell ref="F291:G291"/>
    <mergeCell ref="F235:G235"/>
    <mergeCell ref="B104:G104"/>
    <mergeCell ref="B162:G162"/>
    <mergeCell ref="F136:G136"/>
    <mergeCell ref="I6:L6"/>
    <mergeCell ref="N6:P6"/>
    <mergeCell ref="I20:L20"/>
    <mergeCell ref="N20:P20"/>
    <mergeCell ref="F537:G537"/>
    <mergeCell ref="B559:G559"/>
    <mergeCell ref="F439:G439"/>
    <mergeCell ref="B402:G403"/>
    <mergeCell ref="B404:G405"/>
    <mergeCell ref="B406:G407"/>
    <mergeCell ref="B408:G409"/>
    <mergeCell ref="F471:G471"/>
    <mergeCell ref="B532:G532"/>
    <mergeCell ref="B520:G520"/>
    <mergeCell ref="B496:G496"/>
    <mergeCell ref="F449:G449"/>
    <mergeCell ref="F450:G450"/>
    <mergeCell ref="F460:G460"/>
    <mergeCell ref="F461:G461"/>
    <mergeCell ref="B495:G495"/>
    <mergeCell ref="B494:G494"/>
    <mergeCell ref="B480:G480"/>
    <mergeCell ref="B422:G422"/>
    <mergeCell ref="D417:D418"/>
  </mergeCells>
  <phoneticPr fontId="0" type="noConversion"/>
  <pageMargins left="0.78740157499999996" right="0.78740157499999996" top="0.984251969" bottom="0.984251969" header="0.49212598499999999" footer="0.49212598499999999"/>
  <pageSetup paperSize="9" scale="77" orientation="portrait" horizontalDpi="355" verticalDpi="355" r:id="rId1"/>
  <headerFooter alignWithMargins="0">
    <oddFooter>&amp;C&amp;1#&amp;"Calibri"&amp;9&amp;K737373Informação Interna</oddFooter>
  </headerFooter>
  <rowBreaks count="8" manualBreakCount="8">
    <brk id="153" max="16383" man="1"/>
    <brk id="223" max="16383" man="1"/>
    <brk id="293" max="16383" man="1"/>
    <brk id="364" max="16383" man="1"/>
    <brk id="428" max="16383" man="1"/>
    <brk id="487" max="16383" man="1"/>
    <brk id="552" max="16383" man="1"/>
    <brk id="606" max="16383" man="1"/>
  </rowBreaks>
  <customProperties>
    <customPr name="EpmWorksheetKeyString_GUID" r:id="rId2"/>
  </customProperties>
  <ignoredErrors>
    <ignoredError sqref="F84 J84 F43:G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"/>
  <sheetViews>
    <sheetView showGridLines="0" zoomScaleNormal="100" workbookViewId="0"/>
  </sheetViews>
  <sheetFormatPr defaultColWidth="9.1796875" defaultRowHeight="12.5" x14ac:dyDescent="0.25"/>
  <cols>
    <col min="1" max="1" width="2.54296875" style="3" customWidth="1"/>
    <col min="2" max="2" width="12.54296875" style="3" customWidth="1"/>
    <col min="3" max="3" width="20.54296875" style="3" bestFit="1" customWidth="1"/>
    <col min="4" max="4" width="22.6328125" style="3" bestFit="1" customWidth="1"/>
    <col min="5" max="5" width="20.54296875" style="3" bestFit="1" customWidth="1"/>
    <col min="6" max="6" width="22.6328125" style="3" bestFit="1" customWidth="1"/>
    <col min="7" max="7" width="14.453125" style="3" bestFit="1" customWidth="1"/>
    <col min="8" max="16384" width="9.1796875" style="3"/>
  </cols>
  <sheetData>
    <row r="2" spans="2:7" customFormat="1" ht="15.5" x14ac:dyDescent="0.25">
      <c r="B2" s="153" t="s">
        <v>101</v>
      </c>
      <c r="C2" s="153"/>
      <c r="D2" s="153"/>
      <c r="E2" s="153"/>
      <c r="F2" s="153"/>
      <c r="G2" s="153"/>
    </row>
    <row r="3" spans="2:7" customFormat="1" ht="15.5" x14ac:dyDescent="0.35">
      <c r="B3" s="9"/>
      <c r="C3" s="7"/>
      <c r="D3" s="8"/>
      <c r="E3" s="8"/>
    </row>
    <row r="4" spans="2:7" customFormat="1" ht="13.5" customHeight="1" thickBot="1" x14ac:dyDescent="0.3">
      <c r="B4" s="154" t="s">
        <v>304</v>
      </c>
      <c r="C4" s="154"/>
      <c r="D4" s="154"/>
      <c r="E4" s="154"/>
      <c r="F4" s="154"/>
      <c r="G4" s="154"/>
    </row>
    <row r="6" spans="2:7" s="10" customFormat="1" ht="21" x14ac:dyDescent="0.25">
      <c r="B6" s="162" t="s">
        <v>305</v>
      </c>
      <c r="C6" s="73" t="s">
        <v>298</v>
      </c>
      <c r="D6" s="72" t="s">
        <v>306</v>
      </c>
      <c r="E6" s="73" t="s">
        <v>299</v>
      </c>
      <c r="F6" s="72" t="s">
        <v>307</v>
      </c>
      <c r="G6" s="72" t="s">
        <v>65</v>
      </c>
    </row>
    <row r="7" spans="2:7" s="10" customFormat="1" ht="15" customHeight="1" x14ac:dyDescent="0.25">
      <c r="B7" s="163"/>
      <c r="C7" s="74" t="s">
        <v>100</v>
      </c>
      <c r="D7" s="74" t="s">
        <v>372</v>
      </c>
      <c r="E7" s="74" t="s">
        <v>100</v>
      </c>
      <c r="F7" s="74" t="s">
        <v>371</v>
      </c>
      <c r="G7" s="74" t="s">
        <v>100</v>
      </c>
    </row>
    <row r="8" spans="2:7" s="10" customFormat="1" ht="15" customHeight="1" x14ac:dyDescent="0.25">
      <c r="B8" s="11">
        <v>2025</v>
      </c>
      <c r="C8" s="124">
        <f>SUM('Histórico de Proventos'!O8:O15)/1000</f>
        <v>12446360.088246131</v>
      </c>
      <c r="D8" s="125">
        <f>SUM('Histórico de Proventos'!F8:F15)/1000</f>
        <v>1.1326820000000004</v>
      </c>
      <c r="E8" s="1">
        <f>SUM('Histórico de Proventos'!P8:P15)/1000</f>
        <v>11857766.685011638</v>
      </c>
      <c r="F8" s="125">
        <f>SUM('Histórico de Proventos'!G8:G15)/1000</f>
        <v>1.0790840000000002</v>
      </c>
      <c r="G8" s="124">
        <v>1000000</v>
      </c>
    </row>
    <row r="9" spans="2:7" s="10" customFormat="1" ht="15" customHeight="1" x14ac:dyDescent="0.25">
      <c r="B9" s="11">
        <v>2024</v>
      </c>
      <c r="C9" s="124">
        <f>SUM('Histórico de Proventos'!O22:O32)/1000</f>
        <v>10322536.901719499</v>
      </c>
      <c r="D9" s="125">
        <f>SUM('Histórico de Proventos'!F22:F32)/1000</f>
        <v>0.96670800000000001</v>
      </c>
      <c r="E9" s="1">
        <f>SUM('Histórico de Proventos'!P22:P32)/1000</f>
        <v>9587912.4898734502</v>
      </c>
      <c r="F9" s="125">
        <f>SUM('Histórico de Proventos'!G22:G32)/1000</f>
        <v>0.89676</v>
      </c>
      <c r="G9" s="124">
        <v>7000000</v>
      </c>
    </row>
    <row r="10" spans="2:7" s="10" customFormat="1" ht="15" customHeight="1" x14ac:dyDescent="0.25">
      <c r="B10" s="11">
        <v>2023</v>
      </c>
      <c r="C10" s="1">
        <f>SUM('Histórico de Proventos'!O40:O50)/1000</f>
        <v>8854968.6232465152</v>
      </c>
      <c r="D10" s="2">
        <f>SUM('Histórico de Proventos'!F40:F50)/1000</f>
        <v>0.88521799999999984</v>
      </c>
      <c r="E10" s="1">
        <f>SUM('Histórico de Proventos'!P40:P50)/1000</f>
        <v>7992194.0485404897</v>
      </c>
      <c r="F10" s="2">
        <f>SUM('Histórico de Proventos'!G40:G50)/1000</f>
        <v>0.79750999999999994</v>
      </c>
      <c r="G10" s="1">
        <v>8812000</v>
      </c>
    </row>
    <row r="11" spans="2:7" s="10" customFormat="1" ht="15" customHeight="1" x14ac:dyDescent="0.25">
      <c r="B11" s="11">
        <v>2022</v>
      </c>
      <c r="C11" s="1">
        <f>SUM('Histórico de Proventos'!O59:O68)/1000</f>
        <v>4697580.4523374178</v>
      </c>
      <c r="D11" s="2">
        <f>SUM('Histórico de Proventos'!F59:F68)/1000</f>
        <v>0.5042279999999999</v>
      </c>
      <c r="E11" s="1">
        <f>SUM('Histórico de Proventos'!P59:P68)/1000</f>
        <v>3992940.6063558417</v>
      </c>
      <c r="F11" s="2">
        <f>SUM('Histórico de Proventos'!G59:G68)/1000</f>
        <v>0.42859350000000002</v>
      </c>
      <c r="G11" s="1">
        <v>0</v>
      </c>
    </row>
    <row r="12" spans="2:7" s="10" customFormat="1" ht="15" customHeight="1" x14ac:dyDescent="0.25">
      <c r="B12" s="11">
        <v>2021</v>
      </c>
      <c r="C12" s="1">
        <f>SUM('Histórico de Proventos'!O77:O87)/1000</f>
        <v>4156591.2806768855</v>
      </c>
      <c r="D12" s="2">
        <f>SUM('Histórico de Proventos'!F77:F87)/1000</f>
        <v>0.48670899999999984</v>
      </c>
      <c r="E12" s="1">
        <f>SUM('Histórico de Proventos'!P77:P87)/1000</f>
        <v>3583521.8394517954</v>
      </c>
      <c r="F12" s="2">
        <f>SUM('Histórico de Proventos'!G77:G87)/1000</f>
        <v>0.41969910000000005</v>
      </c>
      <c r="G12" s="1">
        <v>0</v>
      </c>
    </row>
    <row r="13" spans="2:7" s="10" customFormat="1" ht="15" customHeight="1" x14ac:dyDescent="0.25">
      <c r="B13" s="11">
        <v>2020</v>
      </c>
      <c r="C13" s="1">
        <v>1870985.7811785003</v>
      </c>
      <c r="D13" s="2">
        <v>0.22245000000000001</v>
      </c>
      <c r="E13" s="1">
        <v>1716500.1379517249</v>
      </c>
      <c r="F13" s="2">
        <v>0.2040825</v>
      </c>
      <c r="G13" s="1">
        <v>0</v>
      </c>
    </row>
    <row r="14" spans="2:7" s="10" customFormat="1" ht="15" customHeight="1" x14ac:dyDescent="0.25">
      <c r="B14" s="11">
        <v>2019</v>
      </c>
      <c r="C14" s="1">
        <v>7316147.4277500007</v>
      </c>
      <c r="D14" s="2">
        <v>0.86985000000000012</v>
      </c>
      <c r="E14" s="1">
        <v>7034364.0982125001</v>
      </c>
      <c r="F14" s="2">
        <v>0.83634750000000002</v>
      </c>
      <c r="G14" s="1">
        <v>0</v>
      </c>
    </row>
    <row r="15" spans="2:7" s="10" customFormat="1" ht="15" customHeight="1" x14ac:dyDescent="0.25">
      <c r="B15" s="11">
        <v>2018</v>
      </c>
      <c r="C15" s="1">
        <v>8841378</v>
      </c>
      <c r="D15" s="2">
        <v>1.0511999999999999</v>
      </c>
      <c r="E15" s="1">
        <v>8426563</v>
      </c>
      <c r="F15" s="2">
        <v>1.0018800000000001</v>
      </c>
      <c r="G15" s="1">
        <v>0</v>
      </c>
    </row>
    <row r="16" spans="2:7" s="10" customFormat="1" ht="15" customHeight="1" x14ac:dyDescent="0.25">
      <c r="B16" s="11">
        <v>2017</v>
      </c>
      <c r="C16" s="1">
        <v>7296969</v>
      </c>
      <c r="D16" s="2">
        <v>0.97631000000000001</v>
      </c>
      <c r="E16" s="1">
        <v>6600733</v>
      </c>
      <c r="F16" s="2">
        <v>0.88315100000000002</v>
      </c>
      <c r="G16" s="1">
        <v>1370000</v>
      </c>
    </row>
    <row r="17" spans="2:7" s="10" customFormat="1" ht="15" customHeight="1" x14ac:dyDescent="0.25">
      <c r="B17" s="11">
        <v>2016</v>
      </c>
      <c r="C17" s="1">
        <v>4315039</v>
      </c>
      <c r="D17" s="2">
        <v>0.58279999999999998</v>
      </c>
      <c r="E17" s="1">
        <v>3734473</v>
      </c>
      <c r="F17" s="2">
        <v>0.50438000000000005</v>
      </c>
      <c r="G17" s="1">
        <v>740000</v>
      </c>
    </row>
    <row r="18" spans="2:7" s="10" customFormat="1" ht="15" customHeight="1" x14ac:dyDescent="0.25">
      <c r="B18" s="11">
        <v>2015</v>
      </c>
      <c r="C18" s="1">
        <v>3034528</v>
      </c>
      <c r="D18" s="2">
        <f>SUM('Histórico de Proventos'!F167:F174)/1000</f>
        <v>0.44919999999999999</v>
      </c>
      <c r="E18" s="1">
        <v>2716653</v>
      </c>
      <c r="F18" s="2">
        <f>SUM('Histórico de Proventos'!G167:G174)/1000</f>
        <v>0.40214499999999997</v>
      </c>
      <c r="G18" s="1">
        <v>0</v>
      </c>
    </row>
    <row r="19" spans="2:7" s="10" customFormat="1" ht="15" customHeight="1" x14ac:dyDescent="0.25">
      <c r="B19" s="11">
        <v>2014</v>
      </c>
      <c r="C19" s="1">
        <v>2704762</v>
      </c>
      <c r="D19" s="2">
        <v>0.44331999999999999</v>
      </c>
      <c r="E19" s="1">
        <v>2437792</v>
      </c>
      <c r="F19" s="2">
        <v>0.39956199999999997</v>
      </c>
      <c r="G19" s="1">
        <v>300000</v>
      </c>
    </row>
    <row r="20" spans="2:7" s="10" customFormat="1" ht="15" customHeight="1" x14ac:dyDescent="0.25">
      <c r="B20" s="11">
        <v>2013</v>
      </c>
      <c r="C20" s="1">
        <v>2151177.7108296002</v>
      </c>
      <c r="D20" s="2">
        <v>0.39360000000000001</v>
      </c>
      <c r="E20" s="1">
        <v>1877425.5210891599</v>
      </c>
      <c r="F20" s="2">
        <v>0.34356000000000003</v>
      </c>
      <c r="G20" s="1">
        <v>525000</v>
      </c>
    </row>
    <row r="21" spans="2:7" s="10" customFormat="1" ht="15" customHeight="1" x14ac:dyDescent="0.25">
      <c r="B21" s="12">
        <v>2012</v>
      </c>
      <c r="C21" s="1">
        <v>1904082.1886216002</v>
      </c>
      <c r="D21" s="2">
        <v>0.39279999999999993</v>
      </c>
      <c r="E21" s="1">
        <v>1662096.9980513598</v>
      </c>
      <c r="F21" s="2">
        <v>0.34287999999999996</v>
      </c>
      <c r="G21" s="1">
        <v>900000</v>
      </c>
    </row>
    <row r="22" spans="2:7" s="10" customFormat="1" ht="15" customHeight="1" x14ac:dyDescent="0.25">
      <c r="B22" s="11">
        <v>2011</v>
      </c>
      <c r="C22" s="1">
        <v>1858610.9960813001</v>
      </c>
      <c r="D22" s="2">
        <v>0.42170000000000002</v>
      </c>
      <c r="E22" s="1">
        <v>1616775.2020167052</v>
      </c>
      <c r="F22" s="2">
        <v>0.36684500000000003</v>
      </c>
      <c r="G22" s="1">
        <v>0</v>
      </c>
    </row>
    <row r="23" spans="2:7" s="10" customFormat="1" ht="15" customHeight="1" x14ac:dyDescent="0.25">
      <c r="B23" s="11">
        <v>2010</v>
      </c>
      <c r="C23" s="1">
        <v>1635543.8861270999</v>
      </c>
      <c r="D23" s="2">
        <v>0.37390000000000001</v>
      </c>
      <c r="E23" s="1">
        <v>1426956.2685556349</v>
      </c>
      <c r="F23" s="2">
        <v>0.32621499999999998</v>
      </c>
      <c r="G23" s="1">
        <v>412000</v>
      </c>
    </row>
    <row r="24" spans="2:7" s="10" customFormat="1" ht="15" customHeight="1" x14ac:dyDescent="0.25">
      <c r="B24" s="11">
        <v>2009</v>
      </c>
      <c r="C24" s="1">
        <v>1406671</v>
      </c>
      <c r="D24" s="2">
        <v>0.32365739999999998</v>
      </c>
      <c r="E24" s="1">
        <v>1232180.5966666655</v>
      </c>
      <c r="F24" s="2">
        <v>0.28350878999999996</v>
      </c>
      <c r="G24" s="1">
        <v>266000</v>
      </c>
    </row>
    <row r="25" spans="2:7" s="10" customFormat="1" ht="15" customHeight="1" x14ac:dyDescent="0.25">
      <c r="B25" s="11">
        <v>2008</v>
      </c>
      <c r="C25" s="1">
        <v>1596841</v>
      </c>
      <c r="D25" s="2">
        <v>0.41139999999999999</v>
      </c>
      <c r="E25" s="1">
        <v>1415246</v>
      </c>
      <c r="F25" s="2">
        <v>0.36461499999999997</v>
      </c>
      <c r="G25" s="1">
        <v>450000</v>
      </c>
    </row>
    <row r="26" spans="2:7" s="10" customFormat="1" ht="15" customHeight="1" x14ac:dyDescent="0.25">
      <c r="B26" s="11">
        <v>2007</v>
      </c>
      <c r="C26" s="1">
        <v>1340336</v>
      </c>
      <c r="D26" s="2">
        <v>0.3800072590326099</v>
      </c>
      <c r="E26" s="1">
        <v>1164689</v>
      </c>
      <c r="F26" s="2">
        <v>0.33020617017771836</v>
      </c>
      <c r="G26" s="1">
        <v>250000</v>
      </c>
    </row>
    <row r="27" spans="2:7" s="10" customFormat="1" ht="15" customHeight="1" x14ac:dyDescent="0.25">
      <c r="B27" s="11">
        <v>2006</v>
      </c>
      <c r="C27" s="1">
        <v>1301953.21162385</v>
      </c>
      <c r="D27" s="2">
        <f>409.23/1000</f>
        <v>0.40923000000000004</v>
      </c>
      <c r="E27" s="1">
        <v>1106659.6298802726</v>
      </c>
      <c r="F27" s="2">
        <v>0.34784550000000003</v>
      </c>
      <c r="G27" s="1">
        <v>300000</v>
      </c>
    </row>
    <row r="28" spans="2:7" s="10" customFormat="1" ht="15" customHeight="1" x14ac:dyDescent="0.25">
      <c r="B28" s="11">
        <v>2005</v>
      </c>
      <c r="C28" s="1">
        <v>891786.15733999992</v>
      </c>
      <c r="D28" s="2">
        <f>280/1000</f>
        <v>0.28000000000000003</v>
      </c>
      <c r="E28" s="1">
        <v>758018.23373899981</v>
      </c>
      <c r="F28" s="2">
        <v>0.23799999999999999</v>
      </c>
      <c r="G28" s="13">
        <v>100000</v>
      </c>
    </row>
    <row r="29" spans="2:7" s="10" customFormat="1" ht="15" customHeight="1" x14ac:dyDescent="0.25">
      <c r="B29" s="11">
        <v>2004</v>
      </c>
      <c r="C29" s="1">
        <v>696775</v>
      </c>
      <c r="D29" s="2">
        <f>216.08/1000</f>
        <v>0.21608000000000002</v>
      </c>
      <c r="E29" s="1">
        <v>592259</v>
      </c>
      <c r="F29" s="2">
        <v>0.18365999999999999</v>
      </c>
      <c r="G29" s="13">
        <v>100000</v>
      </c>
    </row>
    <row r="30" spans="2:7" s="10" customFormat="1" ht="15" customHeight="1" x14ac:dyDescent="0.25">
      <c r="B30" s="11">
        <v>2003</v>
      </c>
      <c r="C30" s="1">
        <v>613242</v>
      </c>
      <c r="D30" s="2">
        <f>191/1000</f>
        <v>0.191</v>
      </c>
      <c r="E30" s="1">
        <v>521256</v>
      </c>
      <c r="F30" s="2">
        <v>0.16234999999999999</v>
      </c>
      <c r="G30" s="13">
        <v>158500</v>
      </c>
    </row>
    <row r="31" spans="2:7" s="10" customFormat="1" ht="15" customHeight="1" x14ac:dyDescent="0.25">
      <c r="B31" s="11">
        <v>2002</v>
      </c>
      <c r="C31" s="1">
        <v>414561</v>
      </c>
      <c r="D31" s="2">
        <f>131.67/1000</f>
        <v>0.13166999999999998</v>
      </c>
      <c r="E31" s="1">
        <v>352377</v>
      </c>
      <c r="F31" s="2">
        <v>0.11192000000000002</v>
      </c>
      <c r="G31" s="13">
        <v>116700</v>
      </c>
    </row>
    <row r="32" spans="2:7" s="10" customFormat="1" ht="15" customHeight="1" x14ac:dyDescent="0.25">
      <c r="B32" s="11">
        <v>2001</v>
      </c>
      <c r="C32" s="1">
        <v>394713</v>
      </c>
      <c r="D32" s="2">
        <f>128.55/1000</f>
        <v>0.12855</v>
      </c>
      <c r="E32" s="1">
        <v>335506</v>
      </c>
      <c r="F32" s="2">
        <v>0.10926750000000002</v>
      </c>
      <c r="G32" s="13">
        <v>148765</v>
      </c>
    </row>
    <row r="33" spans="2:7" s="10" customFormat="1" ht="15" customHeight="1" x14ac:dyDescent="0.25">
      <c r="B33" s="11">
        <v>2000</v>
      </c>
      <c r="C33" s="1">
        <v>333164</v>
      </c>
      <c r="D33" s="2">
        <f>112.08/1000</f>
        <v>0.11208</v>
      </c>
      <c r="E33" s="1">
        <v>283189</v>
      </c>
      <c r="F33" s="2">
        <v>9.5264500000000002E-2</v>
      </c>
      <c r="G33" s="13">
        <v>135000</v>
      </c>
    </row>
    <row r="34" spans="2:7" s="10" customFormat="1" ht="15" customHeight="1" x14ac:dyDescent="0.25">
      <c r="B34" s="11">
        <v>1999</v>
      </c>
      <c r="C34" s="1">
        <v>250663</v>
      </c>
      <c r="D34" s="2">
        <f>85.48/1000</f>
        <v>8.548E-2</v>
      </c>
      <c r="E34" s="1">
        <v>213064</v>
      </c>
      <c r="F34" s="2">
        <v>7.2658E-2</v>
      </c>
      <c r="G34" s="13">
        <v>88500</v>
      </c>
    </row>
    <row r="35" spans="2:7" s="10" customFormat="1" ht="15" customHeight="1" x14ac:dyDescent="0.25">
      <c r="B35" s="11">
        <v>1998</v>
      </c>
      <c r="C35" s="1">
        <v>208545</v>
      </c>
      <c r="D35" s="2">
        <f>67.81/1000</f>
        <v>6.7810000000000009E-2</v>
      </c>
      <c r="E35" s="1">
        <v>184229</v>
      </c>
      <c r="F35" s="2">
        <v>5.987350000000001E-2</v>
      </c>
      <c r="G35" s="13">
        <v>60000</v>
      </c>
    </row>
    <row r="36" spans="2:7" s="10" customFormat="1" ht="15" customHeight="1" x14ac:dyDescent="0.25">
      <c r="B36" s="11">
        <v>1997</v>
      </c>
      <c r="C36" s="1">
        <v>121398</v>
      </c>
      <c r="D36" s="2">
        <f>38.86/1000</f>
        <v>3.8859999999999999E-2</v>
      </c>
      <c r="E36" s="79">
        <v>0</v>
      </c>
      <c r="F36" s="2">
        <v>0</v>
      </c>
      <c r="G36" s="80">
        <v>0</v>
      </c>
    </row>
    <row r="38" spans="2:7" ht="13.5" x14ac:dyDescent="0.3">
      <c r="B38" s="4"/>
      <c r="C38" s="5"/>
      <c r="D38" s="4"/>
      <c r="E38" s="4"/>
      <c r="F38" s="4"/>
    </row>
  </sheetData>
  <mergeCells count="3">
    <mergeCell ref="B6:B7"/>
    <mergeCell ref="B4:G4"/>
    <mergeCell ref="B2:G2"/>
  </mergeCell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&amp;C&amp;1#&amp;"Calibri"&amp;9&amp;K737373Informação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F6F-F5E4-455E-BA72-39A68459CB5C}">
  <dimension ref="A1:G20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customWidth="1"/>
    <col min="3" max="3" width="14.453125" style="126" bestFit="1" customWidth="1"/>
    <col min="4" max="4" width="12.90625" style="126" bestFit="1" customWidth="1"/>
    <col min="5" max="5" width="8.81640625" style="126" bestFit="1" customWidth="1"/>
    <col min="6" max="6" width="43.36328125" style="126" bestFit="1" customWidth="1"/>
    <col min="7" max="7" width="2.54296875" style="126" customWidth="1"/>
    <col min="8" max="8" width="26.81640625" style="126" bestFit="1" customWidth="1"/>
    <col min="9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30"/>
      <c r="E3" s="130"/>
      <c r="F3" s="130"/>
      <c r="G3" s="126"/>
    </row>
    <row r="4" spans="1:7" ht="13.5" thickBot="1" x14ac:dyDescent="0.3">
      <c r="B4" s="165" t="s">
        <v>347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349</v>
      </c>
      <c r="E6" s="131" t="s">
        <v>350</v>
      </c>
      <c r="F6" s="132" t="s">
        <v>67</v>
      </c>
    </row>
    <row r="7" spans="1:7" ht="15" customHeight="1" x14ac:dyDescent="0.25">
      <c r="B7" s="133">
        <v>46006</v>
      </c>
      <c r="C7" s="133">
        <v>46009</v>
      </c>
      <c r="D7" s="134" t="s">
        <v>373</v>
      </c>
      <c r="E7" s="135">
        <v>0.02</v>
      </c>
      <c r="F7" s="137" t="s">
        <v>374</v>
      </c>
    </row>
    <row r="8" spans="1:7" ht="15" customHeight="1" x14ac:dyDescent="0.25">
      <c r="B8" s="133">
        <v>45607</v>
      </c>
      <c r="C8" s="133">
        <v>45628</v>
      </c>
      <c r="D8" s="134" t="s">
        <v>351</v>
      </c>
      <c r="E8" s="135">
        <v>0.05</v>
      </c>
      <c r="F8" s="137" t="s">
        <v>352</v>
      </c>
    </row>
    <row r="9" spans="1:7" ht="15" customHeight="1" x14ac:dyDescent="0.25">
      <c r="B9" s="133">
        <v>45252</v>
      </c>
      <c r="C9" s="133" t="s">
        <v>326</v>
      </c>
      <c r="D9" s="134" t="s">
        <v>353</v>
      </c>
      <c r="E9" s="135">
        <v>0.05</v>
      </c>
      <c r="F9" s="137" t="s">
        <v>352</v>
      </c>
    </row>
    <row r="10" spans="1:7" ht="15" customHeight="1" x14ac:dyDescent="0.25">
      <c r="B10" s="133">
        <v>44872</v>
      </c>
      <c r="C10" s="133">
        <v>44875</v>
      </c>
      <c r="D10" s="134" t="s">
        <v>354</v>
      </c>
      <c r="E10" s="135">
        <v>0.1</v>
      </c>
      <c r="F10" s="137" t="s">
        <v>355</v>
      </c>
    </row>
    <row r="11" spans="1:7" ht="15" customHeight="1" x14ac:dyDescent="0.25">
      <c r="B11" s="133">
        <v>44543</v>
      </c>
      <c r="C11" s="133">
        <v>44550</v>
      </c>
      <c r="D11" s="134" t="s">
        <v>356</v>
      </c>
      <c r="E11" s="135">
        <v>0.05</v>
      </c>
      <c r="F11" s="137" t="s">
        <v>352</v>
      </c>
    </row>
    <row r="12" spans="1:7" ht="15" customHeight="1" x14ac:dyDescent="0.25">
      <c r="B12" s="133">
        <v>43244</v>
      </c>
      <c r="C12" s="133">
        <v>43250</v>
      </c>
      <c r="D12" s="134" t="s">
        <v>357</v>
      </c>
      <c r="E12" s="135">
        <v>0.1</v>
      </c>
      <c r="F12" s="137" t="s">
        <v>355</v>
      </c>
    </row>
    <row r="13" spans="1:7" ht="15" customHeight="1" x14ac:dyDescent="0.25">
      <c r="B13" s="136">
        <v>42489</v>
      </c>
      <c r="C13" s="136">
        <v>42489</v>
      </c>
      <c r="D13" s="134" t="s">
        <v>358</v>
      </c>
      <c r="E13" s="135">
        <v>0.1</v>
      </c>
      <c r="F13" s="137" t="s">
        <v>355</v>
      </c>
    </row>
    <row r="14" spans="1:7" ht="15" customHeight="1" x14ac:dyDescent="0.25">
      <c r="B14" s="136">
        <v>42094</v>
      </c>
      <c r="C14" s="136">
        <v>42128</v>
      </c>
      <c r="D14" s="134" t="s">
        <v>359</v>
      </c>
      <c r="E14" s="135">
        <v>0.1</v>
      </c>
      <c r="F14" s="137" t="s">
        <v>355</v>
      </c>
    </row>
    <row r="15" spans="1:7" ht="15" customHeight="1" x14ac:dyDescent="0.25">
      <c r="B15" s="136">
        <v>41757</v>
      </c>
      <c r="C15" s="136">
        <v>41761</v>
      </c>
      <c r="D15" s="134" t="s">
        <v>360</v>
      </c>
      <c r="E15" s="135">
        <v>0.1</v>
      </c>
      <c r="F15" s="137" t="s">
        <v>355</v>
      </c>
    </row>
    <row r="16" spans="1:7" ht="15" customHeight="1" x14ac:dyDescent="0.25">
      <c r="B16" s="136">
        <v>41394</v>
      </c>
      <c r="C16" s="136">
        <v>41394</v>
      </c>
      <c r="D16" s="134" t="s">
        <v>361</v>
      </c>
      <c r="E16" s="135">
        <v>0.1</v>
      </c>
      <c r="F16" s="137" t="s">
        <v>362</v>
      </c>
    </row>
    <row r="17" spans="2:6" ht="15" customHeight="1" x14ac:dyDescent="0.25">
      <c r="B17" s="136">
        <v>41025</v>
      </c>
      <c r="C17" s="136">
        <v>41025</v>
      </c>
      <c r="D17" s="134" t="s">
        <v>363</v>
      </c>
      <c r="E17" s="135">
        <v>0.1</v>
      </c>
      <c r="F17" s="137" t="s">
        <v>362</v>
      </c>
    </row>
    <row r="18" spans="2:6" ht="15" customHeight="1" x14ac:dyDescent="0.25">
      <c r="B18" s="136">
        <v>39933</v>
      </c>
      <c r="C18" s="136">
        <v>39933</v>
      </c>
      <c r="D18" s="134" t="s">
        <v>364</v>
      </c>
      <c r="E18" s="135">
        <v>0.1</v>
      </c>
      <c r="F18" s="137" t="s">
        <v>362</v>
      </c>
    </row>
    <row r="19" spans="2:6" ht="15" customHeight="1" x14ac:dyDescent="0.25">
      <c r="B19" s="136">
        <v>39567</v>
      </c>
      <c r="C19" s="136">
        <v>39567</v>
      </c>
      <c r="D19" s="134" t="s">
        <v>365</v>
      </c>
      <c r="E19" s="135">
        <v>0.1</v>
      </c>
      <c r="F19" s="137" t="s">
        <v>362</v>
      </c>
    </row>
    <row r="20" spans="2:6" ht="15" customHeight="1" x14ac:dyDescent="0.25">
      <c r="B20" s="136">
        <v>39199</v>
      </c>
      <c r="C20" s="136">
        <v>39199</v>
      </c>
      <c r="D20" s="134" t="s">
        <v>366</v>
      </c>
      <c r="E20" s="135">
        <v>0.1</v>
      </c>
      <c r="F20" s="137" t="s">
        <v>362</v>
      </c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9D0F-A394-4EC5-BB83-3DA930198C26}">
  <dimension ref="A1:G32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bestFit="1" customWidth="1"/>
    <col min="3" max="3" width="14.453125" style="126" bestFit="1" customWidth="1"/>
    <col min="4" max="4" width="14.36328125" style="126" bestFit="1" customWidth="1"/>
    <col min="5" max="5" width="14.453125" style="126" customWidth="1"/>
    <col min="6" max="6" width="53.1796875" style="126" bestFit="1" customWidth="1"/>
    <col min="7" max="7" width="2.54296875" style="126" customWidth="1"/>
    <col min="8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29"/>
      <c r="E3" s="129"/>
      <c r="F3" s="130"/>
      <c r="G3" s="126"/>
    </row>
    <row r="4" spans="1:7" ht="13.5" thickBot="1" x14ac:dyDescent="0.3">
      <c r="B4" s="165" t="s">
        <v>367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368</v>
      </c>
      <c r="E6" s="131" t="s">
        <v>369</v>
      </c>
      <c r="F6" s="132" t="s">
        <v>67</v>
      </c>
    </row>
    <row r="7" spans="1:7" ht="15" customHeight="1" x14ac:dyDescent="0.25">
      <c r="B7" s="133">
        <v>45698</v>
      </c>
      <c r="C7" s="133">
        <v>45705</v>
      </c>
      <c r="D7" s="138">
        <v>6.7</v>
      </c>
      <c r="E7" s="139">
        <v>1.3766677999999999E-2</v>
      </c>
      <c r="F7" s="140" t="s">
        <v>370</v>
      </c>
    </row>
    <row r="8" spans="1:7" ht="15" customHeight="1" x14ac:dyDescent="0.25">
      <c r="B8" s="133">
        <v>45152</v>
      </c>
      <c r="C8" s="133">
        <v>45155</v>
      </c>
      <c r="D8" s="138">
        <v>6.5</v>
      </c>
      <c r="E8" s="139">
        <v>1.3907574359999999E-2</v>
      </c>
      <c r="F8" s="140" t="s">
        <v>323</v>
      </c>
    </row>
    <row r="9" spans="1:7" ht="15" customHeight="1" x14ac:dyDescent="0.25">
      <c r="B9" s="133">
        <v>43150</v>
      </c>
      <c r="C9" s="133">
        <v>43153</v>
      </c>
      <c r="D9" s="138">
        <v>7.8</v>
      </c>
      <c r="E9" s="141">
        <v>2.3501435000000001E-2</v>
      </c>
      <c r="F9" s="140" t="s">
        <v>308</v>
      </c>
    </row>
    <row r="10" spans="1:7" ht="15" customHeight="1" x14ac:dyDescent="0.25">
      <c r="B10" s="136">
        <v>42779</v>
      </c>
      <c r="C10" s="136">
        <v>42786</v>
      </c>
      <c r="D10" s="138">
        <v>6.1</v>
      </c>
      <c r="E10" s="141">
        <v>1.6386161E-2</v>
      </c>
      <c r="F10" s="140" t="s">
        <v>309</v>
      </c>
    </row>
    <row r="11" spans="1:7" ht="15" customHeight="1" x14ac:dyDescent="0.25">
      <c r="B11" s="136">
        <v>42044</v>
      </c>
      <c r="C11" s="136">
        <v>42045</v>
      </c>
      <c r="D11" s="138">
        <v>6.7</v>
      </c>
      <c r="E11" s="141">
        <v>7.3402663000000003E-3</v>
      </c>
      <c r="F11" s="140" t="s">
        <v>310</v>
      </c>
    </row>
    <row r="12" spans="1:7" ht="15" customHeight="1" x14ac:dyDescent="0.25">
      <c r="B12" s="136">
        <v>41688</v>
      </c>
      <c r="C12" s="136">
        <v>41688</v>
      </c>
      <c r="D12" s="138">
        <v>6.25</v>
      </c>
      <c r="E12" s="141">
        <v>1.5354616999999999E-2</v>
      </c>
      <c r="F12" s="140" t="s">
        <v>311</v>
      </c>
    </row>
    <row r="13" spans="1:7" ht="15" customHeight="1" x14ac:dyDescent="0.25">
      <c r="B13" s="136">
        <v>41400</v>
      </c>
      <c r="C13" s="136">
        <v>41401</v>
      </c>
      <c r="D13" s="138">
        <v>6.5</v>
      </c>
      <c r="E13" s="141">
        <v>2.5967028999999999E-2</v>
      </c>
      <c r="F13" s="140" t="s">
        <v>312</v>
      </c>
    </row>
    <row r="14" spans="1:7" ht="15" customHeight="1" x14ac:dyDescent="0.25">
      <c r="B14" s="136">
        <v>41025</v>
      </c>
      <c r="C14" s="136">
        <v>41025</v>
      </c>
      <c r="D14" s="138">
        <v>8.5</v>
      </c>
      <c r="E14" s="141">
        <v>1.2135E-2</v>
      </c>
      <c r="F14" s="140" t="s">
        <v>313</v>
      </c>
    </row>
    <row r="15" spans="1:7" ht="15" customHeight="1" x14ac:dyDescent="0.25">
      <c r="B15" s="136">
        <v>40662</v>
      </c>
      <c r="C15" s="136">
        <v>40662</v>
      </c>
      <c r="D15" s="138">
        <v>10</v>
      </c>
      <c r="E15" s="141">
        <v>9.4187000000000003E-3</v>
      </c>
      <c r="F15" s="140" t="s">
        <v>342</v>
      </c>
    </row>
    <row r="16" spans="1:7" ht="15" customHeight="1" x14ac:dyDescent="0.25">
      <c r="B16" s="136">
        <v>40298</v>
      </c>
      <c r="C16" s="136">
        <v>40298</v>
      </c>
      <c r="D16" s="138">
        <v>9.5</v>
      </c>
      <c r="E16" s="141">
        <v>6.4422999999999998E-3</v>
      </c>
      <c r="F16" s="140" t="s">
        <v>330</v>
      </c>
    </row>
    <row r="17" spans="2:6" ht="15" customHeight="1" x14ac:dyDescent="0.25">
      <c r="B17" s="136">
        <v>39933</v>
      </c>
      <c r="C17" s="136">
        <v>39933</v>
      </c>
      <c r="D17" s="138">
        <v>5.8</v>
      </c>
      <c r="E17" s="141">
        <v>1.8172000000000001E-2</v>
      </c>
      <c r="F17" s="140" t="s">
        <v>341</v>
      </c>
    </row>
    <row r="18" spans="2:6" ht="15" customHeight="1" x14ac:dyDescent="0.25">
      <c r="B18" s="136">
        <v>39567</v>
      </c>
      <c r="C18" s="136">
        <v>39567</v>
      </c>
      <c r="D18" s="138">
        <v>8</v>
      </c>
      <c r="E18" s="141">
        <v>8.1163999999999993E-3</v>
      </c>
      <c r="F18" s="140" t="s">
        <v>340</v>
      </c>
    </row>
    <row r="19" spans="2:6" ht="15" customHeight="1" x14ac:dyDescent="0.25">
      <c r="B19" s="136">
        <v>39199</v>
      </c>
      <c r="C19" s="136">
        <v>39199</v>
      </c>
      <c r="D19" s="138">
        <v>8.4</v>
      </c>
      <c r="E19" s="141">
        <v>1.0224E-2</v>
      </c>
      <c r="F19" s="140" t="s">
        <v>339</v>
      </c>
    </row>
    <row r="20" spans="2:6" ht="15" customHeight="1" x14ac:dyDescent="0.25">
      <c r="B20" s="136">
        <v>38835</v>
      </c>
      <c r="C20" s="136">
        <v>38835</v>
      </c>
      <c r="D20" s="138">
        <v>7.2</v>
      </c>
      <c r="E20" s="141">
        <v>4.3731000000000004E-3</v>
      </c>
      <c r="F20" s="140" t="s">
        <v>338</v>
      </c>
    </row>
    <row r="21" spans="2:6" ht="15" customHeight="1" x14ac:dyDescent="0.25">
      <c r="B21" s="136">
        <v>38471</v>
      </c>
      <c r="C21" s="136">
        <v>38471</v>
      </c>
      <c r="D21" s="138">
        <v>4</v>
      </c>
      <c r="E21" s="141">
        <v>7.7530000000000003E-3</v>
      </c>
      <c r="F21" s="140" t="s">
        <v>337</v>
      </c>
    </row>
    <row r="22" spans="2:6" ht="15" customHeight="1" x14ac:dyDescent="0.25">
      <c r="B22" s="136">
        <v>38103</v>
      </c>
      <c r="C22" s="136">
        <v>38103</v>
      </c>
      <c r="D22" s="138">
        <v>2.7</v>
      </c>
      <c r="E22" s="141">
        <v>1.8376E-2</v>
      </c>
      <c r="F22" s="140" t="s">
        <v>336</v>
      </c>
    </row>
    <row r="23" spans="2:6" ht="15" customHeight="1" x14ac:dyDescent="0.25">
      <c r="B23" s="136">
        <v>37739</v>
      </c>
      <c r="C23" s="136">
        <v>37739</v>
      </c>
      <c r="D23" s="138">
        <v>1.5</v>
      </c>
      <c r="E23" s="141">
        <v>2.4708000000000001E-2</v>
      </c>
      <c r="F23" s="140" t="s">
        <v>335</v>
      </c>
    </row>
    <row r="24" spans="2:6" ht="15" customHeight="1" x14ac:dyDescent="0.25">
      <c r="B24" s="136">
        <v>37375</v>
      </c>
      <c r="C24" s="136">
        <v>37375</v>
      </c>
      <c r="D24" s="138">
        <v>1.9</v>
      </c>
      <c r="E24" s="141">
        <v>2.5499999999999998E-2</v>
      </c>
      <c r="F24" s="140" t="s">
        <v>334</v>
      </c>
    </row>
    <row r="25" spans="2:6" ht="15" customHeight="1" x14ac:dyDescent="0.25">
      <c r="B25" s="136">
        <v>36969</v>
      </c>
      <c r="C25" s="136">
        <v>36969</v>
      </c>
      <c r="D25" s="138">
        <v>1.5</v>
      </c>
      <c r="E25" s="141">
        <v>3.0273000000000001E-2</v>
      </c>
      <c r="F25" s="140" t="s">
        <v>333</v>
      </c>
    </row>
    <row r="26" spans="2:6" ht="15" customHeight="1" x14ac:dyDescent="0.25">
      <c r="B26" s="136">
        <v>36552</v>
      </c>
      <c r="C26" s="136">
        <v>36552</v>
      </c>
      <c r="D26" s="138">
        <v>1.3</v>
      </c>
      <c r="E26" s="141">
        <v>2.3435000000000001E-2</v>
      </c>
      <c r="F26" s="140" t="s">
        <v>332</v>
      </c>
    </row>
    <row r="27" spans="2:6" ht="15" customHeight="1" x14ac:dyDescent="0.25">
      <c r="B27" s="136">
        <v>36243</v>
      </c>
      <c r="C27" s="136">
        <v>36243</v>
      </c>
      <c r="D27" s="138">
        <v>0.84</v>
      </c>
      <c r="E27" s="141">
        <v>2.2863000000000001E-2</v>
      </c>
      <c r="F27" s="140" t="s">
        <v>331</v>
      </c>
    </row>
    <row r="30" spans="2:6" x14ac:dyDescent="0.25">
      <c r="D30" s="142"/>
      <c r="E30" s="142"/>
    </row>
    <row r="31" spans="2:6" x14ac:dyDescent="0.25">
      <c r="D31" s="142"/>
      <c r="E31" s="142"/>
      <c r="F31" s="143"/>
    </row>
    <row r="32" spans="2:6" x14ac:dyDescent="0.25">
      <c r="D32" s="142"/>
      <c r="E32" s="142"/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Proventos</vt:lpstr>
      <vt:lpstr>Proventos Totais</vt:lpstr>
      <vt:lpstr>Bonificação</vt:lpstr>
      <vt:lpstr>Subscrição</vt:lpstr>
      <vt:lpstr>Bonificação!Area_de_impressao</vt:lpstr>
      <vt:lpstr>'Proventos Totais'!Area_de_impressao</vt:lpstr>
      <vt:lpstr>Subscrição!Area_de_impressao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S/A</dc:creator>
  <cp:lastModifiedBy>Fernanda Brienza Dos Santos</cp:lastModifiedBy>
  <dcterms:created xsi:type="dcterms:W3CDTF">2002-06-20T14:45:28Z</dcterms:created>
  <dcterms:modified xsi:type="dcterms:W3CDTF">2025-12-15T21:37:32Z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1415189027</vt:lpwstr>
  </property>
  <property fmtid="{D5CDD505-2E9C-101B-9397-08002B2CF9AE}" pid="3" name="EcoUpdateMessage">
    <vt:lpwstr>2024/11/04-12:03:47</vt:lpwstr>
  </property>
  <property fmtid="{D5CDD505-2E9C-101B-9397-08002B2CF9AE}" pid="4" name="EcoUpdateStatus">
    <vt:lpwstr>2024-11-01=BRA:St,ME,Fd,TP;USA:St,ME;ARG:St,ME,Fd,TP;MEX:St,ME,Fd,TP;CHL:Fd;COL:St,ME|2022-10-17=USA:TP|2024-10-30=CHL:St,ME;COL:Fd;PER:TP|2021-11-17=CHL:TP|2014-02-26=VEN:St|2002-11-08=JPN:St|2024-10-28=GBR:St,ME|2016-08-18=NNN:St|2024-10-31=PER:St,ME,Fd;SAU:St|2007-01-31=ESP:St|2003-01-29=CHN:St|2003-01-28=TWN:St|2003-01-30=HKG:St;KOR:St|2023-01-19=OTH:St|2024-06-30=PAN:St|2024-06-24=SAU:ME</vt:lpwstr>
  </property>
  <property fmtid="{D5CDD505-2E9C-101B-9397-08002B2CF9AE}" pid="5" name="MSIP_Label_2974fe19-b04a-4555-a7db-8e59f52bad00_Enabled">
    <vt:lpwstr>true</vt:lpwstr>
  </property>
  <property fmtid="{D5CDD505-2E9C-101B-9397-08002B2CF9AE}" pid="6" name="MSIP_Label_2974fe19-b04a-4555-a7db-8e59f52bad00_SetDate">
    <vt:lpwstr>2022-12-02T14:58:40Z</vt:lpwstr>
  </property>
  <property fmtid="{D5CDD505-2E9C-101B-9397-08002B2CF9AE}" pid="7" name="MSIP_Label_2974fe19-b04a-4555-a7db-8e59f52bad00_Method">
    <vt:lpwstr>Standard</vt:lpwstr>
  </property>
  <property fmtid="{D5CDD505-2E9C-101B-9397-08002B2CF9AE}" pid="8" name="MSIP_Label_2974fe19-b04a-4555-a7db-8e59f52bad00_Name">
    <vt:lpwstr>Interno</vt:lpwstr>
  </property>
  <property fmtid="{D5CDD505-2E9C-101B-9397-08002B2CF9AE}" pid="9" name="MSIP_Label_2974fe19-b04a-4555-a7db-8e59f52bad00_SiteId">
    <vt:lpwstr>d80478e3-bb54-4556-989b-3ba1b1dc6fff</vt:lpwstr>
  </property>
  <property fmtid="{D5CDD505-2E9C-101B-9397-08002B2CF9AE}" pid="10" name="MSIP_Label_2974fe19-b04a-4555-a7db-8e59f52bad00_ActionId">
    <vt:lpwstr>732e3b5d-7e28-4a09-b337-af3a700d96ee</vt:lpwstr>
  </property>
  <property fmtid="{D5CDD505-2E9C-101B-9397-08002B2CF9AE}" pid="11" name="MSIP_Label_2974fe19-b04a-4555-a7db-8e59f52bad00_ContentBits">
    <vt:lpwstr>2</vt:lpwstr>
  </property>
  <property fmtid="{D5CDD505-2E9C-101B-9397-08002B2CF9AE}" pid="12" name="{A44787D4-0540-4523-9961-78E4036D8C6D}">
    <vt:lpwstr>{928915B1-94CD-408D-8DC4-E42FD8D071EE}</vt:lpwstr>
  </property>
</Properties>
</file>