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P:\RI\Site RI\2021\Planilhas Dinamicas\2021\1T21\"/>
    </mc:Choice>
  </mc:AlternateContent>
  <xr:revisionPtr revIDLastSave="0" documentId="13_ncr:1_{654BC41F-82E8-44DC-AD09-DA54955758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Operational Performance" sheetId="5" r:id="rId2"/>
    <sheet name="IS" sheetId="4" r:id="rId3"/>
    <sheet name="Balance Sheet" sheetId="8" r:id="rId4"/>
    <sheet name="Cash Flow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5" i="1"/>
  <c r="D45" i="1"/>
  <c r="D25" i="1"/>
  <c r="D18" i="1"/>
  <c r="D17" i="1"/>
  <c r="D6" i="1" s="1"/>
  <c r="D32" i="1" s="1"/>
  <c r="D35" i="1" s="1"/>
  <c r="D4" i="1"/>
  <c r="E46" i="8"/>
  <c r="E35" i="8"/>
  <c r="E23" i="8"/>
  <c r="E54" i="8" s="1"/>
  <c r="E55" i="8" s="1"/>
  <c r="E18" i="8"/>
  <c r="E11" i="8"/>
  <c r="E10" i="8" s="1"/>
  <c r="E4" i="8"/>
  <c r="E22" i="8" s="1"/>
  <c r="D22" i="4"/>
  <c r="D12" i="4"/>
  <c r="D9" i="4"/>
  <c r="D11" i="4" s="1"/>
  <c r="D21" i="4" s="1"/>
  <c r="D25" i="4" s="1"/>
  <c r="D28" i="4" s="1"/>
  <c r="D32" i="4" s="1"/>
  <c r="D34" i="4" s="1"/>
  <c r="D35" i="4" s="1"/>
  <c r="D8" i="4"/>
  <c r="E58" i="1"/>
  <c r="E55" i="1"/>
  <c r="E45" i="1"/>
  <c r="E25" i="1"/>
  <c r="E18" i="1"/>
  <c r="E17" i="1"/>
  <c r="E6" i="1" s="1"/>
  <c r="E32" i="1" s="1"/>
  <c r="E35" i="1" s="1"/>
  <c r="E4" i="1"/>
  <c r="F55" i="8"/>
  <c r="G46" i="8"/>
  <c r="G35" i="8"/>
  <c r="G23" i="8"/>
  <c r="G54" i="8" s="1"/>
  <c r="G55" i="8" s="1"/>
  <c r="G18" i="8"/>
  <c r="G11" i="8"/>
  <c r="G10" i="8"/>
  <c r="G4" i="8"/>
  <c r="G22" i="8" s="1"/>
  <c r="E33" i="4"/>
  <c r="E29" i="4"/>
  <c r="E24" i="4"/>
  <c r="E23" i="4"/>
  <c r="H22" i="4"/>
  <c r="G22" i="4"/>
  <c r="F22" i="4"/>
  <c r="E20" i="4"/>
  <c r="E19" i="4"/>
  <c r="E17" i="4"/>
  <c r="E16" i="4"/>
  <c r="E15" i="4"/>
  <c r="E14" i="4"/>
  <c r="E13" i="4"/>
  <c r="H12" i="4"/>
  <c r="G12" i="4"/>
  <c r="F12" i="4"/>
  <c r="E10" i="4"/>
  <c r="H8" i="4"/>
  <c r="H9" i="4" s="1"/>
  <c r="H11" i="4" s="1"/>
  <c r="H21" i="4" s="1"/>
  <c r="H25" i="4" s="1"/>
  <c r="H28" i="4" s="1"/>
  <c r="H32" i="4" s="1"/>
  <c r="H34" i="4" s="1"/>
  <c r="H35" i="4" s="1"/>
  <c r="G8" i="4"/>
  <c r="G9" i="4" s="1"/>
  <c r="G11" i="4" s="1"/>
  <c r="G21" i="4" s="1"/>
  <c r="G25" i="4" s="1"/>
  <c r="G28" i="4" s="1"/>
  <c r="G32" i="4" s="1"/>
  <c r="G34" i="4" s="1"/>
  <c r="G35" i="4" s="1"/>
  <c r="F8" i="4"/>
  <c r="F9" i="4" s="1"/>
  <c r="E7" i="4"/>
  <c r="E6" i="4"/>
  <c r="E5" i="4"/>
  <c r="E24" i="5"/>
  <c r="E23" i="5"/>
  <c r="E22" i="5"/>
  <c r="E21" i="5"/>
  <c r="E18" i="5"/>
  <c r="E17" i="5"/>
  <c r="E15" i="5"/>
  <c r="E12" i="5"/>
  <c r="E11" i="5"/>
  <c r="E10" i="5"/>
  <c r="E7" i="5"/>
  <c r="E6" i="5"/>
  <c r="E5" i="5"/>
  <c r="D56" i="1" l="1"/>
  <c r="D57" i="1" s="1"/>
  <c r="D59" i="1" s="1"/>
  <c r="D60" i="1" s="1"/>
  <c r="E56" i="1"/>
  <c r="E57" i="1" s="1"/>
  <c r="E59" i="1" s="1"/>
  <c r="E60" i="1" s="1"/>
  <c r="F11" i="4"/>
  <c r="F21" i="4" l="1"/>
  <c r="F25" i="4" l="1"/>
  <c r="F28" i="4" l="1"/>
  <c r="F32" i="4" l="1"/>
  <c r="F34" i="4" l="1"/>
  <c r="F35" i="4" l="1"/>
  <c r="H55" i="8" l="1"/>
  <c r="G55" i="1" l="1"/>
  <c r="G45" i="1"/>
  <c r="G25" i="1"/>
  <c r="G18" i="1"/>
  <c r="G6" i="1"/>
  <c r="G4" i="1"/>
  <c r="G32" i="1" l="1"/>
  <c r="G35" i="1" s="1"/>
  <c r="G56" i="1" s="1"/>
  <c r="G57" i="1" s="1"/>
  <c r="I46" i="8"/>
  <c r="I35" i="8"/>
  <c r="I23" i="8"/>
  <c r="I18" i="8"/>
  <c r="I11" i="8"/>
  <c r="I4" i="8"/>
  <c r="I54" i="8" l="1"/>
  <c r="I10" i="8"/>
  <c r="I22" i="8" s="1"/>
  <c r="I55" i="8" s="1"/>
  <c r="J18" i="5"/>
  <c r="J17" i="5"/>
  <c r="J15" i="5"/>
  <c r="J12" i="5"/>
  <c r="J11" i="5"/>
  <c r="J10" i="5"/>
  <c r="J7" i="5"/>
  <c r="J6" i="5"/>
  <c r="J5" i="5"/>
  <c r="O18" i="5"/>
  <c r="O17" i="5"/>
  <c r="O12" i="5"/>
  <c r="O11" i="5"/>
  <c r="O7" i="5"/>
  <c r="O6" i="5"/>
  <c r="O5" i="5"/>
  <c r="T24" i="5"/>
  <c r="T18" i="5"/>
  <c r="T17" i="5"/>
  <c r="T15" i="5"/>
  <c r="T12" i="5"/>
  <c r="T11" i="5"/>
  <c r="T10" i="5"/>
  <c r="T7" i="5"/>
  <c r="T6" i="5"/>
  <c r="T5" i="5"/>
  <c r="Y24" i="5"/>
  <c r="Y18" i="5"/>
  <c r="Y17" i="5"/>
  <c r="Y15" i="5"/>
  <c r="Y12" i="5"/>
  <c r="Y11" i="5"/>
  <c r="Y10" i="5"/>
  <c r="Y7" i="5"/>
  <c r="Y6" i="5"/>
  <c r="Y5" i="5"/>
  <c r="AD24" i="5"/>
  <c r="AD18" i="5"/>
  <c r="AD17" i="5"/>
  <c r="AD15" i="5"/>
  <c r="AD12" i="5"/>
  <c r="AD11" i="5"/>
  <c r="AD10" i="5"/>
  <c r="AD7" i="5"/>
  <c r="AD6" i="5"/>
  <c r="AD5" i="5"/>
  <c r="AI24" i="5"/>
  <c r="AI18" i="5"/>
  <c r="AI17" i="5"/>
  <c r="AI15" i="5"/>
  <c r="AI12" i="5"/>
  <c r="AI11" i="5"/>
  <c r="AI10" i="5"/>
  <c r="AN24" i="5"/>
  <c r="AN18" i="5"/>
  <c r="AN17" i="5"/>
  <c r="AN15" i="5"/>
  <c r="AN12" i="5"/>
  <c r="AN11" i="5"/>
  <c r="AN10" i="5"/>
  <c r="AN7" i="5"/>
  <c r="AN6" i="5"/>
  <c r="AN5" i="5"/>
  <c r="AS24" i="5"/>
  <c r="AS18" i="5"/>
  <c r="AS17" i="5"/>
  <c r="AS15" i="5"/>
  <c r="AS12" i="5"/>
  <c r="AS11" i="5"/>
  <c r="AS10" i="5"/>
  <c r="AS7" i="5"/>
  <c r="AS6" i="5"/>
  <c r="AS5" i="5"/>
  <c r="AX18" i="5"/>
  <c r="AX17" i="5"/>
  <c r="AX15" i="5"/>
  <c r="AX12" i="5"/>
  <c r="AX11" i="5"/>
  <c r="AX10" i="5"/>
  <c r="AX7" i="5"/>
  <c r="AX6" i="5"/>
  <c r="AX5" i="5"/>
  <c r="BC15" i="5"/>
  <c r="BC12" i="5"/>
  <c r="BC11" i="5"/>
  <c r="BC10" i="5"/>
  <c r="BC7" i="5"/>
  <c r="BC6" i="5"/>
  <c r="BC5" i="5"/>
  <c r="BC18" i="5"/>
  <c r="BC17" i="5"/>
  <c r="BC24" i="5"/>
  <c r="AG58" i="1"/>
  <c r="AU58" i="1" l="1"/>
  <c r="AT58" i="1" s="1"/>
  <c r="AS58" i="1" s="1"/>
  <c r="H55" i="1"/>
  <c r="H45" i="1"/>
  <c r="H25" i="1"/>
  <c r="H18" i="1"/>
  <c r="H6" i="1"/>
  <c r="H4" i="1"/>
  <c r="L55" i="1"/>
  <c r="K55" i="1"/>
  <c r="J55" i="1"/>
  <c r="I55" i="1"/>
  <c r="L45" i="1"/>
  <c r="K45" i="1"/>
  <c r="J45" i="1"/>
  <c r="I45" i="1"/>
  <c r="L25" i="1"/>
  <c r="K25" i="1"/>
  <c r="J25" i="1"/>
  <c r="I25" i="1"/>
  <c r="L18" i="1"/>
  <c r="K18" i="1"/>
  <c r="J18" i="1"/>
  <c r="I18" i="1"/>
  <c r="L6" i="1"/>
  <c r="K6" i="1"/>
  <c r="J6" i="1"/>
  <c r="I6" i="1"/>
  <c r="L4" i="1"/>
  <c r="K4" i="1"/>
  <c r="J4" i="1"/>
  <c r="I4" i="1"/>
  <c r="P55" i="1"/>
  <c r="O55" i="1"/>
  <c r="N55" i="1"/>
  <c r="M55" i="1"/>
  <c r="P45" i="1"/>
  <c r="O45" i="1"/>
  <c r="N45" i="1"/>
  <c r="M45" i="1"/>
  <c r="P25" i="1"/>
  <c r="O25" i="1"/>
  <c r="N25" i="1"/>
  <c r="M25" i="1"/>
  <c r="P18" i="1"/>
  <c r="O18" i="1"/>
  <c r="N18" i="1"/>
  <c r="M18" i="1"/>
  <c r="P6" i="1"/>
  <c r="O6" i="1"/>
  <c r="N6" i="1"/>
  <c r="M6" i="1"/>
  <c r="P4" i="1"/>
  <c r="O4" i="1"/>
  <c r="N4" i="1"/>
  <c r="M4" i="1"/>
  <c r="T55" i="1"/>
  <c r="S55" i="1"/>
  <c r="R55" i="1"/>
  <c r="Q55" i="1"/>
  <c r="T45" i="1"/>
  <c r="S45" i="1"/>
  <c r="R45" i="1"/>
  <c r="Q45" i="1"/>
  <c r="T25" i="1"/>
  <c r="S25" i="1"/>
  <c r="R25" i="1"/>
  <c r="Q25" i="1"/>
  <c r="T18" i="1"/>
  <c r="S18" i="1"/>
  <c r="R18" i="1"/>
  <c r="Q18" i="1"/>
  <c r="T6" i="1"/>
  <c r="S6" i="1"/>
  <c r="R6" i="1"/>
  <c r="Q6" i="1"/>
  <c r="T4" i="1"/>
  <c r="S4" i="1"/>
  <c r="R4" i="1"/>
  <c r="Q4" i="1"/>
  <c r="U55" i="1"/>
  <c r="U45" i="1"/>
  <c r="U25" i="1"/>
  <c r="U18" i="1"/>
  <c r="V55" i="1"/>
  <c r="V45" i="1"/>
  <c r="V25" i="1"/>
  <c r="V18" i="1"/>
  <c r="W55" i="1"/>
  <c r="W45" i="1"/>
  <c r="W25" i="1"/>
  <c r="W18" i="1"/>
  <c r="X55" i="1"/>
  <c r="X45" i="1"/>
  <c r="X25" i="1"/>
  <c r="X18" i="1"/>
  <c r="X6" i="1"/>
  <c r="W6" i="1"/>
  <c r="V6" i="1"/>
  <c r="U6" i="1"/>
  <c r="X4" i="1"/>
  <c r="W4" i="1"/>
  <c r="V4" i="1"/>
  <c r="U4" i="1"/>
  <c r="Y55" i="1"/>
  <c r="Z55" i="1"/>
  <c r="AA55" i="1"/>
  <c r="AB55" i="1"/>
  <c r="AC55" i="1"/>
  <c r="AD55" i="1"/>
  <c r="Z45" i="1"/>
  <c r="Y45" i="1"/>
  <c r="Y35" i="1"/>
  <c r="Y25" i="1"/>
  <c r="Y18" i="1"/>
  <c r="Z18" i="1"/>
  <c r="Z25" i="1"/>
  <c r="AA45" i="1"/>
  <c r="AA25" i="1"/>
  <c r="AA18" i="1"/>
  <c r="AB45" i="1"/>
  <c r="AB25" i="1"/>
  <c r="AB18" i="1"/>
  <c r="AB6" i="1"/>
  <c r="AA6" i="1"/>
  <c r="Z6" i="1"/>
  <c r="Y6" i="1"/>
  <c r="AB4" i="1"/>
  <c r="AA4" i="1"/>
  <c r="Z4" i="1"/>
  <c r="Y4" i="1"/>
  <c r="AC45" i="1"/>
  <c r="AC25" i="1"/>
  <c r="AC18" i="1"/>
  <c r="AC6" i="1"/>
  <c r="AD45" i="1"/>
  <c r="AD18" i="1"/>
  <c r="AD25" i="1"/>
  <c r="AE55" i="1"/>
  <c r="AE45" i="1"/>
  <c r="AE25" i="1"/>
  <c r="AE18" i="1"/>
  <c r="AF55" i="1"/>
  <c r="AF45" i="1"/>
  <c r="AF25" i="1"/>
  <c r="AF18" i="1"/>
  <c r="AF6" i="1"/>
  <c r="AE6" i="1"/>
  <c r="AD6" i="1"/>
  <c r="AF4" i="1"/>
  <c r="AE4" i="1"/>
  <c r="AD4" i="1"/>
  <c r="AC4" i="1"/>
  <c r="AH45" i="1"/>
  <c r="AG45" i="1"/>
  <c r="AG55" i="1"/>
  <c r="AG25" i="1"/>
  <c r="AG18" i="1"/>
  <c r="AG6" i="1"/>
  <c r="AG4" i="1"/>
  <c r="AH55" i="1"/>
  <c r="AH25" i="1"/>
  <c r="AH18" i="1"/>
  <c r="AH6" i="1"/>
  <c r="AH4" i="1"/>
  <c r="AI55" i="1"/>
  <c r="AI45" i="1"/>
  <c r="AI25" i="1"/>
  <c r="AI18" i="1"/>
  <c r="AI6" i="1"/>
  <c r="AI4" i="1"/>
  <c r="AJ55" i="1"/>
  <c r="AJ45" i="1"/>
  <c r="AJ25" i="1"/>
  <c r="AJ18" i="1"/>
  <c r="AJ6" i="1"/>
  <c r="AJ4" i="1"/>
  <c r="AK53" i="1"/>
  <c r="AK55" i="1" s="1"/>
  <c r="AK45" i="1"/>
  <c r="AK25" i="1"/>
  <c r="AK18" i="1"/>
  <c r="AK6" i="1"/>
  <c r="AK4" i="1"/>
  <c r="AL53" i="1"/>
  <c r="AL55" i="1" s="1"/>
  <c r="AL45" i="1"/>
  <c r="AL25" i="1"/>
  <c r="AL18" i="1"/>
  <c r="AL6" i="1"/>
  <c r="AL4" i="1"/>
  <c r="AM53" i="1"/>
  <c r="AM55" i="1" s="1"/>
  <c r="AM45" i="1"/>
  <c r="AM25" i="1"/>
  <c r="AM18" i="1"/>
  <c r="AM6" i="1"/>
  <c r="AM4" i="1"/>
  <c r="AN53" i="1"/>
  <c r="AN55" i="1" s="1"/>
  <c r="AN45" i="1"/>
  <c r="AN25" i="1"/>
  <c r="AN18" i="1"/>
  <c r="AN6" i="1"/>
  <c r="AN4" i="1"/>
  <c r="AN32" i="1" l="1"/>
  <c r="AN35" i="1" s="1"/>
  <c r="AN56" i="1" s="1"/>
  <c r="AN57" i="1" s="1"/>
  <c r="H32" i="1"/>
  <c r="H35" i="1" s="1"/>
  <c r="H56" i="1" s="1"/>
  <c r="H57" i="1" s="1"/>
  <c r="AM32" i="1"/>
  <c r="AM35" i="1" s="1"/>
  <c r="AM56" i="1" s="1"/>
  <c r="AM57" i="1" s="1"/>
  <c r="AK32" i="1"/>
  <c r="AK35" i="1" s="1"/>
  <c r="AK56" i="1" s="1"/>
  <c r="AK57" i="1" s="1"/>
  <c r="AG32" i="1"/>
  <c r="AG35" i="1" s="1"/>
  <c r="AF32" i="1"/>
  <c r="AF35" i="1" s="1"/>
  <c r="AF56" i="1" s="1"/>
  <c r="AF57" i="1" s="1"/>
  <c r="AJ32" i="1"/>
  <c r="AJ35" i="1" s="1"/>
  <c r="AJ56" i="1" s="1"/>
  <c r="AJ57" i="1" s="1"/>
  <c r="AE32" i="1"/>
  <c r="AE35" i="1" s="1"/>
  <c r="AE56" i="1" s="1"/>
  <c r="AE57" i="1" s="1"/>
  <c r="AB32" i="1"/>
  <c r="AB35" i="1" s="1"/>
  <c r="AB56" i="1" s="1"/>
  <c r="AB57" i="1" s="1"/>
  <c r="Y56" i="1"/>
  <c r="Y57" i="1" s="1"/>
  <c r="U32" i="1"/>
  <c r="U35" i="1" s="1"/>
  <c r="U56" i="1" s="1"/>
  <c r="U57" i="1" s="1"/>
  <c r="Q32" i="1"/>
  <c r="Q35" i="1" s="1"/>
  <c r="Q56" i="1" s="1"/>
  <c r="Q57" i="1" s="1"/>
  <c r="M32" i="1"/>
  <c r="M35" i="1" s="1"/>
  <c r="M56" i="1" s="1"/>
  <c r="M57" i="1" s="1"/>
  <c r="I32" i="1"/>
  <c r="I35" i="1" s="1"/>
  <c r="I56" i="1" s="1"/>
  <c r="I57" i="1" s="1"/>
  <c r="V32" i="1"/>
  <c r="V35" i="1" s="1"/>
  <c r="V56" i="1" s="1"/>
  <c r="V57" i="1" s="1"/>
  <c r="R32" i="1"/>
  <c r="R35" i="1" s="1"/>
  <c r="R56" i="1" s="1"/>
  <c r="R57" i="1" s="1"/>
  <c r="J32" i="1"/>
  <c r="J35" i="1" s="1"/>
  <c r="J56" i="1" s="1"/>
  <c r="J57" i="1" s="1"/>
  <c r="AI32" i="1"/>
  <c r="AI35" i="1" s="1"/>
  <c r="AI56" i="1" s="1"/>
  <c r="AI57" i="1" s="1"/>
  <c r="W32" i="1"/>
  <c r="W35" i="1" s="1"/>
  <c r="W56" i="1" s="1"/>
  <c r="W57" i="1" s="1"/>
  <c r="S32" i="1"/>
  <c r="S35" i="1" s="1"/>
  <c r="S56" i="1" s="1"/>
  <c r="S57" i="1" s="1"/>
  <c r="O32" i="1"/>
  <c r="O35" i="1" s="1"/>
  <c r="AL32" i="1"/>
  <c r="AL35" i="1" s="1"/>
  <c r="AL56" i="1" s="1"/>
  <c r="AL57" i="1" s="1"/>
  <c r="AH32" i="1"/>
  <c r="AH35" i="1" s="1"/>
  <c r="AH56" i="1" s="1"/>
  <c r="AH57" i="1" s="1"/>
  <c r="AD32" i="1"/>
  <c r="AD35" i="1" s="1"/>
  <c r="AD56" i="1" s="1"/>
  <c r="AD57" i="1" s="1"/>
  <c r="AA32" i="1"/>
  <c r="AA35" i="1" s="1"/>
  <c r="AA56" i="1" s="1"/>
  <c r="AA57" i="1" s="1"/>
  <c r="X32" i="1"/>
  <c r="X35" i="1" s="1"/>
  <c r="X56" i="1" s="1"/>
  <c r="X57" i="1" s="1"/>
  <c r="T32" i="1"/>
  <c r="T35" i="1" s="1"/>
  <c r="T56" i="1" s="1"/>
  <c r="T57" i="1" s="1"/>
  <c r="P32" i="1"/>
  <c r="P35" i="1" s="1"/>
  <c r="P56" i="1" s="1"/>
  <c r="P57" i="1" s="1"/>
  <c r="O56" i="1"/>
  <c r="O57" i="1" s="1"/>
  <c r="K32" i="1"/>
  <c r="K35" i="1" s="1"/>
  <c r="K56" i="1" s="1"/>
  <c r="K57" i="1" s="1"/>
  <c r="L32" i="1"/>
  <c r="L35" i="1" s="1"/>
  <c r="L56" i="1" s="1"/>
  <c r="L57" i="1" s="1"/>
  <c r="N32" i="1"/>
  <c r="N35" i="1" s="1"/>
  <c r="N56" i="1" s="1"/>
  <c r="N57" i="1" s="1"/>
  <c r="AG56" i="1"/>
  <c r="AG57" i="1" s="1"/>
  <c r="AO53" i="1"/>
  <c r="AO55" i="1" s="1"/>
  <c r="AO45" i="1"/>
  <c r="AO25" i="1"/>
  <c r="AO18" i="1"/>
  <c r="AO6" i="1"/>
  <c r="AP6" i="1"/>
  <c r="AP55" i="1"/>
  <c r="AP45" i="1"/>
  <c r="AP25" i="1"/>
  <c r="AP18" i="1"/>
  <c r="AP4" i="1"/>
  <c r="AQ45" i="1"/>
  <c r="AQ25" i="1"/>
  <c r="AQ18" i="1"/>
  <c r="AQ6" i="1"/>
  <c r="AQ4" i="1"/>
  <c r="AQ55" i="1"/>
  <c r="AR55" i="1"/>
  <c r="AR45" i="1"/>
  <c r="AS45" i="1"/>
  <c r="AR25" i="1"/>
  <c r="AR18" i="1"/>
  <c r="AR6" i="1"/>
  <c r="AR4" i="1"/>
  <c r="AO4" i="1"/>
  <c r="AS55" i="1"/>
  <c r="AS25" i="1"/>
  <c r="AS18" i="1"/>
  <c r="AS6" i="1"/>
  <c r="AS4" i="1"/>
  <c r="AT55" i="1"/>
  <c r="AT45" i="1"/>
  <c r="AU45" i="1"/>
  <c r="AT25" i="1"/>
  <c r="AT18" i="1"/>
  <c r="AT6" i="1"/>
  <c r="AT4" i="1"/>
  <c r="AU55" i="1"/>
  <c r="AU25" i="1"/>
  <c r="AU18" i="1"/>
  <c r="AU6" i="1"/>
  <c r="AU4" i="1"/>
  <c r="AV55" i="1"/>
  <c r="AV45" i="1"/>
  <c r="AV4" i="1"/>
  <c r="AV25" i="1"/>
  <c r="AV18" i="1"/>
  <c r="AV6" i="1"/>
  <c r="N22" i="4"/>
  <c r="M22" i="4"/>
  <c r="L22" i="4"/>
  <c r="K22" i="4"/>
  <c r="N12" i="4"/>
  <c r="M12" i="4"/>
  <c r="L12" i="4"/>
  <c r="K12" i="4"/>
  <c r="J33" i="4"/>
  <c r="J29" i="4"/>
  <c r="J24" i="4"/>
  <c r="J23" i="4"/>
  <c r="J20" i="4"/>
  <c r="J19" i="4"/>
  <c r="J17" i="4"/>
  <c r="J16" i="4"/>
  <c r="J15" i="4"/>
  <c r="J14" i="4"/>
  <c r="J13" i="4"/>
  <c r="J10" i="4"/>
  <c r="J7" i="4"/>
  <c r="J6" i="4"/>
  <c r="J5" i="4"/>
  <c r="S12" i="4"/>
  <c r="R12" i="4"/>
  <c r="Q12" i="4"/>
  <c r="P12" i="4"/>
  <c r="S9" i="4"/>
  <c r="S11" i="4" s="1"/>
  <c r="R9" i="4"/>
  <c r="Q9" i="4"/>
  <c r="Q11" i="4" s="1"/>
  <c r="P9" i="4"/>
  <c r="P11" i="4" s="1"/>
  <c r="O6" i="4"/>
  <c r="O33" i="4"/>
  <c r="O29" i="4"/>
  <c r="O24" i="4"/>
  <c r="O23" i="4"/>
  <c r="O20" i="4"/>
  <c r="O19" i="4"/>
  <c r="O17" i="4"/>
  <c r="O16" i="4"/>
  <c r="O15" i="4"/>
  <c r="O14" i="4"/>
  <c r="O13" i="4"/>
  <c r="O10" i="4"/>
  <c r="O8" i="4"/>
  <c r="O7" i="4"/>
  <c r="O5" i="4"/>
  <c r="X22" i="4"/>
  <c r="W22" i="4"/>
  <c r="V22" i="4"/>
  <c r="U22" i="4"/>
  <c r="X12" i="4"/>
  <c r="W12" i="4"/>
  <c r="V12" i="4"/>
  <c r="U12" i="4"/>
  <c r="X9" i="4"/>
  <c r="X11" i="4" s="1"/>
  <c r="W9" i="4"/>
  <c r="W11" i="4" s="1"/>
  <c r="V9" i="4"/>
  <c r="V11" i="4" s="1"/>
  <c r="U9" i="4"/>
  <c r="U11" i="4" s="1"/>
  <c r="T33" i="4"/>
  <c r="T31" i="4"/>
  <c r="T30" i="4"/>
  <c r="T24" i="4"/>
  <c r="T23" i="4"/>
  <c r="T20" i="4"/>
  <c r="T19" i="4"/>
  <c r="T17" i="4"/>
  <c r="T16" i="4"/>
  <c r="T15" i="4"/>
  <c r="T14" i="4"/>
  <c r="T13" i="4"/>
  <c r="T10" i="4"/>
  <c r="T8" i="4"/>
  <c r="T7" i="4"/>
  <c r="T5" i="4"/>
  <c r="Z33" i="4"/>
  <c r="Y33" i="4" s="1"/>
  <c r="Z24" i="4"/>
  <c r="Y24" i="4" s="1"/>
  <c r="Z23" i="4"/>
  <c r="Y23" i="4" s="1"/>
  <c r="Z20" i="4"/>
  <c r="Y20" i="4" s="1"/>
  <c r="Z16" i="4"/>
  <c r="Y16" i="4" s="1"/>
  <c r="Z19" i="4"/>
  <c r="Y19" i="4" s="1"/>
  <c r="Z17" i="4"/>
  <c r="Y17" i="4" s="1"/>
  <c r="Z15" i="4"/>
  <c r="Y15" i="4" s="1"/>
  <c r="Z14" i="4"/>
  <c r="Y14" i="4" s="1"/>
  <c r="Z13" i="4"/>
  <c r="Z8" i="4"/>
  <c r="Y8" i="4" s="1"/>
  <c r="Z7" i="4"/>
  <c r="Y7" i="4" s="1"/>
  <c r="Z6" i="4"/>
  <c r="Y6" i="4" s="1"/>
  <c r="Z5" i="4"/>
  <c r="Z10" i="4"/>
  <c r="AC12" i="4"/>
  <c r="AB12" i="4"/>
  <c r="AA12" i="4"/>
  <c r="AC9" i="4"/>
  <c r="AC11" i="4" s="1"/>
  <c r="AB9" i="4"/>
  <c r="AB11" i="4" s="1"/>
  <c r="AA9" i="4"/>
  <c r="AA11" i="4" s="1"/>
  <c r="Y31" i="4"/>
  <c r="Y30" i="4"/>
  <c r="Y5" i="4"/>
  <c r="AE19" i="4"/>
  <c r="AE20" i="4"/>
  <c r="AH12" i="4"/>
  <c r="AG12" i="4"/>
  <c r="AF12" i="4"/>
  <c r="AH9" i="4"/>
  <c r="AH11" i="4" s="1"/>
  <c r="AG9" i="4"/>
  <c r="AG11" i="4" s="1"/>
  <c r="AF9" i="4"/>
  <c r="AF11" i="4" s="1"/>
  <c r="AE9" i="4"/>
  <c r="AE11" i="4" s="1"/>
  <c r="AD33" i="4"/>
  <c r="AD31" i="4"/>
  <c r="AD30" i="4"/>
  <c r="AD29" i="4"/>
  <c r="AD24" i="4"/>
  <c r="AD23" i="4"/>
  <c r="AD22" i="4"/>
  <c r="AD19" i="4"/>
  <c r="AD17" i="4"/>
  <c r="AD16" i="4"/>
  <c r="AD15" i="4"/>
  <c r="AD14" i="4"/>
  <c r="AD13" i="4"/>
  <c r="AD10" i="4"/>
  <c r="AD8" i="4"/>
  <c r="AD7" i="4"/>
  <c r="AD6" i="4"/>
  <c r="AD5" i="4"/>
  <c r="AD4" i="4"/>
  <c r="AJ19" i="4"/>
  <c r="AJ20" i="4"/>
  <c r="AI20" i="4" s="1"/>
  <c r="AM12" i="4"/>
  <c r="AL12" i="4"/>
  <c r="AK12" i="4"/>
  <c r="AM9" i="4"/>
  <c r="AM11" i="4" s="1"/>
  <c r="AL9" i="4"/>
  <c r="AL11" i="4" s="1"/>
  <c r="AK9" i="4"/>
  <c r="AK11" i="4" s="1"/>
  <c r="AJ9" i="4"/>
  <c r="AJ11" i="4" s="1"/>
  <c r="AI33" i="4"/>
  <c r="AI31" i="4"/>
  <c r="AI30" i="4"/>
  <c r="AI29" i="4"/>
  <c r="AI24" i="4"/>
  <c r="AI23" i="4"/>
  <c r="AI22" i="4"/>
  <c r="AI17" i="4"/>
  <c r="AI16" i="4"/>
  <c r="AI15" i="4"/>
  <c r="AI14" i="4"/>
  <c r="AI13" i="4"/>
  <c r="AI10" i="4"/>
  <c r="AI8" i="4"/>
  <c r="AI7" i="4"/>
  <c r="AI6" i="4"/>
  <c r="AI5" i="4"/>
  <c r="AI4" i="4"/>
  <c r="AN19" i="4"/>
  <c r="AR20" i="4"/>
  <c r="AR12" i="4" s="1"/>
  <c r="AR22" i="4"/>
  <c r="AQ22" i="4"/>
  <c r="AP22" i="4"/>
  <c r="AO22" i="4"/>
  <c r="AQ12" i="4"/>
  <c r="AP12" i="4"/>
  <c r="AO12" i="4"/>
  <c r="AR9" i="4"/>
  <c r="AR11" i="4" s="1"/>
  <c r="AQ9" i="4"/>
  <c r="AQ11" i="4" s="1"/>
  <c r="AP9" i="4"/>
  <c r="AO9" i="4"/>
  <c r="AO11" i="4" s="1"/>
  <c r="AN33" i="4"/>
  <c r="AN31" i="4"/>
  <c r="AN30" i="4"/>
  <c r="AN29" i="4"/>
  <c r="AN24" i="4"/>
  <c r="AN23" i="4"/>
  <c r="AN18" i="4"/>
  <c r="AN17" i="4"/>
  <c r="AN16" i="4"/>
  <c r="AN15" i="4"/>
  <c r="AN14" i="4"/>
  <c r="AN13" i="4"/>
  <c r="AN10" i="4"/>
  <c r="AN8" i="4"/>
  <c r="AN7" i="4"/>
  <c r="AN6" i="4"/>
  <c r="AN5" i="4"/>
  <c r="AN4" i="4"/>
  <c r="AW22" i="4"/>
  <c r="AV22" i="4"/>
  <c r="AU22" i="4"/>
  <c r="AT22" i="4"/>
  <c r="AW12" i="4"/>
  <c r="AV12" i="4"/>
  <c r="AU12" i="4"/>
  <c r="AT12" i="4"/>
  <c r="AW9" i="4"/>
  <c r="AW11" i="4" s="1"/>
  <c r="AV9" i="4"/>
  <c r="AV11" i="4" s="1"/>
  <c r="AU9" i="4"/>
  <c r="AU11" i="4" s="1"/>
  <c r="AT9" i="4"/>
  <c r="AT11" i="4" s="1"/>
  <c r="AS33" i="4"/>
  <c r="AS31" i="4"/>
  <c r="AS30" i="4"/>
  <c r="AS29" i="4"/>
  <c r="AS24" i="4"/>
  <c r="AS23" i="4"/>
  <c r="AS20" i="4"/>
  <c r="AS18" i="4"/>
  <c r="AS17" i="4"/>
  <c r="AS16" i="4"/>
  <c r="AS15" i="4"/>
  <c r="AS14" i="4"/>
  <c r="AS13" i="4"/>
  <c r="AS10" i="4"/>
  <c r="AS8" i="4"/>
  <c r="AS7" i="4"/>
  <c r="AS6" i="4"/>
  <c r="AS5" i="4"/>
  <c r="AS4" i="4"/>
  <c r="BB22" i="4"/>
  <c r="BA22" i="4"/>
  <c r="AZ22" i="4"/>
  <c r="AY22" i="4"/>
  <c r="BB12" i="4"/>
  <c r="BA12" i="4"/>
  <c r="AZ12" i="4"/>
  <c r="AY12" i="4"/>
  <c r="AX33" i="4"/>
  <c r="AX31" i="4"/>
  <c r="AX30" i="4"/>
  <c r="AX29" i="4"/>
  <c r="AX24" i="4"/>
  <c r="AX23" i="4"/>
  <c r="AX20" i="4"/>
  <c r="AX18" i="4"/>
  <c r="AX17" i="4"/>
  <c r="AX16" i="4"/>
  <c r="AX15" i="4"/>
  <c r="AX14" i="4"/>
  <c r="AX13" i="4"/>
  <c r="AX10" i="4"/>
  <c r="AX8" i="4"/>
  <c r="AX7" i="4"/>
  <c r="AX6" i="4"/>
  <c r="AX5" i="4"/>
  <c r="AX4" i="4"/>
  <c r="BB9" i="4"/>
  <c r="BB11" i="4" s="1"/>
  <c r="BA9" i="4"/>
  <c r="BA11" i="4" s="1"/>
  <c r="AZ9" i="4"/>
  <c r="AZ11" i="4" s="1"/>
  <c r="AY9" i="4"/>
  <c r="AY11" i="4" s="1"/>
  <c r="BC33" i="4"/>
  <c r="BC31" i="4"/>
  <c r="BC30" i="4"/>
  <c r="BC29" i="4"/>
  <c r="BC24" i="4"/>
  <c r="BC23" i="4"/>
  <c r="BC20" i="4"/>
  <c r="BC18" i="4"/>
  <c r="BC17" i="4"/>
  <c r="BC16" i="4"/>
  <c r="BC15" i="4"/>
  <c r="BC14" i="4"/>
  <c r="BC13" i="4"/>
  <c r="BC10" i="4"/>
  <c r="BC8" i="4"/>
  <c r="BC7" i="4"/>
  <c r="BC6" i="4"/>
  <c r="BC5" i="4"/>
  <c r="BC4" i="4"/>
  <c r="BF22" i="4"/>
  <c r="BE22" i="4"/>
  <c r="BD22" i="4"/>
  <c r="BG22" i="4"/>
  <c r="BF12" i="4"/>
  <c r="BE12" i="4"/>
  <c r="BD12" i="4"/>
  <c r="BG12" i="4"/>
  <c r="BF9" i="4"/>
  <c r="BF11" i="4" s="1"/>
  <c r="BF21" i="4" s="1"/>
  <c r="BF25" i="4" s="1"/>
  <c r="BF28" i="4" s="1"/>
  <c r="BF32" i="4" s="1"/>
  <c r="BF34" i="4" s="1"/>
  <c r="BF35" i="4" s="1"/>
  <c r="BE9" i="4"/>
  <c r="BE11" i="4" s="1"/>
  <c r="BE21" i="4" s="1"/>
  <c r="BE25" i="4" s="1"/>
  <c r="BE28" i="4" s="1"/>
  <c r="BE32" i="4" s="1"/>
  <c r="BE34" i="4" s="1"/>
  <c r="BE35" i="4" s="1"/>
  <c r="BD9" i="4"/>
  <c r="BD11" i="4" s="1"/>
  <c r="BD21" i="4" s="1"/>
  <c r="BG9" i="4"/>
  <c r="BG11" i="4" s="1"/>
  <c r="BG21" i="4" s="1"/>
  <c r="BG25" i="4" s="1"/>
  <c r="BG28" i="4" s="1"/>
  <c r="BG32" i="4" s="1"/>
  <c r="BG34" i="4" s="1"/>
  <c r="BG35" i="4" s="1"/>
  <c r="J11" i="8"/>
  <c r="AW5" i="8"/>
  <c r="AX5" i="8"/>
  <c r="AK46" i="8"/>
  <c r="AK35" i="8"/>
  <c r="AK23" i="8"/>
  <c r="AK18" i="8"/>
  <c r="AK11" i="8"/>
  <c r="AK4" i="8"/>
  <c r="AP46" i="8"/>
  <c r="AP35" i="8"/>
  <c r="AP23" i="8"/>
  <c r="AP18" i="8"/>
  <c r="AP11" i="8"/>
  <c r="AP4" i="8"/>
  <c r="AU46" i="8"/>
  <c r="AU35" i="8"/>
  <c r="AU23" i="8"/>
  <c r="AU18" i="8"/>
  <c r="AU11" i="8"/>
  <c r="AU4" i="8"/>
  <c r="AY46" i="8"/>
  <c r="AY35" i="8"/>
  <c r="AY23" i="8"/>
  <c r="AY18" i="8"/>
  <c r="AY11" i="8"/>
  <c r="AY5" i="8"/>
  <c r="AY4" i="8" s="1"/>
  <c r="AZ5" i="8"/>
  <c r="AN20" i="4" l="1"/>
  <c r="T22" i="4"/>
  <c r="AJ12" i="4"/>
  <c r="AI12" i="4" s="1"/>
  <c r="AS9" i="4"/>
  <c r="AD9" i="4"/>
  <c r="AX9" i="4"/>
  <c r="AS11" i="4"/>
  <c r="AN9" i="4"/>
  <c r="T9" i="4"/>
  <c r="AP10" i="8"/>
  <c r="AS22" i="4"/>
  <c r="AR21" i="4"/>
  <c r="AR25" i="4" s="1"/>
  <c r="AI9" i="4"/>
  <c r="AI11" i="4"/>
  <c r="AX11" i="4"/>
  <c r="AD11" i="4"/>
  <c r="AZ21" i="4"/>
  <c r="AZ25" i="4" s="1"/>
  <c r="AZ28" i="4" s="1"/>
  <c r="AZ32" i="4" s="1"/>
  <c r="AZ34" i="4" s="1"/>
  <c r="AZ35" i="4" s="1"/>
  <c r="AP11" i="4"/>
  <c r="AP21" i="4" s="1"/>
  <c r="V21" i="4"/>
  <c r="V25" i="4" s="1"/>
  <c r="V28" i="4" s="1"/>
  <c r="S21" i="4"/>
  <c r="BA21" i="4"/>
  <c r="AW21" i="4"/>
  <c r="AW25" i="4" s="1"/>
  <c r="AW28" i="4" s="1"/>
  <c r="AW32" i="4" s="1"/>
  <c r="AW34" i="4" s="1"/>
  <c r="AW35" i="4" s="1"/>
  <c r="AQ21" i="4"/>
  <c r="AQ25" i="4" s="1"/>
  <c r="AQ28" i="4" s="1"/>
  <c r="AQ32" i="4" s="1"/>
  <c r="AQ34" i="4" s="1"/>
  <c r="AQ35" i="4" s="1"/>
  <c r="AG21" i="4"/>
  <c r="AG25" i="4" s="1"/>
  <c r="AG28" i="4" s="1"/>
  <c r="AG32" i="4" s="1"/>
  <c r="AG34" i="4" s="1"/>
  <c r="AG35" i="4" s="1"/>
  <c r="AA21" i="4"/>
  <c r="W21" i="4"/>
  <c r="W25" i="4" s="1"/>
  <c r="W28" i="4" s="1"/>
  <c r="P21" i="4"/>
  <c r="AV21" i="4"/>
  <c r="AV25" i="4" s="1"/>
  <c r="AV28" i="4" s="1"/>
  <c r="AV32" i="4" s="1"/>
  <c r="AV34" i="4" s="1"/>
  <c r="AV35" i="4" s="1"/>
  <c r="AM21" i="4"/>
  <c r="AM25" i="4" s="1"/>
  <c r="AM28" i="4" s="1"/>
  <c r="AM32" i="4" s="1"/>
  <c r="AM34" i="4" s="1"/>
  <c r="BB21" i="4"/>
  <c r="BB25" i="4" s="1"/>
  <c r="BB28" i="4" s="1"/>
  <c r="BB32" i="4" s="1"/>
  <c r="BB34" i="4" s="1"/>
  <c r="BB35" i="4" s="1"/>
  <c r="AT21" i="4"/>
  <c r="AT25" i="4" s="1"/>
  <c r="AH21" i="4"/>
  <c r="AH25" i="4" s="1"/>
  <c r="AH28" i="4" s="1"/>
  <c r="AH32" i="4" s="1"/>
  <c r="AH34" i="4" s="1"/>
  <c r="AH35" i="4" s="1"/>
  <c r="AB21" i="4"/>
  <c r="X21" i="4"/>
  <c r="X25" i="4" s="1"/>
  <c r="X28" i="4" s="1"/>
  <c r="Q21" i="4"/>
  <c r="J22" i="4"/>
  <c r="AF21" i="4"/>
  <c r="AF25" i="4" s="1"/>
  <c r="AF28" i="4" s="1"/>
  <c r="AF32" i="4" s="1"/>
  <c r="AF34" i="4" s="1"/>
  <c r="AF35" i="4" s="1"/>
  <c r="AK10" i="8"/>
  <c r="AY21" i="4"/>
  <c r="AS12" i="4"/>
  <c r="AU21" i="4"/>
  <c r="AU25" i="4" s="1"/>
  <c r="AU28" i="4" s="1"/>
  <c r="AU32" i="4" s="1"/>
  <c r="AU34" i="4" s="1"/>
  <c r="AU35" i="4" s="1"/>
  <c r="AO21" i="4"/>
  <c r="AO25" i="4" s="1"/>
  <c r="AO28" i="4" s="1"/>
  <c r="AO32" i="4" s="1"/>
  <c r="AO34" i="4" s="1"/>
  <c r="AO35" i="4" s="1"/>
  <c r="AN22" i="4"/>
  <c r="AL21" i="4"/>
  <c r="AL25" i="4" s="1"/>
  <c r="AL28" i="4" s="1"/>
  <c r="AL32" i="4" s="1"/>
  <c r="AL34" i="4" s="1"/>
  <c r="AL35" i="4" s="1"/>
  <c r="AC21" i="4"/>
  <c r="U21" i="4"/>
  <c r="U25" i="4" s="1"/>
  <c r="U28" i="4" s="1"/>
  <c r="U32" i="4" s="1"/>
  <c r="U34" i="4" s="1"/>
  <c r="U35" i="4" s="1"/>
  <c r="O9" i="4"/>
  <c r="R11" i="4"/>
  <c r="R21" i="4" s="1"/>
  <c r="AV32" i="1"/>
  <c r="AR32" i="1"/>
  <c r="AR35" i="1" s="1"/>
  <c r="AR56" i="1" s="1"/>
  <c r="AR57" i="1" s="1"/>
  <c r="AT32" i="1"/>
  <c r="AT35" i="1" s="1"/>
  <c r="AT56" i="1" s="1"/>
  <c r="AT57" i="1" s="1"/>
  <c r="AT59" i="1" s="1"/>
  <c r="AT60" i="1" s="1"/>
  <c r="AQ32" i="1"/>
  <c r="AQ35" i="1" s="1"/>
  <c r="AQ56" i="1" s="1"/>
  <c r="AQ57" i="1" s="1"/>
  <c r="AS32" i="1"/>
  <c r="AS35" i="1" s="1"/>
  <c r="AS56" i="1" s="1"/>
  <c r="AS57" i="1" s="1"/>
  <c r="AS59" i="1" s="1"/>
  <c r="AO32" i="1"/>
  <c r="AP32" i="1"/>
  <c r="AU32" i="1"/>
  <c r="AU35" i="1" s="1"/>
  <c r="AU56" i="1" s="1"/>
  <c r="AU57" i="1" s="1"/>
  <c r="AU59" i="1" s="1"/>
  <c r="AU60" i="1" s="1"/>
  <c r="J12" i="4"/>
  <c r="O12" i="4"/>
  <c r="T12" i="4"/>
  <c r="Z12" i="4"/>
  <c r="Y12" i="4" s="1"/>
  <c r="Y13" i="4"/>
  <c r="Z9" i="4"/>
  <c r="Y9" i="4" s="1"/>
  <c r="Y10" i="4"/>
  <c r="AE12" i="4"/>
  <c r="AE21" i="4" s="1"/>
  <c r="AE25" i="4" s="1"/>
  <c r="AE28" i="4" s="1"/>
  <c r="AE32" i="4" s="1"/>
  <c r="AE34" i="4" s="1"/>
  <c r="AE35" i="4" s="1"/>
  <c r="AD20" i="4"/>
  <c r="AI19" i="4"/>
  <c r="AJ21" i="4"/>
  <c r="AJ25" i="4" s="1"/>
  <c r="AJ28" i="4" s="1"/>
  <c r="AJ32" i="4" s="1"/>
  <c r="AJ34" i="4" s="1"/>
  <c r="AJ35" i="4" s="1"/>
  <c r="AK21" i="4"/>
  <c r="AK25" i="4" s="1"/>
  <c r="AK28" i="4" s="1"/>
  <c r="AK32" i="4" s="1"/>
  <c r="AK34" i="4" s="1"/>
  <c r="AK35" i="4" s="1"/>
  <c r="AX12" i="4"/>
  <c r="BC21" i="4"/>
  <c r="BC12" i="4"/>
  <c r="AY25" i="4"/>
  <c r="AY28" i="4" s="1"/>
  <c r="AY32" i="4" s="1"/>
  <c r="AY34" i="4" s="1"/>
  <c r="AY35" i="4" s="1"/>
  <c r="BA25" i="4"/>
  <c r="BC22" i="4"/>
  <c r="AN12" i="4"/>
  <c r="AX22" i="4"/>
  <c r="BC9" i="4"/>
  <c r="BC11" i="4"/>
  <c r="BD25" i="4"/>
  <c r="AK54" i="8"/>
  <c r="AU10" i="8"/>
  <c r="AU22" i="8" s="1"/>
  <c r="AY10" i="8"/>
  <c r="AY22" i="8" s="1"/>
  <c r="AK22" i="8"/>
  <c r="AP22" i="8"/>
  <c r="AP54" i="8"/>
  <c r="AU54" i="8"/>
  <c r="AY54" i="8"/>
  <c r="AS21" i="4" l="1"/>
  <c r="AD28" i="4"/>
  <c r="AX21" i="4"/>
  <c r="AD12" i="4"/>
  <c r="AN11" i="4"/>
  <c r="Z11" i="4"/>
  <c r="Z21" i="4" s="1"/>
  <c r="AI21" i="4"/>
  <c r="AP25" i="4"/>
  <c r="AP28" i="4" s="1"/>
  <c r="AP32" i="4" s="1"/>
  <c r="AP34" i="4" s="1"/>
  <c r="AP35" i="4" s="1"/>
  <c r="AN21" i="4"/>
  <c r="AD21" i="4"/>
  <c r="AD25" i="4"/>
  <c r="AY55" i="8"/>
  <c r="AI28" i="4"/>
  <c r="T25" i="4"/>
  <c r="AR58" i="1"/>
  <c r="AR59" i="1" s="1"/>
  <c r="AD34" i="4"/>
  <c r="AO35" i="1"/>
  <c r="AO56" i="1" s="1"/>
  <c r="AO57" i="1" s="1"/>
  <c r="AD35" i="4"/>
  <c r="T28" i="4"/>
  <c r="AS60" i="1"/>
  <c r="AI25" i="4"/>
  <c r="AM35" i="4"/>
  <c r="AI35" i="4" s="1"/>
  <c r="AI34" i="4"/>
  <c r="AS25" i="4"/>
  <c r="AT28" i="4"/>
  <c r="AR28" i="4"/>
  <c r="BA28" i="4"/>
  <c r="AX25" i="4"/>
  <c r="BC25" i="4"/>
  <c r="BD28" i="4"/>
  <c r="BA5" i="8"/>
  <c r="BA4" i="8" s="1"/>
  <c r="BB5" i="8"/>
  <c r="BB4" i="8" s="1"/>
  <c r="BC5" i="8"/>
  <c r="BE46" i="8"/>
  <c r="BE35" i="8"/>
  <c r="BE23" i="8"/>
  <c r="BE18" i="8"/>
  <c r="BE10" i="8" s="1"/>
  <c r="BE4" i="8"/>
  <c r="BC35" i="8"/>
  <c r="BB35" i="8"/>
  <c r="BA35" i="8"/>
  <c r="AZ35" i="8"/>
  <c r="AX35" i="8"/>
  <c r="AW35" i="8"/>
  <c r="AV35" i="8"/>
  <c r="AT35" i="8"/>
  <c r="AS35" i="8"/>
  <c r="AR35" i="8"/>
  <c r="AQ35" i="8"/>
  <c r="AO35" i="8"/>
  <c r="AN35" i="8"/>
  <c r="AM35" i="8"/>
  <c r="AL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J35" i="8"/>
  <c r="BF35" i="8"/>
  <c r="BG35" i="8"/>
  <c r="BD35" i="8"/>
  <c r="BH35" i="8"/>
  <c r="BC46" i="8"/>
  <c r="BB46" i="8"/>
  <c r="BA46" i="8"/>
  <c r="AZ46" i="8"/>
  <c r="AX46" i="8"/>
  <c r="AW46" i="8"/>
  <c r="AV46" i="8"/>
  <c r="AT46" i="8"/>
  <c r="AS46" i="8"/>
  <c r="AR46" i="8"/>
  <c r="AQ46" i="8"/>
  <c r="AO46" i="8"/>
  <c r="AN46" i="8"/>
  <c r="AM46" i="8"/>
  <c r="AL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J46" i="8"/>
  <c r="BC23" i="8"/>
  <c r="BB23" i="8"/>
  <c r="BA23" i="8"/>
  <c r="AZ23" i="8"/>
  <c r="AX23" i="8"/>
  <c r="AW23" i="8"/>
  <c r="AV23" i="8"/>
  <c r="AT23" i="8"/>
  <c r="AS23" i="8"/>
  <c r="AR23" i="8"/>
  <c r="AQ23" i="8"/>
  <c r="AO23" i="8"/>
  <c r="AN23" i="8"/>
  <c r="AM23" i="8"/>
  <c r="AL23" i="8"/>
  <c r="AL54" i="8" s="1"/>
  <c r="AJ23" i="8"/>
  <c r="AI23" i="8"/>
  <c r="AH23" i="8"/>
  <c r="AG23" i="8"/>
  <c r="AG54" i="8" s="1"/>
  <c r="AF23" i="8"/>
  <c r="AE23" i="8"/>
  <c r="AD23" i="8"/>
  <c r="AC23" i="8"/>
  <c r="AC54" i="8" s="1"/>
  <c r="AB23" i="8"/>
  <c r="AA23" i="8"/>
  <c r="Z23" i="8"/>
  <c r="Y23" i="8"/>
  <c r="X23" i="8"/>
  <c r="W23" i="8"/>
  <c r="V23" i="8"/>
  <c r="U23" i="8"/>
  <c r="T23" i="8"/>
  <c r="S23" i="8"/>
  <c r="R23" i="8"/>
  <c r="Q23" i="8"/>
  <c r="Q54" i="8" s="1"/>
  <c r="P23" i="8"/>
  <c r="O23" i="8"/>
  <c r="N23" i="8"/>
  <c r="M23" i="8"/>
  <c r="M54" i="8" s="1"/>
  <c r="L23" i="8"/>
  <c r="J23" i="8"/>
  <c r="BC18" i="8"/>
  <c r="BB18" i="8"/>
  <c r="BA18" i="8"/>
  <c r="AZ18" i="8"/>
  <c r="AX18" i="8"/>
  <c r="AW18" i="8"/>
  <c r="AV18" i="8"/>
  <c r="AT18" i="8"/>
  <c r="AS18" i="8"/>
  <c r="AR18" i="8"/>
  <c r="AQ18" i="8"/>
  <c r="AO18" i="8"/>
  <c r="AN18" i="8"/>
  <c r="AM18" i="8"/>
  <c r="AL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J18" i="8"/>
  <c r="J10" i="8" s="1"/>
  <c r="BH18" i="8"/>
  <c r="BG18" i="8"/>
  <c r="BF18" i="8"/>
  <c r="BD18" i="8"/>
  <c r="BC11" i="8"/>
  <c r="BB11" i="8"/>
  <c r="BA11" i="8"/>
  <c r="AZ11" i="8"/>
  <c r="AZ10" i="8" s="1"/>
  <c r="AX11" i="8"/>
  <c r="AW11" i="8"/>
  <c r="AV11" i="8"/>
  <c r="AT11" i="8"/>
  <c r="AS11" i="8"/>
  <c r="AS10" i="8" s="1"/>
  <c r="AR11" i="8"/>
  <c r="AQ11" i="8"/>
  <c r="AO11" i="8"/>
  <c r="AN11" i="8"/>
  <c r="AN10" i="8" s="1"/>
  <c r="AM11" i="8"/>
  <c r="AL11" i="8"/>
  <c r="AJ11" i="8"/>
  <c r="AI11" i="8"/>
  <c r="AI10" i="8" s="1"/>
  <c r="AH11" i="8"/>
  <c r="AG11" i="8"/>
  <c r="AF11" i="8"/>
  <c r="AF10" i="8" s="1"/>
  <c r="AE11" i="8"/>
  <c r="AE10" i="8" s="1"/>
  <c r="AD11" i="8"/>
  <c r="AC11" i="8"/>
  <c r="AB11" i="8"/>
  <c r="AB10" i="8" s="1"/>
  <c r="AA11" i="8"/>
  <c r="AA10" i="8" s="1"/>
  <c r="Z11" i="8"/>
  <c r="Y11" i="8"/>
  <c r="X11" i="8"/>
  <c r="W11" i="8"/>
  <c r="W10" i="8" s="1"/>
  <c r="V11" i="8"/>
  <c r="U11" i="8"/>
  <c r="T11" i="8"/>
  <c r="T10" i="8" s="1"/>
  <c r="S11" i="8"/>
  <c r="S10" i="8" s="1"/>
  <c r="R11" i="8"/>
  <c r="Q11" i="8"/>
  <c r="P11" i="8"/>
  <c r="P10" i="8" s="1"/>
  <c r="O11" i="8"/>
  <c r="O10" i="8" s="1"/>
  <c r="N11" i="8"/>
  <c r="M11" i="8"/>
  <c r="L11" i="8"/>
  <c r="L10" i="8" s="1"/>
  <c r="AX10" i="8"/>
  <c r="AG10" i="8"/>
  <c r="BC4" i="8"/>
  <c r="AZ4" i="8"/>
  <c r="AX4" i="8"/>
  <c r="AW4" i="8"/>
  <c r="AV4" i="8"/>
  <c r="AT4" i="8"/>
  <c r="AS4" i="8"/>
  <c r="AR4" i="8"/>
  <c r="AQ4" i="8"/>
  <c r="AO4" i="8"/>
  <c r="AN4" i="8"/>
  <c r="AM4" i="8"/>
  <c r="AL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J4" i="8"/>
  <c r="BH46" i="8"/>
  <c r="BG46" i="8"/>
  <c r="BF46" i="8"/>
  <c r="BH23" i="8"/>
  <c r="BG23" i="8"/>
  <c r="BF23" i="8"/>
  <c r="BH11" i="8"/>
  <c r="BG11" i="8"/>
  <c r="BF11" i="8"/>
  <c r="BH4" i="8"/>
  <c r="BG4" i="8"/>
  <c r="BF4" i="8"/>
  <c r="BD46" i="8"/>
  <c r="BD23" i="8"/>
  <c r="BD11" i="8"/>
  <c r="BD5" i="8"/>
  <c r="BD4" i="8" s="1"/>
  <c r="Q10" i="8" l="1"/>
  <c r="BD10" i="8"/>
  <c r="N10" i="8"/>
  <c r="N22" i="8" s="1"/>
  <c r="V10" i="8"/>
  <c r="V22" i="8" s="1"/>
  <c r="V55" i="8" s="1"/>
  <c r="Z10" i="8"/>
  <c r="AH10" i="8"/>
  <c r="AM10" i="8"/>
  <c r="AM22" i="8" s="1"/>
  <c r="AR10" i="8"/>
  <c r="AR22" i="8" s="1"/>
  <c r="AW10" i="8"/>
  <c r="BB10" i="8"/>
  <c r="BB22" i="8" s="1"/>
  <c r="BE22" i="8"/>
  <c r="AN25" i="4"/>
  <c r="M10" i="8"/>
  <c r="AC10" i="8"/>
  <c r="AQ58" i="1"/>
  <c r="AQ59" i="1" s="1"/>
  <c r="AQ60" i="1" s="1"/>
  <c r="AR60" i="1"/>
  <c r="BG10" i="8"/>
  <c r="AD54" i="8"/>
  <c r="AH54" i="8"/>
  <c r="BB54" i="8"/>
  <c r="U10" i="8"/>
  <c r="Y10" i="8"/>
  <c r="Y22" i="8" s="1"/>
  <c r="AL10" i="8"/>
  <c r="AL22" i="8" s="1"/>
  <c r="AL55" i="8" s="1"/>
  <c r="AQ10" i="8"/>
  <c r="AQ22" i="8" s="1"/>
  <c r="BA10" i="8"/>
  <c r="BC54" i="8"/>
  <c r="AT32" i="4"/>
  <c r="AT34" i="4" s="1"/>
  <c r="AS28" i="4"/>
  <c r="AR32" i="4"/>
  <c r="AR34" i="4" s="1"/>
  <c r="AN28" i="4"/>
  <c r="BA32" i="4"/>
  <c r="BA34" i="4" s="1"/>
  <c r="AX28" i="4"/>
  <c r="BC28" i="4"/>
  <c r="BD32" i="4"/>
  <c r="N54" i="8"/>
  <c r="R54" i="8"/>
  <c r="AM54" i="8"/>
  <c r="AA54" i="8"/>
  <c r="AI54" i="8"/>
  <c r="BE54" i="8"/>
  <c r="BC10" i="8"/>
  <c r="BC22" i="8" s="1"/>
  <c r="R10" i="8"/>
  <c r="R22" i="8" s="1"/>
  <c r="AD10" i="8"/>
  <c r="AD22" i="8" s="1"/>
  <c r="AD55" i="8" s="1"/>
  <c r="J54" i="8"/>
  <c r="O54" i="8"/>
  <c r="S54" i="8"/>
  <c r="U54" i="8"/>
  <c r="W54" i="8"/>
  <c r="Y54" i="8"/>
  <c r="X10" i="8"/>
  <c r="X22" i="8" s="1"/>
  <c r="V54" i="8"/>
  <c r="Z54" i="8"/>
  <c r="AE54" i="8"/>
  <c r="AQ54" i="8"/>
  <c r="AS54" i="8"/>
  <c r="AV10" i="8"/>
  <c r="AV22" i="8" s="1"/>
  <c r="AW54" i="8"/>
  <c r="AX54" i="8"/>
  <c r="AJ10" i="8"/>
  <c r="AO54" i="8"/>
  <c r="AO10" i="8"/>
  <c r="AO22" i="8" s="1"/>
  <c r="AT10" i="8"/>
  <c r="AT22" i="8" s="1"/>
  <c r="AT54" i="8"/>
  <c r="BA54" i="8"/>
  <c r="Z22" i="8"/>
  <c r="AW22" i="8"/>
  <c r="J22" i="8"/>
  <c r="J55" i="8" s="1"/>
  <c r="L54" i="8"/>
  <c r="P54" i="8"/>
  <c r="T54" i="8"/>
  <c r="X54" i="8"/>
  <c r="AB54" i="8"/>
  <c r="AF54" i="8"/>
  <c r="AJ54" i="8"/>
  <c r="AN54" i="8"/>
  <c r="AR54" i="8"/>
  <c r="AV54" i="8"/>
  <c r="AZ54" i="8"/>
  <c r="BF54" i="8"/>
  <c r="BG54" i="8"/>
  <c r="BH54" i="8"/>
  <c r="Q22" i="8"/>
  <c r="Q55" i="8" s="1"/>
  <c r="AG22" i="8"/>
  <c r="AG55" i="8" s="1"/>
  <c r="AS22" i="8"/>
  <c r="AX22" i="8"/>
  <c r="BD54" i="8"/>
  <c r="AH22" i="8"/>
  <c r="BG22" i="8"/>
  <c r="M22" i="8"/>
  <c r="M55" i="8" s="1"/>
  <c r="U22" i="8"/>
  <c r="AC22" i="8"/>
  <c r="AC55" i="8" s="1"/>
  <c r="AK55" i="8"/>
  <c r="AP55" i="8"/>
  <c r="AU55" i="8"/>
  <c r="BA22" i="8"/>
  <c r="O22" i="8"/>
  <c r="S22" i="8"/>
  <c r="W22" i="8"/>
  <c r="AA22" i="8"/>
  <c r="AA55" i="8" s="1"/>
  <c r="AE22" i="8"/>
  <c r="AI22" i="8"/>
  <c r="L22" i="8"/>
  <c r="P22" i="8"/>
  <c r="T22" i="8"/>
  <c r="AB22" i="8"/>
  <c r="AF22" i="8"/>
  <c r="AJ22" i="8"/>
  <c r="AN22" i="8"/>
  <c r="AZ22" i="8"/>
  <c r="BH10" i="8"/>
  <c r="BH22" i="8" s="1"/>
  <c r="BF10" i="8"/>
  <c r="BF22" i="8" s="1"/>
  <c r="BD22" i="8"/>
  <c r="R55" i="8" l="1"/>
  <c r="AH55" i="8"/>
  <c r="AP58" i="1"/>
  <c r="N55" i="8"/>
  <c r="AI55" i="8"/>
  <c r="S55" i="8"/>
  <c r="BB55" i="8"/>
  <c r="BE55" i="8"/>
  <c r="U55" i="8"/>
  <c r="BA55" i="8"/>
  <c r="AQ55" i="8"/>
  <c r="AM55" i="8"/>
  <c r="AN55" i="8"/>
  <c r="BC55" i="8"/>
  <c r="AT35" i="4"/>
  <c r="AS35" i="4" s="1"/>
  <c r="AS34" i="4"/>
  <c r="AR35" i="4"/>
  <c r="AN35" i="4" s="1"/>
  <c r="AN34" i="4"/>
  <c r="BA35" i="4"/>
  <c r="AX35" i="4" s="1"/>
  <c r="AX34" i="4"/>
  <c r="BC32" i="4"/>
  <c r="BD34" i="4"/>
  <c r="O55" i="8"/>
  <c r="Y55" i="8"/>
  <c r="BD55" i="8"/>
  <c r="L55" i="8"/>
  <c r="W55" i="8"/>
  <c r="X55" i="8"/>
  <c r="AB55" i="8"/>
  <c r="Z55" i="8"/>
  <c r="AE55" i="8"/>
  <c r="AR55" i="8"/>
  <c r="AS55" i="8"/>
  <c r="AW55" i="8"/>
  <c r="AX55" i="8"/>
  <c r="AO55" i="8"/>
  <c r="AT55" i="8"/>
  <c r="BH55" i="8"/>
  <c r="AZ55" i="8"/>
  <c r="AJ55" i="8"/>
  <c r="T55" i="8"/>
  <c r="BG55" i="8"/>
  <c r="AV55" i="8"/>
  <c r="AF55" i="8"/>
  <c r="P55" i="8"/>
  <c r="BF55" i="8"/>
  <c r="I12" i="4"/>
  <c r="E12" i="4" s="1"/>
  <c r="I8" i="4"/>
  <c r="E8" i="4" s="1"/>
  <c r="I22" i="4"/>
  <c r="E22" i="4" s="1"/>
  <c r="I4" i="4"/>
  <c r="E4" i="4" s="1"/>
  <c r="K26" i="8"/>
  <c r="K27" i="8"/>
  <c r="K28" i="8"/>
  <c r="K29" i="8"/>
  <c r="K30" i="8"/>
  <c r="K31" i="8"/>
  <c r="K32" i="8"/>
  <c r="K33" i="8"/>
  <c r="K25" i="8"/>
  <c r="K24" i="8"/>
  <c r="K5" i="8"/>
  <c r="K6" i="8"/>
  <c r="K7" i="8"/>
  <c r="K8" i="8"/>
  <c r="K9" i="8"/>
  <c r="K13" i="8"/>
  <c r="K14" i="8"/>
  <c r="K15" i="8"/>
  <c r="K16" i="8"/>
  <c r="K17" i="8"/>
  <c r="K19" i="8"/>
  <c r="K20" i="8"/>
  <c r="K21" i="8"/>
  <c r="K36" i="8"/>
  <c r="K37" i="8"/>
  <c r="K38" i="8"/>
  <c r="K39" i="8"/>
  <c r="K40" i="8"/>
  <c r="K47" i="8"/>
  <c r="K48" i="8"/>
  <c r="K49" i="8"/>
  <c r="K50" i="8"/>
  <c r="K53" i="8"/>
  <c r="I9" i="4" l="1"/>
  <c r="BC34" i="4"/>
  <c r="BD35" i="4"/>
  <c r="BC35" i="4" s="1"/>
  <c r="K35" i="8"/>
  <c r="K4" i="8"/>
  <c r="K23" i="8"/>
  <c r="K46" i="8"/>
  <c r="K18" i="8"/>
  <c r="K11" i="8"/>
  <c r="K8" i="4"/>
  <c r="K4" i="4"/>
  <c r="L4" i="4"/>
  <c r="L8" i="4"/>
  <c r="L9" i="4" s="1"/>
  <c r="L11" i="4" s="1"/>
  <c r="L21" i="4" s="1"/>
  <c r="L25" i="4" s="1"/>
  <c r="L28" i="4" s="1"/>
  <c r="L32" i="4" s="1"/>
  <c r="L34" i="4" s="1"/>
  <c r="L35" i="4" s="1"/>
  <c r="I11" i="4" l="1"/>
  <c r="E9" i="4"/>
  <c r="K10" i="8"/>
  <c r="K22" i="8" s="1"/>
  <c r="K9" i="4"/>
  <c r="K54" i="8"/>
  <c r="K55" i="8" l="1"/>
  <c r="I21" i="4"/>
  <c r="E11" i="4"/>
  <c r="K11" i="4"/>
  <c r="K21" i="4" s="1"/>
  <c r="K25" i="4" s="1"/>
  <c r="K28" i="4" s="1"/>
  <c r="P22" i="5"/>
  <c r="E21" i="4" l="1"/>
  <c r="I25" i="4"/>
  <c r="K32" i="4"/>
  <c r="K34" i="4" s="1"/>
  <c r="K35" i="4" s="1"/>
  <c r="N8" i="4"/>
  <c r="N9" i="4" s="1"/>
  <c r="N11" i="4" s="1"/>
  <c r="N21" i="4" s="1"/>
  <c r="N25" i="4" s="1"/>
  <c r="N28" i="4" s="1"/>
  <c r="N32" i="4" s="1"/>
  <c r="N34" i="4" s="1"/>
  <c r="N35" i="4" s="1"/>
  <c r="M8" i="4"/>
  <c r="I28" i="4" l="1"/>
  <c r="E25" i="4"/>
  <c r="M9" i="4"/>
  <c r="J8" i="4"/>
  <c r="AB4" i="4"/>
  <c r="AB22" i="4"/>
  <c r="AB25" i="4" s="1"/>
  <c r="AB28" i="4" s="1"/>
  <c r="AB29" i="4"/>
  <c r="I32" i="4" l="1"/>
  <c r="E28" i="4"/>
  <c r="AB32" i="4"/>
  <c r="AB34" i="4" s="1"/>
  <c r="AB35" i="4" s="1"/>
  <c r="M11" i="4"/>
  <c r="M21" i="4" s="1"/>
  <c r="M25" i="4" s="1"/>
  <c r="M28" i="4" s="1"/>
  <c r="J9" i="4"/>
  <c r="AA22" i="4"/>
  <c r="AA25" i="4" s="1"/>
  <c r="AA28" i="4" s="1"/>
  <c r="AA29" i="4"/>
  <c r="AA4" i="4"/>
  <c r="I34" i="4" l="1"/>
  <c r="E32" i="4"/>
  <c r="AA32" i="4"/>
  <c r="AA34" i="4" s="1"/>
  <c r="AA35" i="4" s="1"/>
  <c r="M32" i="4"/>
  <c r="M34" i="4" s="1"/>
  <c r="M35" i="4" s="1"/>
  <c r="J35" i="4" s="1"/>
  <c r="J28" i="4"/>
  <c r="X29" i="4"/>
  <c r="X32" i="4" s="1"/>
  <c r="X34" i="4" s="1"/>
  <c r="X35" i="4" s="1"/>
  <c r="I35" i="4" l="1"/>
  <c r="E35" i="4" s="1"/>
  <c r="E34" i="4"/>
  <c r="Z22" i="4"/>
  <c r="Z4" i="4"/>
  <c r="AC4" i="4"/>
  <c r="AC22" i="4"/>
  <c r="AC25" i="4" s="1"/>
  <c r="AC28" i="4" s="1"/>
  <c r="AC29" i="4"/>
  <c r="Z29" i="4" s="1"/>
  <c r="Y29" i="4" s="1"/>
  <c r="X4" i="4"/>
  <c r="W29" i="4"/>
  <c r="W32" i="4" s="1"/>
  <c r="W34" i="4" s="1"/>
  <c r="W35" i="4" s="1"/>
  <c r="V29" i="4"/>
  <c r="W4" i="4"/>
  <c r="V4" i="4"/>
  <c r="U4" i="4"/>
  <c r="S22" i="4"/>
  <c r="S25" i="4" s="1"/>
  <c r="S28" i="4" s="1"/>
  <c r="S32" i="4" s="1"/>
  <c r="S34" i="4" s="1"/>
  <c r="S35" i="4" s="1"/>
  <c r="S4" i="4"/>
  <c r="R4" i="4"/>
  <c r="J11" i="4"/>
  <c r="N4" i="4"/>
  <c r="R22" i="4"/>
  <c r="R25" i="4" s="1"/>
  <c r="R28" i="4" s="1"/>
  <c r="R32" i="4" s="1"/>
  <c r="R34" i="4" s="1"/>
  <c r="R35" i="4" s="1"/>
  <c r="Q22" i="4"/>
  <c r="Q25" i="4" s="1"/>
  <c r="Q28" i="4" s="1"/>
  <c r="Q32" i="4" s="1"/>
  <c r="Q34" i="4" s="1"/>
  <c r="Q35" i="4" s="1"/>
  <c r="Q4" i="4"/>
  <c r="P4" i="4"/>
  <c r="M4" i="4"/>
  <c r="O4" i="4" l="1"/>
  <c r="AC32" i="4"/>
  <c r="AC34" i="4" s="1"/>
  <c r="AC35" i="4" s="1"/>
  <c r="T4" i="4"/>
  <c r="T29" i="4"/>
  <c r="V32" i="4"/>
  <c r="V34" i="4" s="1"/>
  <c r="V35" i="4" s="1"/>
  <c r="T35" i="4" s="1"/>
  <c r="Y4" i="4"/>
  <c r="J4" i="4"/>
  <c r="Y22" i="4"/>
  <c r="Z25" i="4"/>
  <c r="Y11" i="4"/>
  <c r="J21" i="4"/>
  <c r="Y25" i="4" l="1"/>
  <c r="Z28" i="4"/>
  <c r="Y21" i="4"/>
  <c r="Z35" i="1"/>
  <c r="AC35" i="1"/>
  <c r="AC56" i="1" s="1"/>
  <c r="AC57" i="1" s="1"/>
  <c r="AP35" i="1"/>
  <c r="AP56" i="1" s="1"/>
  <c r="AP57" i="1" s="1"/>
  <c r="AP59" i="1" s="1"/>
  <c r="AV35" i="1"/>
  <c r="AP60" i="1" l="1"/>
  <c r="AO58" i="1"/>
  <c r="AO59" i="1" s="1"/>
  <c r="AV56" i="1"/>
  <c r="AV57" i="1" s="1"/>
  <c r="AV59" i="1" s="1"/>
  <c r="AV60" i="1" s="1"/>
  <c r="O21" i="4"/>
  <c r="O11" i="4"/>
  <c r="T21" i="4"/>
  <c r="T11" i="4"/>
  <c r="Z32" i="4"/>
  <c r="Z34" i="4" s="1"/>
  <c r="Z35" i="4" s="1"/>
  <c r="Y35" i="4" s="1"/>
  <c r="Y28" i="4"/>
  <c r="AX32" i="4"/>
  <c r="AS32" i="4"/>
  <c r="AN32" i="4"/>
  <c r="AI32" i="4"/>
  <c r="AD32" i="4"/>
  <c r="P22" i="4"/>
  <c r="J25" i="4"/>
  <c r="O22" i="4" l="1"/>
  <c r="P25" i="4"/>
  <c r="AO60" i="1"/>
  <c r="AN58" i="1"/>
  <c r="J34" i="4"/>
  <c r="J32" i="4"/>
  <c r="T34" i="4"/>
  <c r="T32" i="4"/>
  <c r="Y34" i="4"/>
  <c r="Y32" i="4"/>
  <c r="AN59" i="1" l="1"/>
  <c r="AM58" i="1"/>
  <c r="AL58" i="1" s="1"/>
  <c r="AK58" i="1" s="1"/>
  <c r="AK59" i="1" s="1"/>
  <c r="P28" i="4"/>
  <c r="O25" i="4"/>
  <c r="AN60" i="1"/>
  <c r="AM59" i="1" l="1"/>
  <c r="AM60" i="1" s="1"/>
  <c r="P32" i="4"/>
  <c r="O28" i="4"/>
  <c r="AL59" i="1"/>
  <c r="P34" i="4" l="1"/>
  <c r="O32" i="4"/>
  <c r="AL60" i="1"/>
  <c r="P35" i="4" l="1"/>
  <c r="O35" i="4" s="1"/>
  <c r="O34" i="4"/>
  <c r="AK60" i="1"/>
  <c r="AJ59" i="1"/>
  <c r="AI58" i="1" l="1"/>
  <c r="AI59" i="1" s="1"/>
  <c r="AJ60" i="1"/>
  <c r="AH58" i="1" l="1"/>
  <c r="AH59" i="1" s="1"/>
  <c r="AI60" i="1"/>
  <c r="AH60" i="1" l="1"/>
  <c r="AG59" i="1"/>
  <c r="AF58" i="1" l="1"/>
  <c r="AG60" i="1"/>
  <c r="AF59" i="1" l="1"/>
  <c r="AE58" i="1" s="1"/>
  <c r="AE59" i="1" s="1"/>
  <c r="AC58" i="1"/>
  <c r="AF60" i="1" l="1"/>
  <c r="AD58" i="1"/>
  <c r="AD59" i="1" s="1"/>
  <c r="AE60" i="1"/>
  <c r="AD60" i="1" l="1"/>
  <c r="AC59" i="1"/>
  <c r="AB58" i="1" l="1"/>
  <c r="AC60" i="1"/>
  <c r="AB59" i="1" l="1"/>
  <c r="AA58" i="1" s="1"/>
  <c r="AA59" i="1" s="1"/>
  <c r="Y58" i="1"/>
  <c r="AB60" i="1"/>
  <c r="Z58" i="1" l="1"/>
  <c r="Z59" i="1" s="1"/>
  <c r="AA60" i="1"/>
  <c r="Z60" i="1" l="1"/>
  <c r="Y59" i="1"/>
  <c r="X58" i="1" l="1"/>
  <c r="X59" i="1" s="1"/>
  <c r="Y60" i="1"/>
  <c r="W59" i="1" l="1"/>
  <c r="X60" i="1"/>
  <c r="V59" i="1" l="1"/>
  <c r="W60" i="1"/>
  <c r="V60" i="1" l="1"/>
  <c r="U59" i="1"/>
  <c r="T58" i="1" l="1"/>
  <c r="T59" i="1" s="1"/>
  <c r="U60" i="1"/>
  <c r="S58" i="1" l="1"/>
  <c r="S59" i="1" s="1"/>
  <c r="T60" i="1"/>
  <c r="R58" i="1" l="1"/>
  <c r="R59" i="1" s="1"/>
  <c r="S60" i="1"/>
  <c r="R60" i="1" l="1"/>
  <c r="Q59" i="1"/>
  <c r="P58" i="1" l="1"/>
  <c r="P59" i="1" s="1"/>
  <c r="Q60" i="1"/>
  <c r="O58" i="1" l="1"/>
  <c r="O59" i="1" s="1"/>
  <c r="P60" i="1"/>
  <c r="N58" i="1" l="1"/>
  <c r="N59" i="1" s="1"/>
  <c r="O60" i="1"/>
  <c r="N60" i="1" l="1"/>
  <c r="M58" i="1"/>
  <c r="M59" i="1" s="1"/>
  <c r="L58" i="1" l="1"/>
  <c r="L59" i="1" s="1"/>
  <c r="M60" i="1"/>
  <c r="K58" i="1" l="1"/>
  <c r="K59" i="1" s="1"/>
  <c r="L60" i="1"/>
  <c r="J58" i="1" l="1"/>
  <c r="J59" i="1" s="1"/>
  <c r="K60" i="1"/>
  <c r="J60" i="1" l="1"/>
  <c r="I58" i="1"/>
  <c r="I59" i="1" s="1"/>
  <c r="H58" i="1" l="1"/>
  <c r="H59" i="1" s="1"/>
  <c r="I60" i="1"/>
  <c r="H60" i="1" l="1"/>
  <c r="G58" i="1"/>
  <c r="G59" i="1" s="1"/>
  <c r="G60" i="1" s="1"/>
</calcChain>
</file>

<file path=xl/sharedStrings.xml><?xml version="1.0" encoding="utf-8"?>
<sst xmlns="http://schemas.openxmlformats.org/spreadsheetml/2006/main" count="1820" uniqueCount="184">
  <si>
    <t/>
  </si>
  <si>
    <t>-</t>
  </si>
  <si>
    <t>Operational Performance</t>
  </si>
  <si>
    <t>Contracted Sales</t>
  </si>
  <si>
    <t>Number of Units Sold</t>
  </si>
  <si>
    <t>Launches</t>
  </si>
  <si>
    <t xml:space="preserve">Average Selling Price (R$ / m²) </t>
  </si>
  <si>
    <t>Units Launched</t>
  </si>
  <si>
    <t xml:space="preserve">Average Launched Price (R$ / m²) </t>
  </si>
  <si>
    <t>Number of Developments</t>
  </si>
  <si>
    <t xml:space="preserve">Area (m²) </t>
  </si>
  <si>
    <t>Financial Data</t>
  </si>
  <si>
    <t>Net Margin</t>
  </si>
  <si>
    <t>Other Financial Data</t>
  </si>
  <si>
    <t>Adjusted EBITDA Margin</t>
  </si>
  <si>
    <t>Gross Contracted Sales % Trisul (R$ million)</t>
  </si>
  <si>
    <t>Net Sales % Trisul (R$ million)</t>
  </si>
  <si>
    <t>PSV Launched (R$ million)</t>
  </si>
  <si>
    <t>PSV Launched % Trisul (R$ million)</t>
  </si>
  <si>
    <t>Net Operating Revenue (R$ million)</t>
  </si>
  <si>
    <t>Net Income (R$ million)</t>
  </si>
  <si>
    <t>Book Value (R$ million)</t>
  </si>
  <si>
    <t>Total of Indebtedness (Short-Term and Long-Term) (R$ million)</t>
  </si>
  <si>
    <t>Accounts Receivables (R$ million)</t>
  </si>
  <si>
    <t>Adjusted EBITDA (R$ million)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</si>
  <si>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</si>
  <si>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</si>
  <si>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</si>
  <si>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</si>
  <si>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</si>
  <si>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</si>
  <si>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</si>
  <si>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</si>
  <si>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</si>
  <si>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</si>
  <si>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</si>
  <si>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</si>
  <si>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</si>
  <si>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</si>
  <si>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</si>
  <si>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</si>
  <si>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</si>
  <si>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</si>
  <si>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</si>
  <si>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</si>
  <si>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</si>
  <si>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</si>
  <si>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</si>
  <si>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</si>
  <si>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</si>
  <si>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</si>
  <si>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</si>
  <si>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</si>
  <si>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</si>
  <si>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</si>
  <si>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</si>
  <si>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</si>
  <si>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</si>
  <si>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</si>
  <si>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</si>
  <si>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</si>
  <si>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</si>
  <si>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</si>
  <si>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</si>
  <si>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</si>
  <si>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</si>
  <si>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</si>
  <si>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Income Statement</t>
  </si>
  <si>
    <t>Gross Operating Revenue (R$ thousand)</t>
  </si>
  <si>
    <t>From Real Estate Sold</t>
  </si>
  <si>
    <t>(-) Deductions from Gross Revenue</t>
  </si>
  <si>
    <t xml:space="preserve">From Services Provided </t>
  </si>
  <si>
    <t xml:space="preserve">From the Leases of Properties </t>
  </si>
  <si>
    <t>Operating Costs</t>
  </si>
  <si>
    <t>Net Operating Revenue (R$ thousand)</t>
  </si>
  <si>
    <t>Gross Profit (R$ thousand)</t>
  </si>
  <si>
    <t>Operating Expenses/Income (R$ thousand)</t>
  </si>
  <si>
    <t>General and Administrative Expenses</t>
  </si>
  <si>
    <t>Selling Expenses</t>
  </si>
  <si>
    <t>Tax Expenses</t>
  </si>
  <si>
    <t>Results by Equity Equivalence</t>
  </si>
  <si>
    <t>Depreciation &amp; Amortization Expenses</t>
  </si>
  <si>
    <t>Provision for Litigation and Administrative Claims</t>
  </si>
  <si>
    <t>Other Operating (Expenses) Income</t>
  </si>
  <si>
    <t>Amortization of Goodwill</t>
  </si>
  <si>
    <t>Operating Income (R$ thousand)</t>
  </si>
  <si>
    <t>Financial Expenses/Revenues</t>
  </si>
  <si>
    <t>Financial Expenses</t>
  </si>
  <si>
    <t>Financial Revenues</t>
  </si>
  <si>
    <t>Income Before Income Taxes and Social Contribution</t>
  </si>
  <si>
    <t>Net Income (Loss)</t>
  </si>
  <si>
    <t>Adjusted Net Income (Loss)</t>
  </si>
  <si>
    <t>Minority Interest</t>
  </si>
  <si>
    <t>Income/Loss before Minority Interest</t>
  </si>
  <si>
    <t>Income Tax and Social Contribution</t>
  </si>
  <si>
    <t>Income Tax and Social Contribution - Deferred</t>
  </si>
  <si>
    <t>Total Income Tax and Social Contribution</t>
  </si>
  <si>
    <t>Non-Operating Income (R$ thousand)</t>
  </si>
  <si>
    <t>Other Non-Operating Income/Loss (R$ thousand)</t>
  </si>
  <si>
    <t>Current Assets</t>
  </si>
  <si>
    <t>Cash and Cash Equivalents</t>
  </si>
  <si>
    <t>Trade Accounts Receivable</t>
  </si>
  <si>
    <t>Real Estate to be Sold</t>
  </si>
  <si>
    <t>Other Receivables</t>
  </si>
  <si>
    <t>Recoverable Taxes</t>
  </si>
  <si>
    <t>Non-Current Assets</t>
  </si>
  <si>
    <t>Fixed Assets</t>
  </si>
  <si>
    <t>Investments</t>
  </si>
  <si>
    <t>Intagible Assets</t>
  </si>
  <si>
    <t>Related Parties</t>
  </si>
  <si>
    <t>Cash Equivalents</t>
  </si>
  <si>
    <t>Long-Term Assets</t>
  </si>
  <si>
    <t>Total Assets</t>
  </si>
  <si>
    <t>Current Liabilities</t>
  </si>
  <si>
    <t>Trade Accounts Payable</t>
  </si>
  <si>
    <t>Loans and Financing</t>
  </si>
  <si>
    <t>Accrued Payroll Obligations and Taxes Payable</t>
  </si>
  <si>
    <t>Deferred Taxes</t>
  </si>
  <si>
    <t>Land Payable</t>
  </si>
  <si>
    <t>Advances from Customers</t>
  </si>
  <si>
    <t>Accounts Payable</t>
  </si>
  <si>
    <t>Payment of Dividends</t>
  </si>
  <si>
    <t>Debentures Payable</t>
  </si>
  <si>
    <t>Other Liabilities</t>
  </si>
  <si>
    <t>Non-Current Liabilities</t>
  </si>
  <si>
    <t>Loans and Financings</t>
  </si>
  <si>
    <t>Debentures</t>
  </si>
  <si>
    <t>Labor and Tax Liabilities</t>
  </si>
  <si>
    <t>Investments Goodwill</t>
  </si>
  <si>
    <t>Equity</t>
  </si>
  <si>
    <t>Shareholders' Equity</t>
  </si>
  <si>
    <t>(-) Expenses with Follow-On</t>
  </si>
  <si>
    <t>Capital Stock</t>
  </si>
  <si>
    <t>Capital Reserve</t>
  </si>
  <si>
    <t>Minority Interest in Subsidiaries</t>
  </si>
  <si>
    <t>Total Liabilities and Shareholders' Equity</t>
  </si>
  <si>
    <t>Accumulated Profit</t>
  </si>
  <si>
    <t>Treasury Shares</t>
  </si>
  <si>
    <t>By Operating Activities</t>
  </si>
  <si>
    <t>Reconciliation of Net Income to Net Cash Provided by Operating Activities:</t>
  </si>
  <si>
    <t>Provision for Bad Debtors and Cancellations</t>
  </si>
  <si>
    <t>Depreciation/amortization</t>
  </si>
  <si>
    <t>Adjustment to Present Value</t>
  </si>
  <si>
    <t>Right of Use Depreciation</t>
  </si>
  <si>
    <t>Sales Stands Depreciation</t>
  </si>
  <si>
    <t>Interest on Loans</t>
  </si>
  <si>
    <t>Taxes Deferred</t>
  </si>
  <si>
    <t>Ownership Equity</t>
  </si>
  <si>
    <t>Residual Value of Disposable Fixed Assets</t>
  </si>
  <si>
    <t>Goodwill Amortization</t>
  </si>
  <si>
    <t>Increase/(Decrease) in Operating Assets</t>
  </si>
  <si>
    <t>Increase/(Decrease) in Operating Liabilities</t>
  </si>
  <si>
    <t>Provision for Judicial and Administrative Claims</t>
  </si>
  <si>
    <t>Cash Flow (R$ thousand)</t>
  </si>
  <si>
    <t>Cash Used in Operating Activities</t>
  </si>
  <si>
    <t>Payed Income Tax and Social Contribution</t>
  </si>
  <si>
    <t>Net Cash Generated From (Used In) Operating Activities</t>
  </si>
  <si>
    <t>Cash Flow From Investment Activities</t>
  </si>
  <si>
    <t>Investment Increase (Reduction)</t>
  </si>
  <si>
    <t>Fixed Assets Acquisition</t>
  </si>
  <si>
    <t>Intangible Assets Acquisition</t>
  </si>
  <si>
    <t>Paid Dividends</t>
  </si>
  <si>
    <t>Acquisition of Own Shares</t>
  </si>
  <si>
    <t xml:space="preserve">  Investment Disposal</t>
  </si>
  <si>
    <t xml:space="preserve">  Disposal of Fixed Assets</t>
  </si>
  <si>
    <t xml:space="preserve">  Disposal of Intangible Assets</t>
  </si>
  <si>
    <t>Net Cash Used in Investment Activities</t>
  </si>
  <si>
    <t>Cash Flow From Loan Activities</t>
  </si>
  <si>
    <t>Net Variation of Loans and Financing</t>
  </si>
  <si>
    <t>Disposal of Own Shares</t>
  </si>
  <si>
    <t>Capital Reserve - Stock Option Plan</t>
  </si>
  <si>
    <t>(-) Expenses with Stock Option Plan</t>
  </si>
  <si>
    <t>Capital Increase</t>
  </si>
  <si>
    <t>Cash Generated by Loan Activities</t>
  </si>
  <si>
    <t>Increase/(Decrease) in Cash, Banks and Financial Investments</t>
  </si>
  <si>
    <t>Balance of Cash, Banks and Financial Investments</t>
  </si>
  <si>
    <t>At the Beginning of the Period</t>
  </si>
  <si>
    <t>At the End of the Period</t>
  </si>
  <si>
    <t>Balance Sheet (R$ thousand)</t>
  </si>
  <si>
    <t>3Q20</t>
  </si>
  <si>
    <t>4Q20</t>
  </si>
  <si>
    <t>Interest on Loans and Debentures</t>
  </si>
  <si>
    <t>1T21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</si>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</sst>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0" fillId="3" borderId="0" xfId="0" applyNumberFormat="1" applyFont="1" applyFill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166" fontId="10" fillId="6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center" wrapText="1"/>
    </xf>
    <xf numFmtId="167" fontId="10" fillId="6" borderId="0" xfId="0" applyNumberFormat="1" applyFont="1" applyFill="1" applyAlignment="1">
      <alignment horizontal="center" vertical="center" wrapText="1"/>
    </xf>
    <xf numFmtId="167" fontId="10" fillId="2" borderId="0" xfId="0" applyNumberFormat="1" applyFont="1" applyFill="1" applyAlignment="1">
      <alignment horizontal="center" vertical="center" wrapText="1"/>
    </xf>
    <xf numFmtId="167" fontId="10" fillId="3" borderId="0" xfId="0" applyNumberFormat="1" applyFont="1" applyFill="1" applyAlignment="1">
      <alignment horizontal="center" vertical="center" wrapText="1"/>
    </xf>
    <xf numFmtId="167" fontId="8" fillId="6" borderId="0" xfId="0" applyNumberFormat="1" applyFont="1" applyFill="1" applyAlignment="1">
      <alignment horizontal="center" vertical="center" wrapText="1"/>
    </xf>
    <xf numFmtId="167" fontId="8" fillId="3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Operational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Performance</a:t>
          </a:r>
          <a:endParaRPr lang="pt-BR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Income Statement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199659</xdr:colOff>
      <xdr:row>0</xdr:row>
      <xdr:rowOff>55982</xdr:rowOff>
    </xdr:from>
    <xdr:to>
      <xdr:col>38</xdr:col>
      <xdr:colOff>34971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L1" sqref="L1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0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4" width="10" style="127" customWidth="1"/>
    <col min="5" max="9" width="10" style="16" customWidth="1" outlineLevel="1"/>
    <col min="10" max="10" width="8.140625" style="16" bestFit="1" customWidth="1"/>
    <col min="11" max="14" width="10" style="16" customWidth="1" outlineLevel="1"/>
    <col min="15" max="15" width="8.140625" style="16" bestFit="1" customWidth="1"/>
    <col min="16" max="19" width="10" style="16" customWidth="1" outlineLevel="1"/>
    <col min="20" max="20" width="8.140625" style="16" bestFit="1" customWidth="1"/>
    <col min="21" max="24" width="10" style="16" customWidth="1" outlineLevel="1"/>
    <col min="25" max="25" width="8.140625" style="16" bestFit="1" customWidth="1"/>
    <col min="26" max="29" width="10" style="16" customWidth="1" outlineLevel="1"/>
    <col min="30" max="30" width="8.140625" style="16" bestFit="1" customWidth="1"/>
    <col min="31" max="34" width="10" style="16" customWidth="1" outlineLevel="1"/>
    <col min="35" max="35" width="8.140625" style="16" bestFit="1" customWidth="1"/>
    <col min="36" max="39" width="10" style="16" customWidth="1" outlineLevel="1"/>
    <col min="40" max="40" width="8.140625" style="16" bestFit="1" customWidth="1"/>
    <col min="41" max="44" width="10" style="16" customWidth="1" outlineLevel="1"/>
    <col min="45" max="45" width="8.140625" style="16" bestFit="1" customWidth="1"/>
    <col min="46" max="49" width="10" style="16" customWidth="1" outlineLevel="1"/>
    <col min="50" max="50" width="8.140625" style="16" bestFit="1" customWidth="1"/>
    <col min="51" max="54" width="10" style="16" customWidth="1" outlineLevel="1"/>
    <col min="55" max="55" width="8.140625" style="16" bestFit="1" customWidth="1"/>
    <col min="56" max="59" width="10" style="16" customWidth="1" outlineLevel="1"/>
    <col min="60" max="16384" width="9.140625" style="2"/>
  </cols>
  <sheetData>
    <row r="1" spans="1:59" ht="54.75" customHeight="1" thickBot="1" x14ac:dyDescent="0.3">
      <c r="A1" s="11"/>
      <c r="B1" s="8"/>
      <c r="C1" s="4"/>
      <c r="D1" s="12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59" ht="8.25" customHeight="1" x14ac:dyDescent="0.25">
      <c r="A2" s="11"/>
      <c r="B2" s="9"/>
      <c r="C2" s="3"/>
      <c r="D2" s="12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</row>
    <row r="3" spans="1:59" s="1" customFormat="1" ht="21.6" customHeight="1" x14ac:dyDescent="0.25">
      <c r="A3" s="7"/>
      <c r="B3" s="122" t="s">
        <v>2</v>
      </c>
      <c r="C3" s="122"/>
      <c r="D3" s="126" t="s">
        <v>183</v>
      </c>
      <c r="E3" s="17">
        <v>2020</v>
      </c>
      <c r="F3" s="17" t="s">
        <v>180</v>
      </c>
      <c r="G3" s="17" t="s">
        <v>179</v>
      </c>
      <c r="H3" s="17" t="s">
        <v>25</v>
      </c>
      <c r="I3" s="17" t="s">
        <v>26</v>
      </c>
      <c r="J3" s="17">
        <v>2019</v>
      </c>
      <c r="K3" s="17" t="s">
        <v>27</v>
      </c>
      <c r="L3" s="17" t="s">
        <v>28</v>
      </c>
      <c r="M3" s="17" t="s">
        <v>29</v>
      </c>
      <c r="N3" s="17" t="s">
        <v>30</v>
      </c>
      <c r="O3" s="17">
        <v>2018</v>
      </c>
      <c r="P3" s="17" t="s">
        <v>31</v>
      </c>
      <c r="Q3" s="17" t="s">
        <v>32</v>
      </c>
      <c r="R3" s="17" t="s">
        <v>33</v>
      </c>
      <c r="S3" s="17" t="s">
        <v>34</v>
      </c>
      <c r="T3" s="17">
        <v>2017</v>
      </c>
      <c r="U3" s="17" t="s">
        <v>35</v>
      </c>
      <c r="V3" s="17" t="s">
        <v>36</v>
      </c>
      <c r="W3" s="17" t="s">
        <v>37</v>
      </c>
      <c r="X3" s="17" t="s">
        <v>38</v>
      </c>
      <c r="Y3" s="17">
        <v>2016</v>
      </c>
      <c r="Z3" s="17" t="s">
        <v>39</v>
      </c>
      <c r="AA3" s="17" t="s">
        <v>40</v>
      </c>
      <c r="AB3" s="17" t="s">
        <v>41</v>
      </c>
      <c r="AC3" s="17" t="s">
        <v>42</v>
      </c>
      <c r="AD3" s="17">
        <v>2015</v>
      </c>
      <c r="AE3" s="17" t="s">
        <v>43</v>
      </c>
      <c r="AF3" s="17" t="s">
        <v>44</v>
      </c>
      <c r="AG3" s="17" t="s">
        <v>45</v>
      </c>
      <c r="AH3" s="17" t="s">
        <v>46</v>
      </c>
      <c r="AI3" s="17">
        <v>2014</v>
      </c>
      <c r="AJ3" s="17" t="s">
        <v>47</v>
      </c>
      <c r="AK3" s="17" t="s">
        <v>48</v>
      </c>
      <c r="AL3" s="17" t="s">
        <v>49</v>
      </c>
      <c r="AM3" s="17" t="s">
        <v>50</v>
      </c>
      <c r="AN3" s="17">
        <v>2013</v>
      </c>
      <c r="AO3" s="17" t="s">
        <v>51</v>
      </c>
      <c r="AP3" s="17" t="s">
        <v>52</v>
      </c>
      <c r="AQ3" s="17" t="s">
        <v>53</v>
      </c>
      <c r="AR3" s="17" t="s">
        <v>54</v>
      </c>
      <c r="AS3" s="17">
        <v>2012</v>
      </c>
      <c r="AT3" s="17" t="s">
        <v>55</v>
      </c>
      <c r="AU3" s="17" t="s">
        <v>56</v>
      </c>
      <c r="AV3" s="17" t="s">
        <v>57</v>
      </c>
      <c r="AW3" s="17" t="s">
        <v>58</v>
      </c>
      <c r="AX3" s="17">
        <v>2011</v>
      </c>
      <c r="AY3" s="17" t="s">
        <v>59</v>
      </c>
      <c r="AZ3" s="17" t="s">
        <v>60</v>
      </c>
      <c r="BA3" s="17" t="s">
        <v>61</v>
      </c>
      <c r="BB3" s="17" t="s">
        <v>62</v>
      </c>
      <c r="BC3" s="17">
        <v>2010</v>
      </c>
      <c r="BD3" s="17" t="s">
        <v>63</v>
      </c>
      <c r="BE3" s="17" t="s">
        <v>64</v>
      </c>
      <c r="BF3" s="17" t="s">
        <v>65</v>
      </c>
      <c r="BG3" s="17" t="s">
        <v>66</v>
      </c>
    </row>
    <row r="4" spans="1:59" s="5" customFormat="1" ht="15.75" customHeight="1" x14ac:dyDescent="0.25">
      <c r="A4" s="12"/>
      <c r="B4" s="102" t="s">
        <v>3</v>
      </c>
      <c r="C4" s="103"/>
      <c r="D4" s="104"/>
      <c r="E4" s="105"/>
      <c r="F4" s="104"/>
      <c r="G4" s="104"/>
      <c r="H4" s="104"/>
      <c r="I4" s="104"/>
      <c r="J4" s="105"/>
      <c r="K4" s="104"/>
      <c r="L4" s="104"/>
      <c r="M4" s="104"/>
      <c r="N4" s="104"/>
      <c r="O4" s="105"/>
      <c r="P4" s="104"/>
      <c r="Q4" s="104"/>
      <c r="R4" s="104"/>
      <c r="S4" s="104"/>
      <c r="T4" s="105"/>
      <c r="U4" s="104"/>
      <c r="V4" s="104"/>
      <c r="W4" s="104"/>
      <c r="X4" s="104"/>
      <c r="Y4" s="105"/>
      <c r="Z4" s="104"/>
      <c r="AA4" s="104"/>
      <c r="AB4" s="104"/>
      <c r="AC4" s="104"/>
      <c r="AD4" s="105"/>
      <c r="AE4" s="104"/>
      <c r="AF4" s="104"/>
      <c r="AG4" s="104"/>
      <c r="AH4" s="104"/>
      <c r="AI4" s="105"/>
      <c r="AJ4" s="104"/>
      <c r="AK4" s="104"/>
      <c r="AL4" s="104"/>
      <c r="AM4" s="104"/>
      <c r="AN4" s="105"/>
      <c r="AO4" s="104"/>
      <c r="AP4" s="104"/>
      <c r="AQ4" s="104"/>
      <c r="AR4" s="104"/>
      <c r="AS4" s="105"/>
      <c r="AT4" s="104"/>
      <c r="AU4" s="104"/>
      <c r="AV4" s="104"/>
      <c r="AW4" s="104"/>
      <c r="AX4" s="105"/>
      <c r="AY4" s="104"/>
      <c r="AZ4" s="104"/>
      <c r="BA4" s="104"/>
      <c r="BB4" s="104"/>
      <c r="BC4" s="105"/>
      <c r="BD4" s="104"/>
      <c r="BE4" s="104"/>
      <c r="BF4" s="104"/>
      <c r="BG4" s="104"/>
    </row>
    <row r="5" spans="1:59" s="1" customFormat="1" ht="19.5" customHeight="1" x14ac:dyDescent="0.2">
      <c r="A5" s="7"/>
      <c r="B5" s="18" t="s">
        <v>4</v>
      </c>
      <c r="C5" s="19"/>
      <c r="D5" s="110">
        <v>441</v>
      </c>
      <c r="E5" s="109">
        <f t="shared" ref="E5:E7" si="0">SUM(F5:I5)</f>
        <v>1904</v>
      </c>
      <c r="F5" s="110">
        <v>524</v>
      </c>
      <c r="G5" s="110">
        <v>611</v>
      </c>
      <c r="H5" s="110">
        <v>491</v>
      </c>
      <c r="I5" s="23">
        <v>278</v>
      </c>
      <c r="J5" s="64">
        <f t="shared" ref="J5:J7" si="1">SUM(K5:N5)</f>
        <v>2087</v>
      </c>
      <c r="K5" s="23">
        <v>493</v>
      </c>
      <c r="L5" s="23">
        <v>377</v>
      </c>
      <c r="M5" s="23">
        <v>663</v>
      </c>
      <c r="N5" s="23">
        <v>554</v>
      </c>
      <c r="O5" s="64">
        <f t="shared" ref="O5:O7" si="2">SUM(P5:S5)</f>
        <v>1643</v>
      </c>
      <c r="P5" s="23">
        <v>445</v>
      </c>
      <c r="Q5" s="23">
        <v>253</v>
      </c>
      <c r="R5" s="23">
        <v>480</v>
      </c>
      <c r="S5" s="23">
        <v>465</v>
      </c>
      <c r="T5" s="64">
        <f t="shared" ref="T5:T7" si="3">SUM(U5:X5)</f>
        <v>1385</v>
      </c>
      <c r="U5" s="23">
        <v>527</v>
      </c>
      <c r="V5" s="23">
        <v>292</v>
      </c>
      <c r="W5" s="23">
        <v>322</v>
      </c>
      <c r="X5" s="23">
        <v>244</v>
      </c>
      <c r="Y5" s="64">
        <f t="shared" ref="Y5:Y7" si="4">SUM(Z5:AC5)</f>
        <v>749</v>
      </c>
      <c r="Z5" s="23">
        <v>206</v>
      </c>
      <c r="AA5" s="23">
        <v>175</v>
      </c>
      <c r="AB5" s="23">
        <v>221</v>
      </c>
      <c r="AC5" s="23">
        <v>147</v>
      </c>
      <c r="AD5" s="64">
        <f t="shared" ref="AD5:AD7" si="5">SUM(AE5:AH5)</f>
        <v>701</v>
      </c>
      <c r="AE5" s="23">
        <v>139</v>
      </c>
      <c r="AF5" s="23">
        <v>183</v>
      </c>
      <c r="AG5" s="23">
        <v>244</v>
      </c>
      <c r="AH5" s="23">
        <v>135</v>
      </c>
      <c r="AI5" s="64">
        <v>525</v>
      </c>
      <c r="AJ5" s="23">
        <v>59</v>
      </c>
      <c r="AK5" s="23">
        <v>134</v>
      </c>
      <c r="AL5" s="23">
        <v>192</v>
      </c>
      <c r="AM5" s="23">
        <v>141</v>
      </c>
      <c r="AN5" s="64">
        <f t="shared" ref="AN5:AN7" si="6">SUM(AO5:AR5)</f>
        <v>1260</v>
      </c>
      <c r="AO5" s="23">
        <v>299</v>
      </c>
      <c r="AP5" s="23">
        <v>236</v>
      </c>
      <c r="AQ5" s="23">
        <v>478</v>
      </c>
      <c r="AR5" s="23">
        <v>247</v>
      </c>
      <c r="AS5" s="64">
        <f>SUM(AT5:AW5)</f>
        <v>930</v>
      </c>
      <c r="AT5" s="23">
        <v>297</v>
      </c>
      <c r="AU5" s="23">
        <v>89</v>
      </c>
      <c r="AV5" s="23">
        <v>272</v>
      </c>
      <c r="AW5" s="23">
        <v>272</v>
      </c>
      <c r="AX5" s="64">
        <f>SUM(AY5:BB5)</f>
        <v>1578</v>
      </c>
      <c r="AY5" s="23">
        <v>212</v>
      </c>
      <c r="AZ5" s="23">
        <v>418</v>
      </c>
      <c r="BA5" s="23">
        <v>392</v>
      </c>
      <c r="BB5" s="23">
        <v>556</v>
      </c>
      <c r="BC5" s="64">
        <f>SUM(BD5:BG5)</f>
        <v>4779</v>
      </c>
      <c r="BD5" s="23">
        <v>931</v>
      </c>
      <c r="BE5" s="23">
        <v>1005</v>
      </c>
      <c r="BF5" s="23">
        <v>1371</v>
      </c>
      <c r="BG5" s="23">
        <v>1472</v>
      </c>
    </row>
    <row r="6" spans="1:59" s="1" customFormat="1" ht="19.5" customHeight="1" x14ac:dyDescent="0.25">
      <c r="A6" s="7"/>
      <c r="B6" s="20" t="s">
        <v>15</v>
      </c>
      <c r="C6" s="21"/>
      <c r="D6" s="111">
        <v>188.501</v>
      </c>
      <c r="E6" s="109">
        <f t="shared" si="0"/>
        <v>867.01099999999997</v>
      </c>
      <c r="F6" s="111">
        <v>250.05</v>
      </c>
      <c r="G6" s="111">
        <v>266.161</v>
      </c>
      <c r="H6" s="111">
        <v>194.9</v>
      </c>
      <c r="I6" s="22">
        <v>155.9</v>
      </c>
      <c r="J6" s="64">
        <f t="shared" si="1"/>
        <v>1116.3</v>
      </c>
      <c r="K6" s="22">
        <v>268.5</v>
      </c>
      <c r="L6" s="22">
        <v>311.8</v>
      </c>
      <c r="M6" s="22">
        <v>280</v>
      </c>
      <c r="N6" s="22">
        <v>256</v>
      </c>
      <c r="O6" s="64">
        <f t="shared" si="2"/>
        <v>630</v>
      </c>
      <c r="P6" s="22">
        <v>168</v>
      </c>
      <c r="Q6" s="22">
        <v>135.1</v>
      </c>
      <c r="R6" s="22">
        <v>172.2</v>
      </c>
      <c r="S6" s="22">
        <v>154.69999999999999</v>
      </c>
      <c r="T6" s="64">
        <f t="shared" si="3"/>
        <v>604.80000000000007</v>
      </c>
      <c r="U6" s="22">
        <v>189.3</v>
      </c>
      <c r="V6" s="22">
        <v>150.5</v>
      </c>
      <c r="W6" s="22">
        <v>138.30000000000001</v>
      </c>
      <c r="X6" s="22">
        <v>126.7</v>
      </c>
      <c r="Y6" s="64">
        <f t="shared" si="4"/>
        <v>362.25</v>
      </c>
      <c r="Z6" s="22">
        <v>78.78</v>
      </c>
      <c r="AA6" s="22">
        <v>112.84</v>
      </c>
      <c r="AB6" s="22">
        <v>89.67</v>
      </c>
      <c r="AC6" s="22">
        <v>80.959999999999994</v>
      </c>
      <c r="AD6" s="64">
        <f t="shared" si="5"/>
        <v>327.10000000000002</v>
      </c>
      <c r="AE6" s="22">
        <v>95.8</v>
      </c>
      <c r="AF6" s="22">
        <v>74.099999999999994</v>
      </c>
      <c r="AG6" s="22">
        <v>86.6</v>
      </c>
      <c r="AH6" s="22">
        <v>70.599999999999994</v>
      </c>
      <c r="AI6" s="64">
        <v>279.39999999999998</v>
      </c>
      <c r="AJ6" s="22">
        <v>62.2</v>
      </c>
      <c r="AK6" s="22">
        <v>66.400000000000006</v>
      </c>
      <c r="AL6" s="22">
        <v>87.8</v>
      </c>
      <c r="AM6" s="22">
        <v>62</v>
      </c>
      <c r="AN6" s="64">
        <f t="shared" si="6"/>
        <v>521.5</v>
      </c>
      <c r="AO6" s="22">
        <v>121.6</v>
      </c>
      <c r="AP6" s="22">
        <v>97.2</v>
      </c>
      <c r="AQ6" s="22">
        <v>200.1</v>
      </c>
      <c r="AR6" s="22">
        <v>102.6</v>
      </c>
      <c r="AS6" s="64">
        <f>SUM(AT6:AW6)</f>
        <v>352.59968974181004</v>
      </c>
      <c r="AT6" s="22">
        <v>121.81368974181008</v>
      </c>
      <c r="AU6" s="22">
        <v>56.857999999999997</v>
      </c>
      <c r="AV6" s="22">
        <v>93.938999999999993</v>
      </c>
      <c r="AW6" s="22">
        <v>79.989000000000004</v>
      </c>
      <c r="AX6" s="64">
        <f>SUM(AY6:BB6)</f>
        <v>476.56000000000006</v>
      </c>
      <c r="AY6" s="22">
        <v>78.260000000000005</v>
      </c>
      <c r="AZ6" s="22">
        <v>128.9</v>
      </c>
      <c r="BA6" s="22">
        <v>123.5</v>
      </c>
      <c r="BB6" s="22">
        <v>145.9</v>
      </c>
      <c r="BC6" s="64">
        <f>SUM(BD6:BG6)</f>
        <v>1050.3</v>
      </c>
      <c r="BD6" s="22">
        <v>207.3</v>
      </c>
      <c r="BE6" s="22">
        <v>190.4</v>
      </c>
      <c r="BF6" s="22">
        <v>335.8</v>
      </c>
      <c r="BG6" s="22">
        <v>316.8</v>
      </c>
    </row>
    <row r="7" spans="1:59" s="1" customFormat="1" ht="19.5" customHeight="1" x14ac:dyDescent="0.2">
      <c r="A7" s="7"/>
      <c r="B7" s="18" t="s">
        <v>16</v>
      </c>
      <c r="C7" s="19"/>
      <c r="D7" s="110">
        <v>177.21299999999999</v>
      </c>
      <c r="E7" s="109">
        <f t="shared" si="0"/>
        <v>783.79200000000003</v>
      </c>
      <c r="F7" s="110">
        <v>230.18100000000001</v>
      </c>
      <c r="G7" s="110">
        <v>246.911</v>
      </c>
      <c r="H7" s="110">
        <v>173.8</v>
      </c>
      <c r="I7" s="23">
        <v>132.9</v>
      </c>
      <c r="J7" s="64">
        <f t="shared" si="1"/>
        <v>1035.2</v>
      </c>
      <c r="K7" s="23">
        <v>249.6</v>
      </c>
      <c r="L7" s="23">
        <v>289.60000000000002</v>
      </c>
      <c r="M7" s="23">
        <v>256</v>
      </c>
      <c r="N7" s="23">
        <v>240</v>
      </c>
      <c r="O7" s="64">
        <f t="shared" si="2"/>
        <v>575.9</v>
      </c>
      <c r="P7" s="23">
        <v>153</v>
      </c>
      <c r="Q7" s="23">
        <v>120</v>
      </c>
      <c r="R7" s="23">
        <v>157.4</v>
      </c>
      <c r="S7" s="23">
        <v>145.5</v>
      </c>
      <c r="T7" s="64">
        <f t="shared" si="3"/>
        <v>552.80000000000007</v>
      </c>
      <c r="U7" s="23">
        <v>172.7</v>
      </c>
      <c r="V7" s="23">
        <v>140.80000000000001</v>
      </c>
      <c r="W7" s="23">
        <v>121.1</v>
      </c>
      <c r="X7" s="23">
        <v>118.2</v>
      </c>
      <c r="Y7" s="64">
        <f t="shared" si="4"/>
        <v>347.05799999999999</v>
      </c>
      <c r="Z7" s="23">
        <v>68.2</v>
      </c>
      <c r="AA7" s="23">
        <v>108.268</v>
      </c>
      <c r="AB7" s="23">
        <v>89.63</v>
      </c>
      <c r="AC7" s="23">
        <v>80.959999999999994</v>
      </c>
      <c r="AD7" s="64">
        <f t="shared" si="5"/>
        <v>305.60000000000002</v>
      </c>
      <c r="AE7" s="23">
        <v>91</v>
      </c>
      <c r="AF7" s="23">
        <v>68.3</v>
      </c>
      <c r="AG7" s="23">
        <v>78</v>
      </c>
      <c r="AH7" s="23">
        <v>68.3</v>
      </c>
      <c r="AI7" s="64">
        <v>226.8</v>
      </c>
      <c r="AJ7" s="23">
        <v>54.2</v>
      </c>
      <c r="AK7" s="23">
        <v>52.8</v>
      </c>
      <c r="AL7" s="23">
        <v>73</v>
      </c>
      <c r="AM7" s="23">
        <v>46.4</v>
      </c>
      <c r="AN7" s="64">
        <f t="shared" si="6"/>
        <v>453.20000000000005</v>
      </c>
      <c r="AO7" s="23">
        <v>106.9</v>
      </c>
      <c r="AP7" s="23">
        <v>94.2</v>
      </c>
      <c r="AQ7" s="23">
        <v>161.30000000000001</v>
      </c>
      <c r="AR7" s="23">
        <v>90.8</v>
      </c>
      <c r="AS7" s="64">
        <f>SUM(AT7:AW7)</f>
        <v>278.11761242636396</v>
      </c>
      <c r="AT7" s="23">
        <v>112.12161242636394</v>
      </c>
      <c r="AU7" s="23">
        <v>38.003</v>
      </c>
      <c r="AV7" s="23">
        <v>63.055999999999997</v>
      </c>
      <c r="AW7" s="23">
        <v>64.936999999999998</v>
      </c>
      <c r="AX7" s="64">
        <f>SUM(AY7:BB7)</f>
        <v>346.8</v>
      </c>
      <c r="AY7" s="23">
        <v>61.2</v>
      </c>
      <c r="AZ7" s="23">
        <v>84.1</v>
      </c>
      <c r="BA7" s="23">
        <v>94.1</v>
      </c>
      <c r="BB7" s="23">
        <v>107.4</v>
      </c>
      <c r="BC7" s="64">
        <f>SUM(BD7:BG7)</f>
        <v>801.3</v>
      </c>
      <c r="BD7" s="23">
        <v>161.80000000000001</v>
      </c>
      <c r="BE7" s="23">
        <v>170.1</v>
      </c>
      <c r="BF7" s="23">
        <v>236.2</v>
      </c>
      <c r="BG7" s="23">
        <v>233.2</v>
      </c>
    </row>
    <row r="8" spans="1:59" s="1" customFormat="1" ht="19.5" customHeight="1" x14ac:dyDescent="0.25">
      <c r="A8" s="7"/>
      <c r="B8" s="20" t="s">
        <v>6</v>
      </c>
      <c r="C8" s="21"/>
      <c r="D8" s="111" t="s">
        <v>1</v>
      </c>
      <c r="E8" s="109" t="s">
        <v>1</v>
      </c>
      <c r="F8" s="111" t="s">
        <v>1</v>
      </c>
      <c r="G8" s="111" t="s">
        <v>1</v>
      </c>
      <c r="H8" s="111" t="s">
        <v>1</v>
      </c>
      <c r="I8" s="22" t="s">
        <v>1</v>
      </c>
      <c r="J8" s="64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64">
        <v>13348</v>
      </c>
      <c r="P8" s="22">
        <v>5832</v>
      </c>
      <c r="Q8" s="22">
        <v>8543</v>
      </c>
      <c r="R8" s="22">
        <v>6701</v>
      </c>
      <c r="S8" s="22">
        <v>6277</v>
      </c>
      <c r="T8" s="64">
        <v>7446</v>
      </c>
      <c r="U8" s="22">
        <v>6640</v>
      </c>
      <c r="V8" s="22">
        <v>8269</v>
      </c>
      <c r="W8" s="22">
        <v>7499</v>
      </c>
      <c r="X8" s="22">
        <v>7884</v>
      </c>
      <c r="Y8" s="64">
        <v>7980</v>
      </c>
      <c r="Z8" s="22">
        <v>6850</v>
      </c>
      <c r="AA8" s="22">
        <v>9630</v>
      </c>
      <c r="AB8" s="22">
        <v>7043</v>
      </c>
      <c r="AC8" s="22">
        <v>8571</v>
      </c>
      <c r="AD8" s="64">
        <v>9414</v>
      </c>
      <c r="AE8" s="22">
        <v>12425</v>
      </c>
      <c r="AF8" s="22">
        <v>8809</v>
      </c>
      <c r="AG8" s="22">
        <v>8426</v>
      </c>
      <c r="AH8" s="22">
        <v>8457</v>
      </c>
      <c r="AI8" s="64">
        <v>6190</v>
      </c>
      <c r="AJ8" s="22">
        <v>5850</v>
      </c>
      <c r="AK8" s="22">
        <v>6201</v>
      </c>
      <c r="AL8" s="22">
        <v>8608</v>
      </c>
      <c r="AM8" s="22">
        <v>7114</v>
      </c>
      <c r="AN8" s="64">
        <v>6319</v>
      </c>
      <c r="AO8" s="22">
        <v>6702</v>
      </c>
      <c r="AP8" s="22">
        <v>6733</v>
      </c>
      <c r="AQ8" s="22">
        <v>7612</v>
      </c>
      <c r="AR8" s="22">
        <v>5206</v>
      </c>
      <c r="AS8" s="64">
        <v>5711</v>
      </c>
      <c r="AT8" s="22">
        <v>7107</v>
      </c>
      <c r="AU8" s="22">
        <v>9179</v>
      </c>
      <c r="AV8" s="22">
        <v>4843</v>
      </c>
      <c r="AW8" s="22">
        <v>4209</v>
      </c>
      <c r="AX8" s="64">
        <v>3850</v>
      </c>
      <c r="AY8" s="22">
        <v>4889</v>
      </c>
      <c r="AZ8" s="22">
        <v>4270</v>
      </c>
      <c r="BA8" s="22" t="s">
        <v>1</v>
      </c>
      <c r="BB8" s="22" t="s">
        <v>1</v>
      </c>
      <c r="BC8" s="64">
        <v>3690</v>
      </c>
      <c r="BD8" s="22" t="s">
        <v>1</v>
      </c>
      <c r="BE8" s="22">
        <v>2868</v>
      </c>
      <c r="BF8" s="22">
        <v>3257</v>
      </c>
      <c r="BG8" s="22">
        <v>2751</v>
      </c>
    </row>
    <row r="9" spans="1:59" s="6" customFormat="1" ht="15.75" customHeight="1" x14ac:dyDescent="0.25">
      <c r="A9" s="13"/>
      <c r="B9" s="106" t="s">
        <v>5</v>
      </c>
      <c r="C9" s="107"/>
      <c r="D9" s="108"/>
      <c r="E9" s="105"/>
      <c r="F9" s="108"/>
      <c r="G9" s="108"/>
      <c r="H9" s="108"/>
      <c r="I9" s="108"/>
      <c r="J9" s="105"/>
      <c r="K9" s="108"/>
      <c r="L9" s="108"/>
      <c r="M9" s="108"/>
      <c r="N9" s="108"/>
      <c r="O9" s="105"/>
      <c r="P9" s="108"/>
      <c r="Q9" s="108"/>
      <c r="R9" s="108"/>
      <c r="S9" s="108"/>
      <c r="T9" s="105"/>
      <c r="U9" s="108"/>
      <c r="V9" s="108"/>
      <c r="W9" s="108"/>
      <c r="X9" s="108"/>
      <c r="Y9" s="105"/>
      <c r="Z9" s="108"/>
      <c r="AA9" s="108"/>
      <c r="AB9" s="108"/>
      <c r="AC9" s="108"/>
      <c r="AD9" s="105"/>
      <c r="AE9" s="108"/>
      <c r="AF9" s="108"/>
      <c r="AG9" s="108"/>
      <c r="AH9" s="108"/>
      <c r="AI9" s="105"/>
      <c r="AJ9" s="108"/>
      <c r="AK9" s="108"/>
      <c r="AL9" s="108"/>
      <c r="AM9" s="108"/>
      <c r="AN9" s="105"/>
      <c r="AO9" s="108"/>
      <c r="AP9" s="108"/>
      <c r="AQ9" s="108"/>
      <c r="AR9" s="108"/>
      <c r="AS9" s="105"/>
      <c r="AT9" s="108"/>
      <c r="AU9" s="108"/>
      <c r="AV9" s="108"/>
      <c r="AW9" s="108"/>
      <c r="AX9" s="105"/>
      <c r="AY9" s="108"/>
      <c r="AZ9" s="108"/>
      <c r="BA9" s="108"/>
      <c r="BB9" s="108"/>
      <c r="BC9" s="105"/>
      <c r="BD9" s="108"/>
      <c r="BE9" s="108"/>
      <c r="BF9" s="108"/>
      <c r="BG9" s="108"/>
    </row>
    <row r="10" spans="1:59" s="1" customFormat="1" ht="19.5" customHeight="1" x14ac:dyDescent="0.25">
      <c r="A10" s="7"/>
      <c r="B10" s="20" t="s">
        <v>9</v>
      </c>
      <c r="C10" s="21"/>
      <c r="D10" s="111">
        <v>2</v>
      </c>
      <c r="E10" s="109">
        <f t="shared" ref="E10:E12" si="7">SUM(F10:I10)</f>
        <v>8</v>
      </c>
      <c r="F10" s="111">
        <v>3</v>
      </c>
      <c r="G10" s="111">
        <v>2</v>
      </c>
      <c r="H10" s="111">
        <v>3</v>
      </c>
      <c r="I10" s="22" t="s">
        <v>1</v>
      </c>
      <c r="J10" s="64">
        <f t="shared" ref="J10:J12" si="8">SUM(K10:N10)</f>
        <v>11</v>
      </c>
      <c r="K10" s="22">
        <v>5</v>
      </c>
      <c r="L10" s="22">
        <v>1</v>
      </c>
      <c r="M10" s="22">
        <v>3</v>
      </c>
      <c r="N10" s="22">
        <v>2</v>
      </c>
      <c r="O10" s="64">
        <v>11</v>
      </c>
      <c r="P10" s="22">
        <v>4</v>
      </c>
      <c r="Q10" s="22">
        <v>1</v>
      </c>
      <c r="R10" s="22">
        <v>4</v>
      </c>
      <c r="S10" s="22">
        <v>1</v>
      </c>
      <c r="T10" s="64">
        <f t="shared" ref="T10:T12" si="9">SUM(U10:X10)</f>
        <v>11</v>
      </c>
      <c r="U10" s="22">
        <v>4</v>
      </c>
      <c r="V10" s="22">
        <v>1</v>
      </c>
      <c r="W10" s="22">
        <v>4</v>
      </c>
      <c r="X10" s="22">
        <v>2</v>
      </c>
      <c r="Y10" s="64">
        <f t="shared" ref="Y10:Y12" si="10">SUM(Z10:AC10)</f>
        <v>6</v>
      </c>
      <c r="Z10" s="22">
        <v>2</v>
      </c>
      <c r="AA10" s="22">
        <v>1</v>
      </c>
      <c r="AB10" s="22">
        <v>2</v>
      </c>
      <c r="AC10" s="22">
        <v>1</v>
      </c>
      <c r="AD10" s="64">
        <f t="shared" ref="AD10:AD12" si="11">SUM(AE10:AH10)</f>
        <v>4</v>
      </c>
      <c r="AE10" s="22">
        <v>2</v>
      </c>
      <c r="AF10" s="22" t="s">
        <v>1</v>
      </c>
      <c r="AG10" s="22">
        <v>2</v>
      </c>
      <c r="AH10" s="22" t="s">
        <v>1</v>
      </c>
      <c r="AI10" s="64">
        <f t="shared" ref="AI10:AI12" si="12">SUM(AJ10:AM10)</f>
        <v>4</v>
      </c>
      <c r="AJ10" s="22">
        <v>3</v>
      </c>
      <c r="AK10" s="22" t="s">
        <v>1</v>
      </c>
      <c r="AL10" s="22">
        <v>1</v>
      </c>
      <c r="AM10" s="22" t="s">
        <v>1</v>
      </c>
      <c r="AN10" s="64">
        <f t="shared" ref="AN10:AN12" si="13">SUM(AO10:AR10)</f>
        <v>7</v>
      </c>
      <c r="AO10" s="22">
        <v>3</v>
      </c>
      <c r="AP10" s="22">
        <v>2</v>
      </c>
      <c r="AQ10" s="22">
        <v>2</v>
      </c>
      <c r="AR10" s="22" t="s">
        <v>1</v>
      </c>
      <c r="AS10" s="64">
        <f>SUM(AT10:AW10)</f>
        <v>4</v>
      </c>
      <c r="AT10" s="22">
        <v>2</v>
      </c>
      <c r="AU10" s="22" t="s">
        <v>1</v>
      </c>
      <c r="AV10" s="22">
        <v>2</v>
      </c>
      <c r="AW10" s="22" t="s">
        <v>1</v>
      </c>
      <c r="AX10" s="64">
        <f>SUM(AY10:BB10)</f>
        <v>8</v>
      </c>
      <c r="AY10" s="22">
        <v>2</v>
      </c>
      <c r="AZ10" s="22">
        <v>2</v>
      </c>
      <c r="BA10" s="22">
        <v>2</v>
      </c>
      <c r="BB10" s="22">
        <v>2</v>
      </c>
      <c r="BC10" s="64">
        <f>SUM(BD10:BG10)</f>
        <v>23</v>
      </c>
      <c r="BD10" s="22">
        <v>4</v>
      </c>
      <c r="BE10" s="22">
        <v>5</v>
      </c>
      <c r="BF10" s="22">
        <v>8</v>
      </c>
      <c r="BG10" s="22">
        <v>6</v>
      </c>
    </row>
    <row r="11" spans="1:59" s="1" customFormat="1" ht="19.5" customHeight="1" x14ac:dyDescent="0.2">
      <c r="A11" s="7"/>
      <c r="B11" s="18" t="s">
        <v>17</v>
      </c>
      <c r="C11" s="19"/>
      <c r="D11" s="110">
        <v>328.06</v>
      </c>
      <c r="E11" s="109">
        <f t="shared" si="7"/>
        <v>1097.569129</v>
      </c>
      <c r="F11" s="110">
        <v>423.53</v>
      </c>
      <c r="G11" s="110">
        <v>312.55900000000003</v>
      </c>
      <c r="H11" s="110">
        <v>361.48012899999998</v>
      </c>
      <c r="I11" s="23" t="s">
        <v>1</v>
      </c>
      <c r="J11" s="64">
        <f t="shared" si="8"/>
        <v>1152.9000000000001</v>
      </c>
      <c r="K11" s="23">
        <v>287.89999999999998</v>
      </c>
      <c r="L11" s="23">
        <v>338</v>
      </c>
      <c r="M11" s="23">
        <v>255</v>
      </c>
      <c r="N11" s="23">
        <v>272</v>
      </c>
      <c r="O11" s="64">
        <f t="shared" ref="O11:O12" si="14">SUM(P11:S11)</f>
        <v>718</v>
      </c>
      <c r="P11" s="23">
        <v>299</v>
      </c>
      <c r="Q11" s="23">
        <v>94</v>
      </c>
      <c r="R11" s="23">
        <v>283</v>
      </c>
      <c r="S11" s="23">
        <v>42</v>
      </c>
      <c r="T11" s="64">
        <f t="shared" si="9"/>
        <v>771</v>
      </c>
      <c r="U11" s="23">
        <v>288</v>
      </c>
      <c r="V11" s="23">
        <v>83</v>
      </c>
      <c r="W11" s="23">
        <v>251</v>
      </c>
      <c r="X11" s="23">
        <v>149</v>
      </c>
      <c r="Y11" s="64">
        <f t="shared" si="10"/>
        <v>432</v>
      </c>
      <c r="Z11" s="23">
        <v>142</v>
      </c>
      <c r="AA11" s="23">
        <v>95</v>
      </c>
      <c r="AB11" s="23">
        <v>114</v>
      </c>
      <c r="AC11" s="23">
        <v>81</v>
      </c>
      <c r="AD11" s="64">
        <f t="shared" si="11"/>
        <v>241</v>
      </c>
      <c r="AE11" s="23">
        <v>197</v>
      </c>
      <c r="AF11" s="23" t="s">
        <v>1</v>
      </c>
      <c r="AG11" s="23">
        <v>44</v>
      </c>
      <c r="AH11" s="23" t="s">
        <v>1</v>
      </c>
      <c r="AI11" s="64">
        <f t="shared" si="12"/>
        <v>237</v>
      </c>
      <c r="AJ11" s="23">
        <v>186</v>
      </c>
      <c r="AK11" s="23" t="s">
        <v>1</v>
      </c>
      <c r="AL11" s="23">
        <v>51</v>
      </c>
      <c r="AM11" s="23" t="s">
        <v>1</v>
      </c>
      <c r="AN11" s="64">
        <f t="shared" si="13"/>
        <v>405</v>
      </c>
      <c r="AO11" s="23">
        <v>162</v>
      </c>
      <c r="AP11" s="23">
        <v>133</v>
      </c>
      <c r="AQ11" s="23">
        <v>110</v>
      </c>
      <c r="AR11" s="23" t="s">
        <v>1</v>
      </c>
      <c r="AS11" s="64">
        <f>SUM(AT11:AW11)</f>
        <v>331.43</v>
      </c>
      <c r="AT11" s="23">
        <v>186.43</v>
      </c>
      <c r="AU11" s="23" t="s">
        <v>1</v>
      </c>
      <c r="AV11" s="23">
        <v>145</v>
      </c>
      <c r="AW11" s="23" t="s">
        <v>1</v>
      </c>
      <c r="AX11" s="64">
        <f>SUM(AY11:BB11)</f>
        <v>455.5</v>
      </c>
      <c r="AY11" s="23">
        <v>64</v>
      </c>
      <c r="AZ11" s="23">
        <v>98.9</v>
      </c>
      <c r="BA11" s="23">
        <v>148.4</v>
      </c>
      <c r="BB11" s="23">
        <v>144.19999999999999</v>
      </c>
      <c r="BC11" s="64">
        <f>SUM(BD11:BG11)</f>
        <v>1090.9000000000001</v>
      </c>
      <c r="BD11" s="23">
        <v>225.4</v>
      </c>
      <c r="BE11" s="23">
        <v>224.6</v>
      </c>
      <c r="BF11" s="23">
        <v>314.10000000000002</v>
      </c>
      <c r="BG11" s="23">
        <v>326.8</v>
      </c>
    </row>
    <row r="12" spans="1:59" s="1" customFormat="1" ht="19.5" customHeight="1" x14ac:dyDescent="0.25">
      <c r="A12" s="7"/>
      <c r="B12" s="20" t="s">
        <v>18</v>
      </c>
      <c r="C12" s="21"/>
      <c r="D12" s="111">
        <v>328.06</v>
      </c>
      <c r="E12" s="109">
        <f t="shared" si="7"/>
        <v>1009.021129</v>
      </c>
      <c r="F12" s="111">
        <v>423.53</v>
      </c>
      <c r="G12" s="111">
        <v>224.011</v>
      </c>
      <c r="H12" s="111">
        <v>361.48012899999998</v>
      </c>
      <c r="I12" s="22" t="s">
        <v>1</v>
      </c>
      <c r="J12" s="64">
        <f t="shared" si="8"/>
        <v>1152.9000000000001</v>
      </c>
      <c r="K12" s="22">
        <v>287.89999999999998</v>
      </c>
      <c r="L12" s="22">
        <v>338</v>
      </c>
      <c r="M12" s="22">
        <v>255</v>
      </c>
      <c r="N12" s="22">
        <v>272</v>
      </c>
      <c r="O12" s="64">
        <f t="shared" si="14"/>
        <v>644</v>
      </c>
      <c r="P12" s="22">
        <v>245</v>
      </c>
      <c r="Q12" s="22">
        <v>94</v>
      </c>
      <c r="R12" s="22">
        <v>263</v>
      </c>
      <c r="S12" s="22">
        <v>42</v>
      </c>
      <c r="T12" s="64">
        <f t="shared" si="9"/>
        <v>683</v>
      </c>
      <c r="U12" s="22">
        <v>222</v>
      </c>
      <c r="V12" s="22">
        <v>83</v>
      </c>
      <c r="W12" s="22">
        <v>229</v>
      </c>
      <c r="X12" s="22">
        <v>149</v>
      </c>
      <c r="Y12" s="64">
        <f t="shared" si="10"/>
        <v>411</v>
      </c>
      <c r="Z12" s="22">
        <v>121</v>
      </c>
      <c r="AA12" s="22">
        <v>95</v>
      </c>
      <c r="AB12" s="22">
        <v>114</v>
      </c>
      <c r="AC12" s="22">
        <v>81</v>
      </c>
      <c r="AD12" s="64">
        <f t="shared" si="11"/>
        <v>241</v>
      </c>
      <c r="AE12" s="22">
        <v>197</v>
      </c>
      <c r="AF12" s="22" t="s">
        <v>1</v>
      </c>
      <c r="AG12" s="22">
        <v>44</v>
      </c>
      <c r="AH12" s="22" t="s">
        <v>1</v>
      </c>
      <c r="AI12" s="64">
        <f t="shared" si="12"/>
        <v>237</v>
      </c>
      <c r="AJ12" s="22">
        <v>186</v>
      </c>
      <c r="AK12" s="22" t="s">
        <v>1</v>
      </c>
      <c r="AL12" s="22">
        <v>51</v>
      </c>
      <c r="AM12" s="22" t="s">
        <v>1</v>
      </c>
      <c r="AN12" s="64">
        <f t="shared" si="13"/>
        <v>405</v>
      </c>
      <c r="AO12" s="22">
        <v>162</v>
      </c>
      <c r="AP12" s="22">
        <v>133</v>
      </c>
      <c r="AQ12" s="22">
        <v>110</v>
      </c>
      <c r="AR12" s="22" t="s">
        <v>1</v>
      </c>
      <c r="AS12" s="64">
        <f>SUM(AT12:AW12)</f>
        <v>289.34000000000003</v>
      </c>
      <c r="AT12" s="22">
        <v>186.34</v>
      </c>
      <c r="AU12" s="22" t="s">
        <v>1</v>
      </c>
      <c r="AV12" s="22">
        <v>103</v>
      </c>
      <c r="AW12" s="22" t="s">
        <v>1</v>
      </c>
      <c r="AX12" s="64">
        <f>SUM(AY12:BB12)</f>
        <v>323.8</v>
      </c>
      <c r="AY12" s="22">
        <v>48.5</v>
      </c>
      <c r="AZ12" s="22">
        <v>65</v>
      </c>
      <c r="BA12" s="22">
        <v>107.6</v>
      </c>
      <c r="BB12" s="22">
        <v>102.7</v>
      </c>
      <c r="BC12" s="64">
        <f>SUM(BD12:BG12)</f>
        <v>807.90000000000009</v>
      </c>
      <c r="BD12" s="22">
        <v>173.4</v>
      </c>
      <c r="BE12" s="22">
        <v>195.9</v>
      </c>
      <c r="BF12" s="22">
        <v>217.9</v>
      </c>
      <c r="BG12" s="22">
        <v>220.7</v>
      </c>
    </row>
    <row r="13" spans="1:59" s="1" customFormat="1" ht="19.5" customHeight="1" x14ac:dyDescent="0.2">
      <c r="A13" s="7"/>
      <c r="B13" s="18" t="s">
        <v>10</v>
      </c>
      <c r="C13" s="19"/>
      <c r="D13" s="110" t="s">
        <v>1</v>
      </c>
      <c r="E13" s="109" t="s">
        <v>1</v>
      </c>
      <c r="F13" s="110" t="s">
        <v>1</v>
      </c>
      <c r="G13" s="110" t="s">
        <v>1</v>
      </c>
      <c r="H13" s="110" t="s">
        <v>1</v>
      </c>
      <c r="I13" s="23" t="s">
        <v>1</v>
      </c>
      <c r="J13" s="64" t="s">
        <v>1</v>
      </c>
      <c r="K13" s="23" t="s">
        <v>1</v>
      </c>
      <c r="L13" s="23" t="s">
        <v>1</v>
      </c>
      <c r="M13" s="23" t="s">
        <v>1</v>
      </c>
      <c r="N13" s="23" t="s">
        <v>1</v>
      </c>
      <c r="O13" s="64">
        <v>130673</v>
      </c>
      <c r="P13" s="23">
        <v>58768</v>
      </c>
      <c r="Q13" s="23">
        <v>7792</v>
      </c>
      <c r="R13" s="23">
        <v>44493</v>
      </c>
      <c r="S13" s="23">
        <v>10620</v>
      </c>
      <c r="T13" s="64">
        <v>77612</v>
      </c>
      <c r="U13" s="23">
        <v>47774</v>
      </c>
      <c r="V13" s="23">
        <v>6848</v>
      </c>
      <c r="W13" s="23">
        <v>30370</v>
      </c>
      <c r="X13" s="23">
        <v>15611</v>
      </c>
      <c r="Y13" s="64">
        <v>50442</v>
      </c>
      <c r="Z13" s="23">
        <v>19293</v>
      </c>
      <c r="AA13" s="23">
        <v>7967</v>
      </c>
      <c r="AB13" s="23">
        <v>15440</v>
      </c>
      <c r="AC13" s="23">
        <v>7742</v>
      </c>
      <c r="AD13" s="64">
        <v>30468</v>
      </c>
      <c r="AE13" s="23">
        <v>17814</v>
      </c>
      <c r="AF13" s="23" t="s">
        <v>1</v>
      </c>
      <c r="AG13" s="23">
        <v>12654</v>
      </c>
      <c r="AH13" s="23" t="s">
        <v>1</v>
      </c>
      <c r="AI13" s="64">
        <v>21261</v>
      </c>
      <c r="AJ13" s="23">
        <v>14877</v>
      </c>
      <c r="AK13" s="23" t="s">
        <v>1</v>
      </c>
      <c r="AL13" s="23">
        <v>6384</v>
      </c>
      <c r="AM13" s="23" t="s">
        <v>1</v>
      </c>
      <c r="AN13" s="64">
        <v>50025</v>
      </c>
      <c r="AO13" s="23">
        <v>19034</v>
      </c>
      <c r="AP13" s="23">
        <v>15688</v>
      </c>
      <c r="AQ13" s="23">
        <v>15303</v>
      </c>
      <c r="AR13" s="23" t="s">
        <v>1</v>
      </c>
      <c r="AS13" s="64">
        <v>44176</v>
      </c>
      <c r="AT13" s="23">
        <v>23355.599999999999</v>
      </c>
      <c r="AU13" s="23" t="s">
        <v>1</v>
      </c>
      <c r="AV13" s="23">
        <v>20820</v>
      </c>
      <c r="AW13" s="23" t="s">
        <v>1</v>
      </c>
      <c r="AX13" s="64">
        <v>98661</v>
      </c>
      <c r="AY13" s="23">
        <v>10434</v>
      </c>
      <c r="AZ13" s="23">
        <v>27312</v>
      </c>
      <c r="BA13" s="23">
        <v>17977</v>
      </c>
      <c r="BB13" s="23">
        <v>42938</v>
      </c>
      <c r="BC13" s="64">
        <v>350804</v>
      </c>
      <c r="BD13" s="23">
        <v>74151</v>
      </c>
      <c r="BE13" s="23">
        <v>8788</v>
      </c>
      <c r="BF13" s="23">
        <v>84776</v>
      </c>
      <c r="BG13" s="23">
        <v>106953</v>
      </c>
    </row>
    <row r="14" spans="1:59" s="1" customFormat="1" ht="19.5" customHeight="1" x14ac:dyDescent="0.25">
      <c r="A14" s="7"/>
      <c r="B14" s="20" t="s">
        <v>8</v>
      </c>
      <c r="C14" s="21"/>
      <c r="D14" s="111" t="s">
        <v>1</v>
      </c>
      <c r="E14" s="109" t="s">
        <v>1</v>
      </c>
      <c r="F14" s="111" t="s">
        <v>1</v>
      </c>
      <c r="G14" s="111" t="s">
        <v>1</v>
      </c>
      <c r="H14" s="111" t="s">
        <v>1</v>
      </c>
      <c r="I14" s="22" t="s">
        <v>1</v>
      </c>
      <c r="J14" s="64" t="s">
        <v>1</v>
      </c>
      <c r="K14" s="22" t="s">
        <v>1</v>
      </c>
      <c r="L14" s="22" t="s">
        <v>1</v>
      </c>
      <c r="M14" s="22" t="s">
        <v>1</v>
      </c>
      <c r="N14" s="22" t="s">
        <v>1</v>
      </c>
      <c r="O14" s="64">
        <v>7662</v>
      </c>
      <c r="P14" s="22">
        <v>6.7949999999999999</v>
      </c>
      <c r="Q14" s="22">
        <v>12.564</v>
      </c>
      <c r="R14" s="22">
        <v>6426</v>
      </c>
      <c r="S14" s="22">
        <v>3955</v>
      </c>
      <c r="T14" s="64">
        <v>9003</v>
      </c>
      <c r="U14" s="22">
        <v>7737</v>
      </c>
      <c r="V14" s="22">
        <v>12446</v>
      </c>
      <c r="W14" s="22">
        <v>8433</v>
      </c>
      <c r="X14" s="22">
        <v>7750</v>
      </c>
      <c r="Y14" s="64">
        <v>9668</v>
      </c>
      <c r="Z14" s="22">
        <v>8357</v>
      </c>
      <c r="AA14" s="22">
        <v>11471</v>
      </c>
      <c r="AB14" s="22">
        <v>7395</v>
      </c>
      <c r="AC14" s="22">
        <v>10467</v>
      </c>
      <c r="AD14" s="64">
        <v>7910</v>
      </c>
      <c r="AE14" s="22">
        <v>10992</v>
      </c>
      <c r="AF14" s="22" t="s">
        <v>1</v>
      </c>
      <c r="AG14" s="22">
        <v>3271</v>
      </c>
      <c r="AH14" s="22" t="s">
        <v>1</v>
      </c>
      <c r="AI14" s="64">
        <v>11098</v>
      </c>
      <c r="AJ14" s="22">
        <v>12754</v>
      </c>
      <c r="AK14" s="22" t="s">
        <v>1</v>
      </c>
      <c r="AL14" s="22">
        <v>7910</v>
      </c>
      <c r="AM14" s="22" t="s">
        <v>1</v>
      </c>
      <c r="AN14" s="64">
        <v>7460</v>
      </c>
      <c r="AO14" s="22">
        <v>7274</v>
      </c>
      <c r="AP14" s="22">
        <v>8478</v>
      </c>
      <c r="AQ14" s="22">
        <v>7188</v>
      </c>
      <c r="AR14" s="22" t="s">
        <v>1</v>
      </c>
      <c r="AS14" s="64">
        <v>7503</v>
      </c>
      <c r="AT14" s="22">
        <v>7978.3863398927888</v>
      </c>
      <c r="AU14" s="22" t="s">
        <v>1</v>
      </c>
      <c r="AV14" s="22">
        <v>6969</v>
      </c>
      <c r="AW14" s="22" t="s">
        <v>1</v>
      </c>
      <c r="AX14" s="64">
        <v>4617</v>
      </c>
      <c r="AY14" s="22">
        <v>6134</v>
      </c>
      <c r="AZ14" s="22">
        <v>3624</v>
      </c>
      <c r="BA14" s="22">
        <v>8255</v>
      </c>
      <c r="BB14" s="22">
        <v>3358</v>
      </c>
      <c r="BC14" s="64">
        <v>3110</v>
      </c>
      <c r="BD14" s="22">
        <v>3039</v>
      </c>
      <c r="BE14" s="22">
        <v>2645</v>
      </c>
      <c r="BF14" s="22">
        <v>0</v>
      </c>
      <c r="BG14" s="22">
        <v>0</v>
      </c>
    </row>
    <row r="15" spans="1:59" s="1" customFormat="1" ht="19.5" customHeight="1" x14ac:dyDescent="0.2">
      <c r="A15" s="7"/>
      <c r="B15" s="18" t="s">
        <v>7</v>
      </c>
      <c r="C15" s="19"/>
      <c r="D15" s="110">
        <v>170</v>
      </c>
      <c r="E15" s="109">
        <f t="shared" ref="E15" si="15">SUM(F15:I15)</f>
        <v>1053</v>
      </c>
      <c r="F15" s="110">
        <v>527</v>
      </c>
      <c r="G15" s="110">
        <v>368</v>
      </c>
      <c r="H15" s="110">
        <v>158</v>
      </c>
      <c r="I15" s="23" t="s">
        <v>1</v>
      </c>
      <c r="J15" s="64">
        <f t="shared" ref="J15" si="16">SUM(K15:N15)</f>
        <v>3078</v>
      </c>
      <c r="K15" s="23">
        <v>1522</v>
      </c>
      <c r="L15" s="23">
        <v>56</v>
      </c>
      <c r="M15" s="23">
        <v>1145</v>
      </c>
      <c r="N15" s="23">
        <v>355</v>
      </c>
      <c r="O15" s="64">
        <v>2559</v>
      </c>
      <c r="P15" s="23">
        <v>1223</v>
      </c>
      <c r="Q15" s="23">
        <v>116</v>
      </c>
      <c r="R15" s="23">
        <v>804</v>
      </c>
      <c r="S15" s="23">
        <v>236</v>
      </c>
      <c r="T15" s="64">
        <f t="shared" ref="T15" si="17">SUM(U15:X15)</f>
        <v>1805</v>
      </c>
      <c r="U15" s="23">
        <v>917</v>
      </c>
      <c r="V15" s="23">
        <v>80</v>
      </c>
      <c r="W15" s="23">
        <v>608</v>
      </c>
      <c r="X15" s="23">
        <v>200</v>
      </c>
      <c r="Y15" s="64">
        <f t="shared" ref="Y15:Y18" si="18">SUM(Z15:AC15)</f>
        <v>803</v>
      </c>
      <c r="Z15" s="23">
        <v>304</v>
      </c>
      <c r="AA15" s="23">
        <v>92</v>
      </c>
      <c r="AB15" s="23">
        <v>272</v>
      </c>
      <c r="AC15" s="23">
        <v>135</v>
      </c>
      <c r="AD15" s="64">
        <f t="shared" ref="AD15" si="19">SUM(AE15:AH15)</f>
        <v>476</v>
      </c>
      <c r="AE15" s="23">
        <v>222</v>
      </c>
      <c r="AF15" s="23" t="s">
        <v>1</v>
      </c>
      <c r="AG15" s="23">
        <v>254</v>
      </c>
      <c r="AH15" s="23" t="s">
        <v>1</v>
      </c>
      <c r="AI15" s="64">
        <f t="shared" ref="AI15" si="20">SUM(AJ15:AM15)</f>
        <v>297</v>
      </c>
      <c r="AJ15" s="23">
        <v>183</v>
      </c>
      <c r="AK15" s="23" t="s">
        <v>1</v>
      </c>
      <c r="AL15" s="23">
        <v>114</v>
      </c>
      <c r="AM15" s="23" t="s">
        <v>1</v>
      </c>
      <c r="AN15" s="64">
        <f t="shared" ref="AN15" si="21">SUM(AO15:AR15)</f>
        <v>988</v>
      </c>
      <c r="AO15" s="23">
        <v>392</v>
      </c>
      <c r="AP15" s="23">
        <v>380</v>
      </c>
      <c r="AQ15" s="23">
        <v>216</v>
      </c>
      <c r="AR15" s="23" t="s">
        <v>1</v>
      </c>
      <c r="AS15" s="64">
        <f>SUM(AT15:AW15)</f>
        <v>640</v>
      </c>
      <c r="AT15" s="23">
        <v>464</v>
      </c>
      <c r="AU15" s="23" t="s">
        <v>1</v>
      </c>
      <c r="AV15" s="23">
        <v>176</v>
      </c>
      <c r="AW15" s="23" t="s">
        <v>1</v>
      </c>
      <c r="AX15" s="64">
        <f>SUM(AY15:BB15)</f>
        <v>1306</v>
      </c>
      <c r="AY15" s="23">
        <v>128</v>
      </c>
      <c r="AZ15" s="23">
        <v>514</v>
      </c>
      <c r="BA15" s="23">
        <v>100</v>
      </c>
      <c r="BB15" s="23">
        <v>564</v>
      </c>
      <c r="BC15" s="64">
        <f>SUM(BD15:BG15)</f>
        <v>4824</v>
      </c>
      <c r="BD15" s="23">
        <v>858</v>
      </c>
      <c r="BE15" s="23">
        <v>1428</v>
      </c>
      <c r="BF15" s="23">
        <v>1249</v>
      </c>
      <c r="BG15" s="23">
        <v>1289</v>
      </c>
    </row>
    <row r="16" spans="1:59" s="5" customFormat="1" ht="15.75" customHeight="1" x14ac:dyDescent="0.25">
      <c r="A16" s="12"/>
      <c r="B16" s="102" t="s">
        <v>11</v>
      </c>
      <c r="C16" s="103"/>
      <c r="D16" s="104"/>
      <c r="E16" s="105"/>
      <c r="F16" s="104"/>
      <c r="G16" s="104"/>
      <c r="H16" s="104"/>
      <c r="I16" s="104"/>
      <c r="J16" s="105"/>
      <c r="K16" s="104"/>
      <c r="L16" s="104"/>
      <c r="M16" s="104"/>
      <c r="N16" s="104"/>
      <c r="O16" s="105"/>
      <c r="P16" s="104"/>
      <c r="Q16" s="104"/>
      <c r="R16" s="104"/>
      <c r="S16" s="104"/>
      <c r="T16" s="105"/>
      <c r="U16" s="104"/>
      <c r="V16" s="104"/>
      <c r="W16" s="104"/>
      <c r="X16" s="104"/>
      <c r="Y16" s="105"/>
      <c r="Z16" s="104"/>
      <c r="AA16" s="104"/>
      <c r="AB16" s="104"/>
      <c r="AC16" s="104"/>
      <c r="AD16" s="105"/>
      <c r="AE16" s="104"/>
      <c r="AF16" s="104"/>
      <c r="AG16" s="104"/>
      <c r="AH16" s="104"/>
      <c r="AI16" s="105"/>
      <c r="AJ16" s="104"/>
      <c r="AK16" s="104"/>
      <c r="AL16" s="104"/>
      <c r="AM16" s="104"/>
      <c r="AN16" s="105"/>
      <c r="AO16" s="104"/>
      <c r="AP16" s="104"/>
      <c r="AQ16" s="104"/>
      <c r="AR16" s="104"/>
      <c r="AS16" s="105"/>
      <c r="AT16" s="104"/>
      <c r="AU16" s="104"/>
      <c r="AV16" s="104"/>
      <c r="AW16" s="104"/>
      <c r="AX16" s="105"/>
      <c r="AY16" s="104"/>
      <c r="AZ16" s="104"/>
      <c r="BA16" s="104"/>
      <c r="BB16" s="104"/>
      <c r="BC16" s="105"/>
      <c r="BD16" s="104"/>
      <c r="BE16" s="104"/>
      <c r="BF16" s="104"/>
      <c r="BG16" s="104"/>
    </row>
    <row r="17" spans="1:59" s="1" customFormat="1" ht="19.5" customHeight="1" x14ac:dyDescent="0.2">
      <c r="A17" s="7"/>
      <c r="B17" s="18" t="s">
        <v>19</v>
      </c>
      <c r="C17" s="19"/>
      <c r="D17" s="110">
        <v>202.21</v>
      </c>
      <c r="E17" s="109">
        <f t="shared" ref="E17:E18" si="22">SUM(F17:I17)</f>
        <v>878.89100000000008</v>
      </c>
      <c r="F17" s="110">
        <v>252.79</v>
      </c>
      <c r="G17" s="110">
        <v>254.70099999999999</v>
      </c>
      <c r="H17" s="110">
        <v>200.1</v>
      </c>
      <c r="I17" s="23">
        <v>171.3</v>
      </c>
      <c r="J17" s="64">
        <f t="shared" ref="J17:J18" si="23">SUM(K17:N17)</f>
        <v>798.3</v>
      </c>
      <c r="K17" s="23">
        <v>214.9</v>
      </c>
      <c r="L17" s="23">
        <v>218.4</v>
      </c>
      <c r="M17" s="23">
        <v>184</v>
      </c>
      <c r="N17" s="23">
        <v>181</v>
      </c>
      <c r="O17" s="64">
        <f t="shared" ref="O17:O18" si="24">SUM(P17:S17)</f>
        <v>544.70000000000005</v>
      </c>
      <c r="P17" s="23">
        <v>148</v>
      </c>
      <c r="Q17" s="23">
        <v>153</v>
      </c>
      <c r="R17" s="23">
        <v>122.8</v>
      </c>
      <c r="S17" s="23">
        <v>120.9</v>
      </c>
      <c r="T17" s="64">
        <f t="shared" ref="T17:T18" si="25">SUM(U17:X17)</f>
        <v>441.59999999999997</v>
      </c>
      <c r="U17" s="23">
        <v>124.8</v>
      </c>
      <c r="V17" s="23">
        <v>121.6</v>
      </c>
      <c r="W17" s="23">
        <v>98.7</v>
      </c>
      <c r="X17" s="23">
        <v>96.5</v>
      </c>
      <c r="Y17" s="64">
        <f t="shared" si="18"/>
        <v>302.43899999999996</v>
      </c>
      <c r="Z17" s="23">
        <v>71.498999999999995</v>
      </c>
      <c r="AA17" s="23">
        <v>93.68</v>
      </c>
      <c r="AB17" s="23">
        <v>59.16</v>
      </c>
      <c r="AC17" s="23">
        <v>78.099999999999994</v>
      </c>
      <c r="AD17" s="64">
        <f>SUM(AE17:AH17)</f>
        <v>379.52100000000002</v>
      </c>
      <c r="AE17" s="23">
        <v>88</v>
      </c>
      <c r="AF17" s="23">
        <v>120.1</v>
      </c>
      <c r="AG17" s="23">
        <v>87.7</v>
      </c>
      <c r="AH17" s="23">
        <v>83.721000000000004</v>
      </c>
      <c r="AI17" s="64">
        <f>SUM(AJ17:AM17)</f>
        <v>369.9</v>
      </c>
      <c r="AJ17" s="23">
        <v>93.7</v>
      </c>
      <c r="AK17" s="23">
        <v>88.5</v>
      </c>
      <c r="AL17" s="23">
        <v>87.8</v>
      </c>
      <c r="AM17" s="23">
        <v>99.9</v>
      </c>
      <c r="AN17" s="64">
        <f>SUM(AO17:AR17)</f>
        <v>520</v>
      </c>
      <c r="AO17" s="23">
        <v>112.5</v>
      </c>
      <c r="AP17" s="23">
        <v>106.3</v>
      </c>
      <c r="AQ17" s="23">
        <v>142.30000000000001</v>
      </c>
      <c r="AR17" s="23">
        <v>158.9</v>
      </c>
      <c r="AS17" s="64">
        <f>SUM(AT17:AW17)</f>
        <v>626.99900000000002</v>
      </c>
      <c r="AT17" s="23">
        <v>146.29900000000001</v>
      </c>
      <c r="AU17" s="23">
        <v>142</v>
      </c>
      <c r="AV17" s="23">
        <v>162.4</v>
      </c>
      <c r="AW17" s="23">
        <v>176.3</v>
      </c>
      <c r="AX17" s="64">
        <f>SUM(AY17:BB17)</f>
        <v>782.19999999999993</v>
      </c>
      <c r="AY17" s="23">
        <v>182.6</v>
      </c>
      <c r="AZ17" s="23">
        <v>206.2</v>
      </c>
      <c r="BA17" s="23">
        <v>192.9</v>
      </c>
      <c r="BB17" s="23">
        <v>200.5</v>
      </c>
      <c r="BC17" s="64">
        <f>SUM(BD17:BG17)</f>
        <v>785.9</v>
      </c>
      <c r="BD17" s="23">
        <v>180.4</v>
      </c>
      <c r="BE17" s="23">
        <v>220.5</v>
      </c>
      <c r="BF17" s="23">
        <v>209</v>
      </c>
      <c r="BG17" s="23">
        <v>176</v>
      </c>
    </row>
    <row r="18" spans="1:59" s="1" customFormat="1" ht="19.5" customHeight="1" x14ac:dyDescent="0.25">
      <c r="A18" s="7"/>
      <c r="B18" s="20" t="s">
        <v>20</v>
      </c>
      <c r="C18" s="21"/>
      <c r="D18" s="111">
        <v>35.097999999999999</v>
      </c>
      <c r="E18" s="109">
        <f t="shared" si="22"/>
        <v>170.011</v>
      </c>
      <c r="F18" s="111">
        <v>55.417999999999999</v>
      </c>
      <c r="G18" s="111">
        <v>48.033000000000001</v>
      </c>
      <c r="H18" s="111">
        <v>35.5</v>
      </c>
      <c r="I18" s="22">
        <v>31.06</v>
      </c>
      <c r="J18" s="64">
        <f t="shared" si="23"/>
        <v>140.01999999999998</v>
      </c>
      <c r="K18" s="22">
        <v>43.73</v>
      </c>
      <c r="L18" s="22">
        <v>42.576999999999998</v>
      </c>
      <c r="M18" s="22">
        <v>27.213000000000001</v>
      </c>
      <c r="N18" s="22">
        <v>26.5</v>
      </c>
      <c r="O18" s="64">
        <f t="shared" si="24"/>
        <v>71.8</v>
      </c>
      <c r="P18" s="22">
        <v>20.5</v>
      </c>
      <c r="Q18" s="22">
        <v>21</v>
      </c>
      <c r="R18" s="22">
        <v>17.399999999999999</v>
      </c>
      <c r="S18" s="22">
        <v>12.9</v>
      </c>
      <c r="T18" s="64">
        <f t="shared" si="25"/>
        <v>35</v>
      </c>
      <c r="U18" s="22">
        <v>20.399999999999999</v>
      </c>
      <c r="V18" s="22">
        <v>9.5</v>
      </c>
      <c r="W18" s="22">
        <v>2.9</v>
      </c>
      <c r="X18" s="22">
        <v>2.2000000000000002</v>
      </c>
      <c r="Y18" s="64">
        <f t="shared" si="18"/>
        <v>2.5309999999999997</v>
      </c>
      <c r="Z18" s="22">
        <v>1.9710000000000001</v>
      </c>
      <c r="AA18" s="22">
        <v>1.9</v>
      </c>
      <c r="AB18" s="22">
        <v>-2.14</v>
      </c>
      <c r="AC18" s="22">
        <v>0.8</v>
      </c>
      <c r="AD18" s="64">
        <f>SUM(AE18:AH18)</f>
        <v>19.085000000000001</v>
      </c>
      <c r="AE18" s="22">
        <v>6.2850000000000001</v>
      </c>
      <c r="AF18" s="22">
        <v>6.8</v>
      </c>
      <c r="AG18" s="22">
        <v>3.7</v>
      </c>
      <c r="AH18" s="22">
        <v>2.2999999999999998</v>
      </c>
      <c r="AI18" s="64">
        <f>SUM(AJ18:AM18)</f>
        <v>20.100000000000001</v>
      </c>
      <c r="AJ18" s="22">
        <v>3.4</v>
      </c>
      <c r="AK18" s="22">
        <v>4.4000000000000004</v>
      </c>
      <c r="AL18" s="22">
        <v>6.2</v>
      </c>
      <c r="AM18" s="22">
        <v>6.1</v>
      </c>
      <c r="AN18" s="64">
        <f>SUM(AO18:AR18)</f>
        <v>30.6</v>
      </c>
      <c r="AO18" s="22">
        <v>8.1999999999999993</v>
      </c>
      <c r="AP18" s="22">
        <v>6.9</v>
      </c>
      <c r="AQ18" s="22">
        <v>7.5</v>
      </c>
      <c r="AR18" s="22">
        <v>8</v>
      </c>
      <c r="AS18" s="64">
        <f>SUM(AT18:AW18)</f>
        <v>27.265000000000001</v>
      </c>
      <c r="AT18" s="22">
        <v>11.726000000000001</v>
      </c>
      <c r="AU18" s="22">
        <v>8.5129999999999999</v>
      </c>
      <c r="AV18" s="22">
        <v>4.0110000000000001</v>
      </c>
      <c r="AW18" s="22">
        <v>3.0150000000000001</v>
      </c>
      <c r="AX18" s="64">
        <f>SUM(AY18:BB18)</f>
        <v>-40.5</v>
      </c>
      <c r="AY18" s="22">
        <v>2.7</v>
      </c>
      <c r="AZ18" s="22">
        <v>4</v>
      </c>
      <c r="BA18" s="22">
        <v>-33.6</v>
      </c>
      <c r="BB18" s="22">
        <v>-13.6</v>
      </c>
      <c r="BC18" s="64">
        <f>SUM(BD18:BG18)</f>
        <v>39.200000000000003</v>
      </c>
      <c r="BD18" s="22">
        <v>-18</v>
      </c>
      <c r="BE18" s="22">
        <v>20.100000000000001</v>
      </c>
      <c r="BF18" s="22">
        <v>16.8</v>
      </c>
      <c r="BG18" s="22">
        <v>20.3</v>
      </c>
    </row>
    <row r="19" spans="1:59" s="1" customFormat="1" ht="19.5" customHeight="1" x14ac:dyDescent="0.2">
      <c r="A19" s="7"/>
      <c r="B19" s="18" t="s">
        <v>12</v>
      </c>
      <c r="C19" s="19"/>
      <c r="D19" s="113">
        <v>17.399999999999999</v>
      </c>
      <c r="E19" s="112">
        <v>19.399999999999999</v>
      </c>
      <c r="F19" s="113">
        <v>21.9</v>
      </c>
      <c r="G19" s="113">
        <v>18.899999999999999</v>
      </c>
      <c r="H19" s="113">
        <v>17.8</v>
      </c>
      <c r="I19" s="65">
        <v>18.100000000000001</v>
      </c>
      <c r="J19" s="66">
        <v>17.5</v>
      </c>
      <c r="K19" s="65">
        <v>20.3</v>
      </c>
      <c r="L19" s="65">
        <v>19.5</v>
      </c>
      <c r="M19" s="65">
        <v>14.8</v>
      </c>
      <c r="N19" s="65">
        <v>14.7</v>
      </c>
      <c r="O19" s="66">
        <v>13.2</v>
      </c>
      <c r="P19" s="65">
        <v>13.9</v>
      </c>
      <c r="Q19" s="65">
        <v>13.8</v>
      </c>
      <c r="R19" s="65">
        <v>14.2</v>
      </c>
      <c r="S19" s="65">
        <v>10.7</v>
      </c>
      <c r="T19" s="66">
        <v>7.9</v>
      </c>
      <c r="U19" s="65">
        <v>16.3</v>
      </c>
      <c r="V19" s="65">
        <v>7.8</v>
      </c>
      <c r="W19" s="65">
        <v>2.9</v>
      </c>
      <c r="X19" s="65">
        <v>2.2999999999999998</v>
      </c>
      <c r="Y19" s="66">
        <v>0.9</v>
      </c>
      <c r="Z19" s="65">
        <v>2.8</v>
      </c>
      <c r="AA19" s="65">
        <v>2</v>
      </c>
      <c r="AB19" s="65">
        <v>-3.6</v>
      </c>
      <c r="AC19" s="65">
        <v>1.1000000000000001</v>
      </c>
      <c r="AD19" s="66">
        <v>5</v>
      </c>
      <c r="AE19" s="65">
        <v>7.1</v>
      </c>
      <c r="AF19" s="65">
        <v>5.7</v>
      </c>
      <c r="AG19" s="65">
        <v>4.2</v>
      </c>
      <c r="AH19" s="65">
        <v>2.7</v>
      </c>
      <c r="AI19" s="66">
        <v>5.5</v>
      </c>
      <c r="AJ19" s="65">
        <v>3.6</v>
      </c>
      <c r="AK19" s="65">
        <v>5</v>
      </c>
      <c r="AL19" s="65">
        <v>7.1</v>
      </c>
      <c r="AM19" s="65">
        <v>6.1</v>
      </c>
      <c r="AN19" s="66">
        <v>5.9</v>
      </c>
      <c r="AO19" s="65">
        <v>7.3</v>
      </c>
      <c r="AP19" s="65">
        <v>6.5</v>
      </c>
      <c r="AQ19" s="65">
        <v>5.3</v>
      </c>
      <c r="AR19" s="65">
        <v>5.0999999999999996</v>
      </c>
      <c r="AS19" s="66">
        <v>4.3</v>
      </c>
      <c r="AT19" s="65">
        <v>8</v>
      </c>
      <c r="AU19" s="65">
        <v>6</v>
      </c>
      <c r="AV19" s="65">
        <v>2.5</v>
      </c>
      <c r="AW19" s="65">
        <v>1.7</v>
      </c>
      <c r="AX19" s="66">
        <v>-5.2</v>
      </c>
      <c r="AY19" s="65">
        <v>1.5</v>
      </c>
      <c r="AZ19" s="65">
        <v>2</v>
      </c>
      <c r="BA19" s="65">
        <v>-17.399999999999999</v>
      </c>
      <c r="BB19" s="65">
        <v>-6.8</v>
      </c>
      <c r="BC19" s="66">
        <v>5</v>
      </c>
      <c r="BD19" s="65">
        <v>-10</v>
      </c>
      <c r="BE19" s="65">
        <v>9.1</v>
      </c>
      <c r="BF19" s="65">
        <v>8</v>
      </c>
      <c r="BG19" s="65">
        <v>11.5</v>
      </c>
    </row>
    <row r="20" spans="1:59" s="5" customFormat="1" ht="15.75" customHeight="1" x14ac:dyDescent="0.25">
      <c r="A20" s="12"/>
      <c r="B20" s="102" t="s">
        <v>13</v>
      </c>
      <c r="C20" s="103"/>
      <c r="D20" s="104"/>
      <c r="E20" s="105"/>
      <c r="F20" s="104"/>
      <c r="G20" s="104"/>
      <c r="H20" s="104"/>
      <c r="I20" s="104"/>
      <c r="J20" s="105"/>
      <c r="K20" s="104"/>
      <c r="L20" s="104"/>
      <c r="M20" s="104"/>
      <c r="N20" s="104"/>
      <c r="O20" s="105"/>
      <c r="P20" s="104"/>
      <c r="Q20" s="104"/>
      <c r="R20" s="104"/>
      <c r="S20" s="104"/>
      <c r="T20" s="105"/>
      <c r="U20" s="104"/>
      <c r="V20" s="104"/>
      <c r="W20" s="104"/>
      <c r="X20" s="104"/>
      <c r="Y20" s="105"/>
      <c r="Z20" s="104"/>
      <c r="AA20" s="104"/>
      <c r="AB20" s="104"/>
      <c r="AC20" s="104"/>
      <c r="AD20" s="105"/>
      <c r="AE20" s="104"/>
      <c r="AF20" s="104"/>
      <c r="AG20" s="104"/>
      <c r="AH20" s="104"/>
      <c r="AI20" s="105"/>
      <c r="AJ20" s="104"/>
      <c r="AK20" s="104"/>
      <c r="AL20" s="104"/>
      <c r="AM20" s="104"/>
      <c r="AN20" s="105"/>
      <c r="AO20" s="104"/>
      <c r="AP20" s="104"/>
      <c r="AQ20" s="104"/>
      <c r="AR20" s="104"/>
      <c r="AS20" s="105"/>
      <c r="AT20" s="104"/>
      <c r="AU20" s="104"/>
      <c r="AV20" s="104"/>
      <c r="AW20" s="104"/>
      <c r="AX20" s="105"/>
      <c r="AY20" s="104"/>
      <c r="AZ20" s="104"/>
      <c r="BA20" s="104"/>
      <c r="BB20" s="104"/>
      <c r="BC20" s="105"/>
      <c r="BD20" s="104"/>
      <c r="BE20" s="104"/>
      <c r="BF20" s="104"/>
      <c r="BG20" s="104"/>
    </row>
    <row r="21" spans="1:59" s="1" customFormat="1" ht="19.5" customHeight="1" x14ac:dyDescent="0.2">
      <c r="A21" s="7"/>
      <c r="B21" s="18" t="s">
        <v>21</v>
      </c>
      <c r="C21" s="19"/>
      <c r="D21" s="110">
        <v>1250.4469999999999</v>
      </c>
      <c r="E21" s="109">
        <f>+F21</f>
        <v>1212.9000000000001</v>
      </c>
      <c r="F21" s="110">
        <v>1212.9000000000001</v>
      </c>
      <c r="G21" s="110">
        <v>1193.7249999999999</v>
      </c>
      <c r="H21" s="110">
        <v>1153.287</v>
      </c>
      <c r="I21" s="23">
        <v>1126.9690000000001</v>
      </c>
      <c r="J21" s="64">
        <v>1093.1320000000001</v>
      </c>
      <c r="K21" s="23">
        <v>1093.1320000000001</v>
      </c>
      <c r="L21" s="23">
        <v>1089.5519999999999</v>
      </c>
      <c r="M21" s="23">
        <v>666.2</v>
      </c>
      <c r="N21" s="23">
        <v>634</v>
      </c>
      <c r="O21" s="64">
        <v>600</v>
      </c>
      <c r="P21" s="23">
        <v>600</v>
      </c>
      <c r="Q21" s="23">
        <v>600</v>
      </c>
      <c r="R21" s="23">
        <v>579.29999999999995</v>
      </c>
      <c r="S21" s="23">
        <v>561.70000000000005</v>
      </c>
      <c r="T21" s="64">
        <v>547.9</v>
      </c>
      <c r="U21" s="23">
        <v>547.9</v>
      </c>
      <c r="V21" s="23">
        <v>531.5</v>
      </c>
      <c r="W21" s="23">
        <v>522.9</v>
      </c>
      <c r="X21" s="23">
        <v>521.6</v>
      </c>
      <c r="Y21" s="64">
        <v>523</v>
      </c>
      <c r="Z21" s="23">
        <v>523.99099999999999</v>
      </c>
      <c r="AA21" s="23">
        <v>522.9</v>
      </c>
      <c r="AB21" s="23">
        <v>524.15599999999995</v>
      </c>
      <c r="AC21" s="23">
        <v>543.21</v>
      </c>
      <c r="AD21" s="64">
        <v>546.36500000000001</v>
      </c>
      <c r="AE21" s="23">
        <v>546.36500000000001</v>
      </c>
      <c r="AF21" s="23">
        <v>553.4</v>
      </c>
      <c r="AG21" s="23">
        <v>564.6</v>
      </c>
      <c r="AH21" s="23">
        <v>569.5</v>
      </c>
      <c r="AI21" s="64">
        <v>570.20000000000005</v>
      </c>
      <c r="AJ21" s="23">
        <v>570.20000000000005</v>
      </c>
      <c r="AK21" s="23">
        <v>575.38099999999997</v>
      </c>
      <c r="AL21" s="23">
        <v>515.28700000000003</v>
      </c>
      <c r="AM21" s="23">
        <v>512</v>
      </c>
      <c r="AN21" s="64">
        <v>511</v>
      </c>
      <c r="AO21" s="23">
        <v>511</v>
      </c>
      <c r="AP21" s="23">
        <v>511</v>
      </c>
      <c r="AQ21" s="23">
        <v>504</v>
      </c>
      <c r="AR21" s="23">
        <v>496</v>
      </c>
      <c r="AS21" s="64">
        <v>488.27100000000002</v>
      </c>
      <c r="AT21" s="23">
        <v>488.27100000000002</v>
      </c>
      <c r="AU21" s="23">
        <v>483.3</v>
      </c>
      <c r="AV21" s="23">
        <v>475.3</v>
      </c>
      <c r="AW21" s="23">
        <v>471.2</v>
      </c>
      <c r="AX21" s="64">
        <v>468</v>
      </c>
      <c r="AY21" s="23">
        <v>468</v>
      </c>
      <c r="AZ21" s="23">
        <v>466</v>
      </c>
      <c r="BA21" s="23">
        <v>461.2</v>
      </c>
      <c r="BB21" s="23">
        <v>494.2</v>
      </c>
      <c r="BC21" s="64">
        <v>502.9</v>
      </c>
      <c r="BD21" s="23">
        <v>502.9</v>
      </c>
      <c r="BE21" s="23">
        <v>530.1</v>
      </c>
      <c r="BF21" s="23">
        <v>509.8</v>
      </c>
      <c r="BG21" s="23">
        <v>492.9</v>
      </c>
    </row>
    <row r="22" spans="1:59" s="1" customFormat="1" ht="19.5" customHeight="1" x14ac:dyDescent="0.25">
      <c r="A22" s="7"/>
      <c r="B22" s="20" t="s">
        <v>22</v>
      </c>
      <c r="C22" s="21"/>
      <c r="D22" s="111">
        <v>471.32</v>
      </c>
      <c r="E22" s="109">
        <f>+F22</f>
        <v>541.24900000000002</v>
      </c>
      <c r="F22" s="111">
        <v>541.24900000000002</v>
      </c>
      <c r="G22" s="111">
        <v>369.41199999999998</v>
      </c>
      <c r="H22" s="111">
        <v>394.74099999999999</v>
      </c>
      <c r="I22" s="22">
        <v>304.28699999999998</v>
      </c>
      <c r="J22" s="64">
        <v>305.3</v>
      </c>
      <c r="K22" s="22">
        <v>305.3</v>
      </c>
      <c r="L22" s="22">
        <v>354.6</v>
      </c>
      <c r="M22" s="22">
        <v>335</v>
      </c>
      <c r="N22" s="22">
        <v>269</v>
      </c>
      <c r="O22" s="64">
        <v>276.99700000000001</v>
      </c>
      <c r="P22" s="22">
        <f>130.52+146.477</f>
        <v>276.99700000000001</v>
      </c>
      <c r="Q22" s="22">
        <v>271</v>
      </c>
      <c r="R22" s="22">
        <v>247.2</v>
      </c>
      <c r="S22" s="22">
        <v>243.7</v>
      </c>
      <c r="T22" s="64">
        <v>223.9</v>
      </c>
      <c r="U22" s="22">
        <v>223.9</v>
      </c>
      <c r="V22" s="22">
        <v>222.3</v>
      </c>
      <c r="W22" s="22">
        <v>177.4</v>
      </c>
      <c r="X22" s="22">
        <v>187.6</v>
      </c>
      <c r="Y22" s="64">
        <v>197</v>
      </c>
      <c r="Z22" s="22">
        <v>197.011</v>
      </c>
      <c r="AA22" s="22">
        <v>212.42699999999999</v>
      </c>
      <c r="AB22" s="22">
        <v>230.02099999999999</v>
      </c>
      <c r="AC22" s="22">
        <v>279.82</v>
      </c>
      <c r="AD22" s="64">
        <v>319.26</v>
      </c>
      <c r="AE22" s="22">
        <v>319.26</v>
      </c>
      <c r="AF22" s="22">
        <v>322.8</v>
      </c>
      <c r="AG22" s="22">
        <v>294.89999999999998</v>
      </c>
      <c r="AH22" s="22">
        <v>304.55900000000003</v>
      </c>
      <c r="AI22" s="64">
        <v>410.5</v>
      </c>
      <c r="AJ22" s="22">
        <v>410.5</v>
      </c>
      <c r="AK22" s="22">
        <v>347.6</v>
      </c>
      <c r="AL22" s="22">
        <v>418.83300000000003</v>
      </c>
      <c r="AM22" s="22">
        <v>409</v>
      </c>
      <c r="AN22" s="64">
        <v>507</v>
      </c>
      <c r="AO22" s="22">
        <v>507</v>
      </c>
      <c r="AP22" s="22">
        <v>526</v>
      </c>
      <c r="AQ22" s="22">
        <v>734</v>
      </c>
      <c r="AR22" s="22">
        <v>731</v>
      </c>
      <c r="AS22" s="64">
        <v>813.58299999999997</v>
      </c>
      <c r="AT22" s="22">
        <v>813.58299999999997</v>
      </c>
      <c r="AU22" s="22">
        <v>826.38800000000003</v>
      </c>
      <c r="AV22" s="22">
        <v>934.60799999999995</v>
      </c>
      <c r="AW22" s="22">
        <v>951.15599999999995</v>
      </c>
      <c r="AX22" s="64">
        <v>1021.8920000000001</v>
      </c>
      <c r="AY22" s="22">
        <v>1021.8920000000001</v>
      </c>
      <c r="AZ22" s="22">
        <v>1013.97</v>
      </c>
      <c r="BA22" s="22">
        <v>1140.857</v>
      </c>
      <c r="BB22" s="22">
        <v>1116.114</v>
      </c>
      <c r="BC22" s="64">
        <v>1098.941</v>
      </c>
      <c r="BD22" s="22">
        <v>1098.941</v>
      </c>
      <c r="BE22" s="22">
        <v>935.9</v>
      </c>
      <c r="BF22" s="22">
        <v>875.9</v>
      </c>
      <c r="BG22" s="22">
        <v>783.1</v>
      </c>
    </row>
    <row r="23" spans="1:59" s="1" customFormat="1" ht="19.5" customHeight="1" x14ac:dyDescent="0.2">
      <c r="A23" s="7"/>
      <c r="B23" s="18" t="s">
        <v>23</v>
      </c>
      <c r="C23" s="19"/>
      <c r="D23" s="110">
        <v>993.91800000000001</v>
      </c>
      <c r="E23" s="109">
        <f>+F23</f>
        <v>1049.0419999999999</v>
      </c>
      <c r="F23" s="110">
        <v>1049.0419999999999</v>
      </c>
      <c r="G23" s="110">
        <v>1036.308</v>
      </c>
      <c r="H23" s="110">
        <v>1033.7380000000001</v>
      </c>
      <c r="I23" s="23">
        <v>1017.5</v>
      </c>
      <c r="J23" s="64">
        <v>1051.943</v>
      </c>
      <c r="K23" s="23">
        <v>1051.943</v>
      </c>
      <c r="L23" s="23">
        <v>1010.526</v>
      </c>
      <c r="M23" s="23">
        <v>874.7</v>
      </c>
      <c r="N23" s="23">
        <v>801</v>
      </c>
      <c r="O23" s="64">
        <v>719</v>
      </c>
      <c r="P23" s="23">
        <v>719</v>
      </c>
      <c r="Q23" s="23">
        <v>726</v>
      </c>
      <c r="R23" s="23">
        <v>745.1</v>
      </c>
      <c r="S23" s="23">
        <v>689.2</v>
      </c>
      <c r="T23" s="64">
        <v>625.20000000000005</v>
      </c>
      <c r="U23" s="23">
        <v>625.20000000000005</v>
      </c>
      <c r="V23" s="23">
        <v>345.3</v>
      </c>
      <c r="W23" s="23">
        <v>513</v>
      </c>
      <c r="X23" s="23">
        <v>508</v>
      </c>
      <c r="Y23" s="64">
        <v>477</v>
      </c>
      <c r="Z23" s="23">
        <v>477.05700000000002</v>
      </c>
      <c r="AA23" s="23">
        <v>503.01600000000002</v>
      </c>
      <c r="AB23" s="23">
        <v>495.40800000000002</v>
      </c>
      <c r="AC23" s="23">
        <v>507.755</v>
      </c>
      <c r="AD23" s="64">
        <v>539.375</v>
      </c>
      <c r="AE23" s="23">
        <v>539.375</v>
      </c>
      <c r="AF23" s="23">
        <v>547.79999999999995</v>
      </c>
      <c r="AG23" s="23">
        <v>528.1</v>
      </c>
      <c r="AH23" s="23">
        <v>548.27700000000004</v>
      </c>
      <c r="AI23" s="64">
        <v>588.46799999999996</v>
      </c>
      <c r="AJ23" s="23">
        <v>588.46799999999996</v>
      </c>
      <c r="AK23" s="23">
        <v>654.34500000000003</v>
      </c>
      <c r="AL23" s="23">
        <v>708.07500000000005</v>
      </c>
      <c r="AM23" s="23">
        <v>768.14200000000005</v>
      </c>
      <c r="AN23" s="64">
        <v>823.12599999999998</v>
      </c>
      <c r="AO23" s="23">
        <v>823.12599999999998</v>
      </c>
      <c r="AP23" s="23">
        <v>919.62199999999996</v>
      </c>
      <c r="AQ23" s="23">
        <v>961.5</v>
      </c>
      <c r="AR23" s="23">
        <v>823.12599999999998</v>
      </c>
      <c r="AS23" s="64">
        <v>1078.654</v>
      </c>
      <c r="AT23" s="23">
        <v>1078.654</v>
      </c>
      <c r="AU23" s="23">
        <v>1135.4739999999999</v>
      </c>
      <c r="AV23" s="23">
        <v>1230.2249999999999</v>
      </c>
      <c r="AW23" s="23">
        <v>1321.7349999999999</v>
      </c>
      <c r="AX23" s="64">
        <v>1469.3130000000001</v>
      </c>
      <c r="AY23" s="23">
        <v>1469.3130000000001</v>
      </c>
      <c r="AZ23" s="23">
        <v>1633.0350000000001</v>
      </c>
      <c r="BA23" s="23">
        <v>1744.0139999999999</v>
      </c>
      <c r="BB23" s="23">
        <v>1789.549</v>
      </c>
      <c r="BC23" s="64">
        <v>1773.894</v>
      </c>
      <c r="BD23" s="23">
        <v>1773.894</v>
      </c>
      <c r="BE23" s="23">
        <v>1762.55</v>
      </c>
      <c r="BF23" s="23">
        <v>1638.7</v>
      </c>
      <c r="BG23" s="23">
        <v>1476.3</v>
      </c>
    </row>
    <row r="24" spans="1:59" s="1" customFormat="1" ht="19.5" customHeight="1" x14ac:dyDescent="0.25">
      <c r="A24" s="7"/>
      <c r="B24" s="20" t="s">
        <v>24</v>
      </c>
      <c r="C24" s="21"/>
      <c r="D24" s="111">
        <v>49.286999999999999</v>
      </c>
      <c r="E24" s="109">
        <f t="shared" ref="E24" si="26">SUM(F24:I24)</f>
        <v>214.291</v>
      </c>
      <c r="F24" s="111">
        <v>68.593999999999994</v>
      </c>
      <c r="G24" s="111">
        <v>61.164999999999999</v>
      </c>
      <c r="H24" s="111">
        <v>45.496000000000002</v>
      </c>
      <c r="I24" s="22">
        <v>39.036000000000001</v>
      </c>
      <c r="J24" s="64">
        <v>185.923</v>
      </c>
      <c r="K24" s="22">
        <v>54.152000000000001</v>
      </c>
      <c r="L24" s="22">
        <v>56</v>
      </c>
      <c r="M24" s="22">
        <v>35.700000000000003</v>
      </c>
      <c r="N24" s="22">
        <v>35.700000000000003</v>
      </c>
      <c r="O24" s="64">
        <v>104.075</v>
      </c>
      <c r="P24" s="22">
        <v>27.2</v>
      </c>
      <c r="Q24" s="22">
        <v>30.5</v>
      </c>
      <c r="R24" s="22">
        <v>27.4</v>
      </c>
      <c r="S24" s="22">
        <v>22.9</v>
      </c>
      <c r="T24" s="64">
        <f t="shared" ref="T24" si="27">SUM(U24:X24)</f>
        <v>71.8</v>
      </c>
      <c r="U24" s="22">
        <v>29.2</v>
      </c>
      <c r="V24" s="22">
        <v>18.899999999999999</v>
      </c>
      <c r="W24" s="22">
        <v>11.7</v>
      </c>
      <c r="X24" s="22">
        <v>12</v>
      </c>
      <c r="Y24" s="64">
        <f t="shared" ref="Y24" si="28">SUM(Z24:AC24)</f>
        <v>34.579000000000001</v>
      </c>
      <c r="Z24" s="22">
        <v>7.7670000000000003</v>
      </c>
      <c r="AA24" s="22">
        <v>12.26</v>
      </c>
      <c r="AB24" s="22">
        <v>7.4539999999999997</v>
      </c>
      <c r="AC24" s="22">
        <v>7.0979999999999999</v>
      </c>
      <c r="AD24" s="64">
        <f>SUM(AE24:AH24)</f>
        <v>48.7</v>
      </c>
      <c r="AE24" s="22">
        <v>13.2</v>
      </c>
      <c r="AF24" s="22">
        <v>15.7</v>
      </c>
      <c r="AG24" s="22">
        <v>11.8</v>
      </c>
      <c r="AH24" s="22">
        <v>8</v>
      </c>
      <c r="AI24" s="64">
        <f>SUM(AJ24:AM24)</f>
        <v>45.2</v>
      </c>
      <c r="AJ24" s="22">
        <v>10.4</v>
      </c>
      <c r="AK24" s="22">
        <v>9.9</v>
      </c>
      <c r="AL24" s="22">
        <v>11.3</v>
      </c>
      <c r="AM24" s="22">
        <v>13.6</v>
      </c>
      <c r="AN24" s="64">
        <f>SUM(AO24:AR24)</f>
        <v>69.599999999999994</v>
      </c>
      <c r="AO24" s="22">
        <v>13.5</v>
      </c>
      <c r="AP24" s="22">
        <v>14.5</v>
      </c>
      <c r="AQ24" s="22">
        <v>19.600000000000001</v>
      </c>
      <c r="AR24" s="22">
        <v>22</v>
      </c>
      <c r="AS24" s="64">
        <f>SUM(AT24:AW24)</f>
        <v>108.69056379</v>
      </c>
      <c r="AT24" s="22">
        <v>27.190563789999999</v>
      </c>
      <c r="AU24" s="22">
        <v>27</v>
      </c>
      <c r="AV24" s="22">
        <v>26.7</v>
      </c>
      <c r="AW24" s="22">
        <v>27.8</v>
      </c>
      <c r="AX24" s="64">
        <v>75.599999999999994</v>
      </c>
      <c r="AY24" s="22">
        <v>31</v>
      </c>
      <c r="AZ24" s="22">
        <v>36</v>
      </c>
      <c r="BA24" s="22">
        <v>-5.0999999999999996</v>
      </c>
      <c r="BB24" s="22">
        <v>13.7</v>
      </c>
      <c r="BC24" s="64">
        <f>SUM(BD24:BG24)</f>
        <v>119.6</v>
      </c>
      <c r="BD24" s="22">
        <v>4.8</v>
      </c>
      <c r="BE24" s="22">
        <v>41.8</v>
      </c>
      <c r="BF24" s="22">
        <v>36.200000000000003</v>
      </c>
      <c r="BG24" s="22">
        <v>36.799999999999997</v>
      </c>
    </row>
    <row r="25" spans="1:59" s="1" customFormat="1" ht="19.5" customHeight="1" x14ac:dyDescent="0.2">
      <c r="A25" s="7"/>
      <c r="B25" s="18" t="s">
        <v>14</v>
      </c>
      <c r="C25" s="19"/>
      <c r="D25" s="113">
        <v>24.4</v>
      </c>
      <c r="E25" s="112">
        <v>24.4</v>
      </c>
      <c r="F25" s="113">
        <v>27.1</v>
      </c>
      <c r="G25" s="113">
        <v>24</v>
      </c>
      <c r="H25" s="113">
        <v>22.7</v>
      </c>
      <c r="I25" s="65">
        <v>22.8</v>
      </c>
      <c r="J25" s="66">
        <v>23.3</v>
      </c>
      <c r="K25" s="65">
        <v>25.2</v>
      </c>
      <c r="L25" s="65">
        <v>25.5</v>
      </c>
      <c r="M25" s="65">
        <v>19.399999999999999</v>
      </c>
      <c r="N25" s="65">
        <v>19.7</v>
      </c>
      <c r="O25" s="66">
        <v>19.100000000000001</v>
      </c>
      <c r="P25" s="65">
        <v>18.399999999999999</v>
      </c>
      <c r="Q25" s="65">
        <v>19.899999999999999</v>
      </c>
      <c r="R25" s="65">
        <v>22.4</v>
      </c>
      <c r="S25" s="65">
        <v>19</v>
      </c>
      <c r="T25" s="66">
        <v>16.3</v>
      </c>
      <c r="U25" s="65">
        <v>23.4</v>
      </c>
      <c r="V25" s="65">
        <v>15.6</v>
      </c>
      <c r="W25" s="65">
        <v>11.9</v>
      </c>
      <c r="X25" s="65">
        <v>12.5</v>
      </c>
      <c r="Y25" s="66">
        <v>11.4</v>
      </c>
      <c r="Z25" s="65">
        <v>10.9</v>
      </c>
      <c r="AA25" s="65">
        <v>13.1</v>
      </c>
      <c r="AB25" s="65">
        <v>12.6</v>
      </c>
      <c r="AC25" s="65">
        <v>9.1</v>
      </c>
      <c r="AD25" s="66">
        <v>12.9</v>
      </c>
      <c r="AE25" s="65">
        <v>15</v>
      </c>
      <c r="AF25" s="65">
        <v>13.1</v>
      </c>
      <c r="AG25" s="65">
        <v>13.4</v>
      </c>
      <c r="AH25" s="65">
        <v>9.6999999999999993</v>
      </c>
      <c r="AI25" s="66">
        <v>12.3</v>
      </c>
      <c r="AJ25" s="65">
        <v>11.1</v>
      </c>
      <c r="AK25" s="65">
        <v>11.3</v>
      </c>
      <c r="AL25" s="65">
        <v>12.9</v>
      </c>
      <c r="AM25" s="65">
        <v>13.7</v>
      </c>
      <c r="AN25" s="66">
        <v>13.4</v>
      </c>
      <c r="AO25" s="65">
        <v>12.1</v>
      </c>
      <c r="AP25" s="65">
        <v>13.7</v>
      </c>
      <c r="AQ25" s="65">
        <v>13.8</v>
      </c>
      <c r="AR25" s="65">
        <v>13.9</v>
      </c>
      <c r="AS25" s="66">
        <v>17.399999999999999</v>
      </c>
      <c r="AT25" s="65">
        <v>18.600000000000001</v>
      </c>
      <c r="AU25" s="65">
        <v>19.2</v>
      </c>
      <c r="AV25" s="65">
        <v>16.5</v>
      </c>
      <c r="AW25" s="65">
        <v>15.8</v>
      </c>
      <c r="AX25" s="66">
        <v>9.6999999999999993</v>
      </c>
      <c r="AY25" s="65">
        <v>17</v>
      </c>
      <c r="AZ25" s="65">
        <v>17.5</v>
      </c>
      <c r="BA25" s="65">
        <v>-2.6</v>
      </c>
      <c r="BB25" s="65">
        <v>6.8</v>
      </c>
      <c r="BC25" s="66">
        <v>15.2</v>
      </c>
      <c r="BD25" s="65">
        <v>2.7</v>
      </c>
      <c r="BE25" s="65">
        <v>18.899999999999999</v>
      </c>
      <c r="BF25" s="65">
        <v>17.3</v>
      </c>
      <c r="BG25" s="65">
        <v>20.9</v>
      </c>
    </row>
    <row r="29" spans="1:59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8 AS24 AD5:AD7 J13:J14 J10:J12 J15 E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36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2.75" outlineLevelCol="1" x14ac:dyDescent="0.2"/>
  <cols>
    <col min="1" max="1" width="1.42578125" style="55" customWidth="1"/>
    <col min="2" max="2" width="69.140625" style="56" bestFit="1" customWidth="1"/>
    <col min="3" max="3" width="25.28515625" style="55" customWidth="1"/>
    <col min="4" max="4" width="10.85546875" style="63" customWidth="1"/>
    <col min="5" max="9" width="10.7109375" style="63" customWidth="1" outlineLevel="1"/>
    <col min="10" max="10" width="10.7109375" style="63" customWidth="1"/>
    <col min="11" max="14" width="10.7109375" style="63" customWidth="1" outlineLevel="1"/>
    <col min="15" max="15" width="10.7109375" style="63" customWidth="1"/>
    <col min="16" max="19" width="10.7109375" style="63" customWidth="1" outlineLevel="1"/>
    <col min="20" max="20" width="10.7109375" style="63" customWidth="1"/>
    <col min="21" max="24" width="10.7109375" style="63" customWidth="1" outlineLevel="1"/>
    <col min="25" max="25" width="10.7109375" style="63" customWidth="1"/>
    <col min="26" max="29" width="10.7109375" style="63" customWidth="1" outlineLevel="1"/>
    <col min="30" max="30" width="10.7109375" style="63" customWidth="1"/>
    <col min="31" max="34" width="10.7109375" style="63" customWidth="1" outlineLevel="1"/>
    <col min="35" max="35" width="10.7109375" style="63" customWidth="1"/>
    <col min="36" max="39" width="10.7109375" style="63" customWidth="1" outlineLevel="1"/>
    <col min="40" max="40" width="10.7109375" style="63" customWidth="1"/>
    <col min="41" max="44" width="10.7109375" style="63" customWidth="1" outlineLevel="1"/>
    <col min="45" max="45" width="10.7109375" style="63" customWidth="1"/>
    <col min="46" max="49" width="10.7109375" style="63" customWidth="1" outlineLevel="1"/>
    <col min="50" max="50" width="10.7109375" style="63" customWidth="1"/>
    <col min="51" max="54" width="10.7109375" style="63" customWidth="1" outlineLevel="1"/>
    <col min="55" max="55" width="10.7109375" style="63" customWidth="1"/>
    <col min="56" max="59" width="10.7109375" style="63" customWidth="1" outlineLevel="1"/>
    <col min="60" max="16384" width="8.85546875" style="55"/>
  </cols>
  <sheetData>
    <row r="1" spans="1:59" ht="54.75" customHeight="1" thickBot="1" x14ac:dyDescent="0.25">
      <c r="A1" s="48"/>
      <c r="B1" s="49"/>
      <c r="C1" s="50"/>
      <c r="D1" s="12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59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59" ht="21.95" customHeight="1" x14ac:dyDescent="0.2">
      <c r="A3" s="52"/>
      <c r="B3" s="123" t="s">
        <v>67</v>
      </c>
      <c r="C3" s="123"/>
      <c r="D3" s="126" t="s">
        <v>182</v>
      </c>
      <c r="E3" s="17">
        <v>2020</v>
      </c>
      <c r="F3" s="17" t="s">
        <v>180</v>
      </c>
      <c r="G3" s="17" t="s">
        <v>179</v>
      </c>
      <c r="H3" s="17" t="s">
        <v>25</v>
      </c>
      <c r="I3" s="17" t="s">
        <v>26</v>
      </c>
      <c r="J3" s="17">
        <v>2019</v>
      </c>
      <c r="K3" s="17" t="s">
        <v>27</v>
      </c>
      <c r="L3" s="17" t="s">
        <v>28</v>
      </c>
      <c r="M3" s="17" t="s">
        <v>29</v>
      </c>
      <c r="N3" s="17" t="s">
        <v>30</v>
      </c>
      <c r="O3" s="17">
        <v>2018</v>
      </c>
      <c r="P3" s="17" t="s">
        <v>31</v>
      </c>
      <c r="Q3" s="17" t="s">
        <v>32</v>
      </c>
      <c r="R3" s="17" t="s">
        <v>33</v>
      </c>
      <c r="S3" s="17" t="s">
        <v>34</v>
      </c>
      <c r="T3" s="17">
        <v>2017</v>
      </c>
      <c r="U3" s="17" t="s">
        <v>35</v>
      </c>
      <c r="V3" s="17" t="s">
        <v>36</v>
      </c>
      <c r="W3" s="17" t="s">
        <v>37</v>
      </c>
      <c r="X3" s="17" t="s">
        <v>38</v>
      </c>
      <c r="Y3" s="17">
        <v>2016</v>
      </c>
      <c r="Z3" s="17" t="s">
        <v>39</v>
      </c>
      <c r="AA3" s="17" t="s">
        <v>40</v>
      </c>
      <c r="AB3" s="17" t="s">
        <v>41</v>
      </c>
      <c r="AC3" s="17" t="s">
        <v>42</v>
      </c>
      <c r="AD3" s="17">
        <v>2015</v>
      </c>
      <c r="AE3" s="17" t="s">
        <v>43</v>
      </c>
      <c r="AF3" s="17" t="s">
        <v>44</v>
      </c>
      <c r="AG3" s="17" t="s">
        <v>45</v>
      </c>
      <c r="AH3" s="17" t="s">
        <v>46</v>
      </c>
      <c r="AI3" s="17">
        <v>2014</v>
      </c>
      <c r="AJ3" s="17" t="s">
        <v>47</v>
      </c>
      <c r="AK3" s="17" t="s">
        <v>48</v>
      </c>
      <c r="AL3" s="17" t="s">
        <v>49</v>
      </c>
      <c r="AM3" s="17" t="s">
        <v>50</v>
      </c>
      <c r="AN3" s="17">
        <v>2013</v>
      </c>
      <c r="AO3" s="17" t="s">
        <v>51</v>
      </c>
      <c r="AP3" s="17" t="s">
        <v>52</v>
      </c>
      <c r="AQ3" s="17" t="s">
        <v>53</v>
      </c>
      <c r="AR3" s="17" t="s">
        <v>54</v>
      </c>
      <c r="AS3" s="17">
        <v>2012</v>
      </c>
      <c r="AT3" s="17" t="s">
        <v>55</v>
      </c>
      <c r="AU3" s="17" t="s">
        <v>56</v>
      </c>
      <c r="AV3" s="17" t="s">
        <v>57</v>
      </c>
      <c r="AW3" s="17" t="s">
        <v>58</v>
      </c>
      <c r="AX3" s="17">
        <v>2011</v>
      </c>
      <c r="AY3" s="17" t="s">
        <v>59</v>
      </c>
      <c r="AZ3" s="17" t="s">
        <v>60</v>
      </c>
      <c r="BA3" s="17" t="s">
        <v>61</v>
      </c>
      <c r="BB3" s="17" t="s">
        <v>62</v>
      </c>
      <c r="BC3" s="17">
        <v>2010</v>
      </c>
      <c r="BD3" s="17" t="s">
        <v>63</v>
      </c>
      <c r="BE3" s="17" t="s">
        <v>64</v>
      </c>
      <c r="BF3" s="17" t="s">
        <v>65</v>
      </c>
      <c r="BG3" s="17" t="s">
        <v>66</v>
      </c>
    </row>
    <row r="4" spans="1:59" ht="16.5" customHeight="1" x14ac:dyDescent="0.2">
      <c r="A4" s="34"/>
      <c r="B4" s="68" t="s">
        <v>68</v>
      </c>
      <c r="C4" s="69"/>
      <c r="D4" s="79">
        <v>202791</v>
      </c>
      <c r="E4" s="80">
        <f t="shared" ref="E4:E20" si="0">SUM(F4:I4)</f>
        <v>908141</v>
      </c>
      <c r="F4" s="79">
        <v>263514</v>
      </c>
      <c r="G4" s="79">
        <v>260666</v>
      </c>
      <c r="H4" s="79">
        <v>206119</v>
      </c>
      <c r="I4" s="79">
        <f t="shared" ref="I4" si="1">SUM(I5:I7)</f>
        <v>177842</v>
      </c>
      <c r="J4" s="80">
        <f t="shared" ref="J4:J17" si="2">SUM(K4:N4)</f>
        <v>817002</v>
      </c>
      <c r="K4" s="79">
        <f t="shared" ref="K4" si="3">SUM(K5:K7)</f>
        <v>220454</v>
      </c>
      <c r="L4" s="79">
        <f>SUM(L5:L7)</f>
        <v>223867</v>
      </c>
      <c r="M4" s="79">
        <f t="shared" ref="M4:X4" si="4">SUM(M5:M7)</f>
        <v>187557</v>
      </c>
      <c r="N4" s="79">
        <f t="shared" si="4"/>
        <v>185124</v>
      </c>
      <c r="O4" s="80">
        <f t="shared" ref="O4:O17" si="5">SUM(P4:S4)</f>
        <v>560797</v>
      </c>
      <c r="P4" s="79">
        <f t="shared" si="4"/>
        <v>155450</v>
      </c>
      <c r="Q4" s="79">
        <f t="shared" si="4"/>
        <v>156205</v>
      </c>
      <c r="R4" s="79">
        <f t="shared" si="4"/>
        <v>125655</v>
      </c>
      <c r="S4" s="79">
        <f t="shared" si="4"/>
        <v>123487</v>
      </c>
      <c r="T4" s="80">
        <f>SUM(U4:X4)</f>
        <v>452137</v>
      </c>
      <c r="U4" s="79">
        <f t="shared" si="4"/>
        <v>125329</v>
      </c>
      <c r="V4" s="79">
        <f t="shared" si="4"/>
        <v>127442</v>
      </c>
      <c r="W4" s="79">
        <f t="shared" si="4"/>
        <v>100809</v>
      </c>
      <c r="X4" s="79">
        <f t="shared" si="4"/>
        <v>98557</v>
      </c>
      <c r="Y4" s="80">
        <f t="shared" ref="Y4:Y17" si="6">SUM(Z4:AC4)</f>
        <v>312195</v>
      </c>
      <c r="Z4" s="79">
        <f>SUM(Z5:Z7)</f>
        <v>75632</v>
      </c>
      <c r="AA4" s="79">
        <f>SUM(AA5:AA7)</f>
        <v>96499</v>
      </c>
      <c r="AB4" s="79">
        <f>SUM(AB5:AB7)</f>
        <v>61168</v>
      </c>
      <c r="AC4" s="79">
        <f>SUM(AC5:AC7)</f>
        <v>78896</v>
      </c>
      <c r="AD4" s="80">
        <f t="shared" ref="AD4:AD17" si="7">SUM(AE4:AH4)</f>
        <v>386352</v>
      </c>
      <c r="AE4" s="79">
        <v>88406</v>
      </c>
      <c r="AF4" s="79">
        <v>120599</v>
      </c>
      <c r="AG4" s="79">
        <v>90184</v>
      </c>
      <c r="AH4" s="79">
        <v>87163</v>
      </c>
      <c r="AI4" s="80">
        <f t="shared" ref="AI4:AI17" si="8">SUM(AJ4:AM4)</f>
        <v>382821</v>
      </c>
      <c r="AJ4" s="79">
        <v>96902</v>
      </c>
      <c r="AK4" s="79">
        <v>91387</v>
      </c>
      <c r="AL4" s="79">
        <v>91728</v>
      </c>
      <c r="AM4" s="79">
        <v>102804</v>
      </c>
      <c r="AN4" s="80">
        <f t="shared" ref="AN4:AN25" si="9">SUM(AO4:AR4)</f>
        <v>644515</v>
      </c>
      <c r="AO4" s="79">
        <v>146541</v>
      </c>
      <c r="AP4" s="79">
        <v>147675</v>
      </c>
      <c r="AQ4" s="79">
        <v>168018</v>
      </c>
      <c r="AR4" s="79">
        <v>182281</v>
      </c>
      <c r="AS4" s="80">
        <f t="shared" ref="AS4:AS18" si="10">SUM(AT4:AW4)</f>
        <v>644515</v>
      </c>
      <c r="AT4" s="79">
        <v>146541</v>
      </c>
      <c r="AU4" s="79">
        <v>147675</v>
      </c>
      <c r="AV4" s="79">
        <v>168018</v>
      </c>
      <c r="AW4" s="79">
        <v>182281</v>
      </c>
      <c r="AX4" s="80">
        <f t="shared" ref="AX4:AX18" si="11">SUM(AY4:BB4)</f>
        <v>813513</v>
      </c>
      <c r="AY4" s="79">
        <v>189826</v>
      </c>
      <c r="AZ4" s="79">
        <v>214596</v>
      </c>
      <c r="BA4" s="79">
        <v>200521</v>
      </c>
      <c r="BB4" s="79">
        <v>208570</v>
      </c>
      <c r="BC4" s="80">
        <f t="shared" ref="BC4:BC18" si="12">SUM(BD4:BG4)</f>
        <v>815934</v>
      </c>
      <c r="BD4" s="79">
        <v>187586</v>
      </c>
      <c r="BE4" s="79">
        <v>229279</v>
      </c>
      <c r="BF4" s="79">
        <v>217444</v>
      </c>
      <c r="BG4" s="79">
        <v>181625</v>
      </c>
    </row>
    <row r="5" spans="1:59" ht="16.5" customHeight="1" x14ac:dyDescent="0.2">
      <c r="A5" s="27"/>
      <c r="B5" s="39" t="s">
        <v>69</v>
      </c>
      <c r="C5" s="40"/>
      <c r="D5" s="115">
        <v>201091</v>
      </c>
      <c r="E5" s="114">
        <f t="shared" si="0"/>
        <v>908814</v>
      </c>
      <c r="F5" s="115">
        <v>264273</v>
      </c>
      <c r="G5" s="115">
        <v>261625</v>
      </c>
      <c r="H5" s="115">
        <v>206902</v>
      </c>
      <c r="I5" s="81">
        <v>176014</v>
      </c>
      <c r="J5" s="82">
        <f t="shared" si="2"/>
        <v>814618</v>
      </c>
      <c r="K5" s="83">
        <v>218064</v>
      </c>
      <c r="L5" s="83">
        <v>224127</v>
      </c>
      <c r="M5" s="83">
        <v>188849</v>
      </c>
      <c r="N5" s="83">
        <v>183578</v>
      </c>
      <c r="O5" s="82">
        <f t="shared" si="5"/>
        <v>556953</v>
      </c>
      <c r="P5" s="83">
        <v>152443</v>
      </c>
      <c r="Q5" s="83">
        <v>156015</v>
      </c>
      <c r="R5" s="83">
        <v>126477</v>
      </c>
      <c r="S5" s="83">
        <v>122018</v>
      </c>
      <c r="T5" s="82">
        <f>SUM(U5:X5)</f>
        <v>452057</v>
      </c>
      <c r="U5" s="83">
        <v>125329</v>
      </c>
      <c r="V5" s="83">
        <v>127422</v>
      </c>
      <c r="W5" s="83">
        <v>100779</v>
      </c>
      <c r="X5" s="83">
        <v>98527</v>
      </c>
      <c r="Y5" s="82">
        <f t="shared" si="6"/>
        <v>311812</v>
      </c>
      <c r="Z5" s="83">
        <f>311812-SUM(AA5:AC5)</f>
        <v>75482</v>
      </c>
      <c r="AA5" s="83">
        <v>96509</v>
      </c>
      <c r="AB5" s="83">
        <v>61107</v>
      </c>
      <c r="AC5" s="83">
        <v>78714</v>
      </c>
      <c r="AD5" s="82">
        <f t="shared" si="7"/>
        <v>385135</v>
      </c>
      <c r="AE5" s="83">
        <v>88895</v>
      </c>
      <c r="AF5" s="83">
        <v>119417</v>
      </c>
      <c r="AG5" s="83">
        <v>89935</v>
      </c>
      <c r="AH5" s="83">
        <v>86888</v>
      </c>
      <c r="AI5" s="82">
        <f t="shared" si="8"/>
        <v>374853</v>
      </c>
      <c r="AJ5" s="83">
        <v>96442</v>
      </c>
      <c r="AK5" s="83">
        <v>87184</v>
      </c>
      <c r="AL5" s="83">
        <v>90861</v>
      </c>
      <c r="AM5" s="83">
        <v>100366</v>
      </c>
      <c r="AN5" s="82">
        <f t="shared" si="9"/>
        <v>521374</v>
      </c>
      <c r="AO5" s="83">
        <v>115059</v>
      </c>
      <c r="AP5" s="83">
        <v>102720</v>
      </c>
      <c r="AQ5" s="83">
        <v>143675</v>
      </c>
      <c r="AR5" s="83">
        <v>159920</v>
      </c>
      <c r="AS5" s="82">
        <f t="shared" si="10"/>
        <v>634432</v>
      </c>
      <c r="AT5" s="83">
        <v>145588</v>
      </c>
      <c r="AU5" s="83">
        <v>145857</v>
      </c>
      <c r="AV5" s="83">
        <v>166151</v>
      </c>
      <c r="AW5" s="83">
        <v>176836</v>
      </c>
      <c r="AX5" s="82">
        <f t="shared" si="11"/>
        <v>797458</v>
      </c>
      <c r="AY5" s="83">
        <v>186124</v>
      </c>
      <c r="AZ5" s="83">
        <v>210200</v>
      </c>
      <c r="BA5" s="83">
        <v>196556</v>
      </c>
      <c r="BB5" s="83">
        <v>204578</v>
      </c>
      <c r="BC5" s="82">
        <f t="shared" si="12"/>
        <v>797317</v>
      </c>
      <c r="BD5" s="83">
        <v>183067</v>
      </c>
      <c r="BE5" s="83">
        <v>224956</v>
      </c>
      <c r="BF5" s="83">
        <v>211963</v>
      </c>
      <c r="BG5" s="83">
        <v>177331</v>
      </c>
    </row>
    <row r="6" spans="1:59" ht="16.5" customHeight="1" x14ac:dyDescent="0.2">
      <c r="A6" s="27"/>
      <c r="B6" s="42" t="s">
        <v>71</v>
      </c>
      <c r="C6" s="43"/>
      <c r="D6" s="116">
        <v>1368</v>
      </c>
      <c r="E6" s="114">
        <f t="shared" si="0"/>
        <v>2600</v>
      </c>
      <c r="F6" s="116">
        <v>849</v>
      </c>
      <c r="G6" s="116">
        <v>694</v>
      </c>
      <c r="H6" s="116">
        <v>609</v>
      </c>
      <c r="I6" s="84">
        <v>448</v>
      </c>
      <c r="J6" s="82">
        <f t="shared" si="2"/>
        <v>1349</v>
      </c>
      <c r="K6" s="84">
        <v>211</v>
      </c>
      <c r="L6" s="84">
        <v>320</v>
      </c>
      <c r="M6" s="84">
        <v>425</v>
      </c>
      <c r="N6" s="84">
        <v>393</v>
      </c>
      <c r="O6" s="82">
        <f t="shared" si="5"/>
        <v>4250</v>
      </c>
      <c r="P6" s="84">
        <v>2499</v>
      </c>
      <c r="Q6" s="84">
        <v>190</v>
      </c>
      <c r="R6" s="84">
        <v>92</v>
      </c>
      <c r="S6" s="84">
        <v>1469</v>
      </c>
      <c r="T6" s="82" t="s">
        <v>1</v>
      </c>
      <c r="U6" s="84" t="s">
        <v>1</v>
      </c>
      <c r="V6" s="84" t="s">
        <v>1</v>
      </c>
      <c r="W6" s="84" t="s">
        <v>1</v>
      </c>
      <c r="X6" s="84" t="s">
        <v>1</v>
      </c>
      <c r="Y6" s="82">
        <f t="shared" si="6"/>
        <v>318</v>
      </c>
      <c r="Z6" s="84">
        <f>318-SUM(AA6:AC6)</f>
        <v>121</v>
      </c>
      <c r="AA6" s="84">
        <v>-19</v>
      </c>
      <c r="AB6" s="84">
        <v>43</v>
      </c>
      <c r="AC6" s="84">
        <v>173</v>
      </c>
      <c r="AD6" s="82">
        <f t="shared" si="7"/>
        <v>1208</v>
      </c>
      <c r="AE6" s="84">
        <v>-498</v>
      </c>
      <c r="AF6" s="84">
        <v>1182</v>
      </c>
      <c r="AG6" s="84">
        <v>249</v>
      </c>
      <c r="AH6" s="84">
        <v>275</v>
      </c>
      <c r="AI6" s="82">
        <f t="shared" si="8"/>
        <v>7875</v>
      </c>
      <c r="AJ6" s="84">
        <v>460</v>
      </c>
      <c r="AK6" s="84">
        <v>4179</v>
      </c>
      <c r="AL6" s="84">
        <v>831</v>
      </c>
      <c r="AM6" s="84">
        <v>2405</v>
      </c>
      <c r="AN6" s="82">
        <f t="shared" si="9"/>
        <v>8131</v>
      </c>
      <c r="AO6" s="84">
        <v>556</v>
      </c>
      <c r="AP6" s="84">
        <v>5364</v>
      </c>
      <c r="AQ6" s="84">
        <v>1205</v>
      </c>
      <c r="AR6" s="84">
        <v>1006</v>
      </c>
      <c r="AS6" s="82">
        <f t="shared" si="10"/>
        <v>9637</v>
      </c>
      <c r="AT6" s="84">
        <v>897</v>
      </c>
      <c r="AU6" s="84">
        <v>1758</v>
      </c>
      <c r="AV6" s="84">
        <v>1736</v>
      </c>
      <c r="AW6" s="84">
        <v>5246</v>
      </c>
      <c r="AX6" s="82">
        <f t="shared" si="11"/>
        <v>14822</v>
      </c>
      <c r="AY6" s="84">
        <v>3284</v>
      </c>
      <c r="AZ6" s="84">
        <v>3925</v>
      </c>
      <c r="BA6" s="84">
        <v>3756</v>
      </c>
      <c r="BB6" s="84">
        <v>3857</v>
      </c>
      <c r="BC6" s="82">
        <f t="shared" si="12"/>
        <v>18332</v>
      </c>
      <c r="BD6" s="84">
        <v>4471</v>
      </c>
      <c r="BE6" s="84">
        <v>4307</v>
      </c>
      <c r="BF6" s="84">
        <v>5312</v>
      </c>
      <c r="BG6" s="84">
        <v>4242</v>
      </c>
    </row>
    <row r="7" spans="1:59" ht="16.5" customHeight="1" x14ac:dyDescent="0.2">
      <c r="A7" s="27"/>
      <c r="B7" s="39" t="s">
        <v>72</v>
      </c>
      <c r="C7" s="40"/>
      <c r="D7" s="115">
        <v>332</v>
      </c>
      <c r="E7" s="114">
        <f t="shared" si="0"/>
        <v>-3273</v>
      </c>
      <c r="F7" s="115">
        <v>-1608</v>
      </c>
      <c r="G7" s="115">
        <v>-1653</v>
      </c>
      <c r="H7" s="115">
        <v>-1392</v>
      </c>
      <c r="I7" s="81">
        <v>1380</v>
      </c>
      <c r="J7" s="82">
        <f t="shared" si="2"/>
        <v>1035</v>
      </c>
      <c r="K7" s="83">
        <v>2179</v>
      </c>
      <c r="L7" s="83">
        <v>-580</v>
      </c>
      <c r="M7" s="83">
        <v>-1717</v>
      </c>
      <c r="N7" s="83">
        <v>1153</v>
      </c>
      <c r="O7" s="82">
        <f t="shared" si="5"/>
        <v>-406</v>
      </c>
      <c r="P7" s="83">
        <v>508</v>
      </c>
      <c r="Q7" s="83" t="s">
        <v>1</v>
      </c>
      <c r="R7" s="83">
        <v>-914</v>
      </c>
      <c r="S7" s="83" t="s">
        <v>1</v>
      </c>
      <c r="T7" s="82">
        <f t="shared" ref="T7:T17" si="13">SUM(U7:X7)</f>
        <v>80</v>
      </c>
      <c r="U7" s="83" t="s">
        <v>1</v>
      </c>
      <c r="V7" s="83">
        <v>20</v>
      </c>
      <c r="W7" s="83">
        <v>30</v>
      </c>
      <c r="X7" s="83">
        <v>30</v>
      </c>
      <c r="Y7" s="82">
        <f t="shared" si="6"/>
        <v>65</v>
      </c>
      <c r="Z7" s="83">
        <f>65-SUM(AA7:AC7)</f>
        <v>29</v>
      </c>
      <c r="AA7" s="83">
        <v>9</v>
      </c>
      <c r="AB7" s="83">
        <v>18</v>
      </c>
      <c r="AC7" s="83">
        <v>9</v>
      </c>
      <c r="AD7" s="82">
        <f t="shared" si="7"/>
        <v>9</v>
      </c>
      <c r="AE7" s="83">
        <v>9</v>
      </c>
      <c r="AF7" s="83" t="s">
        <v>1</v>
      </c>
      <c r="AG7" s="83" t="s">
        <v>1</v>
      </c>
      <c r="AH7" s="83" t="s">
        <v>1</v>
      </c>
      <c r="AI7" s="82">
        <f t="shared" si="8"/>
        <v>93</v>
      </c>
      <c r="AJ7" s="83" t="s">
        <v>1</v>
      </c>
      <c r="AK7" s="83">
        <v>24</v>
      </c>
      <c r="AL7" s="83">
        <v>36</v>
      </c>
      <c r="AM7" s="83">
        <v>33</v>
      </c>
      <c r="AN7" s="82">
        <f t="shared" si="9"/>
        <v>20</v>
      </c>
      <c r="AO7" s="83">
        <v>-63</v>
      </c>
      <c r="AP7" s="83" t="s">
        <v>1</v>
      </c>
      <c r="AQ7" s="83" t="s">
        <v>1</v>
      </c>
      <c r="AR7" s="83">
        <v>83</v>
      </c>
      <c r="AS7" s="82">
        <f t="shared" si="10"/>
        <v>446</v>
      </c>
      <c r="AT7" s="83">
        <v>56</v>
      </c>
      <c r="AU7" s="83">
        <v>60</v>
      </c>
      <c r="AV7" s="83">
        <v>131</v>
      </c>
      <c r="AW7" s="83">
        <v>199</v>
      </c>
      <c r="AX7" s="82">
        <f t="shared" si="11"/>
        <v>1233</v>
      </c>
      <c r="AY7" s="83">
        <v>418</v>
      </c>
      <c r="AZ7" s="83">
        <v>471</v>
      </c>
      <c r="BA7" s="83">
        <v>209</v>
      </c>
      <c r="BB7" s="83">
        <v>135</v>
      </c>
      <c r="BC7" s="82">
        <f t="shared" si="12"/>
        <v>285</v>
      </c>
      <c r="BD7" s="83">
        <v>48</v>
      </c>
      <c r="BE7" s="83">
        <v>16</v>
      </c>
      <c r="BF7" s="83">
        <v>169</v>
      </c>
      <c r="BG7" s="83">
        <v>52</v>
      </c>
    </row>
    <row r="8" spans="1:59" ht="16.5" customHeight="1" x14ac:dyDescent="0.2">
      <c r="A8" s="27"/>
      <c r="B8" s="42" t="s">
        <v>70</v>
      </c>
      <c r="C8" s="54"/>
      <c r="D8" s="116">
        <f>-4435+3854</f>
        <v>-581</v>
      </c>
      <c r="E8" s="114">
        <f t="shared" si="0"/>
        <v>-29181</v>
      </c>
      <c r="F8" s="116">
        <f>-5241-5483</f>
        <v>-10724</v>
      </c>
      <c r="G8" s="116">
        <f>-424-5541</f>
        <v>-5965</v>
      </c>
      <c r="H8" s="116">
        <f>-1557-4391</f>
        <v>-5948</v>
      </c>
      <c r="I8" s="84">
        <f>-2630-3914</f>
        <v>-6544</v>
      </c>
      <c r="J8" s="82">
        <f t="shared" si="2"/>
        <v>-18331</v>
      </c>
      <c r="K8" s="84">
        <f>-659-4840</f>
        <v>-5499</v>
      </c>
      <c r="L8" s="84">
        <f>-673-4789</f>
        <v>-5462</v>
      </c>
      <c r="M8" s="84">
        <f>-3636+415</f>
        <v>-3221</v>
      </c>
      <c r="N8" s="84">
        <f>-610-3539</f>
        <v>-4149</v>
      </c>
      <c r="O8" s="82">
        <f t="shared" si="5"/>
        <v>-15551</v>
      </c>
      <c r="P8" s="84">
        <v>-7442</v>
      </c>
      <c r="Q8" s="84">
        <v>-2843</v>
      </c>
      <c r="R8" s="84">
        <v>-2767</v>
      </c>
      <c r="S8" s="84">
        <v>-2499</v>
      </c>
      <c r="T8" s="82">
        <f t="shared" si="13"/>
        <v>-10460</v>
      </c>
      <c r="U8" s="84">
        <v>-556</v>
      </c>
      <c r="V8" s="84">
        <v>-5840</v>
      </c>
      <c r="W8" s="84">
        <v>-2061</v>
      </c>
      <c r="X8" s="84">
        <v>-2003</v>
      </c>
      <c r="Y8" s="82">
        <f t="shared" si="6"/>
        <v>-9727</v>
      </c>
      <c r="Z8" s="84">
        <f>-9727-SUM(AA8:AC8)</f>
        <v>-4133</v>
      </c>
      <c r="AA8" s="84">
        <v>-2816</v>
      </c>
      <c r="AB8" s="84">
        <v>-2006</v>
      </c>
      <c r="AC8" s="84">
        <v>-772</v>
      </c>
      <c r="AD8" s="82">
        <f t="shared" si="7"/>
        <v>-6797</v>
      </c>
      <c r="AE8" s="84">
        <v>-399</v>
      </c>
      <c r="AF8" s="84">
        <v>-494</v>
      </c>
      <c r="AG8" s="84">
        <v>-2462</v>
      </c>
      <c r="AH8" s="84">
        <v>-3442</v>
      </c>
      <c r="AI8" s="82">
        <f t="shared" si="8"/>
        <v>-12796</v>
      </c>
      <c r="AJ8" s="84">
        <v>-3159</v>
      </c>
      <c r="AK8" s="84">
        <v>-2872</v>
      </c>
      <c r="AL8" s="84">
        <v>-3903</v>
      </c>
      <c r="AM8" s="84">
        <v>-2862</v>
      </c>
      <c r="AN8" s="82">
        <f t="shared" si="9"/>
        <v>-9429</v>
      </c>
      <c r="AO8" s="84">
        <v>-3031</v>
      </c>
      <c r="AP8" s="84">
        <v>-1735</v>
      </c>
      <c r="AQ8" s="84">
        <v>-2645</v>
      </c>
      <c r="AR8" s="84">
        <v>-2018</v>
      </c>
      <c r="AS8" s="82">
        <f t="shared" si="10"/>
        <v>-17044</v>
      </c>
      <c r="AT8" s="84">
        <v>-242</v>
      </c>
      <c r="AU8" s="84">
        <v>-5184</v>
      </c>
      <c r="AV8" s="84">
        <v>-5614</v>
      </c>
      <c r="AW8" s="84">
        <v>-6004</v>
      </c>
      <c r="AX8" s="82">
        <f t="shared" si="11"/>
        <v>-31225</v>
      </c>
      <c r="AY8" s="84">
        <v>-7183</v>
      </c>
      <c r="AZ8" s="84">
        <v>-8388</v>
      </c>
      <c r="BA8" s="84">
        <v>-7583</v>
      </c>
      <c r="BB8" s="84">
        <v>-8071</v>
      </c>
      <c r="BC8" s="82">
        <f t="shared" si="12"/>
        <v>-30038</v>
      </c>
      <c r="BD8" s="84">
        <v>-7190</v>
      </c>
      <c r="BE8" s="84">
        <v>-8809</v>
      </c>
      <c r="BF8" s="84">
        <v>-8403</v>
      </c>
      <c r="BG8" s="84">
        <v>-5636</v>
      </c>
    </row>
    <row r="9" spans="1:59" s="38" customFormat="1" ht="16.5" customHeight="1" x14ac:dyDescent="0.25">
      <c r="A9" s="34"/>
      <c r="B9" s="71" t="s">
        <v>74</v>
      </c>
      <c r="C9" s="72"/>
      <c r="D9" s="85">
        <f t="shared" ref="D9" si="14">SUM(D5:D8)</f>
        <v>202210</v>
      </c>
      <c r="E9" s="95">
        <f t="shared" si="0"/>
        <v>878960</v>
      </c>
      <c r="F9" s="85">
        <f t="shared" ref="F9:H9" si="15">SUM(F5:F8)</f>
        <v>252790</v>
      </c>
      <c r="G9" s="85">
        <f t="shared" si="15"/>
        <v>254701</v>
      </c>
      <c r="H9" s="85">
        <f t="shared" si="15"/>
        <v>200171</v>
      </c>
      <c r="I9" s="85">
        <f>SUM(I5:I8)</f>
        <v>171298</v>
      </c>
      <c r="J9" s="95">
        <f t="shared" si="2"/>
        <v>798671</v>
      </c>
      <c r="K9" s="85">
        <f t="shared" ref="K9" si="16">SUM(K5:K8)</f>
        <v>214955</v>
      </c>
      <c r="L9" s="85">
        <f t="shared" ref="L9" si="17">SUM(L5:L8)</f>
        <v>218405</v>
      </c>
      <c r="M9" s="85">
        <f t="shared" ref="M9" si="18">SUM(M5:M8)</f>
        <v>184336</v>
      </c>
      <c r="N9" s="85">
        <f>SUM(N5:N8)</f>
        <v>180975</v>
      </c>
      <c r="O9" s="95">
        <f t="shared" si="5"/>
        <v>545246</v>
      </c>
      <c r="P9" s="85">
        <f t="shared" ref="P9" si="19">SUM(P5:P8)</f>
        <v>148008</v>
      </c>
      <c r="Q9" s="85">
        <f t="shared" ref="Q9" si="20">SUM(Q5:Q8)</f>
        <v>153362</v>
      </c>
      <c r="R9" s="85">
        <f t="shared" ref="R9" si="21">SUM(R5:R8)</f>
        <v>122888</v>
      </c>
      <c r="S9" s="85">
        <f>SUM(S5:S8)</f>
        <v>120988</v>
      </c>
      <c r="T9" s="95">
        <f t="shared" si="13"/>
        <v>441677</v>
      </c>
      <c r="U9" s="85">
        <f t="shared" ref="U9" si="22">SUM(U5:U8)</f>
        <v>124773</v>
      </c>
      <c r="V9" s="85">
        <f t="shared" ref="V9" si="23">SUM(V5:V8)</f>
        <v>121602</v>
      </c>
      <c r="W9" s="85">
        <f t="shared" ref="W9" si="24">SUM(W5:W8)</f>
        <v>98748</v>
      </c>
      <c r="X9" s="85">
        <f>SUM(X5:X8)</f>
        <v>96554</v>
      </c>
      <c r="Y9" s="95">
        <f t="shared" si="6"/>
        <v>302468</v>
      </c>
      <c r="Z9" s="85">
        <f t="shared" ref="Z9" si="25">SUM(Z5:Z8)</f>
        <v>71499</v>
      </c>
      <c r="AA9" s="85">
        <f t="shared" ref="AA9" si="26">SUM(AA5:AA8)</f>
        <v>93683</v>
      </c>
      <c r="AB9" s="85">
        <f t="shared" ref="AB9" si="27">SUM(AB5:AB8)</f>
        <v>59162</v>
      </c>
      <c r="AC9" s="85">
        <f>SUM(AC5:AC8)</f>
        <v>78124</v>
      </c>
      <c r="AD9" s="95">
        <f t="shared" si="7"/>
        <v>379555</v>
      </c>
      <c r="AE9" s="85">
        <f t="shared" ref="AE9" si="28">SUM(AE5:AE8)</f>
        <v>88007</v>
      </c>
      <c r="AF9" s="85">
        <f t="shared" ref="AF9" si="29">SUM(AF5:AF8)</f>
        <v>120105</v>
      </c>
      <c r="AG9" s="85">
        <f t="shared" ref="AG9" si="30">SUM(AG5:AG8)</f>
        <v>87722</v>
      </c>
      <c r="AH9" s="85">
        <f>SUM(AH5:AH8)</f>
        <v>83721</v>
      </c>
      <c r="AI9" s="95">
        <f t="shared" si="8"/>
        <v>370025</v>
      </c>
      <c r="AJ9" s="85">
        <f t="shared" ref="AJ9" si="31">SUM(AJ5:AJ8)</f>
        <v>93743</v>
      </c>
      <c r="AK9" s="85">
        <f t="shared" ref="AK9" si="32">SUM(AK5:AK8)</f>
        <v>88515</v>
      </c>
      <c r="AL9" s="85">
        <f t="shared" ref="AL9" si="33">SUM(AL5:AL8)</f>
        <v>87825</v>
      </c>
      <c r="AM9" s="85">
        <f>SUM(AM5:AM8)</f>
        <v>99942</v>
      </c>
      <c r="AN9" s="95">
        <f t="shared" si="9"/>
        <v>520096</v>
      </c>
      <c r="AO9" s="85">
        <f t="shared" ref="AO9" si="34">SUM(AO5:AO8)</f>
        <v>112521</v>
      </c>
      <c r="AP9" s="85">
        <f t="shared" ref="AP9" si="35">SUM(AP5:AP8)</f>
        <v>106349</v>
      </c>
      <c r="AQ9" s="85">
        <f t="shared" ref="AQ9" si="36">SUM(AQ5:AQ8)</f>
        <v>142235</v>
      </c>
      <c r="AR9" s="85">
        <f>SUM(AR5:AR8)</f>
        <v>158991</v>
      </c>
      <c r="AS9" s="95">
        <f t="shared" si="10"/>
        <v>627471</v>
      </c>
      <c r="AT9" s="85">
        <f t="shared" ref="AT9" si="37">SUM(AT5:AT8)</f>
        <v>146299</v>
      </c>
      <c r="AU9" s="85">
        <f t="shared" ref="AU9" si="38">SUM(AU5:AU8)</f>
        <v>142491</v>
      </c>
      <c r="AV9" s="85">
        <f t="shared" ref="AV9" si="39">SUM(AV5:AV8)</f>
        <v>162404</v>
      </c>
      <c r="AW9" s="85">
        <f>SUM(AW5:AW8)</f>
        <v>176277</v>
      </c>
      <c r="AX9" s="95">
        <f t="shared" si="11"/>
        <v>782288</v>
      </c>
      <c r="AY9" s="85">
        <f t="shared" ref="AY9" si="40">SUM(AY5:AY8)</f>
        <v>182643</v>
      </c>
      <c r="AZ9" s="85">
        <f t="shared" ref="AZ9" si="41">SUM(AZ5:AZ8)</f>
        <v>206208</v>
      </c>
      <c r="BA9" s="85">
        <f t="shared" ref="BA9" si="42">SUM(BA5:BA8)</f>
        <v>192938</v>
      </c>
      <c r="BB9" s="85">
        <f>SUM(BB5:BB8)</f>
        <v>200499</v>
      </c>
      <c r="BC9" s="95">
        <f t="shared" si="12"/>
        <v>785896</v>
      </c>
      <c r="BD9" s="85">
        <f t="shared" ref="BD9:BF9" si="43">SUM(BD5:BD8)</f>
        <v>180396</v>
      </c>
      <c r="BE9" s="85">
        <f t="shared" si="43"/>
        <v>220470</v>
      </c>
      <c r="BF9" s="85">
        <f t="shared" si="43"/>
        <v>209041</v>
      </c>
      <c r="BG9" s="85">
        <f>SUM(BG5:BG8)</f>
        <v>175989</v>
      </c>
    </row>
    <row r="10" spans="1:59" ht="16.5" customHeight="1" x14ac:dyDescent="0.2">
      <c r="A10" s="27"/>
      <c r="B10" s="42" t="s">
        <v>73</v>
      </c>
      <c r="C10" s="43"/>
      <c r="D10" s="116">
        <v>-123961</v>
      </c>
      <c r="E10" s="114">
        <f t="shared" si="0"/>
        <v>-569017</v>
      </c>
      <c r="F10" s="116">
        <v>-159877</v>
      </c>
      <c r="G10" s="116">
        <v>-167393</v>
      </c>
      <c r="H10" s="116">
        <v>-133879</v>
      </c>
      <c r="I10" s="84">
        <v>-107868</v>
      </c>
      <c r="J10" s="82">
        <f t="shared" si="2"/>
        <v>-513583</v>
      </c>
      <c r="K10" s="84">
        <v>-131654</v>
      </c>
      <c r="L10" s="84">
        <v>-138676</v>
      </c>
      <c r="M10" s="84">
        <v>-119830</v>
      </c>
      <c r="N10" s="84">
        <v>-123423</v>
      </c>
      <c r="O10" s="82">
        <f t="shared" si="5"/>
        <v>-367068</v>
      </c>
      <c r="P10" s="84">
        <v>-96949</v>
      </c>
      <c r="Q10" s="84">
        <v>-100150</v>
      </c>
      <c r="R10" s="84">
        <v>-86544</v>
      </c>
      <c r="S10" s="84">
        <v>-83425</v>
      </c>
      <c r="T10" s="82">
        <f t="shared" si="13"/>
        <v>-315552</v>
      </c>
      <c r="U10" s="84">
        <v>-81085</v>
      </c>
      <c r="V10" s="84">
        <v>-87320</v>
      </c>
      <c r="W10" s="84">
        <v>-72280</v>
      </c>
      <c r="X10" s="84">
        <v>-74867</v>
      </c>
      <c r="Y10" s="82">
        <f t="shared" si="6"/>
        <v>-215863</v>
      </c>
      <c r="Z10" s="84">
        <f>-215863-SUM(AA10:AC10)</f>
        <v>-49170</v>
      </c>
      <c r="AA10" s="84">
        <v>-65279</v>
      </c>
      <c r="AB10" s="84">
        <v>-44032</v>
      </c>
      <c r="AC10" s="84">
        <v>-57382</v>
      </c>
      <c r="AD10" s="82">
        <f t="shared" si="7"/>
        <v>-269213</v>
      </c>
      <c r="AE10" s="84">
        <v>-60948</v>
      </c>
      <c r="AF10" s="84">
        <v>-88145</v>
      </c>
      <c r="AG10" s="84">
        <v>-59655</v>
      </c>
      <c r="AH10" s="84">
        <v>-60465</v>
      </c>
      <c r="AI10" s="82">
        <f t="shared" si="8"/>
        <v>-243133</v>
      </c>
      <c r="AJ10" s="84">
        <v>-61079</v>
      </c>
      <c r="AK10" s="84">
        <v>-57846</v>
      </c>
      <c r="AL10" s="84">
        <v>-60235</v>
      </c>
      <c r="AM10" s="84">
        <v>-63973</v>
      </c>
      <c r="AN10" s="82">
        <f t="shared" si="9"/>
        <v>-379712</v>
      </c>
      <c r="AO10" s="84">
        <v>-80011</v>
      </c>
      <c r="AP10" s="84">
        <v>-73077</v>
      </c>
      <c r="AQ10" s="84">
        <v>-106005</v>
      </c>
      <c r="AR10" s="84">
        <v>-120619</v>
      </c>
      <c r="AS10" s="82">
        <f t="shared" si="10"/>
        <v>-477328</v>
      </c>
      <c r="AT10" s="84">
        <v>-106664</v>
      </c>
      <c r="AU10" s="84">
        <v>-102924</v>
      </c>
      <c r="AV10" s="84">
        <v>-125986</v>
      </c>
      <c r="AW10" s="84">
        <v>-141754</v>
      </c>
      <c r="AX10" s="82">
        <f t="shared" si="11"/>
        <v>-659849</v>
      </c>
      <c r="AY10" s="84">
        <v>-145492</v>
      </c>
      <c r="AZ10" s="84">
        <v>-158737</v>
      </c>
      <c r="BA10" s="84">
        <v>-186555</v>
      </c>
      <c r="BB10" s="84">
        <v>-169065</v>
      </c>
      <c r="BC10" s="82">
        <f t="shared" si="12"/>
        <v>-584643</v>
      </c>
      <c r="BD10" s="84">
        <v>-156361</v>
      </c>
      <c r="BE10" s="84">
        <v>-155318</v>
      </c>
      <c r="BF10" s="84">
        <v>-151695</v>
      </c>
      <c r="BG10" s="84">
        <v>-121269</v>
      </c>
    </row>
    <row r="11" spans="1:59" s="38" customFormat="1" ht="16.5" customHeight="1" x14ac:dyDescent="0.25">
      <c r="A11" s="34"/>
      <c r="B11" s="71" t="s">
        <v>75</v>
      </c>
      <c r="C11" s="72"/>
      <c r="D11" s="85">
        <f t="shared" ref="D11" si="44">SUM(D9:D10)</f>
        <v>78249</v>
      </c>
      <c r="E11" s="95">
        <f t="shared" si="0"/>
        <v>309943</v>
      </c>
      <c r="F11" s="85">
        <f t="shared" ref="F11:H11" si="45">SUM(F9:F10)</f>
        <v>92913</v>
      </c>
      <c r="G11" s="85">
        <f t="shared" si="45"/>
        <v>87308</v>
      </c>
      <c r="H11" s="85">
        <f t="shared" si="45"/>
        <v>66292</v>
      </c>
      <c r="I11" s="85">
        <f t="shared" ref="I11" si="46">SUM(I9:I10)</f>
        <v>63430</v>
      </c>
      <c r="J11" s="95">
        <f t="shared" si="2"/>
        <v>285088</v>
      </c>
      <c r="K11" s="85">
        <f t="shared" ref="K11" si="47">SUM(K9:K10)</f>
        <v>83301</v>
      </c>
      <c r="L11" s="85">
        <f t="shared" ref="L11" si="48">SUM(L9:L10)</f>
        <v>79729</v>
      </c>
      <c r="M11" s="85">
        <f t="shared" ref="M11" si="49">SUM(M9:M10)</f>
        <v>64506</v>
      </c>
      <c r="N11" s="85">
        <f>SUM(N9:N10)</f>
        <v>57552</v>
      </c>
      <c r="O11" s="95">
        <f t="shared" si="5"/>
        <v>178178</v>
      </c>
      <c r="P11" s="85">
        <f t="shared" ref="P11" si="50">SUM(P9:P10)</f>
        <v>51059</v>
      </c>
      <c r="Q11" s="85">
        <f t="shared" ref="Q11" si="51">SUM(Q9:Q10)</f>
        <v>53212</v>
      </c>
      <c r="R11" s="85">
        <f t="shared" ref="R11" si="52">SUM(R9:R10)</f>
        <v>36344</v>
      </c>
      <c r="S11" s="85">
        <f>SUM(S9:S10)</f>
        <v>37563</v>
      </c>
      <c r="T11" s="95">
        <f t="shared" si="13"/>
        <v>126125</v>
      </c>
      <c r="U11" s="85">
        <f t="shared" ref="U11" si="53">SUM(U9:U10)</f>
        <v>43688</v>
      </c>
      <c r="V11" s="85">
        <f t="shared" ref="V11" si="54">SUM(V9:V10)</f>
        <v>34282</v>
      </c>
      <c r="W11" s="85">
        <f t="shared" ref="W11" si="55">SUM(W9:W10)</f>
        <v>26468</v>
      </c>
      <c r="X11" s="85">
        <f>SUM(X9:X10)</f>
        <v>21687</v>
      </c>
      <c r="Y11" s="95">
        <f t="shared" si="6"/>
        <v>86605</v>
      </c>
      <c r="Z11" s="85">
        <f t="shared" ref="Z11" si="56">SUM(Z9:Z10)</f>
        <v>22329</v>
      </c>
      <c r="AA11" s="85">
        <f t="shared" ref="AA11" si="57">SUM(AA9:AA10)</f>
        <v>28404</v>
      </c>
      <c r="AB11" s="85">
        <f t="shared" ref="AB11" si="58">SUM(AB9:AB10)</f>
        <v>15130</v>
      </c>
      <c r="AC11" s="85">
        <f>SUM(AC9:AC10)</f>
        <v>20742</v>
      </c>
      <c r="AD11" s="95">
        <f t="shared" si="7"/>
        <v>110342</v>
      </c>
      <c r="AE11" s="85">
        <f t="shared" ref="AE11" si="59">SUM(AE9:AE10)</f>
        <v>27059</v>
      </c>
      <c r="AF11" s="85">
        <f t="shared" ref="AF11" si="60">SUM(AF9:AF10)</f>
        <v>31960</v>
      </c>
      <c r="AG11" s="85">
        <f t="shared" ref="AG11" si="61">SUM(AG9:AG10)</f>
        <v>28067</v>
      </c>
      <c r="AH11" s="85">
        <f>SUM(AH9:AH10)</f>
        <v>23256</v>
      </c>
      <c r="AI11" s="95">
        <f t="shared" si="8"/>
        <v>126892</v>
      </c>
      <c r="AJ11" s="85">
        <f t="shared" ref="AJ11" si="62">SUM(AJ9:AJ10)</f>
        <v>32664</v>
      </c>
      <c r="AK11" s="85">
        <f t="shared" ref="AK11" si="63">SUM(AK9:AK10)</f>
        <v>30669</v>
      </c>
      <c r="AL11" s="85">
        <f t="shared" ref="AL11" si="64">SUM(AL9:AL10)</f>
        <v>27590</v>
      </c>
      <c r="AM11" s="85">
        <f>SUM(AM9:AM10)</f>
        <v>35969</v>
      </c>
      <c r="AN11" s="95">
        <f t="shared" si="9"/>
        <v>140384</v>
      </c>
      <c r="AO11" s="85">
        <f t="shared" ref="AO11" si="65">SUM(AO9:AO10)</f>
        <v>32510</v>
      </c>
      <c r="AP11" s="85">
        <f t="shared" ref="AP11" si="66">SUM(AP9:AP10)</f>
        <v>33272</v>
      </c>
      <c r="AQ11" s="85">
        <f t="shared" ref="AQ11" si="67">SUM(AQ9:AQ10)</f>
        <v>36230</v>
      </c>
      <c r="AR11" s="85">
        <f>SUM(AR9:AR10)</f>
        <v>38372</v>
      </c>
      <c r="AS11" s="95">
        <f t="shared" si="10"/>
        <v>150143</v>
      </c>
      <c r="AT11" s="85">
        <f t="shared" ref="AT11" si="68">SUM(AT9:AT10)</f>
        <v>39635</v>
      </c>
      <c r="AU11" s="85">
        <f t="shared" ref="AU11" si="69">SUM(AU9:AU10)</f>
        <v>39567</v>
      </c>
      <c r="AV11" s="85">
        <f t="shared" ref="AV11" si="70">SUM(AV9:AV10)</f>
        <v>36418</v>
      </c>
      <c r="AW11" s="85">
        <f>SUM(AW9:AW10)</f>
        <v>34523</v>
      </c>
      <c r="AX11" s="95">
        <f t="shared" si="11"/>
        <v>122439</v>
      </c>
      <c r="AY11" s="85">
        <f t="shared" ref="AY11" si="71">SUM(AY9:AY10)</f>
        <v>37151</v>
      </c>
      <c r="AZ11" s="85">
        <f t="shared" ref="AZ11" si="72">SUM(AZ9:AZ10)</f>
        <v>47471</v>
      </c>
      <c r="BA11" s="85">
        <f t="shared" ref="BA11" si="73">SUM(BA9:BA10)</f>
        <v>6383</v>
      </c>
      <c r="BB11" s="85">
        <f>SUM(BB9:BB10)</f>
        <v>31434</v>
      </c>
      <c r="BC11" s="95">
        <f t="shared" si="12"/>
        <v>201253</v>
      </c>
      <c r="BD11" s="85">
        <f t="shared" ref="BD11:BF11" si="74">SUM(BD9:BD10)</f>
        <v>24035</v>
      </c>
      <c r="BE11" s="85">
        <f t="shared" si="74"/>
        <v>65152</v>
      </c>
      <c r="BF11" s="85">
        <f t="shared" si="74"/>
        <v>57346</v>
      </c>
      <c r="BG11" s="85">
        <f>SUM(BG9:BG10)</f>
        <v>54720</v>
      </c>
    </row>
    <row r="12" spans="1:59" ht="16.5" customHeight="1" x14ac:dyDescent="0.2">
      <c r="A12" s="34"/>
      <c r="B12" s="68" t="s">
        <v>76</v>
      </c>
      <c r="C12" s="69"/>
      <c r="D12" s="79">
        <f>SUM(D13:D20)</f>
        <v>-32743</v>
      </c>
      <c r="E12" s="95">
        <f t="shared" si="0"/>
        <v>-110847</v>
      </c>
      <c r="F12" s="79">
        <f>SUM(F13:F20)</f>
        <v>-27690</v>
      </c>
      <c r="G12" s="79">
        <f>SUM(G13:G20)</f>
        <v>-30191</v>
      </c>
      <c r="H12" s="79">
        <f>SUM(H13:H20)</f>
        <v>-24747</v>
      </c>
      <c r="I12" s="79">
        <f>SUM(I13:I20)</f>
        <v>-28219</v>
      </c>
      <c r="J12" s="95">
        <f t="shared" si="2"/>
        <v>-114705</v>
      </c>
      <c r="K12" s="79">
        <f t="shared" ref="K12" si="75">SUM(K13:K20)</f>
        <v>-32839</v>
      </c>
      <c r="L12" s="79">
        <f t="shared" ref="L12" si="76">SUM(L13:L20)</f>
        <v>-28329</v>
      </c>
      <c r="M12" s="79">
        <f t="shared" ref="M12" si="77">SUM(M13:M20)</f>
        <v>-30110</v>
      </c>
      <c r="N12" s="79">
        <f>SUM(N13:N20)</f>
        <v>-23427</v>
      </c>
      <c r="O12" s="95">
        <f t="shared" si="5"/>
        <v>-85775</v>
      </c>
      <c r="P12" s="79">
        <f t="shared" ref="P12" si="78">SUM(P13:P20)</f>
        <v>-23693</v>
      </c>
      <c r="Q12" s="79">
        <f t="shared" ref="Q12" si="79">SUM(Q13:Q20)</f>
        <v>-26959</v>
      </c>
      <c r="R12" s="79">
        <f t="shared" ref="R12" si="80">SUM(R13:R20)</f>
        <v>-14730</v>
      </c>
      <c r="S12" s="79">
        <f>SUM(S13:S20)</f>
        <v>-20393</v>
      </c>
      <c r="T12" s="95">
        <f t="shared" si="13"/>
        <v>-72913</v>
      </c>
      <c r="U12" s="79">
        <f t="shared" ref="U12" si="81">SUM(U13:U20)</f>
        <v>-18695</v>
      </c>
      <c r="V12" s="79">
        <f t="shared" ref="V12" si="82">SUM(V13:V20)</f>
        <v>-20599</v>
      </c>
      <c r="W12" s="79">
        <f t="shared" ref="W12" si="83">SUM(W13:W20)</f>
        <v>-19443</v>
      </c>
      <c r="X12" s="79">
        <f>SUM(X13:X20)</f>
        <v>-14176</v>
      </c>
      <c r="Y12" s="95">
        <f t="shared" si="6"/>
        <v>-73596</v>
      </c>
      <c r="Z12" s="79">
        <f t="shared" ref="Z12" si="84">SUM(Z13:Z20)</f>
        <v>-18823</v>
      </c>
      <c r="AA12" s="79">
        <f t="shared" ref="AA12" si="85">SUM(AA13:AA20)</f>
        <v>-21181</v>
      </c>
      <c r="AB12" s="79">
        <f t="shared" ref="AB12" si="86">SUM(AB13:AB20)</f>
        <v>-13827</v>
      </c>
      <c r="AC12" s="79">
        <f>SUM(AC13:AC20)</f>
        <v>-19765</v>
      </c>
      <c r="AD12" s="95">
        <f t="shared" si="7"/>
        <v>-72716</v>
      </c>
      <c r="AE12" s="79">
        <f t="shared" ref="AE12" si="87">SUM(AE13:AE20)</f>
        <v>-17479</v>
      </c>
      <c r="AF12" s="79">
        <f t="shared" ref="AF12" si="88">SUM(AF13:AF20)</f>
        <v>-19914</v>
      </c>
      <c r="AG12" s="79">
        <f t="shared" ref="AG12" si="89">SUM(AG13:AG20)</f>
        <v>-19231</v>
      </c>
      <c r="AH12" s="79">
        <f>SUM(AH13:AH20)</f>
        <v>-16092</v>
      </c>
      <c r="AI12" s="95">
        <f t="shared" si="8"/>
        <v>-80914</v>
      </c>
      <c r="AJ12" s="79">
        <f t="shared" ref="AJ12" si="90">SUM(AJ13:AJ20)</f>
        <v>-23941</v>
      </c>
      <c r="AK12" s="79">
        <f t="shared" ref="AK12" si="91">SUM(AK13:AK20)</f>
        <v>-19160</v>
      </c>
      <c r="AL12" s="79">
        <f t="shared" ref="AL12" si="92">SUM(AL13:AL20)</f>
        <v>-18051</v>
      </c>
      <c r="AM12" s="79">
        <f>SUM(AM13:AM20)</f>
        <v>-19762</v>
      </c>
      <c r="AN12" s="95">
        <f t="shared" si="9"/>
        <v>-65708</v>
      </c>
      <c r="AO12" s="79">
        <f t="shared" ref="AO12" si="93">SUM(AO13:AO20)</f>
        <v>-18115</v>
      </c>
      <c r="AP12" s="79">
        <f t="shared" ref="AP12" si="94">SUM(AP13:AP20)</f>
        <v>-16579</v>
      </c>
      <c r="AQ12" s="79">
        <f t="shared" ref="AQ12" si="95">SUM(AQ13:AQ20)</f>
        <v>-16533</v>
      </c>
      <c r="AR12" s="79">
        <f>SUM(AR13:AR20)</f>
        <v>-14481</v>
      </c>
      <c r="AS12" s="95">
        <f t="shared" si="10"/>
        <v>-93982</v>
      </c>
      <c r="AT12" s="79">
        <f t="shared" ref="AT12" si="96">SUM(AT13:AT20)</f>
        <v>-23228</v>
      </c>
      <c r="AU12" s="79">
        <f t="shared" ref="AU12" si="97">SUM(AU13:AU20)</f>
        <v>-24892</v>
      </c>
      <c r="AV12" s="79">
        <f t="shared" ref="AV12" si="98">SUM(AV13:AV20)</f>
        <v>-24255</v>
      </c>
      <c r="AW12" s="79">
        <f>SUM(AW13:AW20)</f>
        <v>-21607</v>
      </c>
      <c r="AX12" s="95">
        <f t="shared" si="11"/>
        <v>-100804</v>
      </c>
      <c r="AY12" s="79">
        <f t="shared" ref="AY12" si="99">SUM(AY13:AY20)</f>
        <v>-20690</v>
      </c>
      <c r="AZ12" s="79">
        <f t="shared" ref="AZ12" si="100">SUM(AZ13:AZ20)</f>
        <v>-25918</v>
      </c>
      <c r="BA12" s="79">
        <f t="shared" ref="BA12" si="101">SUM(BA13:BA20)</f>
        <v>-24364</v>
      </c>
      <c r="BB12" s="79">
        <f>SUM(BB13:BB20)</f>
        <v>-29832</v>
      </c>
      <c r="BC12" s="95">
        <f t="shared" si="12"/>
        <v>-112103</v>
      </c>
      <c r="BD12" s="79">
        <f>SUM(BD13:BD20)</f>
        <v>-28747</v>
      </c>
      <c r="BE12" s="79">
        <f>SUM(BE13:BE20)</f>
        <v>-31950</v>
      </c>
      <c r="BF12" s="79">
        <f>SUM(BF13:BF20)</f>
        <v>-28307</v>
      </c>
      <c r="BG12" s="79">
        <f>SUM(BG13:BG20)</f>
        <v>-23099</v>
      </c>
    </row>
    <row r="13" spans="1:59" ht="16.5" customHeight="1" x14ac:dyDescent="0.2">
      <c r="A13" s="27"/>
      <c r="B13" s="39" t="s">
        <v>77</v>
      </c>
      <c r="C13" s="40"/>
      <c r="D13" s="115">
        <v>-17687</v>
      </c>
      <c r="E13" s="114">
        <f t="shared" si="0"/>
        <v>-67008</v>
      </c>
      <c r="F13" s="115">
        <v>-16994</v>
      </c>
      <c r="G13" s="115">
        <v>-18712</v>
      </c>
      <c r="H13" s="115">
        <v>-15554</v>
      </c>
      <c r="I13" s="81">
        <v>-15748</v>
      </c>
      <c r="J13" s="82">
        <f t="shared" si="2"/>
        <v>-67469</v>
      </c>
      <c r="K13" s="83">
        <v>-18388</v>
      </c>
      <c r="L13" s="83">
        <v>-20125</v>
      </c>
      <c r="M13" s="83">
        <v>-16672</v>
      </c>
      <c r="N13" s="83">
        <v>-12284</v>
      </c>
      <c r="O13" s="82">
        <f t="shared" si="5"/>
        <v>-48355</v>
      </c>
      <c r="P13" s="83">
        <v>-12500</v>
      </c>
      <c r="Q13" s="83">
        <v>-16901</v>
      </c>
      <c r="R13" s="83">
        <v>-8529</v>
      </c>
      <c r="S13" s="83">
        <v>-10425</v>
      </c>
      <c r="T13" s="82">
        <f t="shared" si="13"/>
        <v>-42474</v>
      </c>
      <c r="U13" s="83">
        <v>-12073</v>
      </c>
      <c r="V13" s="83">
        <v>-10680</v>
      </c>
      <c r="W13" s="83">
        <v>-10184</v>
      </c>
      <c r="X13" s="83">
        <v>-9537</v>
      </c>
      <c r="Y13" s="82">
        <f t="shared" si="6"/>
        <v>-39995</v>
      </c>
      <c r="Z13" s="83">
        <f>-39995-SUM(AA13:AC13)</f>
        <v>-9123</v>
      </c>
      <c r="AA13" s="83">
        <v>-10578</v>
      </c>
      <c r="AB13" s="83">
        <v>-9879</v>
      </c>
      <c r="AC13" s="83">
        <v>-10415</v>
      </c>
      <c r="AD13" s="82">
        <f t="shared" si="7"/>
        <v>-45017</v>
      </c>
      <c r="AE13" s="83">
        <v>-10030</v>
      </c>
      <c r="AF13" s="83">
        <v>-10819</v>
      </c>
      <c r="AG13" s="83">
        <v>-11920</v>
      </c>
      <c r="AH13" s="83">
        <v>-12248</v>
      </c>
      <c r="AI13" s="82">
        <f t="shared" si="8"/>
        <v>-53904</v>
      </c>
      <c r="AJ13" s="83">
        <v>-12129</v>
      </c>
      <c r="AK13" s="83">
        <v>-12573</v>
      </c>
      <c r="AL13" s="83">
        <v>-15743</v>
      </c>
      <c r="AM13" s="83">
        <v>-13459</v>
      </c>
      <c r="AN13" s="82">
        <f t="shared" si="9"/>
        <v>-43839</v>
      </c>
      <c r="AO13" s="83">
        <v>-11091</v>
      </c>
      <c r="AP13" s="83">
        <v>-10167</v>
      </c>
      <c r="AQ13" s="83">
        <v>-11931</v>
      </c>
      <c r="AR13" s="83">
        <v>-10650</v>
      </c>
      <c r="AS13" s="82">
        <f t="shared" si="10"/>
        <v>-56849</v>
      </c>
      <c r="AT13" s="83">
        <v>-12788</v>
      </c>
      <c r="AU13" s="83">
        <v>-14019</v>
      </c>
      <c r="AV13" s="83">
        <v>-15742</v>
      </c>
      <c r="AW13" s="83">
        <v>-14300</v>
      </c>
      <c r="AX13" s="82">
        <f t="shared" si="11"/>
        <v>-57964</v>
      </c>
      <c r="AY13" s="83">
        <v>-14915</v>
      </c>
      <c r="AZ13" s="83">
        <v>-14864</v>
      </c>
      <c r="BA13" s="83">
        <v>-14967</v>
      </c>
      <c r="BB13" s="83">
        <v>-13218</v>
      </c>
      <c r="BC13" s="82">
        <f t="shared" si="12"/>
        <v>-50033</v>
      </c>
      <c r="BD13" s="83">
        <v>-14910</v>
      </c>
      <c r="BE13" s="83">
        <v>-12440</v>
      </c>
      <c r="BF13" s="83">
        <v>-12056</v>
      </c>
      <c r="BG13" s="83">
        <v>-10627</v>
      </c>
    </row>
    <row r="14" spans="1:59" ht="16.5" customHeight="1" x14ac:dyDescent="0.2">
      <c r="A14" s="27"/>
      <c r="B14" s="42" t="s">
        <v>78</v>
      </c>
      <c r="C14" s="43"/>
      <c r="D14" s="116">
        <v>-15672</v>
      </c>
      <c r="E14" s="114">
        <f t="shared" si="0"/>
        <v>-59918</v>
      </c>
      <c r="F14" s="116">
        <v>-16065</v>
      </c>
      <c r="G14" s="116">
        <v>-15019</v>
      </c>
      <c r="H14" s="116">
        <v>-13521</v>
      </c>
      <c r="I14" s="84">
        <v>-15313</v>
      </c>
      <c r="J14" s="82">
        <f t="shared" si="2"/>
        <v>-51500</v>
      </c>
      <c r="K14" s="84">
        <v>-14226</v>
      </c>
      <c r="L14" s="84">
        <v>-11430</v>
      </c>
      <c r="M14" s="84">
        <v>-14412</v>
      </c>
      <c r="N14" s="84">
        <v>-11432</v>
      </c>
      <c r="O14" s="82">
        <f t="shared" si="5"/>
        <v>-42667</v>
      </c>
      <c r="P14" s="84">
        <v>-10904</v>
      </c>
      <c r="Q14" s="84">
        <v>-9496</v>
      </c>
      <c r="R14" s="84">
        <v>-11787</v>
      </c>
      <c r="S14" s="84">
        <v>-10480</v>
      </c>
      <c r="T14" s="82">
        <f t="shared" si="13"/>
        <v>-38911</v>
      </c>
      <c r="U14" s="84">
        <v>-11866</v>
      </c>
      <c r="V14" s="84">
        <v>-10037</v>
      </c>
      <c r="W14" s="84">
        <v>-9875</v>
      </c>
      <c r="X14" s="84">
        <v>-7133</v>
      </c>
      <c r="Y14" s="82">
        <f t="shared" si="6"/>
        <v>-39057</v>
      </c>
      <c r="Z14" s="84">
        <f>-39057-SUM(AA14:AC14)</f>
        <v>-9932</v>
      </c>
      <c r="AA14" s="84">
        <v>-10413</v>
      </c>
      <c r="AB14" s="84">
        <v>-9974</v>
      </c>
      <c r="AC14" s="84">
        <v>-8738</v>
      </c>
      <c r="AD14" s="82">
        <f t="shared" si="7"/>
        <v>-28837</v>
      </c>
      <c r="AE14" s="84">
        <v>-8076</v>
      </c>
      <c r="AF14" s="84">
        <v>-9825</v>
      </c>
      <c r="AG14" s="84">
        <v>-8286</v>
      </c>
      <c r="AH14" s="84">
        <v>-2650</v>
      </c>
      <c r="AI14" s="82">
        <f t="shared" si="8"/>
        <v>-29982</v>
      </c>
      <c r="AJ14" s="84">
        <v>-8943</v>
      </c>
      <c r="AK14" s="84">
        <v>-4944</v>
      </c>
      <c r="AL14" s="84">
        <v>-6798</v>
      </c>
      <c r="AM14" s="84">
        <v>-9297</v>
      </c>
      <c r="AN14" s="82">
        <f t="shared" si="9"/>
        <v>-43159</v>
      </c>
      <c r="AO14" s="84">
        <v>-12373</v>
      </c>
      <c r="AP14" s="84">
        <v>-11023</v>
      </c>
      <c r="AQ14" s="84">
        <v>-11350</v>
      </c>
      <c r="AR14" s="84">
        <v>-8413</v>
      </c>
      <c r="AS14" s="82">
        <f t="shared" si="10"/>
        <v>-29960</v>
      </c>
      <c r="AT14" s="84">
        <v>-8973</v>
      </c>
      <c r="AU14" s="84">
        <v>-7111</v>
      </c>
      <c r="AV14" s="84">
        <v>-7152</v>
      </c>
      <c r="AW14" s="84">
        <v>-6724</v>
      </c>
      <c r="AX14" s="82">
        <f t="shared" si="11"/>
        <v>-36733</v>
      </c>
      <c r="AY14" s="84">
        <v>-7692</v>
      </c>
      <c r="AZ14" s="84">
        <v>-7387</v>
      </c>
      <c r="BA14" s="84">
        <v>-10313</v>
      </c>
      <c r="BB14" s="84">
        <v>-11341</v>
      </c>
      <c r="BC14" s="82">
        <f t="shared" si="12"/>
        <v>-49736</v>
      </c>
      <c r="BD14" s="84">
        <v>-11817</v>
      </c>
      <c r="BE14" s="84">
        <v>-14253</v>
      </c>
      <c r="BF14" s="84">
        <v>-12929</v>
      </c>
      <c r="BG14" s="84">
        <v>-10737</v>
      </c>
    </row>
    <row r="15" spans="1:59" ht="16.5" customHeight="1" x14ac:dyDescent="0.2">
      <c r="A15" s="27"/>
      <c r="B15" s="39" t="s">
        <v>79</v>
      </c>
      <c r="C15" s="40"/>
      <c r="D15" s="115">
        <v>-81</v>
      </c>
      <c r="E15" s="114">
        <f t="shared" si="0"/>
        <v>-889</v>
      </c>
      <c r="F15" s="115">
        <v>-376</v>
      </c>
      <c r="G15" s="115">
        <v>-189</v>
      </c>
      <c r="H15" s="115">
        <v>-183</v>
      </c>
      <c r="I15" s="81">
        <v>-141</v>
      </c>
      <c r="J15" s="82">
        <f t="shared" si="2"/>
        <v>-580</v>
      </c>
      <c r="K15" s="83">
        <v>-158</v>
      </c>
      <c r="L15" s="83">
        <v>-172</v>
      </c>
      <c r="M15" s="83">
        <v>-146</v>
      </c>
      <c r="N15" s="83">
        <v>-104</v>
      </c>
      <c r="O15" s="82">
        <f t="shared" si="5"/>
        <v>-461</v>
      </c>
      <c r="P15" s="83">
        <v>-78</v>
      </c>
      <c r="Q15" s="83">
        <v>-115</v>
      </c>
      <c r="R15" s="83">
        <v>-146</v>
      </c>
      <c r="S15" s="83">
        <v>-122</v>
      </c>
      <c r="T15" s="82">
        <f t="shared" si="13"/>
        <v>-691</v>
      </c>
      <c r="U15" s="83">
        <v>-195</v>
      </c>
      <c r="V15" s="83">
        <v>-171</v>
      </c>
      <c r="W15" s="83">
        <v>-52</v>
      </c>
      <c r="X15" s="83">
        <v>-273</v>
      </c>
      <c r="Y15" s="82">
        <f t="shared" si="6"/>
        <v>-437</v>
      </c>
      <c r="Z15" s="83">
        <f>-437-SUM(AA15:AC15)</f>
        <v>-93</v>
      </c>
      <c r="AA15" s="83">
        <v>-142</v>
      </c>
      <c r="AB15" s="83">
        <v>-102</v>
      </c>
      <c r="AC15" s="83">
        <v>-100</v>
      </c>
      <c r="AD15" s="82">
        <f t="shared" si="7"/>
        <v>-354</v>
      </c>
      <c r="AE15" s="83">
        <v>-51</v>
      </c>
      <c r="AF15" s="83">
        <v>-45</v>
      </c>
      <c r="AG15" s="83">
        <v>-11</v>
      </c>
      <c r="AH15" s="83">
        <v>-247</v>
      </c>
      <c r="AI15" s="82">
        <f t="shared" si="8"/>
        <v>-1130</v>
      </c>
      <c r="AJ15" s="83">
        <v>-226</v>
      </c>
      <c r="AK15" s="83">
        <v>-192</v>
      </c>
      <c r="AL15" s="83">
        <v>-187</v>
      </c>
      <c r="AM15" s="83">
        <v>-525</v>
      </c>
      <c r="AN15" s="82">
        <f t="shared" si="9"/>
        <v>-619</v>
      </c>
      <c r="AO15" s="83">
        <v>-57</v>
      </c>
      <c r="AP15" s="83">
        <v>-63</v>
      </c>
      <c r="AQ15" s="83">
        <v>-228</v>
      </c>
      <c r="AR15" s="83">
        <v>-271</v>
      </c>
      <c r="AS15" s="82">
        <f t="shared" si="10"/>
        <v>-2040</v>
      </c>
      <c r="AT15" s="83">
        <v>-229</v>
      </c>
      <c r="AU15" s="83">
        <v>-708</v>
      </c>
      <c r="AV15" s="83">
        <v>-620</v>
      </c>
      <c r="AW15" s="83">
        <v>-483</v>
      </c>
      <c r="AX15" s="82">
        <f t="shared" si="11"/>
        <v>-1966</v>
      </c>
      <c r="AY15" s="83">
        <v>-235</v>
      </c>
      <c r="AZ15" s="83">
        <v>-447</v>
      </c>
      <c r="BA15" s="83">
        <v>-451</v>
      </c>
      <c r="BB15" s="83">
        <v>-833</v>
      </c>
      <c r="BC15" s="82">
        <f t="shared" si="12"/>
        <v>-1743</v>
      </c>
      <c r="BD15" s="83">
        <v>-212</v>
      </c>
      <c r="BE15" s="83">
        <v>-322</v>
      </c>
      <c r="BF15" s="83">
        <v>-283</v>
      </c>
      <c r="BG15" s="83">
        <v>-926</v>
      </c>
    </row>
    <row r="16" spans="1:59" ht="16.5" customHeight="1" x14ac:dyDescent="0.2">
      <c r="A16" s="27"/>
      <c r="B16" s="42" t="s">
        <v>81</v>
      </c>
      <c r="C16" s="43"/>
      <c r="D16" s="116">
        <v>-213</v>
      </c>
      <c r="E16" s="114">
        <f t="shared" si="0"/>
        <v>-813</v>
      </c>
      <c r="F16" s="116">
        <v>-154</v>
      </c>
      <c r="G16" s="116">
        <v>-149</v>
      </c>
      <c r="H16" s="116">
        <v>-204</v>
      </c>
      <c r="I16" s="84">
        <v>-306</v>
      </c>
      <c r="J16" s="82">
        <f t="shared" si="2"/>
        <v>-1205</v>
      </c>
      <c r="K16" s="84">
        <v>-283</v>
      </c>
      <c r="L16" s="84">
        <v>-343</v>
      </c>
      <c r="M16" s="84">
        <v>-275</v>
      </c>
      <c r="N16" s="84">
        <v>-304</v>
      </c>
      <c r="O16" s="82">
        <f t="shared" si="5"/>
        <v>-1239</v>
      </c>
      <c r="P16" s="84">
        <v>-355</v>
      </c>
      <c r="Q16" s="84">
        <v>-336</v>
      </c>
      <c r="R16" s="84">
        <v>-283</v>
      </c>
      <c r="S16" s="84">
        <v>-265</v>
      </c>
      <c r="T16" s="82">
        <f t="shared" si="13"/>
        <v>-1057</v>
      </c>
      <c r="U16" s="84">
        <v>-262</v>
      </c>
      <c r="V16" s="84">
        <v>-264</v>
      </c>
      <c r="W16" s="84">
        <v>-267</v>
      </c>
      <c r="X16" s="84">
        <v>-264</v>
      </c>
      <c r="Y16" s="82">
        <f t="shared" si="6"/>
        <v>-1264</v>
      </c>
      <c r="Z16" s="84">
        <f>-1264-SUM(AA16:AC16)</f>
        <v>-302</v>
      </c>
      <c r="AA16" s="84">
        <v>-304</v>
      </c>
      <c r="AB16" s="84">
        <v>-326</v>
      </c>
      <c r="AC16" s="84">
        <v>-332</v>
      </c>
      <c r="AD16" s="82">
        <f t="shared" si="7"/>
        <v>-1345</v>
      </c>
      <c r="AE16" s="84">
        <v>-351</v>
      </c>
      <c r="AF16" s="84">
        <v>-364</v>
      </c>
      <c r="AG16" s="84">
        <v>-249</v>
      </c>
      <c r="AH16" s="84">
        <v>-381</v>
      </c>
      <c r="AI16" s="82">
        <f t="shared" si="8"/>
        <v>-2285</v>
      </c>
      <c r="AJ16" s="84">
        <v>-621</v>
      </c>
      <c r="AK16" s="84">
        <v>-667</v>
      </c>
      <c r="AL16" s="84">
        <v>-480</v>
      </c>
      <c r="AM16" s="84">
        <v>-517</v>
      </c>
      <c r="AN16" s="82">
        <f t="shared" si="9"/>
        <v>-2156</v>
      </c>
      <c r="AO16" s="84">
        <v>-540</v>
      </c>
      <c r="AP16" s="84">
        <v>-517</v>
      </c>
      <c r="AQ16" s="84">
        <v>-547</v>
      </c>
      <c r="AR16" s="84">
        <v>-552</v>
      </c>
      <c r="AS16" s="82">
        <f t="shared" si="10"/>
        <v>-2920</v>
      </c>
      <c r="AT16" s="84">
        <v>-563</v>
      </c>
      <c r="AU16" s="84">
        <v>-591</v>
      </c>
      <c r="AV16" s="84">
        <v>-888</v>
      </c>
      <c r="AW16" s="84">
        <v>-878</v>
      </c>
      <c r="AX16" s="82">
        <f t="shared" si="11"/>
        <v>-3291</v>
      </c>
      <c r="AY16" s="84">
        <v>-903</v>
      </c>
      <c r="AZ16" s="84">
        <v>-827</v>
      </c>
      <c r="BA16" s="84">
        <v>-762</v>
      </c>
      <c r="BB16" s="84">
        <v>-799</v>
      </c>
      <c r="BC16" s="82">
        <f t="shared" si="12"/>
        <v>-2505</v>
      </c>
      <c r="BD16" s="84">
        <v>-690</v>
      </c>
      <c r="BE16" s="84">
        <v>-641</v>
      </c>
      <c r="BF16" s="84">
        <v>-604</v>
      </c>
      <c r="BG16" s="84">
        <v>-570</v>
      </c>
    </row>
    <row r="17" spans="1:59" ht="16.5" customHeight="1" x14ac:dyDescent="0.2">
      <c r="A17" s="27"/>
      <c r="B17" s="39" t="s">
        <v>82</v>
      </c>
      <c r="C17" s="40"/>
      <c r="D17" s="115">
        <v>-1520</v>
      </c>
      <c r="E17" s="114">
        <f t="shared" si="0"/>
        <v>-5292</v>
      </c>
      <c r="F17" s="115">
        <v>-1549</v>
      </c>
      <c r="G17" s="115">
        <v>-1356</v>
      </c>
      <c r="H17" s="115">
        <v>-1069</v>
      </c>
      <c r="I17" s="81">
        <v>-1318</v>
      </c>
      <c r="J17" s="82">
        <f t="shared" si="2"/>
        <v>-3244</v>
      </c>
      <c r="K17" s="83">
        <v>-2128</v>
      </c>
      <c r="L17" s="83">
        <v>-807</v>
      </c>
      <c r="M17" s="83">
        <v>-309</v>
      </c>
      <c r="N17" s="83" t="s">
        <v>1</v>
      </c>
      <c r="O17" s="82">
        <f t="shared" si="5"/>
        <v>306</v>
      </c>
      <c r="P17" s="83">
        <v>279</v>
      </c>
      <c r="Q17" s="83">
        <v>33</v>
      </c>
      <c r="R17" s="83">
        <v>-3</v>
      </c>
      <c r="S17" s="83">
        <v>-3</v>
      </c>
      <c r="T17" s="82">
        <f t="shared" si="13"/>
        <v>2575</v>
      </c>
      <c r="U17" s="83">
        <v>683</v>
      </c>
      <c r="V17" s="83">
        <v>-2</v>
      </c>
      <c r="W17" s="83">
        <v>-5</v>
      </c>
      <c r="X17" s="83">
        <v>1899</v>
      </c>
      <c r="Y17" s="82">
        <f t="shared" si="6"/>
        <v>156</v>
      </c>
      <c r="Z17" s="83">
        <f>156-SUM(AA17:AC17)</f>
        <v>164</v>
      </c>
      <c r="AA17" s="83">
        <v>-3</v>
      </c>
      <c r="AB17" s="83">
        <v>-2</v>
      </c>
      <c r="AC17" s="83">
        <v>-3</v>
      </c>
      <c r="AD17" s="82">
        <f t="shared" si="7"/>
        <v>-372</v>
      </c>
      <c r="AE17" s="83">
        <v>-223</v>
      </c>
      <c r="AF17" s="83">
        <v>-3</v>
      </c>
      <c r="AG17" s="83">
        <v>-3</v>
      </c>
      <c r="AH17" s="83">
        <v>-143</v>
      </c>
      <c r="AI17" s="82">
        <f t="shared" si="8"/>
        <v>85</v>
      </c>
      <c r="AJ17" s="83">
        <v>-62</v>
      </c>
      <c r="AK17" s="83">
        <v>-36</v>
      </c>
      <c r="AL17" s="83">
        <v>118</v>
      </c>
      <c r="AM17" s="83">
        <v>65</v>
      </c>
      <c r="AN17" s="82">
        <f t="shared" si="9"/>
        <v>1263</v>
      </c>
      <c r="AO17" s="83">
        <v>-36</v>
      </c>
      <c r="AP17" s="83">
        <v>57</v>
      </c>
      <c r="AQ17" s="83">
        <v>1400</v>
      </c>
      <c r="AR17" s="83">
        <v>-158</v>
      </c>
      <c r="AS17" s="82">
        <f t="shared" si="10"/>
        <v>969</v>
      </c>
      <c r="AT17" s="83">
        <v>17</v>
      </c>
      <c r="AU17" s="83">
        <v>1284</v>
      </c>
      <c r="AV17" s="83">
        <v>-100</v>
      </c>
      <c r="AW17" s="83">
        <v>-232</v>
      </c>
      <c r="AX17" s="82">
        <f t="shared" si="11"/>
        <v>-1874</v>
      </c>
      <c r="AY17" s="83">
        <v>-649</v>
      </c>
      <c r="AZ17" s="83">
        <v>-124</v>
      </c>
      <c r="BA17" s="83">
        <v>-863</v>
      </c>
      <c r="BB17" s="83">
        <v>-238</v>
      </c>
      <c r="BC17" s="82">
        <f t="shared" si="12"/>
        <v>248</v>
      </c>
      <c r="BD17" s="83">
        <v>1039</v>
      </c>
      <c r="BE17" s="83">
        <v>-389</v>
      </c>
      <c r="BF17" s="83">
        <v>-391</v>
      </c>
      <c r="BG17" s="83">
        <v>-11</v>
      </c>
    </row>
    <row r="18" spans="1:59" ht="16.5" customHeight="1" x14ac:dyDescent="0.2">
      <c r="A18" s="27"/>
      <c r="B18" s="42" t="s">
        <v>84</v>
      </c>
      <c r="C18" s="43"/>
      <c r="D18" s="116" t="s">
        <v>1</v>
      </c>
      <c r="E18" s="114" t="s">
        <v>1</v>
      </c>
      <c r="F18" s="116" t="s">
        <v>1</v>
      </c>
      <c r="G18" s="116" t="s">
        <v>1</v>
      </c>
      <c r="H18" s="116" t="s">
        <v>1</v>
      </c>
      <c r="I18" s="84" t="s">
        <v>1</v>
      </c>
      <c r="J18" s="82" t="s">
        <v>1</v>
      </c>
      <c r="K18" s="84" t="s">
        <v>1</v>
      </c>
      <c r="L18" s="84" t="s">
        <v>1</v>
      </c>
      <c r="M18" s="84" t="s">
        <v>1</v>
      </c>
      <c r="N18" s="84" t="s">
        <v>1</v>
      </c>
      <c r="O18" s="82" t="s">
        <v>1</v>
      </c>
      <c r="P18" s="84" t="s">
        <v>1</v>
      </c>
      <c r="Q18" s="84" t="s">
        <v>1</v>
      </c>
      <c r="R18" s="84" t="s">
        <v>1</v>
      </c>
      <c r="S18" s="84" t="s">
        <v>1</v>
      </c>
      <c r="T18" s="82" t="s">
        <v>1</v>
      </c>
      <c r="U18" s="84" t="s">
        <v>1</v>
      </c>
      <c r="V18" s="84" t="s">
        <v>1</v>
      </c>
      <c r="W18" s="84" t="s">
        <v>1</v>
      </c>
      <c r="X18" s="84" t="s">
        <v>1</v>
      </c>
      <c r="Y18" s="82" t="s">
        <v>1</v>
      </c>
      <c r="Z18" s="84" t="s">
        <v>1</v>
      </c>
      <c r="AA18" s="84" t="s">
        <v>1</v>
      </c>
      <c r="AB18" s="84" t="s">
        <v>1</v>
      </c>
      <c r="AC18" s="84" t="s">
        <v>1</v>
      </c>
      <c r="AD18" s="82" t="s">
        <v>1</v>
      </c>
      <c r="AE18" s="84" t="s">
        <v>1</v>
      </c>
      <c r="AF18" s="84" t="s">
        <v>1</v>
      </c>
      <c r="AG18" s="84" t="s">
        <v>1</v>
      </c>
      <c r="AH18" s="84" t="s">
        <v>1</v>
      </c>
      <c r="AI18" s="82" t="s">
        <v>1</v>
      </c>
      <c r="AJ18" s="84" t="s">
        <v>1</v>
      </c>
      <c r="AK18" s="84" t="s">
        <v>1</v>
      </c>
      <c r="AL18" s="84" t="s">
        <v>1</v>
      </c>
      <c r="AM18" s="84" t="s">
        <v>1</v>
      </c>
      <c r="AN18" s="82">
        <f t="shared" si="9"/>
        <v>-82</v>
      </c>
      <c r="AO18" s="84" t="s">
        <v>1</v>
      </c>
      <c r="AP18" s="84" t="s">
        <v>1</v>
      </c>
      <c r="AQ18" s="84" t="s">
        <v>1</v>
      </c>
      <c r="AR18" s="84">
        <v>-82</v>
      </c>
      <c r="AS18" s="82">
        <f t="shared" si="10"/>
        <v>-493</v>
      </c>
      <c r="AT18" s="84">
        <v>-123</v>
      </c>
      <c r="AU18" s="84">
        <v>-124</v>
      </c>
      <c r="AV18" s="84">
        <v>-123</v>
      </c>
      <c r="AW18" s="84">
        <v>-123</v>
      </c>
      <c r="AX18" s="82">
        <f t="shared" si="11"/>
        <v>-686</v>
      </c>
      <c r="AY18" s="84">
        <v>-123</v>
      </c>
      <c r="AZ18" s="84">
        <v>-317</v>
      </c>
      <c r="BA18" s="84">
        <v>-123</v>
      </c>
      <c r="BB18" s="84">
        <v>-123</v>
      </c>
      <c r="BC18" s="82">
        <f t="shared" si="12"/>
        <v>-940</v>
      </c>
      <c r="BD18" s="84">
        <v>-124</v>
      </c>
      <c r="BE18" s="84">
        <v>-313</v>
      </c>
      <c r="BF18" s="84">
        <v>-231</v>
      </c>
      <c r="BG18" s="84">
        <v>-272</v>
      </c>
    </row>
    <row r="19" spans="1:59" ht="16.5" customHeight="1" x14ac:dyDescent="0.2">
      <c r="A19" s="27"/>
      <c r="B19" s="39" t="s">
        <v>80</v>
      </c>
      <c r="C19" s="40"/>
      <c r="D19" s="115">
        <v>2884</v>
      </c>
      <c r="E19" s="114">
        <f t="shared" si="0"/>
        <v>26244</v>
      </c>
      <c r="F19" s="115">
        <v>8295</v>
      </c>
      <c r="G19" s="115">
        <v>6203</v>
      </c>
      <c r="H19" s="115">
        <v>6275</v>
      </c>
      <c r="I19" s="81">
        <v>5471</v>
      </c>
      <c r="J19" s="82">
        <f t="shared" ref="J19:J25" si="102">SUM(K19:N19)</f>
        <v>13509</v>
      </c>
      <c r="K19" s="83">
        <v>6219</v>
      </c>
      <c r="L19" s="83">
        <v>2906</v>
      </c>
      <c r="M19" s="83">
        <v>2482</v>
      </c>
      <c r="N19" s="83">
        <v>1902</v>
      </c>
      <c r="O19" s="82">
        <f t="shared" ref="O19:O25" si="103">SUM(P19:S19)</f>
        <v>4305</v>
      </c>
      <c r="P19" s="83">
        <v>746</v>
      </c>
      <c r="Q19" s="83">
        <v>938</v>
      </c>
      <c r="R19" s="83">
        <v>1715</v>
      </c>
      <c r="S19" s="83">
        <v>906</v>
      </c>
      <c r="T19" s="82">
        <f t="shared" ref="T19:T25" si="104">SUM(U19:X19)</f>
        <v>4050</v>
      </c>
      <c r="U19" s="83">
        <v>1448</v>
      </c>
      <c r="V19" s="83">
        <v>516</v>
      </c>
      <c r="W19" s="83">
        <v>954</v>
      </c>
      <c r="X19" s="83">
        <v>1132</v>
      </c>
      <c r="Y19" s="82">
        <f t="shared" ref="Y19:Y25" si="105">SUM(Z19:AC19)</f>
        <v>957</v>
      </c>
      <c r="Z19" s="83">
        <f>957-SUM(AA19:AC19)</f>
        <v>480</v>
      </c>
      <c r="AA19" s="83">
        <v>308</v>
      </c>
      <c r="AB19" s="83">
        <v>-35</v>
      </c>
      <c r="AC19" s="83">
        <v>204</v>
      </c>
      <c r="AD19" s="82">
        <f t="shared" ref="AD19:AD25" si="106">SUM(AE19:AH19)</f>
        <v>2278</v>
      </c>
      <c r="AE19" s="83">
        <f>2278-SUM(AF19:AH19)</f>
        <v>86</v>
      </c>
      <c r="AF19" s="83">
        <v>1451</v>
      </c>
      <c r="AG19" s="83">
        <v>1113</v>
      </c>
      <c r="AH19" s="83">
        <v>-372</v>
      </c>
      <c r="AI19" s="82">
        <f t="shared" ref="AI19:AI25" si="107">SUM(AJ19:AM19)</f>
        <v>4591</v>
      </c>
      <c r="AJ19" s="83">
        <f>4591-SUM(AK19:AM19)</f>
        <v>-1727</v>
      </c>
      <c r="AK19" s="83">
        <v>-922</v>
      </c>
      <c r="AL19" s="83">
        <v>4502</v>
      </c>
      <c r="AM19" s="83">
        <v>2738</v>
      </c>
      <c r="AN19" s="82">
        <f t="shared" si="9"/>
        <v>18851</v>
      </c>
      <c r="AO19" s="83">
        <v>5389</v>
      </c>
      <c r="AP19" s="83">
        <v>4352</v>
      </c>
      <c r="AQ19" s="83">
        <v>5246</v>
      </c>
      <c r="AR19" s="83">
        <v>3864</v>
      </c>
      <c r="AS19" s="87" t="s">
        <v>1</v>
      </c>
      <c r="AT19" s="89" t="s">
        <v>1</v>
      </c>
      <c r="AU19" s="89" t="s">
        <v>1</v>
      </c>
      <c r="AV19" s="89" t="s">
        <v>1</v>
      </c>
      <c r="AW19" s="89" t="s">
        <v>1</v>
      </c>
      <c r="AX19" s="87" t="s">
        <v>1</v>
      </c>
      <c r="AY19" s="89" t="s">
        <v>1</v>
      </c>
      <c r="AZ19" s="89" t="s">
        <v>1</v>
      </c>
      <c r="BA19" s="89" t="s">
        <v>1</v>
      </c>
      <c r="BB19" s="89" t="s">
        <v>1</v>
      </c>
      <c r="BC19" s="87" t="s">
        <v>1</v>
      </c>
      <c r="BD19" s="89" t="s">
        <v>1</v>
      </c>
      <c r="BE19" s="89" t="s">
        <v>1</v>
      </c>
      <c r="BF19" s="89" t="s">
        <v>1</v>
      </c>
      <c r="BG19" s="89" t="s">
        <v>1</v>
      </c>
    </row>
    <row r="20" spans="1:59" ht="16.5" customHeight="1" x14ac:dyDescent="0.2">
      <c r="A20" s="27"/>
      <c r="B20" s="42" t="s">
        <v>83</v>
      </c>
      <c r="C20" s="43"/>
      <c r="D20" s="116">
        <v>-454</v>
      </c>
      <c r="E20" s="114">
        <f t="shared" si="0"/>
        <v>-3171</v>
      </c>
      <c r="F20" s="116">
        <v>-847</v>
      </c>
      <c r="G20" s="116">
        <v>-969</v>
      </c>
      <c r="H20" s="116">
        <v>-491</v>
      </c>
      <c r="I20" s="84">
        <v>-864</v>
      </c>
      <c r="J20" s="82">
        <f t="shared" si="102"/>
        <v>-4216</v>
      </c>
      <c r="K20" s="84">
        <v>-3875</v>
      </c>
      <c r="L20" s="84">
        <v>1642</v>
      </c>
      <c r="M20" s="84">
        <v>-778</v>
      </c>
      <c r="N20" s="84">
        <v>-1205</v>
      </c>
      <c r="O20" s="82">
        <f t="shared" si="103"/>
        <v>2336</v>
      </c>
      <c r="P20" s="84">
        <v>-881</v>
      </c>
      <c r="Q20" s="84">
        <v>-1082</v>
      </c>
      <c r="R20" s="84">
        <v>4303</v>
      </c>
      <c r="S20" s="84">
        <v>-4</v>
      </c>
      <c r="T20" s="82">
        <f t="shared" si="104"/>
        <v>3595</v>
      </c>
      <c r="U20" s="84">
        <v>3570</v>
      </c>
      <c r="V20" s="84">
        <v>39</v>
      </c>
      <c r="W20" s="84">
        <v>-14</v>
      </c>
      <c r="X20" s="84" t="s">
        <v>1</v>
      </c>
      <c r="Y20" s="82">
        <f t="shared" si="105"/>
        <v>6044</v>
      </c>
      <c r="Z20" s="84">
        <f>6044-SUM(AA20:AC20)</f>
        <v>-17</v>
      </c>
      <c r="AA20" s="84">
        <v>-49</v>
      </c>
      <c r="AB20" s="84">
        <v>6491</v>
      </c>
      <c r="AC20" s="84">
        <v>-381</v>
      </c>
      <c r="AD20" s="82">
        <f t="shared" si="106"/>
        <v>931</v>
      </c>
      <c r="AE20" s="84">
        <f>931-SUM(AF20:AH20)</f>
        <v>1166</v>
      </c>
      <c r="AF20" s="84">
        <v>-309</v>
      </c>
      <c r="AG20" s="84">
        <v>125</v>
      </c>
      <c r="AH20" s="84">
        <v>-51</v>
      </c>
      <c r="AI20" s="82">
        <f t="shared" si="107"/>
        <v>1711</v>
      </c>
      <c r="AJ20" s="84">
        <f>1711-SUM(AK20:AM20)</f>
        <v>-233</v>
      </c>
      <c r="AK20" s="84">
        <v>174</v>
      </c>
      <c r="AL20" s="84">
        <v>537</v>
      </c>
      <c r="AM20" s="84">
        <v>1233</v>
      </c>
      <c r="AN20" s="82">
        <f t="shared" si="9"/>
        <v>4033</v>
      </c>
      <c r="AO20" s="84">
        <v>593</v>
      </c>
      <c r="AP20" s="84">
        <v>782</v>
      </c>
      <c r="AQ20" s="84">
        <v>877</v>
      </c>
      <c r="AR20" s="84">
        <f>1781</f>
        <v>1781</v>
      </c>
      <c r="AS20" s="82">
        <f t="shared" ref="AS20:AS25" si="108">SUM(AT20:AW20)</f>
        <v>-2689</v>
      </c>
      <c r="AT20" s="84">
        <v>-569</v>
      </c>
      <c r="AU20" s="84">
        <v>-3623</v>
      </c>
      <c r="AV20" s="84">
        <v>370</v>
      </c>
      <c r="AW20" s="84">
        <v>1133</v>
      </c>
      <c r="AX20" s="82">
        <f t="shared" ref="AX20:AX25" si="109">SUM(AY20:BB20)</f>
        <v>1710</v>
      </c>
      <c r="AY20" s="84">
        <v>3827</v>
      </c>
      <c r="AZ20" s="84">
        <v>-1952</v>
      </c>
      <c r="BA20" s="84">
        <v>3115</v>
      </c>
      <c r="BB20" s="84">
        <v>-3280</v>
      </c>
      <c r="BC20" s="82">
        <f t="shared" ref="BC20:BC25" si="110">SUM(BD20:BG20)</f>
        <v>-7394</v>
      </c>
      <c r="BD20" s="84">
        <v>-2033</v>
      </c>
      <c r="BE20" s="84">
        <v>-3592</v>
      </c>
      <c r="BF20" s="84">
        <v>-1813</v>
      </c>
      <c r="BG20" s="84">
        <v>44</v>
      </c>
    </row>
    <row r="21" spans="1:59" s="38" customFormat="1" ht="16.5" customHeight="1" x14ac:dyDescent="0.25">
      <c r="A21" s="34"/>
      <c r="B21" s="71" t="s">
        <v>85</v>
      </c>
      <c r="C21" s="72"/>
      <c r="D21" s="85">
        <f>SUM(D11:D12)</f>
        <v>45506</v>
      </c>
      <c r="E21" s="95">
        <f t="shared" ref="E21:E24" si="111">SUM(F21:I21)</f>
        <v>199096</v>
      </c>
      <c r="F21" s="85">
        <f>SUM(F11:F12)</f>
        <v>65223</v>
      </c>
      <c r="G21" s="85">
        <f>SUM(G11:G12)</f>
        <v>57117</v>
      </c>
      <c r="H21" s="85">
        <f>SUM(H11:H12)</f>
        <v>41545</v>
      </c>
      <c r="I21" s="85">
        <f>SUM(I11:I12)</f>
        <v>35211</v>
      </c>
      <c r="J21" s="95">
        <f t="shared" si="102"/>
        <v>170383</v>
      </c>
      <c r="K21" s="85">
        <f t="shared" ref="K21:M21" si="112">+K11+K12</f>
        <v>50462</v>
      </c>
      <c r="L21" s="85">
        <f t="shared" si="112"/>
        <v>51400</v>
      </c>
      <c r="M21" s="85">
        <f t="shared" si="112"/>
        <v>34396</v>
      </c>
      <c r="N21" s="85">
        <f>+N11+N12</f>
        <v>34125</v>
      </c>
      <c r="O21" s="95">
        <f t="shared" si="103"/>
        <v>92403</v>
      </c>
      <c r="P21" s="85">
        <f t="shared" ref="P21:R21" si="113">+P11+P12</f>
        <v>27366</v>
      </c>
      <c r="Q21" s="85">
        <f t="shared" si="113"/>
        <v>26253</v>
      </c>
      <c r="R21" s="85">
        <f t="shared" si="113"/>
        <v>21614</v>
      </c>
      <c r="S21" s="85">
        <f>+S11+S12</f>
        <v>17170</v>
      </c>
      <c r="T21" s="95">
        <f t="shared" si="104"/>
        <v>53212</v>
      </c>
      <c r="U21" s="85">
        <f t="shared" ref="U21:W21" si="114">+U11+U12</f>
        <v>24993</v>
      </c>
      <c r="V21" s="85">
        <f t="shared" si="114"/>
        <v>13683</v>
      </c>
      <c r="W21" s="85">
        <f t="shared" si="114"/>
        <v>7025</v>
      </c>
      <c r="X21" s="85">
        <f>+X11+X12</f>
        <v>7511</v>
      </c>
      <c r="Y21" s="95">
        <f t="shared" si="105"/>
        <v>13009</v>
      </c>
      <c r="Z21" s="85">
        <f t="shared" ref="Z21:AB21" si="115">+Z11+Z12</f>
        <v>3506</v>
      </c>
      <c r="AA21" s="85">
        <f t="shared" si="115"/>
        <v>7223</v>
      </c>
      <c r="AB21" s="85">
        <f t="shared" si="115"/>
        <v>1303</v>
      </c>
      <c r="AC21" s="85">
        <f>+AC11+AC12</f>
        <v>977</v>
      </c>
      <c r="AD21" s="95">
        <f t="shared" si="106"/>
        <v>37626</v>
      </c>
      <c r="AE21" s="85">
        <f t="shared" ref="AE21:AG21" si="116">+AE11+AE12</f>
        <v>9580</v>
      </c>
      <c r="AF21" s="85">
        <f t="shared" si="116"/>
        <v>12046</v>
      </c>
      <c r="AG21" s="85">
        <f t="shared" si="116"/>
        <v>8836</v>
      </c>
      <c r="AH21" s="85">
        <f>+AH11+AH12</f>
        <v>7164</v>
      </c>
      <c r="AI21" s="95">
        <f t="shared" si="107"/>
        <v>45978</v>
      </c>
      <c r="AJ21" s="85">
        <f t="shared" ref="AJ21:AL21" si="117">+AJ11+AJ12</f>
        <v>8723</v>
      </c>
      <c r="AK21" s="85">
        <f t="shared" si="117"/>
        <v>11509</v>
      </c>
      <c r="AL21" s="85">
        <f t="shared" si="117"/>
        <v>9539</v>
      </c>
      <c r="AM21" s="85">
        <f>+AM11+AM12</f>
        <v>16207</v>
      </c>
      <c r="AN21" s="95">
        <f t="shared" si="9"/>
        <v>74676</v>
      </c>
      <c r="AO21" s="85">
        <f t="shared" ref="AO21:AQ21" si="118">+AO11+AO12</f>
        <v>14395</v>
      </c>
      <c r="AP21" s="85">
        <f t="shared" si="118"/>
        <v>16693</v>
      </c>
      <c r="AQ21" s="85">
        <f t="shared" si="118"/>
        <v>19697</v>
      </c>
      <c r="AR21" s="85">
        <f>+AR11+AR12</f>
        <v>23891</v>
      </c>
      <c r="AS21" s="95">
        <f t="shared" si="108"/>
        <v>56161</v>
      </c>
      <c r="AT21" s="85">
        <f t="shared" ref="AT21:AV21" si="119">+AT11+AT12</f>
        <v>16407</v>
      </c>
      <c r="AU21" s="85">
        <f t="shared" si="119"/>
        <v>14675</v>
      </c>
      <c r="AV21" s="85">
        <f t="shared" si="119"/>
        <v>12163</v>
      </c>
      <c r="AW21" s="85">
        <f>+AW11+AW12</f>
        <v>12916</v>
      </c>
      <c r="AX21" s="95">
        <f t="shared" si="109"/>
        <v>21635</v>
      </c>
      <c r="AY21" s="85">
        <f t="shared" ref="AY21:BA21" si="120">+AY11+AY12</f>
        <v>16461</v>
      </c>
      <c r="AZ21" s="85">
        <f t="shared" si="120"/>
        <v>21553</v>
      </c>
      <c r="BA21" s="85">
        <f t="shared" si="120"/>
        <v>-17981</v>
      </c>
      <c r="BB21" s="85">
        <f>+BB11+BB12</f>
        <v>1602</v>
      </c>
      <c r="BC21" s="95">
        <f t="shared" si="110"/>
        <v>89150</v>
      </c>
      <c r="BD21" s="85">
        <f>+BD11+BD12</f>
        <v>-4712</v>
      </c>
      <c r="BE21" s="85">
        <f>+BE11+BE12</f>
        <v>33202</v>
      </c>
      <c r="BF21" s="85">
        <f>+BF11+BF12</f>
        <v>29039</v>
      </c>
      <c r="BG21" s="85">
        <f>+BG11+BG12</f>
        <v>31621</v>
      </c>
    </row>
    <row r="22" spans="1:59" s="61" customFormat="1" ht="16.5" customHeight="1" x14ac:dyDescent="0.2">
      <c r="A22" s="34"/>
      <c r="B22" s="35" t="s">
        <v>86</v>
      </c>
      <c r="C22" s="36"/>
      <c r="D22" s="118">
        <f>SUM(D23:D24)</f>
        <v>-1907</v>
      </c>
      <c r="E22" s="117">
        <f t="shared" si="111"/>
        <v>2423</v>
      </c>
      <c r="F22" s="118">
        <f>SUM(F23:F24)</f>
        <v>798</v>
      </c>
      <c r="G22" s="118">
        <f>SUM(G23:G24)</f>
        <v>-326</v>
      </c>
      <c r="H22" s="118">
        <f t="shared" ref="H22" si="121">SUM(H23:H24)</f>
        <v>829</v>
      </c>
      <c r="I22" s="86">
        <f t="shared" ref="I22" si="122">SUM(I23:I24)</f>
        <v>1122</v>
      </c>
      <c r="J22" s="87">
        <f t="shared" si="102"/>
        <v>-2078</v>
      </c>
      <c r="K22" s="86">
        <f t="shared" ref="K22:S22" si="123">SUM(K23:K24)</f>
        <v>2163</v>
      </c>
      <c r="L22" s="86">
        <f t="shared" si="123"/>
        <v>-1103</v>
      </c>
      <c r="M22" s="86">
        <f t="shared" si="123"/>
        <v>-1603</v>
      </c>
      <c r="N22" s="86">
        <f t="shared" si="123"/>
        <v>-1535</v>
      </c>
      <c r="O22" s="87">
        <f t="shared" si="103"/>
        <v>-2940</v>
      </c>
      <c r="P22" s="86">
        <f t="shared" si="123"/>
        <v>-529</v>
      </c>
      <c r="Q22" s="86">
        <f t="shared" si="123"/>
        <v>-224</v>
      </c>
      <c r="R22" s="86">
        <f t="shared" si="123"/>
        <v>-1225</v>
      </c>
      <c r="S22" s="86">
        <f t="shared" si="123"/>
        <v>-962</v>
      </c>
      <c r="T22" s="87">
        <f t="shared" si="104"/>
        <v>-8184</v>
      </c>
      <c r="U22" s="86">
        <f>SUM(U23:U24)</f>
        <v>-649</v>
      </c>
      <c r="V22" s="86">
        <f>SUM(V23:V24)</f>
        <v>-1837</v>
      </c>
      <c r="W22" s="86">
        <f>SUM(W23:W24)</f>
        <v>-2507</v>
      </c>
      <c r="X22" s="86">
        <f>SUM(X23:X24)</f>
        <v>-3191</v>
      </c>
      <c r="Y22" s="87">
        <f t="shared" si="105"/>
        <v>-3661</v>
      </c>
      <c r="Z22" s="86">
        <f>SUM(Z23:Z24)</f>
        <v>-48</v>
      </c>
      <c r="AA22" s="86">
        <f>SUM(AA23:AA24)</f>
        <v>-2327</v>
      </c>
      <c r="AB22" s="86">
        <f>SUM(AB23:AB24)</f>
        <v>-1539</v>
      </c>
      <c r="AC22" s="86">
        <f>SUM(AC23:AC24)</f>
        <v>253</v>
      </c>
      <c r="AD22" s="87">
        <f t="shared" si="106"/>
        <v>-4594</v>
      </c>
      <c r="AE22" s="86">
        <v>-742</v>
      </c>
      <c r="AF22" s="86">
        <v>-1976</v>
      </c>
      <c r="AG22" s="86">
        <v>-2073</v>
      </c>
      <c r="AH22" s="86">
        <v>197</v>
      </c>
      <c r="AI22" s="87">
        <f t="shared" si="107"/>
        <v>3072</v>
      </c>
      <c r="AJ22" s="86">
        <v>-198</v>
      </c>
      <c r="AK22" s="86">
        <v>1451</v>
      </c>
      <c r="AL22" s="86">
        <v>1573</v>
      </c>
      <c r="AM22" s="86">
        <v>246</v>
      </c>
      <c r="AN22" s="87">
        <f t="shared" si="9"/>
        <v>-3702</v>
      </c>
      <c r="AO22" s="86">
        <f t="shared" ref="AO22" si="124">SUM(AO23:AO24)</f>
        <v>2080</v>
      </c>
      <c r="AP22" s="86">
        <f t="shared" ref="AP22" si="125">SUM(AP23:AP24)</f>
        <v>39</v>
      </c>
      <c r="AQ22" s="86">
        <f t="shared" ref="AQ22" si="126">SUM(AQ23:AQ24)</f>
        <v>-2160</v>
      </c>
      <c r="AR22" s="86">
        <f>SUM(AR23:AR24)</f>
        <v>-3661</v>
      </c>
      <c r="AS22" s="87">
        <f t="shared" si="108"/>
        <v>-10052</v>
      </c>
      <c r="AT22" s="86">
        <f t="shared" ref="AT22" si="127">SUM(AT23:AT24)</f>
        <v>-2697</v>
      </c>
      <c r="AU22" s="86">
        <f t="shared" ref="AU22" si="128">SUM(AU23:AU24)</f>
        <v>-1045</v>
      </c>
      <c r="AV22" s="86">
        <f t="shared" ref="AV22" si="129">SUM(AV23:AV24)</f>
        <v>-3426</v>
      </c>
      <c r="AW22" s="86">
        <f>SUM(AW23:AW24)</f>
        <v>-2884</v>
      </c>
      <c r="AX22" s="87">
        <f t="shared" si="109"/>
        <v>-31195</v>
      </c>
      <c r="AY22" s="86">
        <f t="shared" ref="AY22" si="130">SUM(AY23:AY24)</f>
        <v>-6585</v>
      </c>
      <c r="AZ22" s="86">
        <f t="shared" ref="AZ22" si="131">SUM(AZ23:AZ24)</f>
        <v>-8944</v>
      </c>
      <c r="BA22" s="86">
        <f t="shared" ref="BA22" si="132">SUM(BA23:BA24)</f>
        <v>-8289</v>
      </c>
      <c r="BB22" s="86">
        <f>SUM(BB23:BB24)</f>
        <v>-7377</v>
      </c>
      <c r="BC22" s="87">
        <f t="shared" si="110"/>
        <v>-20099</v>
      </c>
      <c r="BD22" s="86">
        <f t="shared" ref="BD22:BF22" si="133">SUM(BD23:BD24)</f>
        <v>-5844</v>
      </c>
      <c r="BE22" s="86">
        <f t="shared" si="133"/>
        <v>-4725</v>
      </c>
      <c r="BF22" s="86">
        <f t="shared" si="133"/>
        <v>-5123</v>
      </c>
      <c r="BG22" s="86">
        <f>SUM(BG23:BG24)</f>
        <v>-4407</v>
      </c>
    </row>
    <row r="23" spans="1:59" ht="16.5" customHeight="1" x14ac:dyDescent="0.2">
      <c r="A23" s="27"/>
      <c r="B23" s="39" t="s">
        <v>87</v>
      </c>
      <c r="C23" s="40"/>
      <c r="D23" s="115">
        <v>-5110</v>
      </c>
      <c r="E23" s="114">
        <f t="shared" si="111"/>
        <v>-14083</v>
      </c>
      <c r="F23" s="115">
        <v>-3459</v>
      </c>
      <c r="G23" s="115">
        <v>-3410</v>
      </c>
      <c r="H23" s="115">
        <v>-3530</v>
      </c>
      <c r="I23" s="81">
        <v>-3684</v>
      </c>
      <c r="J23" s="82">
        <f t="shared" si="102"/>
        <v>-16563</v>
      </c>
      <c r="K23" s="83">
        <v>-4410</v>
      </c>
      <c r="L23" s="83">
        <v>-4919</v>
      </c>
      <c r="M23" s="83">
        <v>-4545</v>
      </c>
      <c r="N23" s="83">
        <v>-2689</v>
      </c>
      <c r="O23" s="82">
        <f t="shared" si="103"/>
        <v>-11429</v>
      </c>
      <c r="P23" s="83">
        <v>-2767</v>
      </c>
      <c r="Q23" s="83">
        <v>-2735</v>
      </c>
      <c r="R23" s="83">
        <v>-2930</v>
      </c>
      <c r="S23" s="83">
        <v>-2997</v>
      </c>
      <c r="T23" s="82">
        <f t="shared" si="104"/>
        <v>-13815</v>
      </c>
      <c r="U23" s="83">
        <v>-2805</v>
      </c>
      <c r="V23" s="83">
        <v>-2981</v>
      </c>
      <c r="W23" s="83">
        <v>-3375</v>
      </c>
      <c r="X23" s="83">
        <v>-4654</v>
      </c>
      <c r="Y23" s="82">
        <f t="shared" si="105"/>
        <v>-15365</v>
      </c>
      <c r="Z23" s="83">
        <f>-15365-SUM(AA23:AC23)</f>
        <v>-4716</v>
      </c>
      <c r="AA23" s="83">
        <v>-4416</v>
      </c>
      <c r="AB23" s="83">
        <v>-3361</v>
      </c>
      <c r="AC23" s="83">
        <v>-2872</v>
      </c>
      <c r="AD23" s="82">
        <f t="shared" si="106"/>
        <v>-16009</v>
      </c>
      <c r="AE23" s="83">
        <v>-3460</v>
      </c>
      <c r="AF23" s="83">
        <v>-4487</v>
      </c>
      <c r="AG23" s="83">
        <v>-4514</v>
      </c>
      <c r="AH23" s="83">
        <v>-3548</v>
      </c>
      <c r="AI23" s="82">
        <f t="shared" si="107"/>
        <v>-12672</v>
      </c>
      <c r="AJ23" s="83">
        <v>-3851</v>
      </c>
      <c r="AK23" s="83">
        <v>-2406</v>
      </c>
      <c r="AL23" s="83">
        <v>-2517</v>
      </c>
      <c r="AM23" s="83">
        <v>-3898</v>
      </c>
      <c r="AN23" s="82">
        <f t="shared" si="9"/>
        <v>-23697</v>
      </c>
      <c r="AO23" s="83">
        <v>-4719</v>
      </c>
      <c r="AP23" s="83">
        <v>-5160</v>
      </c>
      <c r="AQ23" s="83">
        <v>-6776</v>
      </c>
      <c r="AR23" s="83">
        <v>-7042</v>
      </c>
      <c r="AS23" s="82">
        <f t="shared" si="108"/>
        <v>-38023</v>
      </c>
      <c r="AT23" s="83">
        <v>-7196</v>
      </c>
      <c r="AU23" s="83">
        <v>-8277</v>
      </c>
      <c r="AV23" s="83">
        <v>-10529</v>
      </c>
      <c r="AW23" s="83">
        <v>-12021</v>
      </c>
      <c r="AX23" s="82">
        <f t="shared" si="109"/>
        <v>-70401</v>
      </c>
      <c r="AY23" s="83">
        <v>-14684</v>
      </c>
      <c r="AZ23" s="83">
        <v>-18097</v>
      </c>
      <c r="BA23" s="83">
        <v>-19263</v>
      </c>
      <c r="BB23" s="83">
        <v>-18357</v>
      </c>
      <c r="BC23" s="82">
        <f t="shared" si="110"/>
        <v>-56199</v>
      </c>
      <c r="BD23" s="83">
        <v>-15232</v>
      </c>
      <c r="BE23" s="83">
        <v>-15769</v>
      </c>
      <c r="BF23" s="83">
        <v>-15006</v>
      </c>
      <c r="BG23" s="83">
        <v>-10192</v>
      </c>
    </row>
    <row r="24" spans="1:59" ht="16.5" customHeight="1" x14ac:dyDescent="0.2">
      <c r="A24" s="27"/>
      <c r="B24" s="42" t="s">
        <v>88</v>
      </c>
      <c r="C24" s="43"/>
      <c r="D24" s="116">
        <v>3203</v>
      </c>
      <c r="E24" s="114">
        <f t="shared" si="111"/>
        <v>16506</v>
      </c>
      <c r="F24" s="116">
        <v>4257</v>
      </c>
      <c r="G24" s="116">
        <v>3084</v>
      </c>
      <c r="H24" s="116">
        <v>4359</v>
      </c>
      <c r="I24" s="84">
        <v>4806</v>
      </c>
      <c r="J24" s="82">
        <f t="shared" si="102"/>
        <v>14485</v>
      </c>
      <c r="K24" s="84">
        <v>6573</v>
      </c>
      <c r="L24" s="84">
        <v>3816</v>
      </c>
      <c r="M24" s="84">
        <v>2942</v>
      </c>
      <c r="N24" s="84">
        <v>1154</v>
      </c>
      <c r="O24" s="82">
        <f t="shared" si="103"/>
        <v>8489</v>
      </c>
      <c r="P24" s="84">
        <v>2238</v>
      </c>
      <c r="Q24" s="84">
        <v>2511</v>
      </c>
      <c r="R24" s="84">
        <v>1705</v>
      </c>
      <c r="S24" s="84">
        <v>2035</v>
      </c>
      <c r="T24" s="82">
        <f t="shared" si="104"/>
        <v>5631</v>
      </c>
      <c r="U24" s="84">
        <v>2156</v>
      </c>
      <c r="V24" s="84">
        <v>1144</v>
      </c>
      <c r="W24" s="84">
        <v>868</v>
      </c>
      <c r="X24" s="84">
        <v>1463</v>
      </c>
      <c r="Y24" s="82">
        <f t="shared" si="105"/>
        <v>11704</v>
      </c>
      <c r="Z24" s="84">
        <f>11704-SUM(AA24:AC24)</f>
        <v>4668</v>
      </c>
      <c r="AA24" s="84">
        <v>2089</v>
      </c>
      <c r="AB24" s="84">
        <v>1822</v>
      </c>
      <c r="AC24" s="84">
        <v>3125</v>
      </c>
      <c r="AD24" s="82">
        <f t="shared" si="106"/>
        <v>11415</v>
      </c>
      <c r="AE24" s="84">
        <v>2718</v>
      </c>
      <c r="AF24" s="84">
        <v>2511</v>
      </c>
      <c r="AG24" s="84">
        <v>2441</v>
      </c>
      <c r="AH24" s="84">
        <v>3745</v>
      </c>
      <c r="AI24" s="82">
        <f t="shared" si="107"/>
        <v>15744</v>
      </c>
      <c r="AJ24" s="84">
        <v>3653</v>
      </c>
      <c r="AK24" s="84">
        <v>3857</v>
      </c>
      <c r="AL24" s="84">
        <v>4090</v>
      </c>
      <c r="AM24" s="84">
        <v>4144</v>
      </c>
      <c r="AN24" s="82">
        <f t="shared" si="9"/>
        <v>19995</v>
      </c>
      <c r="AO24" s="84">
        <v>6799</v>
      </c>
      <c r="AP24" s="84">
        <v>5199</v>
      </c>
      <c r="AQ24" s="84">
        <v>4616</v>
      </c>
      <c r="AR24" s="84">
        <v>3381</v>
      </c>
      <c r="AS24" s="82">
        <f t="shared" si="108"/>
        <v>27971</v>
      </c>
      <c r="AT24" s="84">
        <v>4499</v>
      </c>
      <c r="AU24" s="84">
        <v>7232</v>
      </c>
      <c r="AV24" s="84">
        <v>7103</v>
      </c>
      <c r="AW24" s="84">
        <v>9137</v>
      </c>
      <c r="AX24" s="82">
        <f t="shared" si="109"/>
        <v>39206</v>
      </c>
      <c r="AY24" s="84">
        <v>8099</v>
      </c>
      <c r="AZ24" s="84">
        <v>9153</v>
      </c>
      <c r="BA24" s="84">
        <v>10974</v>
      </c>
      <c r="BB24" s="84">
        <v>10980</v>
      </c>
      <c r="BC24" s="82">
        <f t="shared" si="110"/>
        <v>36100</v>
      </c>
      <c r="BD24" s="84">
        <v>9388</v>
      </c>
      <c r="BE24" s="84">
        <v>11044</v>
      </c>
      <c r="BF24" s="84">
        <v>9883</v>
      </c>
      <c r="BG24" s="84">
        <v>5785</v>
      </c>
    </row>
    <row r="25" spans="1:59" s="38" customFormat="1" ht="16.5" customHeight="1" x14ac:dyDescent="0.25">
      <c r="A25" s="34"/>
      <c r="B25" s="71" t="s">
        <v>89</v>
      </c>
      <c r="C25" s="72"/>
      <c r="D25" s="85">
        <f>+D21+D22</f>
        <v>43599</v>
      </c>
      <c r="E25" s="95">
        <f t="shared" ref="E25" si="134">SUM(F25:I25)</f>
        <v>201519</v>
      </c>
      <c r="F25" s="85">
        <f>+F21+F22</f>
        <v>66021</v>
      </c>
      <c r="G25" s="85">
        <f>+G21+G22</f>
        <v>56791</v>
      </c>
      <c r="H25" s="85">
        <f t="shared" ref="H25" si="135">+H21+H22</f>
        <v>42374</v>
      </c>
      <c r="I25" s="85">
        <f t="shared" ref="I25:L25" si="136">+I21+I22</f>
        <v>36333</v>
      </c>
      <c r="J25" s="95">
        <f t="shared" si="102"/>
        <v>168305</v>
      </c>
      <c r="K25" s="85">
        <f t="shared" si="136"/>
        <v>52625</v>
      </c>
      <c r="L25" s="85">
        <f t="shared" si="136"/>
        <v>50297</v>
      </c>
      <c r="M25" s="85">
        <f>+M21+M22</f>
        <v>32793</v>
      </c>
      <c r="N25" s="85">
        <f>+N21+N22</f>
        <v>32590</v>
      </c>
      <c r="O25" s="95">
        <f t="shared" si="103"/>
        <v>89463</v>
      </c>
      <c r="P25" s="85">
        <f t="shared" ref="P25:Q25" si="137">+P21+P22</f>
        <v>26837</v>
      </c>
      <c r="Q25" s="85">
        <f t="shared" si="137"/>
        <v>26029</v>
      </c>
      <c r="R25" s="85">
        <f>+R21+R22</f>
        <v>20389</v>
      </c>
      <c r="S25" s="85">
        <f>+S21+S22</f>
        <v>16208</v>
      </c>
      <c r="T25" s="95">
        <f t="shared" si="104"/>
        <v>45028</v>
      </c>
      <c r="U25" s="85">
        <f t="shared" ref="U25:V25" si="138">+U21+U22</f>
        <v>24344</v>
      </c>
      <c r="V25" s="85">
        <f t="shared" si="138"/>
        <v>11846</v>
      </c>
      <c r="W25" s="85">
        <f>+W21+W22</f>
        <v>4518</v>
      </c>
      <c r="X25" s="85">
        <f>+X21+X22</f>
        <v>4320</v>
      </c>
      <c r="Y25" s="95">
        <f t="shared" si="105"/>
        <v>9348</v>
      </c>
      <c r="Z25" s="85">
        <f t="shared" ref="Z25:AA25" si="139">+Z21+Z22</f>
        <v>3458</v>
      </c>
      <c r="AA25" s="85">
        <f t="shared" si="139"/>
        <v>4896</v>
      </c>
      <c r="AB25" s="85">
        <f>+AB21+AB22</f>
        <v>-236</v>
      </c>
      <c r="AC25" s="85">
        <f>+AC21+AC22</f>
        <v>1230</v>
      </c>
      <c r="AD25" s="95">
        <f t="shared" si="106"/>
        <v>33032</v>
      </c>
      <c r="AE25" s="85">
        <f t="shared" ref="AE25:AF25" si="140">+AE21+AE22</f>
        <v>8838</v>
      </c>
      <c r="AF25" s="85">
        <f t="shared" si="140"/>
        <v>10070</v>
      </c>
      <c r="AG25" s="85">
        <f>+AG21+AG22</f>
        <v>6763</v>
      </c>
      <c r="AH25" s="85">
        <f>+AH21+AH22</f>
        <v>7361</v>
      </c>
      <c r="AI25" s="95">
        <f t="shared" si="107"/>
        <v>49050</v>
      </c>
      <c r="AJ25" s="85">
        <f t="shared" ref="AJ25:AK25" si="141">+AJ21+AJ22</f>
        <v>8525</v>
      </c>
      <c r="AK25" s="85">
        <f t="shared" si="141"/>
        <v>12960</v>
      </c>
      <c r="AL25" s="85">
        <f>+AL21+AL22</f>
        <v>11112</v>
      </c>
      <c r="AM25" s="85">
        <f>+AM21+AM22</f>
        <v>16453</v>
      </c>
      <c r="AN25" s="95">
        <f t="shared" si="9"/>
        <v>70974</v>
      </c>
      <c r="AO25" s="85">
        <f t="shared" ref="AO25:AP25" si="142">+AO21+AO22</f>
        <v>16475</v>
      </c>
      <c r="AP25" s="85">
        <f t="shared" si="142"/>
        <v>16732</v>
      </c>
      <c r="AQ25" s="85">
        <f>+AQ21+AQ22</f>
        <v>17537</v>
      </c>
      <c r="AR25" s="85">
        <f>+AR21+AR22</f>
        <v>20230</v>
      </c>
      <c r="AS25" s="95">
        <f t="shared" si="108"/>
        <v>46109</v>
      </c>
      <c r="AT25" s="85">
        <f t="shared" ref="AT25:AU25" si="143">+AT21+AT22</f>
        <v>13710</v>
      </c>
      <c r="AU25" s="85">
        <f t="shared" si="143"/>
        <v>13630</v>
      </c>
      <c r="AV25" s="85">
        <f>+AV21+AV22</f>
        <v>8737</v>
      </c>
      <c r="AW25" s="85">
        <f>+AW21+AW22</f>
        <v>10032</v>
      </c>
      <c r="AX25" s="95">
        <f t="shared" si="109"/>
        <v>-9560</v>
      </c>
      <c r="AY25" s="85">
        <f t="shared" ref="AY25:AZ25" si="144">+AY21+AY22</f>
        <v>9876</v>
      </c>
      <c r="AZ25" s="85">
        <f t="shared" si="144"/>
        <v>12609</v>
      </c>
      <c r="BA25" s="85">
        <f>+BA21+BA22</f>
        <v>-26270</v>
      </c>
      <c r="BB25" s="85">
        <f>+BB21+BB22</f>
        <v>-5775</v>
      </c>
      <c r="BC25" s="95">
        <f t="shared" si="110"/>
        <v>69051</v>
      </c>
      <c r="BD25" s="85">
        <f t="shared" ref="BD25:BF25" si="145">+BD21+BD22</f>
        <v>-10556</v>
      </c>
      <c r="BE25" s="85">
        <f t="shared" si="145"/>
        <v>28477</v>
      </c>
      <c r="BF25" s="85">
        <f t="shared" si="145"/>
        <v>23916</v>
      </c>
      <c r="BG25" s="85">
        <f>+BG21+BG22</f>
        <v>27214</v>
      </c>
    </row>
    <row r="26" spans="1:59" ht="16.5" customHeight="1" x14ac:dyDescent="0.2">
      <c r="A26" s="34"/>
      <c r="B26" s="68" t="s">
        <v>97</v>
      </c>
      <c r="C26" s="69"/>
      <c r="D26" s="79" t="s">
        <v>1</v>
      </c>
      <c r="E26" s="95" t="s">
        <v>1</v>
      </c>
      <c r="F26" s="79" t="s">
        <v>1</v>
      </c>
      <c r="G26" s="79" t="s">
        <v>1</v>
      </c>
      <c r="H26" s="79" t="s">
        <v>1</v>
      </c>
      <c r="I26" s="79" t="s">
        <v>1</v>
      </c>
      <c r="J26" s="95" t="s">
        <v>1</v>
      </c>
      <c r="K26" s="79" t="s">
        <v>1</v>
      </c>
      <c r="L26" s="79" t="s">
        <v>1</v>
      </c>
      <c r="M26" s="79" t="s">
        <v>1</v>
      </c>
      <c r="N26" s="79" t="s">
        <v>1</v>
      </c>
      <c r="O26" s="95" t="s">
        <v>1</v>
      </c>
      <c r="P26" s="79" t="s">
        <v>1</v>
      </c>
      <c r="Q26" s="79" t="s">
        <v>1</v>
      </c>
      <c r="R26" s="79" t="s">
        <v>1</v>
      </c>
      <c r="S26" s="79" t="s">
        <v>1</v>
      </c>
      <c r="T26" s="95" t="s">
        <v>1</v>
      </c>
      <c r="U26" s="79" t="s">
        <v>1</v>
      </c>
      <c r="V26" s="79" t="s">
        <v>1</v>
      </c>
      <c r="W26" s="79" t="s">
        <v>1</v>
      </c>
      <c r="X26" s="79" t="s">
        <v>1</v>
      </c>
      <c r="Y26" s="95" t="s">
        <v>1</v>
      </c>
      <c r="Z26" s="79" t="s">
        <v>1</v>
      </c>
      <c r="AA26" s="79" t="s">
        <v>1</v>
      </c>
      <c r="AB26" s="79" t="s">
        <v>1</v>
      </c>
      <c r="AC26" s="79" t="s">
        <v>1</v>
      </c>
      <c r="AD26" s="95" t="s">
        <v>1</v>
      </c>
      <c r="AE26" s="79" t="s">
        <v>1</v>
      </c>
      <c r="AF26" s="79" t="s">
        <v>1</v>
      </c>
      <c r="AG26" s="79" t="s">
        <v>1</v>
      </c>
      <c r="AH26" s="79" t="s">
        <v>1</v>
      </c>
      <c r="AI26" s="95" t="s">
        <v>1</v>
      </c>
      <c r="AJ26" s="79" t="s">
        <v>1</v>
      </c>
      <c r="AK26" s="79" t="s">
        <v>1</v>
      </c>
      <c r="AL26" s="79" t="s">
        <v>1</v>
      </c>
      <c r="AM26" s="79" t="s">
        <v>1</v>
      </c>
      <c r="AN26" s="95" t="s">
        <v>1</v>
      </c>
      <c r="AO26" s="79" t="s">
        <v>1</v>
      </c>
      <c r="AP26" s="79" t="s">
        <v>1</v>
      </c>
      <c r="AQ26" s="79" t="s">
        <v>1</v>
      </c>
      <c r="AR26" s="79" t="s">
        <v>1</v>
      </c>
      <c r="AS26" s="95" t="s">
        <v>1</v>
      </c>
      <c r="AT26" s="79" t="s">
        <v>1</v>
      </c>
      <c r="AU26" s="79" t="s">
        <v>1</v>
      </c>
      <c r="AV26" s="79" t="s">
        <v>1</v>
      </c>
      <c r="AW26" s="79" t="s">
        <v>1</v>
      </c>
      <c r="AX26" s="95" t="s">
        <v>1</v>
      </c>
      <c r="AY26" s="79" t="s">
        <v>1</v>
      </c>
      <c r="AZ26" s="79" t="s">
        <v>1</v>
      </c>
      <c r="BA26" s="79" t="s">
        <v>1</v>
      </c>
      <c r="BB26" s="79" t="s">
        <v>1</v>
      </c>
      <c r="BC26" s="95" t="s">
        <v>1</v>
      </c>
      <c r="BD26" s="79" t="s">
        <v>1</v>
      </c>
      <c r="BE26" s="79" t="s">
        <v>1</v>
      </c>
      <c r="BF26" s="79" t="s">
        <v>1</v>
      </c>
      <c r="BG26" s="79" t="s">
        <v>1</v>
      </c>
    </row>
    <row r="27" spans="1:59" s="61" customFormat="1" ht="16.5" customHeight="1" x14ac:dyDescent="0.2">
      <c r="A27" s="34"/>
      <c r="B27" s="45" t="s">
        <v>98</v>
      </c>
      <c r="C27" s="46"/>
      <c r="D27" s="119" t="s">
        <v>1</v>
      </c>
      <c r="E27" s="117" t="s">
        <v>1</v>
      </c>
      <c r="F27" s="119" t="s">
        <v>1</v>
      </c>
      <c r="G27" s="119" t="s">
        <v>1</v>
      </c>
      <c r="H27" s="119" t="s">
        <v>1</v>
      </c>
      <c r="I27" s="88" t="s">
        <v>1</v>
      </c>
      <c r="J27" s="87" t="s">
        <v>1</v>
      </c>
      <c r="K27" s="89" t="s">
        <v>1</v>
      </c>
      <c r="L27" s="89" t="s">
        <v>1</v>
      </c>
      <c r="M27" s="89" t="s">
        <v>1</v>
      </c>
      <c r="N27" s="89" t="s">
        <v>1</v>
      </c>
      <c r="O27" s="87" t="s">
        <v>1</v>
      </c>
      <c r="P27" s="89" t="s">
        <v>1</v>
      </c>
      <c r="Q27" s="89" t="s">
        <v>1</v>
      </c>
      <c r="R27" s="89" t="s">
        <v>1</v>
      </c>
      <c r="S27" s="89" t="s">
        <v>1</v>
      </c>
      <c r="T27" s="87" t="s">
        <v>1</v>
      </c>
      <c r="U27" s="89" t="s">
        <v>1</v>
      </c>
      <c r="V27" s="89" t="s">
        <v>1</v>
      </c>
      <c r="W27" s="89" t="s">
        <v>1</v>
      </c>
      <c r="X27" s="89" t="s">
        <v>1</v>
      </c>
      <c r="Y27" s="87" t="s">
        <v>1</v>
      </c>
      <c r="Z27" s="89" t="s">
        <v>1</v>
      </c>
      <c r="AA27" s="89" t="s">
        <v>1</v>
      </c>
      <c r="AB27" s="89" t="s">
        <v>1</v>
      </c>
      <c r="AC27" s="89" t="s">
        <v>1</v>
      </c>
      <c r="AD27" s="87" t="s">
        <v>1</v>
      </c>
      <c r="AE27" s="89" t="s">
        <v>1</v>
      </c>
      <c r="AF27" s="89" t="s">
        <v>1</v>
      </c>
      <c r="AG27" s="89" t="s">
        <v>1</v>
      </c>
      <c r="AH27" s="89" t="s">
        <v>1</v>
      </c>
      <c r="AI27" s="87" t="s">
        <v>1</v>
      </c>
      <c r="AJ27" s="89" t="s">
        <v>1</v>
      </c>
      <c r="AK27" s="89" t="s">
        <v>1</v>
      </c>
      <c r="AL27" s="89" t="s">
        <v>1</v>
      </c>
      <c r="AM27" s="89" t="s">
        <v>1</v>
      </c>
      <c r="AN27" s="87" t="s">
        <v>1</v>
      </c>
      <c r="AO27" s="89" t="s">
        <v>1</v>
      </c>
      <c r="AP27" s="89" t="s">
        <v>1</v>
      </c>
      <c r="AQ27" s="89" t="s">
        <v>1</v>
      </c>
      <c r="AR27" s="89" t="s">
        <v>1</v>
      </c>
      <c r="AS27" s="87" t="s">
        <v>1</v>
      </c>
      <c r="AT27" s="89" t="s">
        <v>1</v>
      </c>
      <c r="AU27" s="89" t="s">
        <v>1</v>
      </c>
      <c r="AV27" s="89" t="s">
        <v>1</v>
      </c>
      <c r="AW27" s="89" t="s">
        <v>1</v>
      </c>
      <c r="AX27" s="87" t="s">
        <v>1</v>
      </c>
      <c r="AY27" s="89" t="s">
        <v>1</v>
      </c>
      <c r="AZ27" s="89" t="s">
        <v>1</v>
      </c>
      <c r="BA27" s="89" t="s">
        <v>1</v>
      </c>
      <c r="BB27" s="89" t="s">
        <v>1</v>
      </c>
      <c r="BC27" s="87" t="s">
        <v>1</v>
      </c>
      <c r="BD27" s="89" t="s">
        <v>1</v>
      </c>
      <c r="BE27" s="89" t="s">
        <v>1</v>
      </c>
      <c r="BF27" s="89" t="s">
        <v>1</v>
      </c>
      <c r="BG27" s="89" t="s">
        <v>1</v>
      </c>
    </row>
    <row r="28" spans="1:59" s="61" customFormat="1" ht="16.5" customHeight="1" x14ac:dyDescent="0.2">
      <c r="A28" s="34"/>
      <c r="B28" s="35" t="s">
        <v>89</v>
      </c>
      <c r="C28" s="36"/>
      <c r="D28" s="118">
        <f>D25</f>
        <v>43599</v>
      </c>
      <c r="E28" s="117">
        <f>SUM(F28:I28)</f>
        <v>201519</v>
      </c>
      <c r="F28" s="118">
        <f>F25</f>
        <v>66021</v>
      </c>
      <c r="G28" s="118">
        <f>G25</f>
        <v>56791</v>
      </c>
      <c r="H28" s="118">
        <f>H25</f>
        <v>42374</v>
      </c>
      <c r="I28" s="86">
        <f>I25</f>
        <v>36333</v>
      </c>
      <c r="J28" s="87">
        <f>SUM(K28:N28)</f>
        <v>168305</v>
      </c>
      <c r="K28" s="86">
        <f t="shared" ref="K28:M28" si="146">K25</f>
        <v>52625</v>
      </c>
      <c r="L28" s="86">
        <f t="shared" si="146"/>
        <v>50297</v>
      </c>
      <c r="M28" s="86">
        <f t="shared" si="146"/>
        <v>32793</v>
      </c>
      <c r="N28" s="86">
        <f>N25</f>
        <v>32590</v>
      </c>
      <c r="O28" s="87">
        <f>SUM(P28:S28)</f>
        <v>89463</v>
      </c>
      <c r="P28" s="86">
        <f t="shared" ref="P28:R28" si="147">P25</f>
        <v>26837</v>
      </c>
      <c r="Q28" s="86">
        <f t="shared" si="147"/>
        <v>26029</v>
      </c>
      <c r="R28" s="86">
        <f t="shared" si="147"/>
        <v>20389</v>
      </c>
      <c r="S28" s="86">
        <f>S25</f>
        <v>16208</v>
      </c>
      <c r="T28" s="87">
        <f t="shared" ref="T28:T35" si="148">SUM(U28:X28)</f>
        <v>45028</v>
      </c>
      <c r="U28" s="86">
        <f t="shared" ref="U28:W28" si="149">U25</f>
        <v>24344</v>
      </c>
      <c r="V28" s="86">
        <f t="shared" si="149"/>
        <v>11846</v>
      </c>
      <c r="W28" s="86">
        <f t="shared" si="149"/>
        <v>4518</v>
      </c>
      <c r="X28" s="86">
        <f>X25</f>
        <v>4320</v>
      </c>
      <c r="Y28" s="87">
        <f t="shared" ref="Y28:Y35" si="150">SUM(Z28:AC28)</f>
        <v>9348</v>
      </c>
      <c r="Z28" s="86">
        <f t="shared" ref="Z28:AB28" si="151">Z25</f>
        <v>3458</v>
      </c>
      <c r="AA28" s="86">
        <f t="shared" si="151"/>
        <v>4896</v>
      </c>
      <c r="AB28" s="86">
        <f t="shared" si="151"/>
        <v>-236</v>
      </c>
      <c r="AC28" s="86">
        <f>AC25</f>
        <v>1230</v>
      </c>
      <c r="AD28" s="87">
        <f t="shared" ref="AD28:AD35" si="152">SUM(AE28:AH28)</f>
        <v>33032</v>
      </c>
      <c r="AE28" s="86">
        <f t="shared" ref="AE28:AG28" si="153">AE25</f>
        <v>8838</v>
      </c>
      <c r="AF28" s="86">
        <f t="shared" si="153"/>
        <v>10070</v>
      </c>
      <c r="AG28" s="86">
        <f t="shared" si="153"/>
        <v>6763</v>
      </c>
      <c r="AH28" s="86">
        <f>AH25</f>
        <v>7361</v>
      </c>
      <c r="AI28" s="87">
        <f t="shared" ref="AI28:AI35" si="154">SUM(AJ28:AM28)</f>
        <v>49050</v>
      </c>
      <c r="AJ28" s="86">
        <f t="shared" ref="AJ28:AL28" si="155">AJ25</f>
        <v>8525</v>
      </c>
      <c r="AK28" s="86">
        <f t="shared" si="155"/>
        <v>12960</v>
      </c>
      <c r="AL28" s="86">
        <f t="shared" si="155"/>
        <v>11112</v>
      </c>
      <c r="AM28" s="86">
        <f>AM25</f>
        <v>16453</v>
      </c>
      <c r="AN28" s="87">
        <f t="shared" ref="AN28:AN35" si="156">SUM(AO28:AR28)</f>
        <v>70974</v>
      </c>
      <c r="AO28" s="86">
        <f t="shared" ref="AO28:AQ28" si="157">AO25</f>
        <v>16475</v>
      </c>
      <c r="AP28" s="86">
        <f t="shared" si="157"/>
        <v>16732</v>
      </c>
      <c r="AQ28" s="86">
        <f t="shared" si="157"/>
        <v>17537</v>
      </c>
      <c r="AR28" s="86">
        <f>AR25</f>
        <v>20230</v>
      </c>
      <c r="AS28" s="87">
        <f t="shared" ref="AS28:AS35" si="158">SUM(AT28:AW28)</f>
        <v>46109</v>
      </c>
      <c r="AT28" s="86">
        <f t="shared" ref="AT28:AV28" si="159">AT25</f>
        <v>13710</v>
      </c>
      <c r="AU28" s="86">
        <f t="shared" si="159"/>
        <v>13630</v>
      </c>
      <c r="AV28" s="86">
        <f t="shared" si="159"/>
        <v>8737</v>
      </c>
      <c r="AW28" s="86">
        <f>AW25</f>
        <v>10032</v>
      </c>
      <c r="AX28" s="87">
        <f t="shared" ref="AX28:AX35" si="160">SUM(AY28:BB28)</f>
        <v>-9560</v>
      </c>
      <c r="AY28" s="86">
        <f t="shared" ref="AY28:BA28" si="161">AY25</f>
        <v>9876</v>
      </c>
      <c r="AZ28" s="86">
        <f t="shared" si="161"/>
        <v>12609</v>
      </c>
      <c r="BA28" s="86">
        <f t="shared" si="161"/>
        <v>-26270</v>
      </c>
      <c r="BB28" s="86">
        <f>BB25</f>
        <v>-5775</v>
      </c>
      <c r="BC28" s="87">
        <f t="shared" ref="BC28:BC35" si="162">SUM(BD28:BG28)</f>
        <v>69051</v>
      </c>
      <c r="BD28" s="86">
        <f t="shared" ref="BD28:BF28" si="163">BD25</f>
        <v>-10556</v>
      </c>
      <c r="BE28" s="86">
        <f t="shared" si="163"/>
        <v>28477</v>
      </c>
      <c r="BF28" s="86">
        <f t="shared" si="163"/>
        <v>23916</v>
      </c>
      <c r="BG28" s="86">
        <f>BG25</f>
        <v>27214</v>
      </c>
    </row>
    <row r="29" spans="1:59" s="61" customFormat="1" ht="16.5" customHeight="1" x14ac:dyDescent="0.2">
      <c r="A29" s="34"/>
      <c r="B29" s="45" t="s">
        <v>96</v>
      </c>
      <c r="C29" s="46"/>
      <c r="D29" s="119">
        <v>-4396</v>
      </c>
      <c r="E29" s="117">
        <f t="shared" ref="E29" si="164">SUM(F29:I29)</f>
        <v>-17893</v>
      </c>
      <c r="F29" s="119">
        <v>-5448</v>
      </c>
      <c r="G29" s="119">
        <v>-5357</v>
      </c>
      <c r="H29" s="119">
        <v>-4328</v>
      </c>
      <c r="I29" s="88">
        <v>-2760</v>
      </c>
      <c r="J29" s="87">
        <f>SUM(K29:N29)</f>
        <v>-17283</v>
      </c>
      <c r="K29" s="89">
        <v>-4670</v>
      </c>
      <c r="L29" s="89">
        <v>-5188</v>
      </c>
      <c r="M29" s="89">
        <v>-3784</v>
      </c>
      <c r="N29" s="89">
        <v>-3641</v>
      </c>
      <c r="O29" s="87">
        <f>SUM(P29:S29)</f>
        <v>-12465</v>
      </c>
      <c r="P29" s="89">
        <v>-2690</v>
      </c>
      <c r="Q29" s="89">
        <v>-4425</v>
      </c>
      <c r="R29" s="89">
        <v>-2721</v>
      </c>
      <c r="S29" s="89">
        <v>-2629</v>
      </c>
      <c r="T29" s="87">
        <f t="shared" si="148"/>
        <v>-9580</v>
      </c>
      <c r="U29" s="89">
        <v>-2914</v>
      </c>
      <c r="V29" s="89">
        <f>SUM(V30:V31)</f>
        <v>-2685</v>
      </c>
      <c r="W29" s="89">
        <f>SUM(W30:W31)</f>
        <v>-1963</v>
      </c>
      <c r="X29" s="89">
        <f>SUM(X30:X31)</f>
        <v>-2018</v>
      </c>
      <c r="Y29" s="87">
        <f t="shared" si="150"/>
        <v>-6482</v>
      </c>
      <c r="Z29" s="89">
        <f>-6482-SUM(AA29:AC29)</f>
        <v>-1457</v>
      </c>
      <c r="AA29" s="89">
        <f>SUM(AA30:AA31)</f>
        <v>-2022</v>
      </c>
      <c r="AB29" s="89">
        <f>SUM(AB30:AB31)</f>
        <v>-1997</v>
      </c>
      <c r="AC29" s="89">
        <f>SUM(AC30:AC31)</f>
        <v>-1006</v>
      </c>
      <c r="AD29" s="87">
        <f t="shared" si="152"/>
        <v>-8252</v>
      </c>
      <c r="AE29" s="89">
        <v>-1974</v>
      </c>
      <c r="AF29" s="89">
        <v>-2290</v>
      </c>
      <c r="AG29" s="89">
        <v>-1985</v>
      </c>
      <c r="AH29" s="89">
        <v>-2003</v>
      </c>
      <c r="AI29" s="87">
        <f t="shared" si="154"/>
        <v>-10539</v>
      </c>
      <c r="AJ29" s="89">
        <v>-2851</v>
      </c>
      <c r="AK29" s="89">
        <v>-2173</v>
      </c>
      <c r="AL29" s="89">
        <v>-2565</v>
      </c>
      <c r="AM29" s="89">
        <v>-2950</v>
      </c>
      <c r="AN29" s="87">
        <f t="shared" si="156"/>
        <v>-11802</v>
      </c>
      <c r="AO29" s="89">
        <v>-3432</v>
      </c>
      <c r="AP29" s="89">
        <v>-2646</v>
      </c>
      <c r="AQ29" s="89">
        <v>-3190</v>
      </c>
      <c r="AR29" s="89">
        <v>-2534</v>
      </c>
      <c r="AS29" s="87">
        <f t="shared" si="158"/>
        <v>-18480</v>
      </c>
      <c r="AT29" s="89">
        <v>-917</v>
      </c>
      <c r="AU29" s="89">
        <v>-5169</v>
      </c>
      <c r="AV29" s="89">
        <v>-5676</v>
      </c>
      <c r="AW29" s="89">
        <v>-6718</v>
      </c>
      <c r="AX29" s="87">
        <f t="shared" si="160"/>
        <v>-28978</v>
      </c>
      <c r="AY29" s="89">
        <v>-6775</v>
      </c>
      <c r="AZ29" s="89">
        <v>-7895</v>
      </c>
      <c r="BA29" s="89">
        <v>-6918</v>
      </c>
      <c r="BB29" s="89">
        <v>-7390</v>
      </c>
      <c r="BC29" s="87">
        <f t="shared" si="162"/>
        <v>-29062</v>
      </c>
      <c r="BD29" s="89">
        <v>-7056</v>
      </c>
      <c r="BE29" s="89">
        <v>-8029</v>
      </c>
      <c r="BF29" s="89">
        <v>-7071</v>
      </c>
      <c r="BG29" s="89">
        <v>-6906</v>
      </c>
    </row>
    <row r="30" spans="1:59" ht="16.5" customHeight="1" x14ac:dyDescent="0.2">
      <c r="A30" s="27"/>
      <c r="B30" s="42" t="s">
        <v>94</v>
      </c>
      <c r="C30" s="43"/>
      <c r="D30" s="116" t="s">
        <v>1</v>
      </c>
      <c r="E30" s="117" t="s">
        <v>1</v>
      </c>
      <c r="F30" s="116" t="s">
        <v>1</v>
      </c>
      <c r="G30" s="116" t="s">
        <v>1</v>
      </c>
      <c r="H30" s="116" t="s">
        <v>1</v>
      </c>
      <c r="I30" s="84" t="s">
        <v>1</v>
      </c>
      <c r="J30" s="82" t="s">
        <v>1</v>
      </c>
      <c r="K30" s="84" t="s">
        <v>1</v>
      </c>
      <c r="L30" s="84" t="s">
        <v>1</v>
      </c>
      <c r="M30" s="84" t="s">
        <v>1</v>
      </c>
      <c r="N30" s="84" t="s">
        <v>1</v>
      </c>
      <c r="O30" s="82" t="s">
        <v>1</v>
      </c>
      <c r="P30" s="84" t="s">
        <v>1</v>
      </c>
      <c r="Q30" s="84" t="s">
        <v>1</v>
      </c>
      <c r="R30" s="84" t="s">
        <v>1</v>
      </c>
      <c r="S30" s="84" t="s">
        <v>1</v>
      </c>
      <c r="T30" s="82">
        <f t="shared" si="148"/>
        <v>-6416</v>
      </c>
      <c r="U30" s="84" t="s">
        <v>1</v>
      </c>
      <c r="V30" s="84">
        <v>-2117</v>
      </c>
      <c r="W30" s="84">
        <v>-2348</v>
      </c>
      <c r="X30" s="84">
        <v>-1951</v>
      </c>
      <c r="Y30" s="82">
        <f t="shared" si="150"/>
        <v>-6971</v>
      </c>
      <c r="Z30" s="84" t="s">
        <v>1</v>
      </c>
      <c r="AA30" s="84">
        <v>-2237</v>
      </c>
      <c r="AB30" s="84">
        <v>-2230</v>
      </c>
      <c r="AC30" s="84">
        <v>-2504</v>
      </c>
      <c r="AD30" s="82">
        <f t="shared" si="152"/>
        <v>-6666</v>
      </c>
      <c r="AE30" s="84" t="s">
        <v>1</v>
      </c>
      <c r="AF30" s="84">
        <v>-1871</v>
      </c>
      <c r="AG30" s="84">
        <v>-2206</v>
      </c>
      <c r="AH30" s="84">
        <v>-2589</v>
      </c>
      <c r="AI30" s="82">
        <f t="shared" si="154"/>
        <v>-10825</v>
      </c>
      <c r="AJ30" s="84" t="s">
        <v>1</v>
      </c>
      <c r="AK30" s="84">
        <v>-3008</v>
      </c>
      <c r="AL30" s="84">
        <v>-3701</v>
      </c>
      <c r="AM30" s="84">
        <v>-4116</v>
      </c>
      <c r="AN30" s="82">
        <f t="shared" si="156"/>
        <v>-22817</v>
      </c>
      <c r="AO30" s="84">
        <v>-5223</v>
      </c>
      <c r="AP30" s="84">
        <v>-5962</v>
      </c>
      <c r="AQ30" s="84">
        <v>-6535</v>
      </c>
      <c r="AR30" s="84">
        <v>-5097</v>
      </c>
      <c r="AS30" s="82">
        <f t="shared" si="158"/>
        <v>-25966</v>
      </c>
      <c r="AT30" s="84">
        <v>-5959</v>
      </c>
      <c r="AU30" s="84">
        <v>-5847</v>
      </c>
      <c r="AV30" s="84">
        <v>-6229</v>
      </c>
      <c r="AW30" s="84">
        <v>-7931</v>
      </c>
      <c r="AX30" s="82">
        <f t="shared" si="160"/>
        <v>-30070</v>
      </c>
      <c r="AY30" s="84">
        <v>-7867</v>
      </c>
      <c r="AZ30" s="84">
        <v>-7895</v>
      </c>
      <c r="BA30" s="84">
        <v>-6918</v>
      </c>
      <c r="BB30" s="84">
        <v>-7390</v>
      </c>
      <c r="BC30" s="82">
        <f t="shared" si="162"/>
        <v>-29062</v>
      </c>
      <c r="BD30" s="84">
        <v>-7056</v>
      </c>
      <c r="BE30" s="84">
        <v>-8029</v>
      </c>
      <c r="BF30" s="84">
        <v>-7071</v>
      </c>
      <c r="BG30" s="84">
        <v>-6906</v>
      </c>
    </row>
    <row r="31" spans="1:59" ht="16.5" customHeight="1" x14ac:dyDescent="0.2">
      <c r="A31" s="27"/>
      <c r="B31" s="39" t="s">
        <v>95</v>
      </c>
      <c r="C31" s="40"/>
      <c r="D31" s="115" t="s">
        <v>1</v>
      </c>
      <c r="E31" s="117" t="s">
        <v>1</v>
      </c>
      <c r="F31" s="115" t="s">
        <v>1</v>
      </c>
      <c r="G31" s="115" t="s">
        <v>1</v>
      </c>
      <c r="H31" s="115" t="s">
        <v>1</v>
      </c>
      <c r="I31" s="81" t="s">
        <v>1</v>
      </c>
      <c r="J31" s="82" t="s">
        <v>1</v>
      </c>
      <c r="K31" s="83" t="s">
        <v>1</v>
      </c>
      <c r="L31" s="83" t="s">
        <v>1</v>
      </c>
      <c r="M31" s="83" t="s">
        <v>1</v>
      </c>
      <c r="N31" s="83" t="s">
        <v>1</v>
      </c>
      <c r="O31" s="82" t="s">
        <v>1</v>
      </c>
      <c r="P31" s="83" t="s">
        <v>1</v>
      </c>
      <c r="Q31" s="83" t="s">
        <v>1</v>
      </c>
      <c r="R31" s="83" t="s">
        <v>1</v>
      </c>
      <c r="S31" s="83" t="s">
        <v>1</v>
      </c>
      <c r="T31" s="82">
        <f t="shared" si="148"/>
        <v>-250</v>
      </c>
      <c r="U31" s="83" t="s">
        <v>1</v>
      </c>
      <c r="V31" s="83">
        <v>-568</v>
      </c>
      <c r="W31" s="83">
        <v>385</v>
      </c>
      <c r="X31" s="83">
        <v>-67</v>
      </c>
      <c r="Y31" s="82">
        <f t="shared" si="150"/>
        <v>1946</v>
      </c>
      <c r="Z31" s="83" t="s">
        <v>1</v>
      </c>
      <c r="AA31" s="83">
        <v>215</v>
      </c>
      <c r="AB31" s="83">
        <v>233</v>
      </c>
      <c r="AC31" s="83">
        <v>1498</v>
      </c>
      <c r="AD31" s="82">
        <f t="shared" si="152"/>
        <v>388</v>
      </c>
      <c r="AE31" s="83" t="s">
        <v>1</v>
      </c>
      <c r="AF31" s="83">
        <v>-419</v>
      </c>
      <c r="AG31" s="83">
        <v>221</v>
      </c>
      <c r="AH31" s="83">
        <v>586</v>
      </c>
      <c r="AI31" s="82">
        <f t="shared" si="154"/>
        <v>3137</v>
      </c>
      <c r="AJ31" s="83" t="s">
        <v>1</v>
      </c>
      <c r="AK31" s="83">
        <v>835</v>
      </c>
      <c r="AL31" s="83">
        <v>1136</v>
      </c>
      <c r="AM31" s="83">
        <v>1166</v>
      </c>
      <c r="AN31" s="82">
        <f t="shared" si="156"/>
        <v>11015</v>
      </c>
      <c r="AO31" s="83">
        <v>1791</v>
      </c>
      <c r="AP31" s="83">
        <v>3316</v>
      </c>
      <c r="AQ31" s="83">
        <v>3345</v>
      </c>
      <c r="AR31" s="83">
        <v>2563</v>
      </c>
      <c r="AS31" s="82">
        <f t="shared" si="158"/>
        <v>7486</v>
      </c>
      <c r="AT31" s="83">
        <v>5042</v>
      </c>
      <c r="AU31" s="83">
        <v>678</v>
      </c>
      <c r="AV31" s="83">
        <v>553</v>
      </c>
      <c r="AW31" s="83">
        <v>1213</v>
      </c>
      <c r="AX31" s="82">
        <f t="shared" si="160"/>
        <v>-1024</v>
      </c>
      <c r="AY31" s="83">
        <v>1092</v>
      </c>
      <c r="AZ31" s="83">
        <v>172</v>
      </c>
      <c r="BA31" s="83">
        <v>137</v>
      </c>
      <c r="BB31" s="83">
        <v>-2425</v>
      </c>
      <c r="BC31" s="82">
        <f t="shared" si="162"/>
        <v>-12092</v>
      </c>
      <c r="BD31" s="83">
        <v>-1186</v>
      </c>
      <c r="BE31" s="83">
        <v>-3924</v>
      </c>
      <c r="BF31" s="83">
        <v>-2975</v>
      </c>
      <c r="BG31" s="83">
        <v>-4007</v>
      </c>
    </row>
    <row r="32" spans="1:59" s="61" customFormat="1" ht="16.5" customHeight="1" x14ac:dyDescent="0.2">
      <c r="A32" s="34"/>
      <c r="B32" s="35" t="s">
        <v>93</v>
      </c>
      <c r="C32" s="36"/>
      <c r="D32" s="118">
        <f t="shared" ref="D32" si="165">SUM(D28:D29)</f>
        <v>39203</v>
      </c>
      <c r="E32" s="117">
        <f t="shared" ref="E32:E33" si="166">SUM(F32:I32)</f>
        <v>183626</v>
      </c>
      <c r="F32" s="118">
        <f t="shared" ref="F32:H32" si="167">SUM(F28:F29)</f>
        <v>60573</v>
      </c>
      <c r="G32" s="118">
        <f t="shared" si="167"/>
        <v>51434</v>
      </c>
      <c r="H32" s="118">
        <f t="shared" si="167"/>
        <v>38046</v>
      </c>
      <c r="I32" s="86">
        <f t="shared" ref="I32" si="168">SUM(I28:I29)</f>
        <v>33573</v>
      </c>
      <c r="J32" s="87">
        <f>SUM(K32:N32)</f>
        <v>151022</v>
      </c>
      <c r="K32" s="86">
        <f t="shared" ref="K32:M32" si="169">K28+K29</f>
        <v>47955</v>
      </c>
      <c r="L32" s="86">
        <f t="shared" si="169"/>
        <v>45109</v>
      </c>
      <c r="M32" s="86">
        <f t="shared" si="169"/>
        <v>29009</v>
      </c>
      <c r="N32" s="86">
        <f>N28+N29</f>
        <v>28949</v>
      </c>
      <c r="O32" s="87">
        <f>SUM(P32:S32)</f>
        <v>76998</v>
      </c>
      <c r="P32" s="86">
        <f t="shared" ref="P32:R32" si="170">P28+P29</f>
        <v>24147</v>
      </c>
      <c r="Q32" s="86">
        <f t="shared" si="170"/>
        <v>21604</v>
      </c>
      <c r="R32" s="86">
        <f t="shared" si="170"/>
        <v>17668</v>
      </c>
      <c r="S32" s="86">
        <f>S28+S29</f>
        <v>13579</v>
      </c>
      <c r="T32" s="87">
        <f t="shared" si="148"/>
        <v>35448</v>
      </c>
      <c r="U32" s="86">
        <f t="shared" ref="U32:W32" si="171">U28+U29</f>
        <v>21430</v>
      </c>
      <c r="V32" s="86">
        <f t="shared" si="171"/>
        <v>9161</v>
      </c>
      <c r="W32" s="86">
        <f t="shared" si="171"/>
        <v>2555</v>
      </c>
      <c r="X32" s="86">
        <f>X28+X29</f>
        <v>2302</v>
      </c>
      <c r="Y32" s="87">
        <f t="shared" si="150"/>
        <v>2866</v>
      </c>
      <c r="Z32" s="86">
        <f t="shared" ref="Z32:AB32" si="172">Z28+Z29</f>
        <v>2001</v>
      </c>
      <c r="AA32" s="86">
        <f t="shared" si="172"/>
        <v>2874</v>
      </c>
      <c r="AB32" s="86">
        <f t="shared" si="172"/>
        <v>-2233</v>
      </c>
      <c r="AC32" s="86">
        <f>AC28+AC29</f>
        <v>224</v>
      </c>
      <c r="AD32" s="87">
        <f t="shared" si="152"/>
        <v>24780</v>
      </c>
      <c r="AE32" s="86">
        <f t="shared" ref="AE32:AG32" si="173">AE28+AE29</f>
        <v>6864</v>
      </c>
      <c r="AF32" s="86">
        <f t="shared" si="173"/>
        <v>7780</v>
      </c>
      <c r="AG32" s="86">
        <f t="shared" si="173"/>
        <v>4778</v>
      </c>
      <c r="AH32" s="86">
        <f>AH28+AH29</f>
        <v>5358</v>
      </c>
      <c r="AI32" s="87">
        <f t="shared" si="154"/>
        <v>38511</v>
      </c>
      <c r="AJ32" s="86">
        <f t="shared" ref="AJ32:AL32" si="174">AJ28+AJ29</f>
        <v>5674</v>
      </c>
      <c r="AK32" s="86">
        <f t="shared" si="174"/>
        <v>10787</v>
      </c>
      <c r="AL32" s="86">
        <f t="shared" si="174"/>
        <v>8547</v>
      </c>
      <c r="AM32" s="86">
        <f>AM28+AM29</f>
        <v>13503</v>
      </c>
      <c r="AN32" s="87">
        <f t="shared" si="156"/>
        <v>59172</v>
      </c>
      <c r="AO32" s="86">
        <f t="shared" ref="AO32:AQ32" si="175">AO28+AO29</f>
        <v>13043</v>
      </c>
      <c r="AP32" s="86">
        <f t="shared" si="175"/>
        <v>14086</v>
      </c>
      <c r="AQ32" s="86">
        <f t="shared" si="175"/>
        <v>14347</v>
      </c>
      <c r="AR32" s="86">
        <f>AR28+AR29</f>
        <v>17696</v>
      </c>
      <c r="AS32" s="87">
        <f t="shared" si="158"/>
        <v>27629</v>
      </c>
      <c r="AT32" s="86">
        <f t="shared" ref="AT32:AV32" si="176">AT28+AT29</f>
        <v>12793</v>
      </c>
      <c r="AU32" s="86">
        <f t="shared" si="176"/>
        <v>8461</v>
      </c>
      <c r="AV32" s="86">
        <f t="shared" si="176"/>
        <v>3061</v>
      </c>
      <c r="AW32" s="86">
        <f>AW28+AW29</f>
        <v>3314</v>
      </c>
      <c r="AX32" s="87">
        <f t="shared" si="160"/>
        <v>-38538</v>
      </c>
      <c r="AY32" s="86">
        <f t="shared" ref="AY32:BA32" si="177">AY28+AY29</f>
        <v>3101</v>
      </c>
      <c r="AZ32" s="86">
        <f t="shared" si="177"/>
        <v>4714</v>
      </c>
      <c r="BA32" s="86">
        <f t="shared" si="177"/>
        <v>-33188</v>
      </c>
      <c r="BB32" s="86">
        <f>BB28+BB29</f>
        <v>-13165</v>
      </c>
      <c r="BC32" s="87">
        <f t="shared" si="162"/>
        <v>39989</v>
      </c>
      <c r="BD32" s="86">
        <f t="shared" ref="BD32:BF32" si="178">BD28+BD29</f>
        <v>-17612</v>
      </c>
      <c r="BE32" s="86">
        <f t="shared" si="178"/>
        <v>20448</v>
      </c>
      <c r="BF32" s="86">
        <f t="shared" si="178"/>
        <v>16845</v>
      </c>
      <c r="BG32" s="86">
        <f>BG28+BG29</f>
        <v>20308</v>
      </c>
    </row>
    <row r="33" spans="1:59" s="61" customFormat="1" ht="16.5" customHeight="1" x14ac:dyDescent="0.2">
      <c r="A33" s="34"/>
      <c r="B33" s="45" t="s">
        <v>92</v>
      </c>
      <c r="C33" s="46"/>
      <c r="D33" s="119">
        <v>-4105</v>
      </c>
      <c r="E33" s="117">
        <f t="shared" si="166"/>
        <v>-13534</v>
      </c>
      <c r="F33" s="119">
        <v>-5155</v>
      </c>
      <c r="G33" s="119">
        <v>-3401</v>
      </c>
      <c r="H33" s="119">
        <v>-2466</v>
      </c>
      <c r="I33" s="88">
        <v>-2512</v>
      </c>
      <c r="J33" s="87">
        <f>SUM(K33:N33)</f>
        <v>-10942</v>
      </c>
      <c r="K33" s="89">
        <v>-4225</v>
      </c>
      <c r="L33" s="89">
        <v>-2532</v>
      </c>
      <c r="M33" s="89">
        <v>-1796</v>
      </c>
      <c r="N33" s="89">
        <v>-2389</v>
      </c>
      <c r="O33" s="87">
        <f>SUM(P33:S33)</f>
        <v>-5053</v>
      </c>
      <c r="P33" s="89">
        <v>-3588</v>
      </c>
      <c r="Q33" s="89">
        <v>-506</v>
      </c>
      <c r="R33" s="89">
        <v>-271</v>
      </c>
      <c r="S33" s="89">
        <v>-688</v>
      </c>
      <c r="T33" s="87">
        <f t="shared" si="148"/>
        <v>-456</v>
      </c>
      <c r="U33" s="89">
        <v>-1068</v>
      </c>
      <c r="V33" s="89">
        <v>348</v>
      </c>
      <c r="W33" s="89">
        <v>346</v>
      </c>
      <c r="X33" s="89">
        <v>-82</v>
      </c>
      <c r="Y33" s="87">
        <f t="shared" si="150"/>
        <v>-272</v>
      </c>
      <c r="Z33" s="89">
        <f>-272-SUM(AA33:AC33)</f>
        <v>-30</v>
      </c>
      <c r="AA33" s="89">
        <v>-960</v>
      </c>
      <c r="AB33" s="89">
        <v>85</v>
      </c>
      <c r="AC33" s="89">
        <v>633</v>
      </c>
      <c r="AD33" s="87">
        <f t="shared" si="152"/>
        <v>-5669</v>
      </c>
      <c r="AE33" s="89">
        <v>-579</v>
      </c>
      <c r="AF33" s="89">
        <v>-921</v>
      </c>
      <c r="AG33" s="89">
        <v>-1088</v>
      </c>
      <c r="AH33" s="89">
        <v>-3081</v>
      </c>
      <c r="AI33" s="87">
        <f t="shared" si="154"/>
        <v>-18302</v>
      </c>
      <c r="AJ33" s="89">
        <v>-2284</v>
      </c>
      <c r="AK33" s="89">
        <v>-6350</v>
      </c>
      <c r="AL33" s="89">
        <v>-2271</v>
      </c>
      <c r="AM33" s="89">
        <v>-7397</v>
      </c>
      <c r="AN33" s="87">
        <f t="shared" si="156"/>
        <v>-28458</v>
      </c>
      <c r="AO33" s="89">
        <v>-4820</v>
      </c>
      <c r="AP33" s="89">
        <v>-7159</v>
      </c>
      <c r="AQ33" s="89">
        <v>-6829</v>
      </c>
      <c r="AR33" s="89">
        <v>-9650</v>
      </c>
      <c r="AS33" s="87">
        <f t="shared" si="158"/>
        <v>-364</v>
      </c>
      <c r="AT33" s="89">
        <v>-1067</v>
      </c>
      <c r="AU33" s="89">
        <v>52</v>
      </c>
      <c r="AV33" s="89">
        <v>950</v>
      </c>
      <c r="AW33" s="89">
        <v>-299</v>
      </c>
      <c r="AX33" s="87">
        <f t="shared" si="160"/>
        <v>-1884</v>
      </c>
      <c r="AY33" s="89">
        <v>-376</v>
      </c>
      <c r="AZ33" s="89">
        <v>-645</v>
      </c>
      <c r="BA33" s="89">
        <v>-476</v>
      </c>
      <c r="BB33" s="89">
        <v>-387</v>
      </c>
      <c r="BC33" s="87">
        <f t="shared" si="162"/>
        <v>-830</v>
      </c>
      <c r="BD33" s="89">
        <v>-422</v>
      </c>
      <c r="BE33" s="89">
        <v>-323</v>
      </c>
      <c r="BF33" s="89">
        <v>-84</v>
      </c>
      <c r="BG33" s="89">
        <v>-1</v>
      </c>
    </row>
    <row r="34" spans="1:59" ht="16.5" customHeight="1" x14ac:dyDescent="0.2">
      <c r="A34" s="34"/>
      <c r="B34" s="68" t="s">
        <v>90</v>
      </c>
      <c r="C34" s="69"/>
      <c r="D34" s="79">
        <f>SUM(D32:D33)</f>
        <v>35098</v>
      </c>
      <c r="E34" s="95">
        <f>SUM(F34:I34)</f>
        <v>170092</v>
      </c>
      <c r="F34" s="79">
        <f>SUM(F32:F33)</f>
        <v>55418</v>
      </c>
      <c r="G34" s="79">
        <f>SUM(G32:G33)</f>
        <v>48033</v>
      </c>
      <c r="H34" s="79">
        <f>SUM(H32:H33)</f>
        <v>35580</v>
      </c>
      <c r="I34" s="79">
        <f>SUM(I32:I33)</f>
        <v>31061</v>
      </c>
      <c r="J34" s="95">
        <f>SUM(K34:N34)</f>
        <v>140080</v>
      </c>
      <c r="K34" s="79">
        <f t="shared" ref="K34" si="179">+K32+K33</f>
        <v>43730</v>
      </c>
      <c r="L34" s="79">
        <f t="shared" ref="L34" si="180">+L32+L33</f>
        <v>42577</v>
      </c>
      <c r="M34" s="79">
        <f t="shared" ref="M34" si="181">+M32+M33</f>
        <v>27213</v>
      </c>
      <c r="N34" s="79">
        <f>+N32+N33</f>
        <v>26560</v>
      </c>
      <c r="O34" s="95">
        <f>SUM(P34:S34)</f>
        <v>71945</v>
      </c>
      <c r="P34" s="79">
        <f t="shared" ref="P34" si="182">+P32+P33</f>
        <v>20559</v>
      </c>
      <c r="Q34" s="79">
        <f t="shared" ref="Q34" si="183">+Q32+Q33</f>
        <v>21098</v>
      </c>
      <c r="R34" s="79">
        <f t="shared" ref="R34" si="184">+R32+R33</f>
        <v>17397</v>
      </c>
      <c r="S34" s="79">
        <f>+S32+S33</f>
        <v>12891</v>
      </c>
      <c r="T34" s="95">
        <f t="shared" si="148"/>
        <v>34992</v>
      </c>
      <c r="U34" s="79">
        <f t="shared" ref="U34" si="185">+U32+U33</f>
        <v>20362</v>
      </c>
      <c r="V34" s="79">
        <f t="shared" ref="V34" si="186">+V32+V33</f>
        <v>9509</v>
      </c>
      <c r="W34" s="79">
        <f t="shared" ref="W34" si="187">+W32+W33</f>
        <v>2901</v>
      </c>
      <c r="X34" s="79">
        <f>+X32+X33</f>
        <v>2220</v>
      </c>
      <c r="Y34" s="95">
        <f t="shared" si="150"/>
        <v>2594</v>
      </c>
      <c r="Z34" s="79">
        <f t="shared" ref="Z34" si="188">+Z32+Z33</f>
        <v>1971</v>
      </c>
      <c r="AA34" s="79">
        <f t="shared" ref="AA34" si="189">+AA32+AA33</f>
        <v>1914</v>
      </c>
      <c r="AB34" s="79">
        <f t="shared" ref="AB34" si="190">+AB32+AB33</f>
        <v>-2148</v>
      </c>
      <c r="AC34" s="79">
        <f>+AC32+AC33</f>
        <v>857</v>
      </c>
      <c r="AD34" s="95">
        <f t="shared" si="152"/>
        <v>19111</v>
      </c>
      <c r="AE34" s="79">
        <f t="shared" ref="AE34" si="191">+AE32+AE33</f>
        <v>6285</v>
      </c>
      <c r="AF34" s="79">
        <f t="shared" ref="AF34" si="192">+AF32+AF33</f>
        <v>6859</v>
      </c>
      <c r="AG34" s="79">
        <f t="shared" ref="AG34" si="193">+AG32+AG33</f>
        <v>3690</v>
      </c>
      <c r="AH34" s="79">
        <f>+AH32+AH33</f>
        <v>2277</v>
      </c>
      <c r="AI34" s="95">
        <f t="shared" si="154"/>
        <v>20209</v>
      </c>
      <c r="AJ34" s="79">
        <f t="shared" ref="AJ34" si="194">+AJ32+AJ33</f>
        <v>3390</v>
      </c>
      <c r="AK34" s="79">
        <f t="shared" ref="AK34" si="195">+AK32+AK33</f>
        <v>4437</v>
      </c>
      <c r="AL34" s="79">
        <f t="shared" ref="AL34" si="196">+AL32+AL33</f>
        <v>6276</v>
      </c>
      <c r="AM34" s="79">
        <f>+AM32+AM33</f>
        <v>6106</v>
      </c>
      <c r="AN34" s="95">
        <f t="shared" si="156"/>
        <v>30714</v>
      </c>
      <c r="AO34" s="79">
        <f t="shared" ref="AO34" si="197">+AO32+AO33</f>
        <v>8223</v>
      </c>
      <c r="AP34" s="79">
        <f t="shared" ref="AP34" si="198">+AP32+AP33</f>
        <v>6927</v>
      </c>
      <c r="AQ34" s="79">
        <f t="shared" ref="AQ34" si="199">+AQ32+AQ33</f>
        <v>7518</v>
      </c>
      <c r="AR34" s="79">
        <f>+AR32+AR33</f>
        <v>8046</v>
      </c>
      <c r="AS34" s="95">
        <f t="shared" si="158"/>
        <v>27265</v>
      </c>
      <c r="AT34" s="79">
        <f t="shared" ref="AT34" si="200">+AT32+AT33</f>
        <v>11726</v>
      </c>
      <c r="AU34" s="79">
        <f t="shared" ref="AU34" si="201">+AU32+AU33</f>
        <v>8513</v>
      </c>
      <c r="AV34" s="79">
        <f t="shared" ref="AV34" si="202">+AV32+AV33</f>
        <v>4011</v>
      </c>
      <c r="AW34" s="79">
        <f>+AW32+AW33</f>
        <v>3015</v>
      </c>
      <c r="AX34" s="95">
        <f t="shared" si="160"/>
        <v>-40422</v>
      </c>
      <c r="AY34" s="79">
        <f t="shared" ref="AY34" si="203">+AY32+AY33</f>
        <v>2725</v>
      </c>
      <c r="AZ34" s="79">
        <f t="shared" ref="AZ34" si="204">+AZ32+AZ33</f>
        <v>4069</v>
      </c>
      <c r="BA34" s="79">
        <f t="shared" ref="BA34" si="205">+BA32+BA33</f>
        <v>-33664</v>
      </c>
      <c r="BB34" s="79">
        <f>+BB32+BB33</f>
        <v>-13552</v>
      </c>
      <c r="BC34" s="95">
        <f t="shared" si="162"/>
        <v>39159</v>
      </c>
      <c r="BD34" s="79">
        <f t="shared" ref="BD34:BF34" si="206">+BD32+BD33</f>
        <v>-18034</v>
      </c>
      <c r="BE34" s="79">
        <f t="shared" si="206"/>
        <v>20125</v>
      </c>
      <c r="BF34" s="79">
        <f t="shared" si="206"/>
        <v>16761</v>
      </c>
      <c r="BG34" s="79">
        <f>+BG32+BG33</f>
        <v>20307</v>
      </c>
    </row>
    <row r="35" spans="1:59" s="38" customFormat="1" ht="16.5" customHeight="1" x14ac:dyDescent="0.25">
      <c r="A35" s="34"/>
      <c r="B35" s="74" t="s">
        <v>91</v>
      </c>
      <c r="C35" s="75"/>
      <c r="D35" s="92">
        <f>SUM(D34:D34)</f>
        <v>35098</v>
      </c>
      <c r="E35" s="117">
        <f>SUM(F35:I35)</f>
        <v>170092</v>
      </c>
      <c r="F35" s="92">
        <f>SUM(F34:F34)</f>
        <v>55418</v>
      </c>
      <c r="G35" s="92">
        <f>SUM(G34:G34)</f>
        <v>48033</v>
      </c>
      <c r="H35" s="92">
        <f>SUM(H34:H34)</f>
        <v>35580</v>
      </c>
      <c r="I35" s="92">
        <f>SUM(I34:I34)</f>
        <v>31061</v>
      </c>
      <c r="J35" s="87">
        <f>SUM(K35:N35)</f>
        <v>140080</v>
      </c>
      <c r="K35" s="92">
        <f t="shared" ref="K35" si="207">K34</f>
        <v>43730</v>
      </c>
      <c r="L35" s="92">
        <f t="shared" ref="L35" si="208">L34</f>
        <v>42577</v>
      </c>
      <c r="M35" s="92">
        <f t="shared" ref="M35" si="209">M34</f>
        <v>27213</v>
      </c>
      <c r="N35" s="92">
        <f>N34</f>
        <v>26560</v>
      </c>
      <c r="O35" s="87">
        <f>SUM(P35:S35)</f>
        <v>71945</v>
      </c>
      <c r="P35" s="92">
        <f t="shared" ref="P35" si="210">P34</f>
        <v>20559</v>
      </c>
      <c r="Q35" s="92">
        <f t="shared" ref="Q35" si="211">Q34</f>
        <v>21098</v>
      </c>
      <c r="R35" s="92">
        <f t="shared" ref="R35" si="212">R34</f>
        <v>17397</v>
      </c>
      <c r="S35" s="92">
        <f>S34</f>
        <v>12891</v>
      </c>
      <c r="T35" s="87">
        <f t="shared" si="148"/>
        <v>34992</v>
      </c>
      <c r="U35" s="92">
        <f t="shared" ref="U35" si="213">U34</f>
        <v>20362</v>
      </c>
      <c r="V35" s="92">
        <f t="shared" ref="V35" si="214">V34</f>
        <v>9509</v>
      </c>
      <c r="W35" s="92">
        <f t="shared" ref="W35" si="215">W34</f>
        <v>2901</v>
      </c>
      <c r="X35" s="92">
        <f>X34</f>
        <v>2220</v>
      </c>
      <c r="Y35" s="87">
        <f t="shared" si="150"/>
        <v>2594</v>
      </c>
      <c r="Z35" s="92">
        <f t="shared" ref="Z35" si="216">Z34</f>
        <v>1971</v>
      </c>
      <c r="AA35" s="92">
        <f t="shared" ref="AA35" si="217">AA34</f>
        <v>1914</v>
      </c>
      <c r="AB35" s="92">
        <f t="shared" ref="AB35" si="218">AB34</f>
        <v>-2148</v>
      </c>
      <c r="AC35" s="92">
        <f>AC34</f>
        <v>857</v>
      </c>
      <c r="AD35" s="87">
        <f t="shared" si="152"/>
        <v>19111</v>
      </c>
      <c r="AE35" s="92">
        <f t="shared" ref="AE35" si="219">AE34</f>
        <v>6285</v>
      </c>
      <c r="AF35" s="92">
        <f t="shared" ref="AF35" si="220">AF34</f>
        <v>6859</v>
      </c>
      <c r="AG35" s="92">
        <f t="shared" ref="AG35" si="221">AG34</f>
        <v>3690</v>
      </c>
      <c r="AH35" s="92">
        <f>AH34</f>
        <v>2277</v>
      </c>
      <c r="AI35" s="87">
        <f t="shared" si="154"/>
        <v>20209</v>
      </c>
      <c r="AJ35" s="92">
        <f t="shared" ref="AJ35" si="222">AJ34</f>
        <v>3390</v>
      </c>
      <c r="AK35" s="92">
        <f t="shared" ref="AK35" si="223">AK34</f>
        <v>4437</v>
      </c>
      <c r="AL35" s="92">
        <f t="shared" ref="AL35" si="224">AL34</f>
        <v>6276</v>
      </c>
      <c r="AM35" s="92">
        <f>AM34</f>
        <v>6106</v>
      </c>
      <c r="AN35" s="87">
        <f t="shared" si="156"/>
        <v>30714</v>
      </c>
      <c r="AO35" s="92">
        <f t="shared" ref="AO35" si="225">AO34</f>
        <v>8223</v>
      </c>
      <c r="AP35" s="92">
        <f t="shared" ref="AP35" si="226">AP34</f>
        <v>6927</v>
      </c>
      <c r="AQ35" s="92">
        <f t="shared" ref="AQ35" si="227">AQ34</f>
        <v>7518</v>
      </c>
      <c r="AR35" s="92">
        <f>AR34</f>
        <v>8046</v>
      </c>
      <c r="AS35" s="87">
        <f t="shared" si="158"/>
        <v>27265</v>
      </c>
      <c r="AT35" s="92">
        <f t="shared" ref="AT35" si="228">AT34</f>
        <v>11726</v>
      </c>
      <c r="AU35" s="92">
        <f t="shared" ref="AU35" si="229">AU34</f>
        <v>8513</v>
      </c>
      <c r="AV35" s="92">
        <f t="shared" ref="AV35" si="230">AV34</f>
        <v>4011</v>
      </c>
      <c r="AW35" s="92">
        <f>AW34</f>
        <v>3015</v>
      </c>
      <c r="AX35" s="87">
        <f t="shared" si="160"/>
        <v>-40422</v>
      </c>
      <c r="AY35" s="92">
        <f t="shared" ref="AY35" si="231">AY34</f>
        <v>2725</v>
      </c>
      <c r="AZ35" s="92">
        <f t="shared" ref="AZ35" si="232">AZ34</f>
        <v>4069</v>
      </c>
      <c r="BA35" s="92">
        <f t="shared" ref="BA35" si="233">BA34</f>
        <v>-33664</v>
      </c>
      <c r="BB35" s="92">
        <f>BB34</f>
        <v>-13552</v>
      </c>
      <c r="BC35" s="87">
        <f t="shared" si="162"/>
        <v>39159</v>
      </c>
      <c r="BD35" s="92">
        <f t="shared" ref="BD35:BF35" si="234">BD34</f>
        <v>-18034</v>
      </c>
      <c r="BE35" s="92">
        <f t="shared" si="234"/>
        <v>20125</v>
      </c>
      <c r="BF35" s="92">
        <f t="shared" si="234"/>
        <v>16761</v>
      </c>
      <c r="BG35" s="92">
        <f>BG34</f>
        <v>20307</v>
      </c>
    </row>
    <row r="36" spans="1:59" s="77" customFormat="1" x14ac:dyDescent="0.2">
      <c r="B36" s="78"/>
      <c r="D36" s="63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9:E3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5" width="12.140625" style="63" bestFit="1" customWidth="1"/>
    <col min="6" max="10" width="12.140625" style="63" bestFit="1" customWidth="1" outlineLevel="1"/>
    <col min="11" max="11" width="12.140625" style="63" bestFit="1" customWidth="1"/>
    <col min="12" max="15" width="12.140625" style="63" bestFit="1" customWidth="1" outlineLevel="1"/>
    <col min="16" max="16" width="12.140625" style="63" bestFit="1" customWidth="1"/>
    <col min="17" max="20" width="12.140625" style="63" bestFit="1" customWidth="1" outlineLevel="1"/>
    <col min="21" max="21" width="12.140625" style="63" bestFit="1" customWidth="1"/>
    <col min="22" max="25" width="12.140625" style="63" bestFit="1" customWidth="1" outlineLevel="1"/>
    <col min="26" max="26" width="12.140625" style="63" bestFit="1" customWidth="1"/>
    <col min="27" max="30" width="12.140625" style="63" bestFit="1" customWidth="1" outlineLevel="1"/>
    <col min="31" max="31" width="12.140625" style="63" bestFit="1" customWidth="1"/>
    <col min="32" max="35" width="12.140625" style="63" bestFit="1" customWidth="1" outlineLevel="1"/>
    <col min="36" max="36" width="12.140625" style="63" bestFit="1" customWidth="1"/>
    <col min="37" max="40" width="12.140625" style="63" bestFit="1" customWidth="1" outlineLevel="1"/>
    <col min="41" max="41" width="12.140625" style="63" bestFit="1" customWidth="1"/>
    <col min="42" max="45" width="12.140625" style="63" bestFit="1" customWidth="1" outlineLevel="1"/>
    <col min="46" max="46" width="12.140625" style="63" bestFit="1" customWidth="1"/>
    <col min="47" max="50" width="12.140625" style="63" bestFit="1" customWidth="1" outlineLevel="1"/>
    <col min="51" max="51" width="12.140625" style="63" bestFit="1" customWidth="1"/>
    <col min="52" max="55" width="12.140625" style="63" bestFit="1" customWidth="1" outlineLevel="1"/>
    <col min="56" max="56" width="12.140625" style="63" bestFit="1" customWidth="1"/>
    <col min="57" max="59" width="12.140625" style="63" bestFit="1" customWidth="1" outlineLevel="1"/>
    <col min="60" max="60" width="12.140625" style="63" customWidth="1" outlineLevel="1"/>
    <col min="61" max="16384" width="9.140625" style="30"/>
  </cols>
  <sheetData>
    <row r="1" spans="1:60" ht="54.75" customHeight="1" thickBot="1" x14ac:dyDescent="0.3">
      <c r="A1" s="27"/>
      <c r="B1" s="28"/>
      <c r="C1" s="29"/>
      <c r="D1" s="29"/>
      <c r="E1" s="129"/>
      <c r="F1" s="91"/>
      <c r="G1" s="91"/>
      <c r="H1" s="91"/>
      <c r="I1" s="91"/>
      <c r="J1" s="91"/>
      <c r="K1" s="58"/>
      <c r="L1" s="91"/>
      <c r="M1" s="91"/>
      <c r="N1" s="91"/>
      <c r="O1" s="91"/>
      <c r="P1" s="58"/>
      <c r="Q1" s="91"/>
      <c r="R1" s="91"/>
      <c r="S1" s="91"/>
      <c r="T1" s="91"/>
      <c r="U1" s="58"/>
      <c r="V1" s="91"/>
      <c r="W1" s="91"/>
      <c r="X1" s="91"/>
      <c r="Y1" s="91"/>
      <c r="Z1" s="58"/>
      <c r="AA1" s="91"/>
      <c r="AB1" s="91"/>
      <c r="AC1" s="91"/>
      <c r="AD1" s="91"/>
      <c r="AE1" s="58"/>
      <c r="AF1" s="91"/>
      <c r="AG1" s="91"/>
      <c r="AH1" s="91"/>
      <c r="AI1" s="91"/>
      <c r="AJ1" s="58"/>
      <c r="AK1" s="91"/>
      <c r="AL1" s="91"/>
      <c r="AM1" s="91"/>
      <c r="AN1" s="91"/>
      <c r="AO1" s="58"/>
      <c r="AP1" s="91"/>
      <c r="AQ1" s="91"/>
      <c r="AR1" s="91"/>
      <c r="AS1" s="91"/>
      <c r="AT1" s="58"/>
      <c r="AU1" s="91"/>
      <c r="AV1" s="91"/>
      <c r="AW1" s="91"/>
      <c r="AX1" s="91"/>
      <c r="AY1" s="58"/>
      <c r="AZ1" s="91"/>
      <c r="BA1" s="91"/>
      <c r="BB1" s="91"/>
      <c r="BC1" s="91"/>
      <c r="BD1" s="58"/>
      <c r="BE1" s="91"/>
      <c r="BF1" s="91"/>
      <c r="BG1" s="91"/>
      <c r="BH1" s="91"/>
    </row>
    <row r="2" spans="1:60" ht="8.25" customHeight="1" x14ac:dyDescent="0.25">
      <c r="A2" s="27"/>
      <c r="B2" s="31"/>
      <c r="C2" s="27"/>
      <c r="D2" s="2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ht="21.95" customHeight="1" x14ac:dyDescent="0.25">
      <c r="A3" s="32"/>
      <c r="B3" s="123" t="s">
        <v>178</v>
      </c>
      <c r="C3" s="123"/>
      <c r="D3" s="33"/>
      <c r="E3" s="126" t="s">
        <v>182</v>
      </c>
      <c r="F3" s="17">
        <v>2020</v>
      </c>
      <c r="G3" s="17" t="s">
        <v>180</v>
      </c>
      <c r="H3" s="17" t="s">
        <v>179</v>
      </c>
      <c r="I3" s="17" t="s">
        <v>25</v>
      </c>
      <c r="J3" s="17" t="s">
        <v>26</v>
      </c>
      <c r="K3" s="17">
        <v>2019</v>
      </c>
      <c r="L3" s="17" t="s">
        <v>27</v>
      </c>
      <c r="M3" s="17" t="s">
        <v>28</v>
      </c>
      <c r="N3" s="17" t="s">
        <v>29</v>
      </c>
      <c r="O3" s="17" t="s">
        <v>30</v>
      </c>
      <c r="P3" s="17">
        <v>2018</v>
      </c>
      <c r="Q3" s="17" t="s">
        <v>31</v>
      </c>
      <c r="R3" s="17" t="s">
        <v>32</v>
      </c>
      <c r="S3" s="17" t="s">
        <v>33</v>
      </c>
      <c r="T3" s="17" t="s">
        <v>34</v>
      </c>
      <c r="U3" s="17">
        <v>2017</v>
      </c>
      <c r="V3" s="17" t="s">
        <v>35</v>
      </c>
      <c r="W3" s="17" t="s">
        <v>36</v>
      </c>
      <c r="X3" s="17" t="s">
        <v>37</v>
      </c>
      <c r="Y3" s="17" t="s">
        <v>38</v>
      </c>
      <c r="Z3" s="17">
        <v>2016</v>
      </c>
      <c r="AA3" s="17" t="s">
        <v>39</v>
      </c>
      <c r="AB3" s="17" t="s">
        <v>40</v>
      </c>
      <c r="AC3" s="17" t="s">
        <v>41</v>
      </c>
      <c r="AD3" s="17" t="s">
        <v>42</v>
      </c>
      <c r="AE3" s="17">
        <v>2015</v>
      </c>
      <c r="AF3" s="17" t="s">
        <v>43</v>
      </c>
      <c r="AG3" s="17" t="s">
        <v>44</v>
      </c>
      <c r="AH3" s="17" t="s">
        <v>45</v>
      </c>
      <c r="AI3" s="17" t="s">
        <v>46</v>
      </c>
      <c r="AJ3" s="17">
        <v>2014</v>
      </c>
      <c r="AK3" s="17" t="s">
        <v>47</v>
      </c>
      <c r="AL3" s="17" t="s">
        <v>48</v>
      </c>
      <c r="AM3" s="17" t="s">
        <v>49</v>
      </c>
      <c r="AN3" s="17" t="s">
        <v>50</v>
      </c>
      <c r="AO3" s="17">
        <v>2013</v>
      </c>
      <c r="AP3" s="17" t="s">
        <v>51</v>
      </c>
      <c r="AQ3" s="17" t="s">
        <v>52</v>
      </c>
      <c r="AR3" s="17" t="s">
        <v>53</v>
      </c>
      <c r="AS3" s="17" t="s">
        <v>54</v>
      </c>
      <c r="AT3" s="17">
        <v>2012</v>
      </c>
      <c r="AU3" s="17" t="s">
        <v>55</v>
      </c>
      <c r="AV3" s="17" t="s">
        <v>56</v>
      </c>
      <c r="AW3" s="17" t="s">
        <v>57</v>
      </c>
      <c r="AX3" s="17" t="s">
        <v>58</v>
      </c>
      <c r="AY3" s="17">
        <v>2011</v>
      </c>
      <c r="AZ3" s="17" t="s">
        <v>59</v>
      </c>
      <c r="BA3" s="17" t="s">
        <v>60</v>
      </c>
      <c r="BB3" s="17" t="s">
        <v>61</v>
      </c>
      <c r="BC3" s="17" t="s">
        <v>62</v>
      </c>
      <c r="BD3" s="17">
        <v>2010</v>
      </c>
      <c r="BE3" s="17" t="s">
        <v>63</v>
      </c>
      <c r="BF3" s="17" t="s">
        <v>64</v>
      </c>
      <c r="BG3" s="17" t="s">
        <v>65</v>
      </c>
      <c r="BH3" s="17" t="s">
        <v>66</v>
      </c>
    </row>
    <row r="4" spans="1:60" s="38" customFormat="1" ht="16.5" customHeight="1" x14ac:dyDescent="0.25">
      <c r="A4" s="34"/>
      <c r="B4" s="68" t="s">
        <v>99</v>
      </c>
      <c r="C4" s="69"/>
      <c r="D4" s="70"/>
      <c r="E4" s="79">
        <f t="shared" ref="E4" si="0">SUM(E5:E9)</f>
        <v>1611597</v>
      </c>
      <c r="F4" s="80">
        <v>1680830</v>
      </c>
      <c r="G4" s="79">
        <f t="shared" ref="G4" si="1">SUM(G5:G9)</f>
        <v>1680830</v>
      </c>
      <c r="H4" s="79">
        <v>1332510</v>
      </c>
      <c r="I4" s="79">
        <f t="shared" ref="I4:BC4" si="2">SUM(I5:I9)</f>
        <v>1372145</v>
      </c>
      <c r="J4" s="79">
        <f t="shared" si="2"/>
        <v>1428997</v>
      </c>
      <c r="K4" s="80">
        <f t="shared" si="2"/>
        <v>1428232</v>
      </c>
      <c r="L4" s="79">
        <f t="shared" si="2"/>
        <v>1428232</v>
      </c>
      <c r="M4" s="79">
        <f t="shared" si="2"/>
        <v>1470101</v>
      </c>
      <c r="N4" s="79">
        <f t="shared" si="2"/>
        <v>1053488</v>
      </c>
      <c r="O4" s="79">
        <f t="shared" si="2"/>
        <v>913047</v>
      </c>
      <c r="P4" s="80">
        <f t="shared" si="2"/>
        <v>848848</v>
      </c>
      <c r="Q4" s="79">
        <f t="shared" si="2"/>
        <v>848848</v>
      </c>
      <c r="R4" s="79">
        <f t="shared" si="2"/>
        <v>851439</v>
      </c>
      <c r="S4" s="79">
        <f t="shared" si="2"/>
        <v>752016</v>
      </c>
      <c r="T4" s="79">
        <f t="shared" si="2"/>
        <v>676203</v>
      </c>
      <c r="U4" s="80">
        <f t="shared" si="2"/>
        <v>669528</v>
      </c>
      <c r="V4" s="79">
        <f t="shared" si="2"/>
        <v>669528</v>
      </c>
      <c r="W4" s="79">
        <f t="shared" si="2"/>
        <v>584547</v>
      </c>
      <c r="X4" s="79">
        <f t="shared" si="2"/>
        <v>558884</v>
      </c>
      <c r="Y4" s="79">
        <f t="shared" si="2"/>
        <v>565994</v>
      </c>
      <c r="Z4" s="80">
        <f t="shared" si="2"/>
        <v>597062</v>
      </c>
      <c r="AA4" s="79">
        <f t="shared" si="2"/>
        <v>597062</v>
      </c>
      <c r="AB4" s="79">
        <f t="shared" si="2"/>
        <v>628450</v>
      </c>
      <c r="AC4" s="79">
        <f t="shared" si="2"/>
        <v>605078</v>
      </c>
      <c r="AD4" s="79">
        <f t="shared" si="2"/>
        <v>669278</v>
      </c>
      <c r="AE4" s="80">
        <f t="shared" si="2"/>
        <v>734987</v>
      </c>
      <c r="AF4" s="79">
        <f t="shared" si="2"/>
        <v>734987</v>
      </c>
      <c r="AG4" s="79">
        <f t="shared" si="2"/>
        <v>729594</v>
      </c>
      <c r="AH4" s="79">
        <f t="shared" si="2"/>
        <v>719888</v>
      </c>
      <c r="AI4" s="79">
        <f t="shared" si="2"/>
        <v>705354</v>
      </c>
      <c r="AJ4" s="80">
        <f t="shared" si="2"/>
        <v>812464</v>
      </c>
      <c r="AK4" s="79">
        <f t="shared" si="2"/>
        <v>812464</v>
      </c>
      <c r="AL4" s="79">
        <f t="shared" si="2"/>
        <v>721375</v>
      </c>
      <c r="AM4" s="79">
        <f t="shared" si="2"/>
        <v>821805</v>
      </c>
      <c r="AN4" s="79">
        <f t="shared" si="2"/>
        <v>841188</v>
      </c>
      <c r="AO4" s="80">
        <f t="shared" si="2"/>
        <v>964298</v>
      </c>
      <c r="AP4" s="79">
        <f t="shared" si="2"/>
        <v>964298</v>
      </c>
      <c r="AQ4" s="79">
        <f t="shared" si="2"/>
        <v>987819</v>
      </c>
      <c r="AR4" s="79">
        <f t="shared" si="2"/>
        <v>1223297</v>
      </c>
      <c r="AS4" s="79">
        <f t="shared" si="2"/>
        <v>1267948</v>
      </c>
      <c r="AT4" s="80">
        <f t="shared" si="2"/>
        <v>1275381</v>
      </c>
      <c r="AU4" s="79">
        <f t="shared" si="2"/>
        <v>1275381</v>
      </c>
      <c r="AV4" s="79">
        <f t="shared" si="2"/>
        <v>1294212</v>
      </c>
      <c r="AW4" s="79">
        <f t="shared" si="2"/>
        <v>1373965</v>
      </c>
      <c r="AX4" s="79">
        <f t="shared" si="2"/>
        <v>1396007</v>
      </c>
      <c r="AY4" s="80">
        <f t="shared" si="2"/>
        <v>1219460</v>
      </c>
      <c r="AZ4" s="79">
        <f t="shared" si="2"/>
        <v>1219460</v>
      </c>
      <c r="BA4" s="79">
        <f t="shared" si="2"/>
        <v>1337229</v>
      </c>
      <c r="BB4" s="79">
        <f t="shared" si="2"/>
        <v>1483669</v>
      </c>
      <c r="BC4" s="79">
        <f t="shared" si="2"/>
        <v>1455512</v>
      </c>
      <c r="BD4" s="80">
        <f>SUM(BD5:BD9)</f>
        <v>1481455</v>
      </c>
      <c r="BE4" s="79">
        <f>SUM(BE5:BE9)</f>
        <v>1481455</v>
      </c>
      <c r="BF4" s="79">
        <f>SUM(BF5:BF9)</f>
        <v>1469941</v>
      </c>
      <c r="BG4" s="79">
        <f>SUM(BG5:BG9)</f>
        <v>1368442</v>
      </c>
      <c r="BH4" s="79">
        <f>SUM(BH5:BH9)</f>
        <v>1233059</v>
      </c>
    </row>
    <row r="5" spans="1:60" ht="16.5" customHeight="1" x14ac:dyDescent="0.25">
      <c r="A5" s="27"/>
      <c r="B5" s="39" t="s">
        <v>100</v>
      </c>
      <c r="C5" s="40"/>
      <c r="D5" s="41"/>
      <c r="E5" s="115">
        <v>386904</v>
      </c>
      <c r="F5" s="114">
        <v>478720</v>
      </c>
      <c r="G5" s="115">
        <v>478720</v>
      </c>
      <c r="H5" s="83">
        <v>304632</v>
      </c>
      <c r="I5" s="83">
        <v>367564</v>
      </c>
      <c r="J5" s="83">
        <v>405052</v>
      </c>
      <c r="K5" s="82">
        <f>L5</f>
        <v>488058</v>
      </c>
      <c r="L5" s="83">
        <v>488058</v>
      </c>
      <c r="M5" s="83">
        <v>531927</v>
      </c>
      <c r="N5" s="83">
        <v>142714</v>
      </c>
      <c r="O5" s="83">
        <v>114932</v>
      </c>
      <c r="P5" s="82">
        <v>99436</v>
      </c>
      <c r="Q5" s="83">
        <v>99436</v>
      </c>
      <c r="R5" s="83">
        <v>90238</v>
      </c>
      <c r="S5" s="83">
        <v>74391</v>
      </c>
      <c r="T5" s="83">
        <v>98807</v>
      </c>
      <c r="U5" s="82">
        <v>89708</v>
      </c>
      <c r="V5" s="83">
        <v>89708</v>
      </c>
      <c r="W5" s="83">
        <v>71185</v>
      </c>
      <c r="X5" s="83">
        <v>27649</v>
      </c>
      <c r="Y5" s="83">
        <v>26942</v>
      </c>
      <c r="Z5" s="82">
        <v>23757</v>
      </c>
      <c r="AA5" s="83">
        <v>23757</v>
      </c>
      <c r="AB5" s="83">
        <v>28512</v>
      </c>
      <c r="AC5" s="83">
        <v>21674</v>
      </c>
      <c r="AD5" s="83">
        <v>41522</v>
      </c>
      <c r="AE5" s="82">
        <v>42614</v>
      </c>
      <c r="AF5" s="83">
        <v>42614</v>
      </c>
      <c r="AG5" s="83">
        <v>49128</v>
      </c>
      <c r="AH5" s="83">
        <v>40307</v>
      </c>
      <c r="AI5" s="83">
        <v>54343</v>
      </c>
      <c r="AJ5" s="82">
        <v>134141</v>
      </c>
      <c r="AK5" s="83">
        <v>134141</v>
      </c>
      <c r="AL5" s="83">
        <v>56187</v>
      </c>
      <c r="AM5" s="83">
        <v>117029</v>
      </c>
      <c r="AN5" s="83">
        <v>65206</v>
      </c>
      <c r="AO5" s="82">
        <v>135805</v>
      </c>
      <c r="AP5" s="83">
        <v>135805</v>
      </c>
      <c r="AQ5" s="83">
        <v>95881</v>
      </c>
      <c r="AR5" s="83">
        <v>211269</v>
      </c>
      <c r="AS5" s="83">
        <v>101964</v>
      </c>
      <c r="AT5" s="82">
        <v>148639</v>
      </c>
      <c r="AU5" s="83">
        <v>148639</v>
      </c>
      <c r="AV5" s="83">
        <v>136251</v>
      </c>
      <c r="AW5" s="83">
        <f>161414+45655</f>
        <v>207069</v>
      </c>
      <c r="AX5" s="83">
        <f>150414+47216</f>
        <v>197630</v>
      </c>
      <c r="AY5" s="82">
        <f>143844+63217</f>
        <v>207061</v>
      </c>
      <c r="AZ5" s="83">
        <f>143844+63217</f>
        <v>207061</v>
      </c>
      <c r="BA5" s="83">
        <f>102563+65321</f>
        <v>167884</v>
      </c>
      <c r="BB5" s="83">
        <f>188376+82966</f>
        <v>271342</v>
      </c>
      <c r="BC5" s="83">
        <f>189025+104554</f>
        <v>293579</v>
      </c>
      <c r="BD5" s="82">
        <f>247883+94010</f>
        <v>341893</v>
      </c>
      <c r="BE5" s="83">
        <v>341893</v>
      </c>
      <c r="BF5" s="83">
        <v>373327</v>
      </c>
      <c r="BG5" s="83">
        <v>421026</v>
      </c>
      <c r="BH5" s="83">
        <v>402453</v>
      </c>
    </row>
    <row r="6" spans="1:60" ht="16.5" customHeight="1" x14ac:dyDescent="0.25">
      <c r="A6" s="27"/>
      <c r="B6" s="42" t="s">
        <v>101</v>
      </c>
      <c r="C6" s="43"/>
      <c r="D6" s="44"/>
      <c r="E6" s="116">
        <v>492701</v>
      </c>
      <c r="F6" s="114">
        <v>518171</v>
      </c>
      <c r="G6" s="116">
        <v>518171</v>
      </c>
      <c r="H6" s="84">
        <v>421727</v>
      </c>
      <c r="I6" s="84">
        <v>443798</v>
      </c>
      <c r="J6" s="84">
        <v>417316</v>
      </c>
      <c r="K6" s="82">
        <f>L6</f>
        <v>394047</v>
      </c>
      <c r="L6" s="84">
        <v>394047</v>
      </c>
      <c r="M6" s="84">
        <v>417940</v>
      </c>
      <c r="N6" s="84">
        <v>380334</v>
      </c>
      <c r="O6" s="84">
        <v>367716</v>
      </c>
      <c r="P6" s="82">
        <v>313281</v>
      </c>
      <c r="Q6" s="84">
        <v>313281</v>
      </c>
      <c r="R6" s="84">
        <v>374315</v>
      </c>
      <c r="S6" s="84">
        <v>287084</v>
      </c>
      <c r="T6" s="84">
        <v>247279</v>
      </c>
      <c r="U6" s="82">
        <v>234425</v>
      </c>
      <c r="V6" s="84">
        <v>234425</v>
      </c>
      <c r="W6" s="84">
        <v>194838</v>
      </c>
      <c r="X6" s="84">
        <v>186559</v>
      </c>
      <c r="Y6" s="84">
        <v>209496</v>
      </c>
      <c r="Z6" s="82">
        <v>218511</v>
      </c>
      <c r="AA6" s="84">
        <v>218511</v>
      </c>
      <c r="AB6" s="84">
        <v>231619</v>
      </c>
      <c r="AC6" s="84">
        <v>247471</v>
      </c>
      <c r="AD6" s="84">
        <v>320164</v>
      </c>
      <c r="AE6" s="82">
        <v>362620</v>
      </c>
      <c r="AF6" s="84">
        <v>362620</v>
      </c>
      <c r="AG6" s="84">
        <v>364370</v>
      </c>
      <c r="AH6" s="84">
        <v>346888</v>
      </c>
      <c r="AI6" s="84">
        <v>332016</v>
      </c>
      <c r="AJ6" s="82">
        <v>341644</v>
      </c>
      <c r="AK6" s="84">
        <v>341644</v>
      </c>
      <c r="AL6" s="84">
        <v>330224</v>
      </c>
      <c r="AM6" s="84">
        <v>383852</v>
      </c>
      <c r="AN6" s="84">
        <v>460534</v>
      </c>
      <c r="AO6" s="82">
        <v>542605</v>
      </c>
      <c r="AP6" s="84">
        <v>542605</v>
      </c>
      <c r="AQ6" s="84">
        <v>615420</v>
      </c>
      <c r="AR6" s="84">
        <v>762448</v>
      </c>
      <c r="AS6" s="84">
        <v>879186</v>
      </c>
      <c r="AT6" s="82">
        <v>823093</v>
      </c>
      <c r="AU6" s="84">
        <v>823093</v>
      </c>
      <c r="AV6" s="84">
        <v>860766</v>
      </c>
      <c r="AW6" s="84">
        <v>875001</v>
      </c>
      <c r="AX6" s="84">
        <v>890532</v>
      </c>
      <c r="AY6" s="82">
        <v>698913</v>
      </c>
      <c r="AZ6" s="84">
        <v>698913</v>
      </c>
      <c r="BA6" s="84">
        <v>899252</v>
      </c>
      <c r="BB6" s="84">
        <v>911259</v>
      </c>
      <c r="BC6" s="84">
        <v>862023</v>
      </c>
      <c r="BD6" s="82">
        <v>847860</v>
      </c>
      <c r="BE6" s="84">
        <v>847860</v>
      </c>
      <c r="BF6" s="84">
        <v>813138</v>
      </c>
      <c r="BG6" s="84">
        <v>699452</v>
      </c>
      <c r="BH6" s="84">
        <v>615460</v>
      </c>
    </row>
    <row r="7" spans="1:60" ht="16.5" customHeight="1" x14ac:dyDescent="0.25">
      <c r="A7" s="27"/>
      <c r="B7" s="39" t="s">
        <v>102</v>
      </c>
      <c r="C7" s="40"/>
      <c r="D7" s="41"/>
      <c r="E7" s="115">
        <v>722373</v>
      </c>
      <c r="F7" s="114">
        <v>673219</v>
      </c>
      <c r="G7" s="115">
        <v>673219</v>
      </c>
      <c r="H7" s="83">
        <v>593615</v>
      </c>
      <c r="I7" s="83">
        <v>547582</v>
      </c>
      <c r="J7" s="83">
        <v>595002</v>
      </c>
      <c r="K7" s="82">
        <f>L7</f>
        <v>534064</v>
      </c>
      <c r="L7" s="83">
        <v>534064</v>
      </c>
      <c r="M7" s="83">
        <v>494315</v>
      </c>
      <c r="N7" s="83">
        <v>502927</v>
      </c>
      <c r="O7" s="83">
        <v>419424</v>
      </c>
      <c r="P7" s="82">
        <v>425660</v>
      </c>
      <c r="Q7" s="83">
        <v>425660</v>
      </c>
      <c r="R7" s="83">
        <v>376876</v>
      </c>
      <c r="S7" s="83">
        <v>381655</v>
      </c>
      <c r="T7" s="83">
        <v>318416</v>
      </c>
      <c r="U7" s="82">
        <v>336072</v>
      </c>
      <c r="V7" s="83">
        <v>336072</v>
      </c>
      <c r="W7" s="83">
        <v>309488</v>
      </c>
      <c r="X7" s="83">
        <v>334430</v>
      </c>
      <c r="Y7" s="83">
        <v>320405</v>
      </c>
      <c r="Z7" s="82">
        <v>346246</v>
      </c>
      <c r="AA7" s="83">
        <v>346246</v>
      </c>
      <c r="AB7" s="83">
        <v>357742</v>
      </c>
      <c r="AC7" s="83">
        <v>324608</v>
      </c>
      <c r="AD7" s="83">
        <v>295586</v>
      </c>
      <c r="AE7" s="82">
        <v>318446</v>
      </c>
      <c r="AF7" s="83">
        <v>318446</v>
      </c>
      <c r="AG7" s="83">
        <v>306505</v>
      </c>
      <c r="AH7" s="83">
        <v>321453</v>
      </c>
      <c r="AI7" s="83">
        <v>309187</v>
      </c>
      <c r="AJ7" s="82">
        <v>318172</v>
      </c>
      <c r="AK7" s="83">
        <v>318172</v>
      </c>
      <c r="AL7" s="83">
        <v>315398</v>
      </c>
      <c r="AM7" s="83">
        <v>301509</v>
      </c>
      <c r="AN7" s="83">
        <v>295776</v>
      </c>
      <c r="AO7" s="82">
        <v>263538</v>
      </c>
      <c r="AP7" s="83">
        <v>263538</v>
      </c>
      <c r="AQ7" s="83">
        <v>261016</v>
      </c>
      <c r="AR7" s="83">
        <v>239482</v>
      </c>
      <c r="AS7" s="83">
        <v>270779</v>
      </c>
      <c r="AT7" s="82">
        <v>285922</v>
      </c>
      <c r="AU7" s="83">
        <v>285922</v>
      </c>
      <c r="AV7" s="83">
        <v>275313</v>
      </c>
      <c r="AW7" s="83">
        <v>270139</v>
      </c>
      <c r="AX7" s="83">
        <v>278876</v>
      </c>
      <c r="AY7" s="82">
        <v>280242</v>
      </c>
      <c r="AZ7" s="83">
        <v>280242</v>
      </c>
      <c r="BA7" s="83">
        <v>243095</v>
      </c>
      <c r="BB7" s="83">
        <v>268240</v>
      </c>
      <c r="BC7" s="83">
        <v>277491</v>
      </c>
      <c r="BD7" s="82">
        <v>271010</v>
      </c>
      <c r="BE7" s="83">
        <v>271010</v>
      </c>
      <c r="BF7" s="83">
        <v>262333</v>
      </c>
      <c r="BG7" s="83">
        <v>229542</v>
      </c>
      <c r="BH7" s="83">
        <v>197386</v>
      </c>
    </row>
    <row r="8" spans="1:60" ht="16.5" customHeight="1" x14ac:dyDescent="0.25">
      <c r="A8" s="27"/>
      <c r="B8" s="42" t="s">
        <v>103</v>
      </c>
      <c r="C8" s="43"/>
      <c r="D8" s="44"/>
      <c r="E8" s="116">
        <v>6781</v>
      </c>
      <c r="F8" s="114">
        <v>8035</v>
      </c>
      <c r="G8" s="116">
        <v>8035</v>
      </c>
      <c r="H8" s="84">
        <v>9461</v>
      </c>
      <c r="I8" s="84">
        <v>10473</v>
      </c>
      <c r="J8" s="84">
        <v>9132</v>
      </c>
      <c r="K8" s="82">
        <f>L8</f>
        <v>10220</v>
      </c>
      <c r="L8" s="84">
        <v>10220</v>
      </c>
      <c r="M8" s="84">
        <v>24199</v>
      </c>
      <c r="N8" s="84">
        <v>25809</v>
      </c>
      <c r="O8" s="84">
        <v>9975</v>
      </c>
      <c r="P8" s="82">
        <v>9503</v>
      </c>
      <c r="Q8" s="84">
        <v>9503</v>
      </c>
      <c r="R8" s="84">
        <v>9108</v>
      </c>
      <c r="S8" s="84">
        <v>7995</v>
      </c>
      <c r="T8" s="84">
        <v>10869</v>
      </c>
      <c r="U8" s="82">
        <v>8642</v>
      </c>
      <c r="V8" s="84">
        <v>8642</v>
      </c>
      <c r="W8" s="84">
        <v>8377</v>
      </c>
      <c r="X8" s="84">
        <v>9461</v>
      </c>
      <c r="Y8" s="84">
        <v>8243</v>
      </c>
      <c r="Z8" s="82">
        <v>7316</v>
      </c>
      <c r="AA8" s="84">
        <v>7316</v>
      </c>
      <c r="AB8" s="84">
        <v>7857</v>
      </c>
      <c r="AC8" s="84">
        <v>8297</v>
      </c>
      <c r="AD8" s="84">
        <v>8970</v>
      </c>
      <c r="AE8" s="82">
        <v>7705</v>
      </c>
      <c r="AF8" s="84">
        <v>7705</v>
      </c>
      <c r="AG8" s="84">
        <v>6069</v>
      </c>
      <c r="AH8" s="84">
        <v>7583</v>
      </c>
      <c r="AI8" s="84">
        <v>6934</v>
      </c>
      <c r="AJ8" s="82">
        <v>15280</v>
      </c>
      <c r="AK8" s="84">
        <v>15280</v>
      </c>
      <c r="AL8" s="84">
        <v>16076</v>
      </c>
      <c r="AM8" s="84">
        <v>15528</v>
      </c>
      <c r="AN8" s="84">
        <v>15188</v>
      </c>
      <c r="AO8" s="82">
        <v>17290</v>
      </c>
      <c r="AP8" s="84">
        <v>17290</v>
      </c>
      <c r="AQ8" s="84">
        <v>10976</v>
      </c>
      <c r="AR8" s="84">
        <v>5479</v>
      </c>
      <c r="AS8" s="84">
        <v>11243</v>
      </c>
      <c r="AT8" s="82">
        <v>12475</v>
      </c>
      <c r="AU8" s="84">
        <v>12475</v>
      </c>
      <c r="AV8" s="84">
        <v>16096</v>
      </c>
      <c r="AW8" s="84">
        <v>15145</v>
      </c>
      <c r="AX8" s="84">
        <v>22180</v>
      </c>
      <c r="AY8" s="82">
        <v>26010</v>
      </c>
      <c r="AZ8" s="84">
        <v>26010</v>
      </c>
      <c r="BA8" s="84">
        <v>19015</v>
      </c>
      <c r="BB8" s="84">
        <v>24609</v>
      </c>
      <c r="BC8" s="84">
        <v>11008</v>
      </c>
      <c r="BD8" s="82">
        <v>10722</v>
      </c>
      <c r="BE8" s="84">
        <v>10722</v>
      </c>
      <c r="BF8" s="84">
        <v>12809</v>
      </c>
      <c r="BG8" s="84">
        <v>9605</v>
      </c>
      <c r="BH8" s="84">
        <v>8942</v>
      </c>
    </row>
    <row r="9" spans="1:60" ht="16.5" customHeight="1" x14ac:dyDescent="0.25">
      <c r="A9" s="27"/>
      <c r="B9" s="39" t="s">
        <v>104</v>
      </c>
      <c r="C9" s="40"/>
      <c r="D9" s="41"/>
      <c r="E9" s="115">
        <v>2838</v>
      </c>
      <c r="F9" s="114">
        <v>2685</v>
      </c>
      <c r="G9" s="115">
        <v>2685</v>
      </c>
      <c r="H9" s="83">
        <v>3075</v>
      </c>
      <c r="I9" s="83">
        <v>2728</v>
      </c>
      <c r="J9" s="83">
        <v>2495</v>
      </c>
      <c r="K9" s="82">
        <f>L9</f>
        <v>1843</v>
      </c>
      <c r="L9" s="83">
        <v>1843</v>
      </c>
      <c r="M9" s="83">
        <v>1720</v>
      </c>
      <c r="N9" s="83">
        <v>1704</v>
      </c>
      <c r="O9" s="83">
        <v>1000</v>
      </c>
      <c r="P9" s="82">
        <v>968</v>
      </c>
      <c r="Q9" s="83">
        <v>968</v>
      </c>
      <c r="R9" s="83">
        <v>902</v>
      </c>
      <c r="S9" s="83">
        <v>891</v>
      </c>
      <c r="T9" s="83">
        <v>832</v>
      </c>
      <c r="U9" s="82">
        <v>681</v>
      </c>
      <c r="V9" s="83">
        <v>681</v>
      </c>
      <c r="W9" s="83">
        <v>659</v>
      </c>
      <c r="X9" s="83">
        <v>785</v>
      </c>
      <c r="Y9" s="83">
        <v>908</v>
      </c>
      <c r="Z9" s="82">
        <v>1232</v>
      </c>
      <c r="AA9" s="83">
        <v>1232</v>
      </c>
      <c r="AB9" s="83">
        <v>2720</v>
      </c>
      <c r="AC9" s="83">
        <v>3028</v>
      </c>
      <c r="AD9" s="83">
        <v>3036</v>
      </c>
      <c r="AE9" s="82">
        <v>3602</v>
      </c>
      <c r="AF9" s="83">
        <v>3602</v>
      </c>
      <c r="AG9" s="83">
        <v>3522</v>
      </c>
      <c r="AH9" s="83">
        <v>3657</v>
      </c>
      <c r="AI9" s="83">
        <v>2874</v>
      </c>
      <c r="AJ9" s="82">
        <v>3227</v>
      </c>
      <c r="AK9" s="83">
        <v>3227</v>
      </c>
      <c r="AL9" s="83">
        <v>3490</v>
      </c>
      <c r="AM9" s="83">
        <v>3887</v>
      </c>
      <c r="AN9" s="83">
        <v>4484</v>
      </c>
      <c r="AO9" s="82">
        <v>5060</v>
      </c>
      <c r="AP9" s="83">
        <v>5060</v>
      </c>
      <c r="AQ9" s="83">
        <v>4526</v>
      </c>
      <c r="AR9" s="83">
        <v>4619</v>
      </c>
      <c r="AS9" s="83">
        <v>4776</v>
      </c>
      <c r="AT9" s="82">
        <v>5252</v>
      </c>
      <c r="AU9" s="83">
        <v>5252</v>
      </c>
      <c r="AV9" s="83">
        <v>5786</v>
      </c>
      <c r="AW9" s="83">
        <v>6611</v>
      </c>
      <c r="AX9" s="83">
        <v>6789</v>
      </c>
      <c r="AY9" s="82">
        <v>7234</v>
      </c>
      <c r="AZ9" s="83">
        <v>7234</v>
      </c>
      <c r="BA9" s="83">
        <v>7983</v>
      </c>
      <c r="BB9" s="83">
        <v>8219</v>
      </c>
      <c r="BC9" s="83">
        <v>11411</v>
      </c>
      <c r="BD9" s="82">
        <v>9970</v>
      </c>
      <c r="BE9" s="83">
        <v>9970</v>
      </c>
      <c r="BF9" s="83">
        <v>8334</v>
      </c>
      <c r="BG9" s="83">
        <v>8817</v>
      </c>
      <c r="BH9" s="83">
        <v>8818</v>
      </c>
    </row>
    <row r="10" spans="1:60" s="38" customFormat="1" ht="16.5" customHeight="1" x14ac:dyDescent="0.25">
      <c r="A10" s="34"/>
      <c r="B10" s="68" t="s">
        <v>105</v>
      </c>
      <c r="C10" s="69"/>
      <c r="D10" s="70"/>
      <c r="E10" s="79">
        <f>E11+E18</f>
        <v>556035</v>
      </c>
      <c r="F10" s="80">
        <v>496071</v>
      </c>
      <c r="G10" s="79">
        <f>G11+G18</f>
        <v>496071</v>
      </c>
      <c r="H10" s="79">
        <v>607036</v>
      </c>
      <c r="I10" s="79">
        <f>I11+I18</f>
        <v>587949</v>
      </c>
      <c r="J10" s="79">
        <f>J11+J18</f>
        <v>439282</v>
      </c>
      <c r="K10" s="80">
        <f t="shared" ref="K10:AP10" si="3">K11+K18</f>
        <v>370275</v>
      </c>
      <c r="L10" s="79">
        <f t="shared" si="3"/>
        <v>370275</v>
      </c>
      <c r="M10" s="79">
        <f t="shared" si="3"/>
        <v>222983</v>
      </c>
      <c r="N10" s="79">
        <f t="shared" si="3"/>
        <v>193879</v>
      </c>
      <c r="O10" s="79">
        <f t="shared" si="3"/>
        <v>258444</v>
      </c>
      <c r="P10" s="80">
        <f t="shared" si="3"/>
        <v>238235</v>
      </c>
      <c r="Q10" s="79">
        <f t="shared" si="3"/>
        <v>238235</v>
      </c>
      <c r="R10" s="79">
        <f t="shared" si="3"/>
        <v>201147</v>
      </c>
      <c r="S10" s="79">
        <f t="shared" si="3"/>
        <v>276373</v>
      </c>
      <c r="T10" s="79">
        <f t="shared" si="3"/>
        <v>289124</v>
      </c>
      <c r="U10" s="80">
        <f t="shared" si="3"/>
        <v>269962</v>
      </c>
      <c r="V10" s="79">
        <f t="shared" si="3"/>
        <v>269962</v>
      </c>
      <c r="W10" s="79">
        <f t="shared" si="3"/>
        <v>304028</v>
      </c>
      <c r="X10" s="79">
        <f t="shared" si="3"/>
        <v>289621</v>
      </c>
      <c r="Y10" s="79">
        <f t="shared" si="3"/>
        <v>289027</v>
      </c>
      <c r="Z10" s="80">
        <f t="shared" si="3"/>
        <v>274003</v>
      </c>
      <c r="AA10" s="79">
        <f t="shared" si="3"/>
        <v>274003</v>
      </c>
      <c r="AB10" s="79">
        <f t="shared" si="3"/>
        <v>260306</v>
      </c>
      <c r="AC10" s="79">
        <f t="shared" si="3"/>
        <v>250247</v>
      </c>
      <c r="AD10" s="79">
        <f t="shared" si="3"/>
        <v>258749</v>
      </c>
      <c r="AE10" s="80">
        <f t="shared" si="3"/>
        <v>224661</v>
      </c>
      <c r="AF10" s="79">
        <f t="shared" si="3"/>
        <v>224661</v>
      </c>
      <c r="AG10" s="79">
        <f t="shared" si="3"/>
        <v>250601</v>
      </c>
      <c r="AH10" s="79">
        <f t="shared" si="3"/>
        <v>262278</v>
      </c>
      <c r="AI10" s="79">
        <f t="shared" si="3"/>
        <v>283266</v>
      </c>
      <c r="AJ10" s="80">
        <f t="shared" si="3"/>
        <v>290129</v>
      </c>
      <c r="AK10" s="79">
        <f t="shared" si="3"/>
        <v>290129</v>
      </c>
      <c r="AL10" s="79">
        <f t="shared" si="3"/>
        <v>323881</v>
      </c>
      <c r="AM10" s="79">
        <f t="shared" si="3"/>
        <v>305219</v>
      </c>
      <c r="AN10" s="79">
        <f t="shared" si="3"/>
        <v>290989</v>
      </c>
      <c r="AO10" s="80">
        <f t="shared" si="3"/>
        <v>274228</v>
      </c>
      <c r="AP10" s="79">
        <f t="shared" si="3"/>
        <v>274228</v>
      </c>
      <c r="AQ10" s="79">
        <f t="shared" ref="AQ10:BH10" si="4">AQ11+AQ18</f>
        <v>312565</v>
      </c>
      <c r="AR10" s="79">
        <f t="shared" si="4"/>
        <v>292529</v>
      </c>
      <c r="AS10" s="79">
        <f t="shared" si="4"/>
        <v>266640</v>
      </c>
      <c r="AT10" s="80">
        <f t="shared" si="4"/>
        <v>192004</v>
      </c>
      <c r="AU10" s="79">
        <f t="shared" si="4"/>
        <v>192004</v>
      </c>
      <c r="AV10" s="79">
        <f t="shared" si="4"/>
        <v>180871</v>
      </c>
      <c r="AW10" s="79">
        <f t="shared" si="4"/>
        <v>202778</v>
      </c>
      <c r="AX10" s="79">
        <f t="shared" si="4"/>
        <v>203808</v>
      </c>
      <c r="AY10" s="80">
        <f t="shared" si="4"/>
        <v>445259</v>
      </c>
      <c r="AZ10" s="79">
        <f t="shared" si="4"/>
        <v>445259</v>
      </c>
      <c r="BA10" s="79">
        <f t="shared" si="4"/>
        <v>346621</v>
      </c>
      <c r="BB10" s="79">
        <f t="shared" si="4"/>
        <v>329660</v>
      </c>
      <c r="BC10" s="79">
        <f t="shared" si="4"/>
        <v>357805</v>
      </c>
      <c r="BD10" s="80">
        <f t="shared" si="4"/>
        <v>318241</v>
      </c>
      <c r="BE10" s="79">
        <f t="shared" si="4"/>
        <v>318241</v>
      </c>
      <c r="BF10" s="79">
        <f t="shared" si="4"/>
        <v>208467</v>
      </c>
      <c r="BG10" s="79">
        <f t="shared" si="4"/>
        <v>208643</v>
      </c>
      <c r="BH10" s="79">
        <f t="shared" si="4"/>
        <v>212433</v>
      </c>
    </row>
    <row r="11" spans="1:60" s="38" customFormat="1" ht="16.5" customHeight="1" x14ac:dyDescent="0.25">
      <c r="A11" s="34"/>
      <c r="B11" s="74" t="s">
        <v>111</v>
      </c>
      <c r="C11" s="75"/>
      <c r="D11" s="76"/>
      <c r="E11" s="92">
        <f>SUM(E12:E17)</f>
        <v>472317</v>
      </c>
      <c r="F11" s="93">
        <v>410830</v>
      </c>
      <c r="G11" s="92">
        <f>SUM(G12:G17)</f>
        <v>410830</v>
      </c>
      <c r="H11" s="92">
        <v>524609</v>
      </c>
      <c r="I11" s="92">
        <f>SUM(I12:I17)</f>
        <v>505055</v>
      </c>
      <c r="J11" s="92">
        <f>SUM(J12:J17)</f>
        <v>362379</v>
      </c>
      <c r="K11" s="93">
        <f t="shared" ref="K11:BC11" si="5">SUM(K12:K17)</f>
        <v>299503</v>
      </c>
      <c r="L11" s="92">
        <f t="shared" si="5"/>
        <v>299503</v>
      </c>
      <c r="M11" s="92">
        <f t="shared" si="5"/>
        <v>172943</v>
      </c>
      <c r="N11" s="92">
        <f t="shared" si="5"/>
        <v>146318</v>
      </c>
      <c r="O11" s="92">
        <f t="shared" si="5"/>
        <v>215736</v>
      </c>
      <c r="P11" s="93">
        <f t="shared" si="5"/>
        <v>204711</v>
      </c>
      <c r="Q11" s="92">
        <f t="shared" si="5"/>
        <v>204711</v>
      </c>
      <c r="R11" s="92">
        <f t="shared" si="5"/>
        <v>169311</v>
      </c>
      <c r="S11" s="92">
        <f t="shared" si="5"/>
        <v>242296</v>
      </c>
      <c r="T11" s="92">
        <f t="shared" si="5"/>
        <v>255723</v>
      </c>
      <c r="U11" s="93">
        <f t="shared" si="5"/>
        <v>236192</v>
      </c>
      <c r="V11" s="92">
        <f t="shared" si="5"/>
        <v>236192</v>
      </c>
      <c r="W11" s="92">
        <f t="shared" si="5"/>
        <v>270505</v>
      </c>
      <c r="X11" s="92">
        <f t="shared" si="5"/>
        <v>256253</v>
      </c>
      <c r="Y11" s="92">
        <f t="shared" si="5"/>
        <v>256172</v>
      </c>
      <c r="Z11" s="93">
        <f t="shared" si="5"/>
        <v>244050</v>
      </c>
      <c r="AA11" s="92">
        <f t="shared" si="5"/>
        <v>244050</v>
      </c>
      <c r="AB11" s="92">
        <f t="shared" si="5"/>
        <v>233121</v>
      </c>
      <c r="AC11" s="92">
        <f t="shared" si="5"/>
        <v>217637</v>
      </c>
      <c r="AD11" s="92">
        <f t="shared" si="5"/>
        <v>227151</v>
      </c>
      <c r="AE11" s="93">
        <f t="shared" si="5"/>
        <v>191912</v>
      </c>
      <c r="AF11" s="92">
        <f t="shared" si="5"/>
        <v>191912</v>
      </c>
      <c r="AG11" s="92">
        <f t="shared" si="5"/>
        <v>211171</v>
      </c>
      <c r="AH11" s="92">
        <f t="shared" si="5"/>
        <v>217532</v>
      </c>
      <c r="AI11" s="92">
        <f t="shared" si="5"/>
        <v>237615</v>
      </c>
      <c r="AJ11" s="93">
        <f t="shared" si="5"/>
        <v>240004</v>
      </c>
      <c r="AK11" s="92">
        <f t="shared" si="5"/>
        <v>240004</v>
      </c>
      <c r="AL11" s="92">
        <f t="shared" si="5"/>
        <v>265112</v>
      </c>
      <c r="AM11" s="92">
        <f t="shared" si="5"/>
        <v>241232</v>
      </c>
      <c r="AN11" s="92">
        <f t="shared" si="5"/>
        <v>222664</v>
      </c>
      <c r="AO11" s="93">
        <f t="shared" si="5"/>
        <v>204889</v>
      </c>
      <c r="AP11" s="92">
        <f t="shared" si="5"/>
        <v>204889</v>
      </c>
      <c r="AQ11" s="92">
        <f t="shared" si="5"/>
        <v>237178</v>
      </c>
      <c r="AR11" s="92">
        <f t="shared" si="5"/>
        <v>218465</v>
      </c>
      <c r="AS11" s="92">
        <f t="shared" si="5"/>
        <v>189227</v>
      </c>
      <c r="AT11" s="93">
        <f t="shared" si="5"/>
        <v>178255</v>
      </c>
      <c r="AU11" s="92">
        <f t="shared" si="5"/>
        <v>178255</v>
      </c>
      <c r="AV11" s="92">
        <f t="shared" si="5"/>
        <v>166858</v>
      </c>
      <c r="AW11" s="92">
        <f t="shared" si="5"/>
        <v>190170</v>
      </c>
      <c r="AX11" s="92">
        <f t="shared" si="5"/>
        <v>189975</v>
      </c>
      <c r="AY11" s="93">
        <f t="shared" si="5"/>
        <v>430120</v>
      </c>
      <c r="AZ11" s="92">
        <f t="shared" si="5"/>
        <v>430120</v>
      </c>
      <c r="BA11" s="92">
        <f t="shared" si="5"/>
        <v>329431</v>
      </c>
      <c r="BB11" s="92">
        <f t="shared" si="5"/>
        <v>311491</v>
      </c>
      <c r="BC11" s="92">
        <f t="shared" si="5"/>
        <v>338112</v>
      </c>
      <c r="BD11" s="93">
        <f>SUM(BD12:BD17)</f>
        <v>297534</v>
      </c>
      <c r="BE11" s="92">
        <v>297534</v>
      </c>
      <c r="BF11" s="92">
        <f>SUM(BF12:BF17)</f>
        <v>189233</v>
      </c>
      <c r="BG11" s="92">
        <f>SUM(BG12:BG17)</f>
        <v>188323</v>
      </c>
      <c r="BH11" s="92">
        <f>SUM(BH12:BH17)</f>
        <v>191522</v>
      </c>
    </row>
    <row r="12" spans="1:60" ht="16.5" customHeight="1" x14ac:dyDescent="0.25">
      <c r="A12" s="27"/>
      <c r="B12" s="42" t="s">
        <v>110</v>
      </c>
      <c r="C12" s="43"/>
      <c r="D12" s="44"/>
      <c r="E12" s="116" t="s">
        <v>1</v>
      </c>
      <c r="F12" s="114" t="s">
        <v>1</v>
      </c>
      <c r="G12" s="116" t="s">
        <v>1</v>
      </c>
      <c r="H12" s="84" t="s">
        <v>1</v>
      </c>
      <c r="I12" s="84" t="s">
        <v>1</v>
      </c>
      <c r="J12" s="84" t="s">
        <v>1</v>
      </c>
      <c r="K12" s="82" t="s">
        <v>1</v>
      </c>
      <c r="L12" s="84" t="s">
        <v>1</v>
      </c>
      <c r="M12" s="84" t="s">
        <v>1</v>
      </c>
      <c r="N12" s="84" t="s">
        <v>1</v>
      </c>
      <c r="O12" s="84" t="s">
        <v>1</v>
      </c>
      <c r="P12" s="82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2" t="s">
        <v>1</v>
      </c>
      <c r="V12" s="84" t="s">
        <v>1</v>
      </c>
      <c r="W12" s="84" t="s">
        <v>1</v>
      </c>
      <c r="X12" s="84" t="s">
        <v>1</v>
      </c>
      <c r="Y12" s="84" t="s">
        <v>1</v>
      </c>
      <c r="Z12" s="82" t="s">
        <v>1</v>
      </c>
      <c r="AA12" s="84" t="s">
        <v>1</v>
      </c>
      <c r="AB12" s="84" t="s">
        <v>1</v>
      </c>
      <c r="AC12" s="84" t="s">
        <v>1</v>
      </c>
      <c r="AD12" s="84" t="s">
        <v>1</v>
      </c>
      <c r="AE12" s="82" t="s">
        <v>1</v>
      </c>
      <c r="AF12" s="84" t="s">
        <v>1</v>
      </c>
      <c r="AG12" s="84" t="s">
        <v>1</v>
      </c>
      <c r="AH12" s="84" t="s">
        <v>1</v>
      </c>
      <c r="AI12" s="84" t="s">
        <v>1</v>
      </c>
      <c r="AJ12" s="82" t="s">
        <v>1</v>
      </c>
      <c r="AK12" s="84" t="s">
        <v>1</v>
      </c>
      <c r="AL12" s="84" t="s">
        <v>1</v>
      </c>
      <c r="AM12" s="84" t="s">
        <v>1</v>
      </c>
      <c r="AN12" s="84" t="s">
        <v>1</v>
      </c>
      <c r="AO12" s="82" t="s">
        <v>1</v>
      </c>
      <c r="AP12" s="84" t="s">
        <v>1</v>
      </c>
      <c r="AQ12" s="84" t="s">
        <v>1</v>
      </c>
      <c r="AR12" s="84" t="s">
        <v>1</v>
      </c>
      <c r="AS12" s="84" t="s">
        <v>1</v>
      </c>
      <c r="AT12" s="82" t="s">
        <v>1</v>
      </c>
      <c r="AU12" s="84" t="s">
        <v>1</v>
      </c>
      <c r="AV12" s="84">
        <v>232</v>
      </c>
      <c r="AW12" s="84">
        <v>6845</v>
      </c>
      <c r="AX12" s="84">
        <v>19030</v>
      </c>
      <c r="AY12" s="82">
        <v>26565</v>
      </c>
      <c r="AZ12" s="84">
        <v>26565</v>
      </c>
      <c r="BA12" s="84">
        <v>54496</v>
      </c>
      <c r="BB12" s="84">
        <v>73944</v>
      </c>
      <c r="BC12" s="84">
        <v>73463</v>
      </c>
      <c r="BD12" s="82">
        <v>94101</v>
      </c>
      <c r="BE12" s="84">
        <v>94101</v>
      </c>
      <c r="BF12" s="84">
        <v>1206</v>
      </c>
      <c r="BG12" s="84">
        <v>1363</v>
      </c>
      <c r="BH12" s="84">
        <v>2001</v>
      </c>
    </row>
    <row r="13" spans="1:60" ht="16.5" customHeight="1" x14ac:dyDescent="0.25">
      <c r="A13" s="27"/>
      <c r="B13" s="39" t="s">
        <v>101</v>
      </c>
      <c r="C13" s="40"/>
      <c r="D13" s="41"/>
      <c r="E13" s="115">
        <v>103314</v>
      </c>
      <c r="F13" s="114">
        <v>89617</v>
      </c>
      <c r="G13" s="115">
        <v>89617</v>
      </c>
      <c r="H13" s="83">
        <v>162313</v>
      </c>
      <c r="I13" s="83">
        <v>124196</v>
      </c>
      <c r="J13" s="83">
        <v>100207</v>
      </c>
      <c r="K13" s="82">
        <f>L13</f>
        <v>121381</v>
      </c>
      <c r="L13" s="83">
        <v>121381</v>
      </c>
      <c r="M13" s="83">
        <v>96022</v>
      </c>
      <c r="N13" s="83">
        <v>65373</v>
      </c>
      <c r="O13" s="83">
        <v>69717</v>
      </c>
      <c r="P13" s="82">
        <v>101628</v>
      </c>
      <c r="Q13" s="83">
        <v>101628</v>
      </c>
      <c r="R13" s="83">
        <v>67461</v>
      </c>
      <c r="S13" s="83">
        <v>140876</v>
      </c>
      <c r="T13" s="83">
        <v>152698</v>
      </c>
      <c r="U13" s="82">
        <v>128680</v>
      </c>
      <c r="V13" s="83">
        <v>128680</v>
      </c>
      <c r="W13" s="83">
        <v>150524</v>
      </c>
      <c r="X13" s="83">
        <v>131944</v>
      </c>
      <c r="Y13" s="83">
        <v>117213</v>
      </c>
      <c r="Z13" s="82">
        <v>104163</v>
      </c>
      <c r="AA13" s="83">
        <v>104163</v>
      </c>
      <c r="AB13" s="83">
        <v>121935</v>
      </c>
      <c r="AC13" s="83">
        <v>115401</v>
      </c>
      <c r="AD13" s="83">
        <v>87017</v>
      </c>
      <c r="AE13" s="82">
        <v>75606</v>
      </c>
      <c r="AF13" s="83">
        <v>75606</v>
      </c>
      <c r="AG13" s="83">
        <v>80291</v>
      </c>
      <c r="AH13" s="83">
        <v>56391</v>
      </c>
      <c r="AI13" s="83">
        <v>83560</v>
      </c>
      <c r="AJ13" s="82">
        <v>93167</v>
      </c>
      <c r="AK13" s="83">
        <v>93167</v>
      </c>
      <c r="AL13" s="83">
        <v>136344</v>
      </c>
      <c r="AM13" s="83">
        <v>114827</v>
      </c>
      <c r="AN13" s="83">
        <v>96346</v>
      </c>
      <c r="AO13" s="82">
        <v>64390</v>
      </c>
      <c r="AP13" s="83">
        <v>64390</v>
      </c>
      <c r="AQ13" s="83">
        <v>84845</v>
      </c>
      <c r="AR13" s="83">
        <v>70106</v>
      </c>
      <c r="AS13" s="83">
        <v>58912</v>
      </c>
      <c r="AT13" s="82">
        <v>61733</v>
      </c>
      <c r="AU13" s="83">
        <v>61733</v>
      </c>
      <c r="AV13" s="83">
        <v>57050</v>
      </c>
      <c r="AW13" s="83">
        <v>70594</v>
      </c>
      <c r="AX13" s="83">
        <v>66041</v>
      </c>
      <c r="AY13" s="82">
        <v>295610</v>
      </c>
      <c r="AZ13" s="83">
        <v>295610</v>
      </c>
      <c r="BA13" s="83">
        <v>141480</v>
      </c>
      <c r="BB13" s="83">
        <v>153356</v>
      </c>
      <c r="BC13" s="83">
        <v>196303</v>
      </c>
      <c r="BD13" s="82">
        <v>138860</v>
      </c>
      <c r="BE13" s="83">
        <v>138860</v>
      </c>
      <c r="BF13" s="83">
        <v>133679</v>
      </c>
      <c r="BG13" s="83">
        <v>122159</v>
      </c>
      <c r="BH13" s="83">
        <v>101085</v>
      </c>
    </row>
    <row r="14" spans="1:60" ht="16.5" customHeight="1" x14ac:dyDescent="0.25">
      <c r="A14" s="27"/>
      <c r="B14" s="42" t="s">
        <v>102</v>
      </c>
      <c r="C14" s="43"/>
      <c r="D14" s="44"/>
      <c r="E14" s="116">
        <v>335114</v>
      </c>
      <c r="F14" s="114">
        <v>286280</v>
      </c>
      <c r="G14" s="116">
        <v>286280</v>
      </c>
      <c r="H14" s="84">
        <v>327025</v>
      </c>
      <c r="I14" s="84">
        <v>347059</v>
      </c>
      <c r="J14" s="84">
        <v>226021</v>
      </c>
      <c r="K14" s="82">
        <f>L14</f>
        <v>140868</v>
      </c>
      <c r="L14" s="84">
        <v>140868</v>
      </c>
      <c r="M14" s="84">
        <v>44991</v>
      </c>
      <c r="N14" s="84">
        <v>44602</v>
      </c>
      <c r="O14" s="84">
        <v>96869</v>
      </c>
      <c r="P14" s="82">
        <v>50645</v>
      </c>
      <c r="Q14" s="84">
        <v>50645</v>
      </c>
      <c r="R14" s="84">
        <v>49585</v>
      </c>
      <c r="S14" s="84">
        <v>48480</v>
      </c>
      <c r="T14" s="84">
        <v>51275</v>
      </c>
      <c r="U14" s="82">
        <v>54167</v>
      </c>
      <c r="V14" s="84">
        <v>54167</v>
      </c>
      <c r="W14" s="84">
        <v>65978</v>
      </c>
      <c r="X14" s="84">
        <v>64936</v>
      </c>
      <c r="Y14" s="84">
        <v>77845</v>
      </c>
      <c r="Z14" s="82">
        <v>74438</v>
      </c>
      <c r="AA14" s="84">
        <v>74438</v>
      </c>
      <c r="AB14" s="84">
        <v>49834</v>
      </c>
      <c r="AC14" s="84">
        <v>54110</v>
      </c>
      <c r="AD14" s="84">
        <v>105346</v>
      </c>
      <c r="AE14" s="82">
        <v>85599</v>
      </c>
      <c r="AF14" s="84">
        <v>85599</v>
      </c>
      <c r="AG14" s="84">
        <v>100882</v>
      </c>
      <c r="AH14" s="84">
        <v>119851</v>
      </c>
      <c r="AI14" s="84">
        <v>116435</v>
      </c>
      <c r="AJ14" s="82">
        <v>111242</v>
      </c>
      <c r="AK14" s="84">
        <v>111242</v>
      </c>
      <c r="AL14" s="84">
        <v>102216</v>
      </c>
      <c r="AM14" s="84">
        <v>99180</v>
      </c>
      <c r="AN14" s="84">
        <v>86032</v>
      </c>
      <c r="AO14" s="82">
        <v>93984</v>
      </c>
      <c r="AP14" s="84">
        <v>93984</v>
      </c>
      <c r="AQ14" s="84">
        <v>101205</v>
      </c>
      <c r="AR14" s="84">
        <v>95915</v>
      </c>
      <c r="AS14" s="84">
        <v>90135</v>
      </c>
      <c r="AT14" s="82">
        <v>92782</v>
      </c>
      <c r="AU14" s="84">
        <v>92782</v>
      </c>
      <c r="AV14" s="84">
        <v>91579</v>
      </c>
      <c r="AW14" s="84">
        <v>94303</v>
      </c>
      <c r="AX14" s="84">
        <v>87805</v>
      </c>
      <c r="AY14" s="82">
        <v>86649</v>
      </c>
      <c r="AZ14" s="84">
        <v>86649</v>
      </c>
      <c r="BA14" s="84">
        <v>117282</v>
      </c>
      <c r="BB14" s="84">
        <v>59905</v>
      </c>
      <c r="BC14" s="84">
        <v>55493</v>
      </c>
      <c r="BD14" s="82">
        <v>50973</v>
      </c>
      <c r="BE14" s="84">
        <v>50973</v>
      </c>
      <c r="BF14" s="84">
        <v>43487</v>
      </c>
      <c r="BG14" s="84">
        <v>50803</v>
      </c>
      <c r="BH14" s="84">
        <v>65517</v>
      </c>
    </row>
    <row r="15" spans="1:60" ht="16.5" customHeight="1" x14ac:dyDescent="0.25">
      <c r="A15" s="27"/>
      <c r="B15" s="39" t="s">
        <v>109</v>
      </c>
      <c r="C15" s="40"/>
      <c r="D15" s="41"/>
      <c r="E15" s="115">
        <v>29959</v>
      </c>
      <c r="F15" s="114">
        <v>28874</v>
      </c>
      <c r="G15" s="115">
        <v>28874</v>
      </c>
      <c r="H15" s="83">
        <v>27218</v>
      </c>
      <c r="I15" s="83">
        <v>23476</v>
      </c>
      <c r="J15" s="83">
        <v>24807</v>
      </c>
      <c r="K15" s="82">
        <f>L15</f>
        <v>25399</v>
      </c>
      <c r="L15" s="83">
        <v>25399</v>
      </c>
      <c r="M15" s="83">
        <v>19583</v>
      </c>
      <c r="N15" s="83">
        <v>23942</v>
      </c>
      <c r="O15" s="83">
        <v>20073</v>
      </c>
      <c r="P15" s="82">
        <v>23017</v>
      </c>
      <c r="Q15" s="83">
        <v>23017</v>
      </c>
      <c r="R15" s="83">
        <v>21928</v>
      </c>
      <c r="S15" s="83">
        <v>19430</v>
      </c>
      <c r="T15" s="83">
        <v>20990</v>
      </c>
      <c r="U15" s="82">
        <v>22913</v>
      </c>
      <c r="V15" s="83">
        <v>22913</v>
      </c>
      <c r="W15" s="83">
        <v>21164</v>
      </c>
      <c r="X15" s="83">
        <v>24999</v>
      </c>
      <c r="Y15" s="83">
        <v>25381</v>
      </c>
      <c r="Z15" s="82">
        <v>30022</v>
      </c>
      <c r="AA15" s="83">
        <v>30022</v>
      </c>
      <c r="AB15" s="83">
        <v>30912</v>
      </c>
      <c r="AC15" s="83">
        <v>18343</v>
      </c>
      <c r="AD15" s="83">
        <v>26270</v>
      </c>
      <c r="AE15" s="82">
        <v>22846</v>
      </c>
      <c r="AF15" s="83">
        <v>22846</v>
      </c>
      <c r="AG15" s="83">
        <v>20547</v>
      </c>
      <c r="AH15" s="83">
        <v>32029</v>
      </c>
      <c r="AI15" s="83">
        <v>28300</v>
      </c>
      <c r="AJ15" s="82">
        <v>26404</v>
      </c>
      <c r="AK15" s="83">
        <v>26404</v>
      </c>
      <c r="AL15" s="83">
        <v>17894</v>
      </c>
      <c r="AM15" s="83">
        <v>18819</v>
      </c>
      <c r="AN15" s="83">
        <v>30870</v>
      </c>
      <c r="AO15" s="82">
        <v>37549</v>
      </c>
      <c r="AP15" s="83">
        <v>37549</v>
      </c>
      <c r="AQ15" s="83">
        <v>34606</v>
      </c>
      <c r="AR15" s="83">
        <v>36465</v>
      </c>
      <c r="AS15" s="83">
        <v>24031</v>
      </c>
      <c r="AT15" s="82">
        <v>8220</v>
      </c>
      <c r="AU15" s="83">
        <v>8220</v>
      </c>
      <c r="AV15" s="83">
        <v>1735</v>
      </c>
      <c r="AW15" s="83">
        <v>4909</v>
      </c>
      <c r="AX15" s="83">
        <v>4059</v>
      </c>
      <c r="AY15" s="82">
        <v>8492</v>
      </c>
      <c r="AZ15" s="83">
        <v>8492</v>
      </c>
      <c r="BA15" s="83">
        <v>7681</v>
      </c>
      <c r="BB15" s="83">
        <v>10572</v>
      </c>
      <c r="BC15" s="83">
        <v>10002</v>
      </c>
      <c r="BD15" s="82">
        <v>11175</v>
      </c>
      <c r="BE15" s="83">
        <v>11175</v>
      </c>
      <c r="BF15" s="83">
        <v>9816</v>
      </c>
      <c r="BG15" s="83">
        <v>12801</v>
      </c>
      <c r="BH15" s="83">
        <v>20743</v>
      </c>
    </row>
    <row r="16" spans="1:60" ht="16.5" customHeight="1" x14ac:dyDescent="0.25">
      <c r="A16" s="27"/>
      <c r="B16" s="42" t="s">
        <v>104</v>
      </c>
      <c r="C16" s="43"/>
      <c r="D16" s="44"/>
      <c r="E16" s="116">
        <v>719</v>
      </c>
      <c r="F16" s="114">
        <v>719</v>
      </c>
      <c r="G16" s="116">
        <v>719</v>
      </c>
      <c r="H16" s="84">
        <v>443</v>
      </c>
      <c r="I16" s="84">
        <v>443</v>
      </c>
      <c r="J16" s="84">
        <v>443</v>
      </c>
      <c r="K16" s="82">
        <f>L16</f>
        <v>443</v>
      </c>
      <c r="L16" s="84">
        <v>443</v>
      </c>
      <c r="M16" s="84">
        <v>443</v>
      </c>
      <c r="N16" s="84">
        <v>443</v>
      </c>
      <c r="O16" s="84">
        <v>1116</v>
      </c>
      <c r="P16" s="82">
        <v>1116</v>
      </c>
      <c r="Q16" s="84">
        <v>1116</v>
      </c>
      <c r="R16" s="84">
        <v>1116</v>
      </c>
      <c r="S16" s="84">
        <v>1079</v>
      </c>
      <c r="T16" s="84">
        <v>1079</v>
      </c>
      <c r="U16" s="82">
        <v>1079</v>
      </c>
      <c r="V16" s="84">
        <v>1079</v>
      </c>
      <c r="W16" s="84">
        <v>3107</v>
      </c>
      <c r="X16" s="84">
        <v>3107</v>
      </c>
      <c r="Y16" s="84">
        <v>4066</v>
      </c>
      <c r="Z16" s="82">
        <v>4039</v>
      </c>
      <c r="AA16" s="84">
        <v>4039</v>
      </c>
      <c r="AB16" s="84">
        <v>2609</v>
      </c>
      <c r="AC16" s="84">
        <v>2061</v>
      </c>
      <c r="AD16" s="84">
        <v>2061</v>
      </c>
      <c r="AE16" s="82">
        <v>2061</v>
      </c>
      <c r="AF16" s="84">
        <v>2061</v>
      </c>
      <c r="AG16" s="84">
        <v>2300</v>
      </c>
      <c r="AH16" s="84">
        <v>2300</v>
      </c>
      <c r="AI16" s="84">
        <v>3237</v>
      </c>
      <c r="AJ16" s="82">
        <v>3237</v>
      </c>
      <c r="AK16" s="84">
        <v>3237</v>
      </c>
      <c r="AL16" s="84">
        <v>3237</v>
      </c>
      <c r="AM16" s="84">
        <v>3237</v>
      </c>
      <c r="AN16" s="84">
        <v>4009</v>
      </c>
      <c r="AO16" s="82">
        <v>4009</v>
      </c>
      <c r="AP16" s="84">
        <v>4009</v>
      </c>
      <c r="AQ16" s="84">
        <v>4415</v>
      </c>
      <c r="AR16" s="84">
        <v>4201</v>
      </c>
      <c r="AS16" s="84">
        <v>4513</v>
      </c>
      <c r="AT16" s="82">
        <v>4846</v>
      </c>
      <c r="AU16" s="84">
        <v>4846</v>
      </c>
      <c r="AV16" s="84">
        <v>4616</v>
      </c>
      <c r="AW16" s="84">
        <v>3686</v>
      </c>
      <c r="AX16" s="84">
        <v>3686</v>
      </c>
      <c r="AY16" s="82">
        <v>3686</v>
      </c>
      <c r="AZ16" s="84">
        <v>3686</v>
      </c>
      <c r="BA16" s="84">
        <v>3401</v>
      </c>
      <c r="BB16" s="84">
        <v>3401</v>
      </c>
      <c r="BC16" s="84" t="s">
        <v>1</v>
      </c>
      <c r="BD16" s="82" t="s">
        <v>1</v>
      </c>
      <c r="BE16" s="84" t="s">
        <v>1</v>
      </c>
      <c r="BF16" s="84" t="s">
        <v>1</v>
      </c>
      <c r="BG16" s="84" t="s">
        <v>1</v>
      </c>
      <c r="BH16" s="84" t="s">
        <v>1</v>
      </c>
    </row>
    <row r="17" spans="1:60" ht="16.5" customHeight="1" x14ac:dyDescent="0.25">
      <c r="A17" s="27"/>
      <c r="B17" s="39" t="s">
        <v>103</v>
      </c>
      <c r="C17" s="40"/>
      <c r="D17" s="41"/>
      <c r="E17" s="115">
        <v>3211</v>
      </c>
      <c r="F17" s="114">
        <v>5340</v>
      </c>
      <c r="G17" s="115">
        <v>5340</v>
      </c>
      <c r="H17" s="83">
        <v>7610</v>
      </c>
      <c r="I17" s="83">
        <v>9881</v>
      </c>
      <c r="J17" s="83">
        <v>10901</v>
      </c>
      <c r="K17" s="82">
        <f>L17</f>
        <v>11412</v>
      </c>
      <c r="L17" s="83">
        <v>11412</v>
      </c>
      <c r="M17" s="83">
        <v>11904</v>
      </c>
      <c r="N17" s="83">
        <v>11958</v>
      </c>
      <c r="O17" s="83">
        <v>27961</v>
      </c>
      <c r="P17" s="82">
        <v>28305</v>
      </c>
      <c r="Q17" s="83">
        <v>28305</v>
      </c>
      <c r="R17" s="83">
        <v>29221</v>
      </c>
      <c r="S17" s="83">
        <v>32431</v>
      </c>
      <c r="T17" s="83">
        <v>29681</v>
      </c>
      <c r="U17" s="82">
        <v>29353</v>
      </c>
      <c r="V17" s="83">
        <v>29353</v>
      </c>
      <c r="W17" s="83">
        <v>29732</v>
      </c>
      <c r="X17" s="83">
        <v>31267</v>
      </c>
      <c r="Y17" s="83">
        <v>31667</v>
      </c>
      <c r="Z17" s="82">
        <v>31388</v>
      </c>
      <c r="AA17" s="83">
        <v>31388</v>
      </c>
      <c r="AB17" s="83">
        <v>27831</v>
      </c>
      <c r="AC17" s="83">
        <v>27722</v>
      </c>
      <c r="AD17" s="83">
        <v>6457</v>
      </c>
      <c r="AE17" s="82">
        <v>5800</v>
      </c>
      <c r="AF17" s="83">
        <v>5800</v>
      </c>
      <c r="AG17" s="83">
        <v>7151</v>
      </c>
      <c r="AH17" s="83">
        <v>6961</v>
      </c>
      <c r="AI17" s="83">
        <v>6083</v>
      </c>
      <c r="AJ17" s="82">
        <v>5954</v>
      </c>
      <c r="AK17" s="83">
        <v>5954</v>
      </c>
      <c r="AL17" s="83">
        <v>5421</v>
      </c>
      <c r="AM17" s="83">
        <v>5169</v>
      </c>
      <c r="AN17" s="83">
        <v>5407</v>
      </c>
      <c r="AO17" s="82">
        <v>4957</v>
      </c>
      <c r="AP17" s="83">
        <v>4957</v>
      </c>
      <c r="AQ17" s="83">
        <v>12107</v>
      </c>
      <c r="AR17" s="83">
        <v>11778</v>
      </c>
      <c r="AS17" s="83">
        <v>11636</v>
      </c>
      <c r="AT17" s="82">
        <v>10674</v>
      </c>
      <c r="AU17" s="83">
        <v>10674</v>
      </c>
      <c r="AV17" s="83">
        <v>11646</v>
      </c>
      <c r="AW17" s="83">
        <v>9833</v>
      </c>
      <c r="AX17" s="83">
        <v>9354</v>
      </c>
      <c r="AY17" s="82">
        <v>9118</v>
      </c>
      <c r="AZ17" s="83">
        <v>9118</v>
      </c>
      <c r="BA17" s="83">
        <v>5091</v>
      </c>
      <c r="BB17" s="83">
        <v>10313</v>
      </c>
      <c r="BC17" s="83">
        <v>2851</v>
      </c>
      <c r="BD17" s="82">
        <v>2425</v>
      </c>
      <c r="BE17" s="83">
        <v>2425</v>
      </c>
      <c r="BF17" s="83">
        <v>1045</v>
      </c>
      <c r="BG17" s="83">
        <v>1197</v>
      </c>
      <c r="BH17" s="83">
        <v>2176</v>
      </c>
    </row>
    <row r="18" spans="1:60" s="38" customFormat="1" ht="16.5" customHeight="1" x14ac:dyDescent="0.25">
      <c r="A18" s="34"/>
      <c r="B18" s="35" t="s">
        <v>106</v>
      </c>
      <c r="C18" s="36"/>
      <c r="D18" s="37"/>
      <c r="E18" s="118">
        <f t="shared" ref="E18" si="6">SUM(E19:E21)</f>
        <v>83718</v>
      </c>
      <c r="F18" s="117">
        <v>85241</v>
      </c>
      <c r="G18" s="118">
        <f t="shared" ref="G18" si="7">SUM(G19:G21)</f>
        <v>85241</v>
      </c>
      <c r="H18" s="86">
        <v>82427</v>
      </c>
      <c r="I18" s="86">
        <f t="shared" ref="I18:BC18" si="8">SUM(I19:I21)</f>
        <v>82894</v>
      </c>
      <c r="J18" s="86">
        <f t="shared" si="8"/>
        <v>76903</v>
      </c>
      <c r="K18" s="87">
        <f t="shared" si="8"/>
        <v>70772</v>
      </c>
      <c r="L18" s="86">
        <f t="shared" si="8"/>
        <v>70772</v>
      </c>
      <c r="M18" s="86">
        <f t="shared" si="8"/>
        <v>50040</v>
      </c>
      <c r="N18" s="86">
        <f t="shared" si="8"/>
        <v>47561</v>
      </c>
      <c r="O18" s="86">
        <f t="shared" si="8"/>
        <v>42708</v>
      </c>
      <c r="P18" s="87">
        <f t="shared" si="8"/>
        <v>33524</v>
      </c>
      <c r="Q18" s="86">
        <f t="shared" si="8"/>
        <v>33524</v>
      </c>
      <c r="R18" s="86">
        <f t="shared" si="8"/>
        <v>31836</v>
      </c>
      <c r="S18" s="86">
        <f t="shared" si="8"/>
        <v>34077</v>
      </c>
      <c r="T18" s="86">
        <f t="shared" si="8"/>
        <v>33401</v>
      </c>
      <c r="U18" s="87">
        <f t="shared" si="8"/>
        <v>33770</v>
      </c>
      <c r="V18" s="86">
        <f t="shared" si="8"/>
        <v>33770</v>
      </c>
      <c r="W18" s="86">
        <f t="shared" si="8"/>
        <v>33523</v>
      </c>
      <c r="X18" s="86">
        <f t="shared" si="8"/>
        <v>33368</v>
      </c>
      <c r="Y18" s="86">
        <f t="shared" si="8"/>
        <v>32855</v>
      </c>
      <c r="Z18" s="87">
        <f t="shared" si="8"/>
        <v>29953</v>
      </c>
      <c r="AA18" s="86">
        <f t="shared" si="8"/>
        <v>29953</v>
      </c>
      <c r="AB18" s="86">
        <f t="shared" si="8"/>
        <v>27185</v>
      </c>
      <c r="AC18" s="86">
        <f t="shared" si="8"/>
        <v>32610</v>
      </c>
      <c r="AD18" s="86">
        <f t="shared" si="8"/>
        <v>31598</v>
      </c>
      <c r="AE18" s="87">
        <f t="shared" si="8"/>
        <v>32749</v>
      </c>
      <c r="AF18" s="86">
        <f t="shared" si="8"/>
        <v>32749</v>
      </c>
      <c r="AG18" s="86">
        <f t="shared" si="8"/>
        <v>39430</v>
      </c>
      <c r="AH18" s="86">
        <f t="shared" si="8"/>
        <v>44746</v>
      </c>
      <c r="AI18" s="86">
        <f t="shared" si="8"/>
        <v>45651</v>
      </c>
      <c r="AJ18" s="87">
        <f t="shared" si="8"/>
        <v>50125</v>
      </c>
      <c r="AK18" s="86">
        <f t="shared" si="8"/>
        <v>50125</v>
      </c>
      <c r="AL18" s="86">
        <f t="shared" si="8"/>
        <v>58769</v>
      </c>
      <c r="AM18" s="86">
        <f t="shared" si="8"/>
        <v>63987</v>
      </c>
      <c r="AN18" s="86">
        <f t="shared" si="8"/>
        <v>68325</v>
      </c>
      <c r="AO18" s="87">
        <f t="shared" si="8"/>
        <v>69339</v>
      </c>
      <c r="AP18" s="86">
        <f t="shared" si="8"/>
        <v>69339</v>
      </c>
      <c r="AQ18" s="86">
        <f t="shared" si="8"/>
        <v>75387</v>
      </c>
      <c r="AR18" s="86">
        <f t="shared" si="8"/>
        <v>74064</v>
      </c>
      <c r="AS18" s="86">
        <f t="shared" si="8"/>
        <v>77413</v>
      </c>
      <c r="AT18" s="87">
        <f t="shared" si="8"/>
        <v>13749</v>
      </c>
      <c r="AU18" s="86">
        <f t="shared" si="8"/>
        <v>13749</v>
      </c>
      <c r="AV18" s="86">
        <f t="shared" si="8"/>
        <v>14013</v>
      </c>
      <c r="AW18" s="86">
        <f t="shared" si="8"/>
        <v>12608</v>
      </c>
      <c r="AX18" s="86">
        <f t="shared" si="8"/>
        <v>13833</v>
      </c>
      <c r="AY18" s="87">
        <f t="shared" si="8"/>
        <v>15139</v>
      </c>
      <c r="AZ18" s="86">
        <f t="shared" si="8"/>
        <v>15139</v>
      </c>
      <c r="BA18" s="86">
        <f t="shared" si="8"/>
        <v>17190</v>
      </c>
      <c r="BB18" s="86">
        <f t="shared" si="8"/>
        <v>18169</v>
      </c>
      <c r="BC18" s="86">
        <f t="shared" si="8"/>
        <v>19693</v>
      </c>
      <c r="BD18" s="87">
        <f>SUM(BD19:BD21)</f>
        <v>20707</v>
      </c>
      <c r="BE18" s="86">
        <f>SUM(BE19:BE21)</f>
        <v>20707</v>
      </c>
      <c r="BF18" s="86">
        <f>SUM(BF19:BF21)</f>
        <v>19234</v>
      </c>
      <c r="BG18" s="86">
        <f>SUM(BG19:BG21)</f>
        <v>20320</v>
      </c>
      <c r="BH18" s="86">
        <f>SUM(BH19:BH21)</f>
        <v>20911</v>
      </c>
    </row>
    <row r="19" spans="1:60" ht="16.5" customHeight="1" x14ac:dyDescent="0.25">
      <c r="A19" s="27"/>
      <c r="B19" s="39" t="s">
        <v>107</v>
      </c>
      <c r="C19" s="40"/>
      <c r="D19" s="41"/>
      <c r="E19" s="115">
        <v>61684</v>
      </c>
      <c r="F19" s="114">
        <v>65003</v>
      </c>
      <c r="G19" s="115">
        <v>65003</v>
      </c>
      <c r="H19" s="83">
        <v>64109</v>
      </c>
      <c r="I19" s="83">
        <v>64233</v>
      </c>
      <c r="J19" s="83">
        <v>58411</v>
      </c>
      <c r="K19" s="82">
        <f>L19</f>
        <v>53421</v>
      </c>
      <c r="L19" s="83">
        <v>53421</v>
      </c>
      <c r="M19" s="83">
        <v>36975</v>
      </c>
      <c r="N19" s="83">
        <v>34937</v>
      </c>
      <c r="O19" s="83">
        <v>31276</v>
      </c>
      <c r="P19" s="82">
        <v>24571</v>
      </c>
      <c r="Q19" s="83">
        <v>24571</v>
      </c>
      <c r="R19" s="83">
        <v>23635</v>
      </c>
      <c r="S19" s="83">
        <v>25542</v>
      </c>
      <c r="T19" s="83">
        <v>24152</v>
      </c>
      <c r="U19" s="82">
        <v>24362</v>
      </c>
      <c r="V19" s="83">
        <v>24362</v>
      </c>
      <c r="W19" s="83">
        <v>23986</v>
      </c>
      <c r="X19" s="83">
        <v>23596</v>
      </c>
      <c r="Y19" s="83">
        <v>22784</v>
      </c>
      <c r="Z19" s="82">
        <v>20116</v>
      </c>
      <c r="AA19" s="83">
        <v>20116</v>
      </c>
      <c r="AB19" s="83">
        <v>17203</v>
      </c>
      <c r="AC19" s="83">
        <v>23181</v>
      </c>
      <c r="AD19" s="83">
        <v>23655</v>
      </c>
      <c r="AE19" s="82">
        <v>24551</v>
      </c>
      <c r="AF19" s="83">
        <v>24551</v>
      </c>
      <c r="AG19" s="83">
        <v>32728</v>
      </c>
      <c r="AH19" s="83">
        <v>36876</v>
      </c>
      <c r="AI19" s="83">
        <v>36948</v>
      </c>
      <c r="AJ19" s="82">
        <v>40085</v>
      </c>
      <c r="AK19" s="83">
        <v>40085</v>
      </c>
      <c r="AL19" s="83">
        <v>49306</v>
      </c>
      <c r="AM19" s="83" t="s">
        <v>1</v>
      </c>
      <c r="AN19" s="83">
        <v>55428</v>
      </c>
      <c r="AO19" s="82">
        <v>55866</v>
      </c>
      <c r="AP19" s="83">
        <v>55866</v>
      </c>
      <c r="AQ19" s="83">
        <v>61580</v>
      </c>
      <c r="AR19" s="83">
        <v>60279</v>
      </c>
      <c r="AS19" s="83">
        <v>64114</v>
      </c>
      <c r="AT19" s="82" t="s">
        <v>1</v>
      </c>
      <c r="AU19" s="83" t="s">
        <v>1</v>
      </c>
      <c r="AV19" s="83" t="s">
        <v>1</v>
      </c>
      <c r="AW19" s="83" t="s">
        <v>1</v>
      </c>
      <c r="AX19" s="83" t="s">
        <v>1</v>
      </c>
      <c r="AY19" s="82" t="s">
        <v>1</v>
      </c>
      <c r="AZ19" s="83" t="s">
        <v>1</v>
      </c>
      <c r="BA19" s="83" t="s">
        <v>1</v>
      </c>
      <c r="BB19" s="83" t="s">
        <v>1</v>
      </c>
      <c r="BC19" s="83" t="s">
        <v>1</v>
      </c>
      <c r="BD19" s="82" t="s">
        <v>1</v>
      </c>
      <c r="BE19" s="83" t="s">
        <v>1</v>
      </c>
      <c r="BF19" s="83" t="s">
        <v>1</v>
      </c>
      <c r="BG19" s="83" t="s">
        <v>1</v>
      </c>
      <c r="BH19" s="83" t="s">
        <v>1</v>
      </c>
    </row>
    <row r="20" spans="1:60" ht="16.5" customHeight="1" x14ac:dyDescent="0.25">
      <c r="A20" s="27"/>
      <c r="B20" s="42" t="s">
        <v>106</v>
      </c>
      <c r="C20" s="43"/>
      <c r="D20" s="44"/>
      <c r="E20" s="116">
        <v>20304</v>
      </c>
      <c r="F20" s="114">
        <v>18770</v>
      </c>
      <c r="G20" s="116">
        <v>18770</v>
      </c>
      <c r="H20" s="84">
        <v>17005</v>
      </c>
      <c r="I20" s="84">
        <v>17556</v>
      </c>
      <c r="J20" s="84">
        <v>17380</v>
      </c>
      <c r="K20" s="82">
        <f>L20</f>
        <v>16371</v>
      </c>
      <c r="L20" s="84">
        <v>16371</v>
      </c>
      <c r="M20" s="84">
        <v>12027</v>
      </c>
      <c r="N20" s="84">
        <v>11523</v>
      </c>
      <c r="O20" s="84">
        <v>10335</v>
      </c>
      <c r="P20" s="82">
        <v>7734</v>
      </c>
      <c r="Q20" s="84">
        <v>7734</v>
      </c>
      <c r="R20" s="84">
        <v>6922</v>
      </c>
      <c r="S20" s="84">
        <v>7156</v>
      </c>
      <c r="T20" s="84">
        <v>7921</v>
      </c>
      <c r="U20" s="82">
        <v>8111</v>
      </c>
      <c r="V20" s="84">
        <v>8111</v>
      </c>
      <c r="W20" s="84">
        <v>8221</v>
      </c>
      <c r="X20" s="84">
        <v>8427</v>
      </c>
      <c r="Y20" s="84">
        <v>8712</v>
      </c>
      <c r="Z20" s="82">
        <v>8432</v>
      </c>
      <c r="AA20" s="84">
        <v>8432</v>
      </c>
      <c r="AB20" s="84">
        <v>8708</v>
      </c>
      <c r="AC20" s="84">
        <v>8098</v>
      </c>
      <c r="AD20" s="84">
        <v>6587</v>
      </c>
      <c r="AE20" s="82">
        <v>6779</v>
      </c>
      <c r="AF20" s="84">
        <v>6779</v>
      </c>
      <c r="AG20" s="84">
        <v>5246</v>
      </c>
      <c r="AH20" s="84">
        <v>6324</v>
      </c>
      <c r="AI20" s="84">
        <v>7066</v>
      </c>
      <c r="AJ20" s="82">
        <v>8390</v>
      </c>
      <c r="AK20" s="84">
        <v>8390</v>
      </c>
      <c r="AL20" s="84">
        <v>7831</v>
      </c>
      <c r="AM20" s="84" t="s">
        <v>1</v>
      </c>
      <c r="AN20" s="84">
        <v>10839</v>
      </c>
      <c r="AO20" s="82">
        <v>11801</v>
      </c>
      <c r="AP20" s="84">
        <v>11801</v>
      </c>
      <c r="AQ20" s="84">
        <v>12056</v>
      </c>
      <c r="AR20" s="84">
        <v>11983</v>
      </c>
      <c r="AS20" s="84">
        <v>11529</v>
      </c>
      <c r="AT20" s="82">
        <v>11869</v>
      </c>
      <c r="AU20" s="84">
        <v>11869</v>
      </c>
      <c r="AV20" s="84">
        <v>11887</v>
      </c>
      <c r="AW20" s="84">
        <v>10192</v>
      </c>
      <c r="AX20" s="84">
        <v>11212</v>
      </c>
      <c r="AY20" s="82">
        <v>12334</v>
      </c>
      <c r="AZ20" s="84">
        <v>12334</v>
      </c>
      <c r="BA20" s="84">
        <v>14212</v>
      </c>
      <c r="BB20" s="84">
        <v>14978</v>
      </c>
      <c r="BC20" s="84">
        <v>16470</v>
      </c>
      <c r="BD20" s="82">
        <v>17372</v>
      </c>
      <c r="BE20" s="84">
        <v>17372</v>
      </c>
      <c r="BF20" s="84">
        <v>16883</v>
      </c>
      <c r="BG20" s="84">
        <v>17746</v>
      </c>
      <c r="BH20" s="84">
        <v>18109</v>
      </c>
    </row>
    <row r="21" spans="1:60" ht="16.5" customHeight="1" x14ac:dyDescent="0.25">
      <c r="A21" s="27"/>
      <c r="B21" s="39" t="s">
        <v>108</v>
      </c>
      <c r="C21" s="40"/>
      <c r="D21" s="41"/>
      <c r="E21" s="115">
        <v>1730</v>
      </c>
      <c r="F21" s="114">
        <v>1468</v>
      </c>
      <c r="G21" s="115">
        <v>1468</v>
      </c>
      <c r="H21" s="83">
        <v>1313</v>
      </c>
      <c r="I21" s="83">
        <v>1105</v>
      </c>
      <c r="J21" s="83">
        <v>1112</v>
      </c>
      <c r="K21" s="82">
        <f>L21</f>
        <v>980</v>
      </c>
      <c r="L21" s="83">
        <v>980</v>
      </c>
      <c r="M21" s="83">
        <v>1038</v>
      </c>
      <c r="N21" s="83">
        <v>1101</v>
      </c>
      <c r="O21" s="83">
        <v>1097</v>
      </c>
      <c r="P21" s="82">
        <v>1219</v>
      </c>
      <c r="Q21" s="83">
        <v>1219</v>
      </c>
      <c r="R21" s="83">
        <v>1279</v>
      </c>
      <c r="S21" s="83">
        <v>1379</v>
      </c>
      <c r="T21" s="83">
        <v>1328</v>
      </c>
      <c r="U21" s="82">
        <v>1297</v>
      </c>
      <c r="V21" s="83">
        <v>1297</v>
      </c>
      <c r="W21" s="83">
        <v>1316</v>
      </c>
      <c r="X21" s="83">
        <v>1345</v>
      </c>
      <c r="Y21" s="83">
        <v>1359</v>
      </c>
      <c r="Z21" s="82">
        <v>1405</v>
      </c>
      <c r="AA21" s="83">
        <v>1405</v>
      </c>
      <c r="AB21" s="83">
        <v>1274</v>
      </c>
      <c r="AC21" s="83">
        <v>1331</v>
      </c>
      <c r="AD21" s="83">
        <v>1356</v>
      </c>
      <c r="AE21" s="82">
        <v>1419</v>
      </c>
      <c r="AF21" s="83">
        <v>1419</v>
      </c>
      <c r="AG21" s="83">
        <v>1456</v>
      </c>
      <c r="AH21" s="83">
        <v>1546</v>
      </c>
      <c r="AI21" s="83">
        <v>1637</v>
      </c>
      <c r="AJ21" s="82">
        <v>1650</v>
      </c>
      <c r="AK21" s="83">
        <v>1650</v>
      </c>
      <c r="AL21" s="83">
        <v>1632</v>
      </c>
      <c r="AM21" s="83">
        <v>63987</v>
      </c>
      <c r="AN21" s="83">
        <v>2058</v>
      </c>
      <c r="AO21" s="82">
        <v>1672</v>
      </c>
      <c r="AP21" s="83">
        <v>1672</v>
      </c>
      <c r="AQ21" s="83">
        <v>1751</v>
      </c>
      <c r="AR21" s="83">
        <v>1802</v>
      </c>
      <c r="AS21" s="83">
        <v>1770</v>
      </c>
      <c r="AT21" s="82">
        <v>1880</v>
      </c>
      <c r="AU21" s="83">
        <v>1880</v>
      </c>
      <c r="AV21" s="83">
        <v>2126</v>
      </c>
      <c r="AW21" s="83">
        <v>2416</v>
      </c>
      <c r="AX21" s="83">
        <v>2621</v>
      </c>
      <c r="AY21" s="82">
        <v>2805</v>
      </c>
      <c r="AZ21" s="83">
        <v>2805</v>
      </c>
      <c r="BA21" s="83">
        <v>2978</v>
      </c>
      <c r="BB21" s="83">
        <v>3191</v>
      </c>
      <c r="BC21" s="83">
        <v>3223</v>
      </c>
      <c r="BD21" s="82">
        <v>3335</v>
      </c>
      <c r="BE21" s="83">
        <v>3335</v>
      </c>
      <c r="BF21" s="83">
        <v>2351</v>
      </c>
      <c r="BG21" s="83">
        <v>2574</v>
      </c>
      <c r="BH21" s="83">
        <v>2802</v>
      </c>
    </row>
    <row r="22" spans="1:60" s="38" customFormat="1" ht="16.5" customHeight="1" x14ac:dyDescent="0.25">
      <c r="A22" s="34"/>
      <c r="B22" s="68" t="s">
        <v>112</v>
      </c>
      <c r="C22" s="69"/>
      <c r="D22" s="70"/>
      <c r="E22" s="79">
        <f t="shared" ref="E22" si="9">E4+E10</f>
        <v>2167632</v>
      </c>
      <c r="F22" s="80">
        <v>2176901</v>
      </c>
      <c r="G22" s="79">
        <f t="shared" ref="G22" si="10">G4+G10</f>
        <v>2176901</v>
      </c>
      <c r="H22" s="79">
        <v>1939546</v>
      </c>
      <c r="I22" s="79">
        <f t="shared" ref="I22:AO22" si="11">I4+I10</f>
        <v>1960094</v>
      </c>
      <c r="J22" s="79">
        <f t="shared" si="11"/>
        <v>1868279</v>
      </c>
      <c r="K22" s="80">
        <f t="shared" si="11"/>
        <v>1798507</v>
      </c>
      <c r="L22" s="79">
        <f t="shared" si="11"/>
        <v>1798507</v>
      </c>
      <c r="M22" s="79">
        <f t="shared" si="11"/>
        <v>1693084</v>
      </c>
      <c r="N22" s="79">
        <f t="shared" si="11"/>
        <v>1247367</v>
      </c>
      <c r="O22" s="79">
        <f t="shared" si="11"/>
        <v>1171491</v>
      </c>
      <c r="P22" s="80">
        <f t="shared" si="11"/>
        <v>1087083</v>
      </c>
      <c r="Q22" s="79">
        <f t="shared" si="11"/>
        <v>1087083</v>
      </c>
      <c r="R22" s="79">
        <f t="shared" si="11"/>
        <v>1052586</v>
      </c>
      <c r="S22" s="79">
        <f t="shared" si="11"/>
        <v>1028389</v>
      </c>
      <c r="T22" s="79">
        <f t="shared" si="11"/>
        <v>965327</v>
      </c>
      <c r="U22" s="80">
        <f t="shared" si="11"/>
        <v>939490</v>
      </c>
      <c r="V22" s="79">
        <f t="shared" si="11"/>
        <v>939490</v>
      </c>
      <c r="W22" s="79">
        <f t="shared" si="11"/>
        <v>888575</v>
      </c>
      <c r="X22" s="79">
        <f t="shared" si="11"/>
        <v>848505</v>
      </c>
      <c r="Y22" s="79">
        <f t="shared" si="11"/>
        <v>855021</v>
      </c>
      <c r="Z22" s="80">
        <f t="shared" si="11"/>
        <v>871065</v>
      </c>
      <c r="AA22" s="79">
        <f t="shared" si="11"/>
        <v>871065</v>
      </c>
      <c r="AB22" s="79">
        <f t="shared" si="11"/>
        <v>888756</v>
      </c>
      <c r="AC22" s="79">
        <f t="shared" si="11"/>
        <v>855325</v>
      </c>
      <c r="AD22" s="79">
        <f t="shared" si="11"/>
        <v>928027</v>
      </c>
      <c r="AE22" s="80">
        <f t="shared" si="11"/>
        <v>959648</v>
      </c>
      <c r="AF22" s="79">
        <f t="shared" si="11"/>
        <v>959648</v>
      </c>
      <c r="AG22" s="79">
        <f t="shared" si="11"/>
        <v>980195</v>
      </c>
      <c r="AH22" s="79">
        <f t="shared" si="11"/>
        <v>982166</v>
      </c>
      <c r="AI22" s="79">
        <f t="shared" si="11"/>
        <v>988620</v>
      </c>
      <c r="AJ22" s="80">
        <f t="shared" si="11"/>
        <v>1102593</v>
      </c>
      <c r="AK22" s="79">
        <f t="shared" si="11"/>
        <v>1102593</v>
      </c>
      <c r="AL22" s="79">
        <f t="shared" si="11"/>
        <v>1045256</v>
      </c>
      <c r="AM22" s="79">
        <f t="shared" si="11"/>
        <v>1127024</v>
      </c>
      <c r="AN22" s="79">
        <f t="shared" si="11"/>
        <v>1132177</v>
      </c>
      <c r="AO22" s="80">
        <f t="shared" si="11"/>
        <v>1238526</v>
      </c>
      <c r="AP22" s="79">
        <f t="shared" ref="AP22:BH22" si="12">AP4+AP10</f>
        <v>1238526</v>
      </c>
      <c r="AQ22" s="79">
        <f t="shared" si="12"/>
        <v>1300384</v>
      </c>
      <c r="AR22" s="79">
        <f t="shared" si="12"/>
        <v>1515826</v>
      </c>
      <c r="AS22" s="79">
        <f t="shared" si="12"/>
        <v>1534588</v>
      </c>
      <c r="AT22" s="80">
        <f t="shared" si="12"/>
        <v>1467385</v>
      </c>
      <c r="AU22" s="79">
        <f t="shared" si="12"/>
        <v>1467385</v>
      </c>
      <c r="AV22" s="79">
        <f t="shared" si="12"/>
        <v>1475083</v>
      </c>
      <c r="AW22" s="79">
        <f t="shared" si="12"/>
        <v>1576743</v>
      </c>
      <c r="AX22" s="79">
        <f t="shared" si="12"/>
        <v>1599815</v>
      </c>
      <c r="AY22" s="80">
        <f t="shared" si="12"/>
        <v>1664719</v>
      </c>
      <c r="AZ22" s="79">
        <f t="shared" si="12"/>
        <v>1664719</v>
      </c>
      <c r="BA22" s="79">
        <f t="shared" si="12"/>
        <v>1683850</v>
      </c>
      <c r="BB22" s="79">
        <f t="shared" si="12"/>
        <v>1813329</v>
      </c>
      <c r="BC22" s="79">
        <f t="shared" si="12"/>
        <v>1813317</v>
      </c>
      <c r="BD22" s="80">
        <f t="shared" si="12"/>
        <v>1799696</v>
      </c>
      <c r="BE22" s="79">
        <f t="shared" si="12"/>
        <v>1799696</v>
      </c>
      <c r="BF22" s="79">
        <f t="shared" si="12"/>
        <v>1678408</v>
      </c>
      <c r="BG22" s="79">
        <f t="shared" si="12"/>
        <v>1577085</v>
      </c>
      <c r="BH22" s="79">
        <f t="shared" si="12"/>
        <v>1445492</v>
      </c>
    </row>
    <row r="23" spans="1:60" s="38" customFormat="1" ht="16.5" customHeight="1" x14ac:dyDescent="0.25">
      <c r="A23" s="34"/>
      <c r="B23" s="71" t="s">
        <v>113</v>
      </c>
      <c r="C23" s="72"/>
      <c r="D23" s="73"/>
      <c r="E23" s="79">
        <f>+SUM(E24:E34)</f>
        <v>460660</v>
      </c>
      <c r="F23" s="80">
        <v>456727</v>
      </c>
      <c r="G23" s="85">
        <f t="shared" ref="G23" si="13">SUM(G24:G34)</f>
        <v>456727</v>
      </c>
      <c r="H23" s="85">
        <v>382455</v>
      </c>
      <c r="I23" s="85">
        <f t="shared" ref="I23:J23" si="14">SUM(I24:I34)</f>
        <v>435768</v>
      </c>
      <c r="J23" s="85">
        <f t="shared" si="14"/>
        <v>448778</v>
      </c>
      <c r="K23" s="80">
        <f t="shared" ref="K23" si="15">SUM(K24:K34)</f>
        <v>453647</v>
      </c>
      <c r="L23" s="85">
        <f t="shared" ref="L23" si="16">SUM(L24:L34)</f>
        <v>453647</v>
      </c>
      <c r="M23" s="85">
        <f t="shared" ref="M23" si="17">SUM(M24:M34)</f>
        <v>368681</v>
      </c>
      <c r="N23" s="85">
        <f t="shared" ref="N23" si="18">SUM(N24:N34)</f>
        <v>351515</v>
      </c>
      <c r="O23" s="85">
        <f t="shared" ref="O23" si="19">SUM(O24:O34)</f>
        <v>371526</v>
      </c>
      <c r="P23" s="80">
        <f t="shared" ref="P23" si="20">SUM(P24:P34)</f>
        <v>328146</v>
      </c>
      <c r="Q23" s="85">
        <f t="shared" ref="Q23" si="21">SUM(Q24:Q34)</f>
        <v>328146</v>
      </c>
      <c r="R23" s="85">
        <f t="shared" ref="R23" si="22">SUM(R24:R34)</f>
        <v>250034</v>
      </c>
      <c r="S23" s="85">
        <f t="shared" ref="S23" si="23">SUM(S24:S34)</f>
        <v>246636</v>
      </c>
      <c r="T23" s="85">
        <f t="shared" ref="T23" si="24">SUM(T24:T34)</f>
        <v>222629</v>
      </c>
      <c r="U23" s="80">
        <f t="shared" ref="U23" si="25">SUM(U24:U34)</f>
        <v>233467</v>
      </c>
      <c r="V23" s="85">
        <f t="shared" ref="V23" si="26">SUM(V24:V34)</f>
        <v>233467</v>
      </c>
      <c r="W23" s="85">
        <f t="shared" ref="W23" si="27">SUM(W24:W34)</f>
        <v>221805</v>
      </c>
      <c r="X23" s="85">
        <f t="shared" ref="X23" si="28">SUM(X24:X34)</f>
        <v>193768</v>
      </c>
      <c r="Y23" s="85">
        <f t="shared" ref="Y23" si="29">SUM(Y24:Y34)</f>
        <v>205350</v>
      </c>
      <c r="Z23" s="80">
        <f t="shared" ref="Z23" si="30">SUM(Z24:Z34)</f>
        <v>234937</v>
      </c>
      <c r="AA23" s="85">
        <f t="shared" ref="AA23" si="31">SUM(AA24:AA34)</f>
        <v>234937</v>
      </c>
      <c r="AB23" s="85">
        <f t="shared" ref="AB23" si="32">SUM(AB24:AB34)</f>
        <v>230892</v>
      </c>
      <c r="AC23" s="85">
        <f t="shared" ref="AC23" si="33">SUM(AC24:AC34)</f>
        <v>206549</v>
      </c>
      <c r="AD23" s="85">
        <f t="shared" ref="AD23" si="34">SUM(AD24:AD34)</f>
        <v>237428</v>
      </c>
      <c r="AE23" s="80">
        <f t="shared" ref="AE23" si="35">SUM(AE24:AE34)</f>
        <v>284492</v>
      </c>
      <c r="AF23" s="85">
        <f t="shared" ref="AF23" si="36">SUM(AF24:AF34)</f>
        <v>284492</v>
      </c>
      <c r="AG23" s="85">
        <f t="shared" ref="AG23" si="37">SUM(AG24:AG34)</f>
        <v>236447</v>
      </c>
      <c r="AH23" s="85">
        <f t="shared" ref="AH23" si="38">SUM(AH24:AH34)</f>
        <v>259541</v>
      </c>
      <c r="AI23" s="85">
        <f t="shared" ref="AI23" si="39">SUM(AI24:AI34)</f>
        <v>246796</v>
      </c>
      <c r="AJ23" s="80">
        <f t="shared" ref="AJ23:AK23" si="40">SUM(AJ24:AJ34)</f>
        <v>333812</v>
      </c>
      <c r="AK23" s="85">
        <f t="shared" si="40"/>
        <v>333812</v>
      </c>
      <c r="AL23" s="85">
        <f t="shared" ref="AL23" si="41">SUM(AL24:AL34)</f>
        <v>336941</v>
      </c>
      <c r="AM23" s="85">
        <f t="shared" ref="AM23" si="42">SUM(AM24:AM34)</f>
        <v>405002</v>
      </c>
      <c r="AN23" s="85">
        <f t="shared" ref="AN23" si="43">SUM(AN24:AN34)</f>
        <v>403939</v>
      </c>
      <c r="AO23" s="80">
        <f t="shared" ref="AO23:AP23" si="44">SUM(AO24:AO34)</f>
        <v>450564</v>
      </c>
      <c r="AP23" s="85">
        <f t="shared" si="44"/>
        <v>450564</v>
      </c>
      <c r="AQ23" s="85">
        <f t="shared" ref="AQ23" si="45">SUM(AQ24:AQ34)</f>
        <v>507697</v>
      </c>
      <c r="AR23" s="85">
        <f t="shared" ref="AR23" si="46">SUM(AR24:AR34)</f>
        <v>639301</v>
      </c>
      <c r="AS23" s="85">
        <f t="shared" ref="AS23" si="47">SUM(AS24:AS34)</f>
        <v>684985</v>
      </c>
      <c r="AT23" s="80">
        <f t="shared" ref="AT23:AU23" si="48">SUM(AT24:AT34)</f>
        <v>678105</v>
      </c>
      <c r="AU23" s="85">
        <f t="shared" si="48"/>
        <v>678105</v>
      </c>
      <c r="AV23" s="85">
        <f t="shared" ref="AV23" si="49">SUM(AV24:AV34)</f>
        <v>678827</v>
      </c>
      <c r="AW23" s="85">
        <f t="shared" ref="AW23" si="50">SUM(AW24:AW34)</f>
        <v>629320</v>
      </c>
      <c r="AX23" s="85">
        <f t="shared" ref="AX23" si="51">SUM(AX24:AX34)</f>
        <v>672961</v>
      </c>
      <c r="AY23" s="80">
        <f t="shared" ref="AY23:AZ23" si="52">SUM(AY24:AY34)</f>
        <v>683048</v>
      </c>
      <c r="AZ23" s="85">
        <f t="shared" si="52"/>
        <v>683048</v>
      </c>
      <c r="BA23" s="85">
        <f t="shared" ref="BA23" si="53">SUM(BA24:BA34)</f>
        <v>710880</v>
      </c>
      <c r="BB23" s="85">
        <f t="shared" ref="BB23" si="54">SUM(BB24:BB34)</f>
        <v>787704</v>
      </c>
      <c r="BC23" s="85">
        <f t="shared" ref="BC23" si="55">SUM(BC24:BC34)</f>
        <v>685918</v>
      </c>
      <c r="BD23" s="80">
        <f>SUM(BD24:BD34)</f>
        <v>620947</v>
      </c>
      <c r="BE23" s="85">
        <f t="shared" ref="BE23:BH23" si="56">SUM(BE24:BE34)</f>
        <v>620947</v>
      </c>
      <c r="BF23" s="85">
        <f t="shared" si="56"/>
        <v>492535</v>
      </c>
      <c r="BG23" s="85">
        <f t="shared" si="56"/>
        <v>313022</v>
      </c>
      <c r="BH23" s="85">
        <f t="shared" si="56"/>
        <v>271167</v>
      </c>
    </row>
    <row r="24" spans="1:60" ht="16.5" customHeight="1" x14ac:dyDescent="0.25">
      <c r="A24" s="27"/>
      <c r="B24" s="42" t="s">
        <v>114</v>
      </c>
      <c r="C24" s="43"/>
      <c r="D24" s="44"/>
      <c r="E24" s="116">
        <v>65612</v>
      </c>
      <c r="F24" s="114">
        <v>51292</v>
      </c>
      <c r="G24" s="116">
        <v>51292</v>
      </c>
      <c r="H24" s="84">
        <v>49112</v>
      </c>
      <c r="I24" s="84">
        <v>50098</v>
      </c>
      <c r="J24" s="84">
        <v>45413</v>
      </c>
      <c r="K24" s="82">
        <f>L24</f>
        <v>36353</v>
      </c>
      <c r="L24" s="84">
        <v>36353</v>
      </c>
      <c r="M24" s="84">
        <v>40508</v>
      </c>
      <c r="N24" s="84">
        <v>42691</v>
      </c>
      <c r="O24" s="84">
        <v>48798</v>
      </c>
      <c r="P24" s="82">
        <v>29709</v>
      </c>
      <c r="Q24" s="84">
        <v>29709</v>
      </c>
      <c r="R24" s="84">
        <v>30387</v>
      </c>
      <c r="S24" s="84">
        <v>25663</v>
      </c>
      <c r="T24" s="84">
        <v>24886</v>
      </c>
      <c r="U24" s="82">
        <v>24243</v>
      </c>
      <c r="V24" s="84">
        <v>24243</v>
      </c>
      <c r="W24" s="84">
        <v>26552</v>
      </c>
      <c r="X24" s="84">
        <v>24418</v>
      </c>
      <c r="Y24" s="84">
        <v>23932</v>
      </c>
      <c r="Z24" s="82">
        <v>17745</v>
      </c>
      <c r="AA24" s="84">
        <v>17745</v>
      </c>
      <c r="AB24" s="84">
        <v>22323</v>
      </c>
      <c r="AC24" s="84">
        <v>17317</v>
      </c>
      <c r="AD24" s="84">
        <v>18567</v>
      </c>
      <c r="AE24" s="82">
        <v>15622</v>
      </c>
      <c r="AF24" s="84">
        <v>15622</v>
      </c>
      <c r="AG24" s="84">
        <v>21519</v>
      </c>
      <c r="AH24" s="84">
        <v>22563</v>
      </c>
      <c r="AI24" s="84">
        <v>22593</v>
      </c>
      <c r="AJ24" s="82">
        <v>19416</v>
      </c>
      <c r="AK24" s="84">
        <v>19416</v>
      </c>
      <c r="AL24" s="84">
        <v>25557</v>
      </c>
      <c r="AM24" s="84">
        <v>21059</v>
      </c>
      <c r="AN24" s="84">
        <v>22314</v>
      </c>
      <c r="AO24" s="82">
        <v>22080</v>
      </c>
      <c r="AP24" s="84">
        <v>22080</v>
      </c>
      <c r="AQ24" s="84">
        <v>26672</v>
      </c>
      <c r="AR24" s="84">
        <v>30185</v>
      </c>
      <c r="AS24" s="84">
        <v>30387</v>
      </c>
      <c r="AT24" s="82">
        <v>26718</v>
      </c>
      <c r="AU24" s="84">
        <v>26718</v>
      </c>
      <c r="AV24" s="84">
        <v>34959</v>
      </c>
      <c r="AW24" s="84">
        <v>37629</v>
      </c>
      <c r="AX24" s="84">
        <v>39606</v>
      </c>
      <c r="AY24" s="82">
        <v>31961</v>
      </c>
      <c r="AZ24" s="84">
        <v>31961</v>
      </c>
      <c r="BA24" s="84">
        <v>38656</v>
      </c>
      <c r="BB24" s="84">
        <v>41570</v>
      </c>
      <c r="BC24" s="84">
        <v>41864</v>
      </c>
      <c r="BD24" s="82">
        <v>34435</v>
      </c>
      <c r="BE24" s="84">
        <v>34435</v>
      </c>
      <c r="BF24" s="84">
        <v>41480</v>
      </c>
      <c r="BG24" s="84">
        <v>37855</v>
      </c>
      <c r="BH24" s="84">
        <v>32810</v>
      </c>
    </row>
    <row r="25" spans="1:60" ht="16.5" customHeight="1" x14ac:dyDescent="0.25">
      <c r="A25" s="27"/>
      <c r="B25" s="39" t="s">
        <v>115</v>
      </c>
      <c r="C25" s="40"/>
      <c r="D25" s="41"/>
      <c r="E25" s="115">
        <v>109240</v>
      </c>
      <c r="F25" s="114">
        <v>135051</v>
      </c>
      <c r="G25" s="115">
        <v>135051</v>
      </c>
      <c r="H25" s="83">
        <v>95788</v>
      </c>
      <c r="I25" s="83">
        <v>95370</v>
      </c>
      <c r="J25" s="83">
        <v>60100</v>
      </c>
      <c r="K25" s="82">
        <f>L25</f>
        <v>59376</v>
      </c>
      <c r="L25" s="83">
        <v>59376</v>
      </c>
      <c r="M25" s="83">
        <v>119582</v>
      </c>
      <c r="N25" s="83">
        <v>110579</v>
      </c>
      <c r="O25" s="83">
        <v>107351</v>
      </c>
      <c r="P25" s="82">
        <v>130520</v>
      </c>
      <c r="Q25" s="83">
        <v>130520</v>
      </c>
      <c r="R25" s="83">
        <v>74149</v>
      </c>
      <c r="S25" s="83">
        <v>53046</v>
      </c>
      <c r="T25" s="83">
        <v>70835</v>
      </c>
      <c r="U25" s="82">
        <v>73358</v>
      </c>
      <c r="V25" s="83">
        <v>73358</v>
      </c>
      <c r="W25" s="83">
        <v>105544</v>
      </c>
      <c r="X25" s="83">
        <v>63502</v>
      </c>
      <c r="Y25" s="83">
        <v>76964</v>
      </c>
      <c r="Z25" s="82">
        <v>103510</v>
      </c>
      <c r="AA25" s="83">
        <v>103510</v>
      </c>
      <c r="AB25" s="83">
        <v>87295</v>
      </c>
      <c r="AC25" s="83">
        <v>114768</v>
      </c>
      <c r="AD25" s="83">
        <v>140994</v>
      </c>
      <c r="AE25" s="82">
        <v>199180</v>
      </c>
      <c r="AF25" s="83">
        <v>199180</v>
      </c>
      <c r="AG25" s="83">
        <v>140808</v>
      </c>
      <c r="AH25" s="83">
        <v>145304</v>
      </c>
      <c r="AI25" s="83">
        <v>142371</v>
      </c>
      <c r="AJ25" s="82">
        <v>159985</v>
      </c>
      <c r="AK25" s="83">
        <v>159985</v>
      </c>
      <c r="AL25" s="83">
        <v>180635</v>
      </c>
      <c r="AM25" s="83">
        <v>172784</v>
      </c>
      <c r="AN25" s="83">
        <v>164595</v>
      </c>
      <c r="AO25" s="82">
        <v>202520</v>
      </c>
      <c r="AP25" s="83">
        <v>202520</v>
      </c>
      <c r="AQ25" s="83">
        <v>231511</v>
      </c>
      <c r="AR25" s="83">
        <v>288743</v>
      </c>
      <c r="AS25" s="83">
        <v>319645</v>
      </c>
      <c r="AT25" s="82">
        <v>302383</v>
      </c>
      <c r="AU25" s="83">
        <v>302383</v>
      </c>
      <c r="AV25" s="83">
        <v>302430</v>
      </c>
      <c r="AW25" s="83">
        <v>305903</v>
      </c>
      <c r="AX25" s="83">
        <v>341403</v>
      </c>
      <c r="AY25" s="82">
        <v>419376</v>
      </c>
      <c r="AZ25" s="83">
        <v>419376</v>
      </c>
      <c r="BA25" s="83">
        <v>417908</v>
      </c>
      <c r="BB25" s="83">
        <v>483002</v>
      </c>
      <c r="BC25" s="83">
        <v>416360</v>
      </c>
      <c r="BD25" s="82">
        <v>370433</v>
      </c>
      <c r="BE25" s="83">
        <v>370433</v>
      </c>
      <c r="BF25" s="83">
        <v>242508</v>
      </c>
      <c r="BG25" s="83">
        <v>142958</v>
      </c>
      <c r="BH25" s="83">
        <v>127627</v>
      </c>
    </row>
    <row r="26" spans="1:60" ht="16.5" customHeight="1" x14ac:dyDescent="0.25">
      <c r="A26" s="27"/>
      <c r="B26" s="42" t="s">
        <v>116</v>
      </c>
      <c r="C26" s="43"/>
      <c r="D26" s="44"/>
      <c r="E26" s="116">
        <v>10428</v>
      </c>
      <c r="F26" s="114">
        <v>16609</v>
      </c>
      <c r="G26" s="116">
        <v>16609</v>
      </c>
      <c r="H26" s="84">
        <v>16162</v>
      </c>
      <c r="I26" s="84">
        <v>12504</v>
      </c>
      <c r="J26" s="84">
        <v>8400</v>
      </c>
      <c r="K26" s="82">
        <f t="shared" ref="K26:K33" si="57">L26</f>
        <v>14763</v>
      </c>
      <c r="L26" s="84">
        <v>14763</v>
      </c>
      <c r="M26" s="84">
        <v>13261</v>
      </c>
      <c r="N26" s="84">
        <v>7577</v>
      </c>
      <c r="O26" s="84">
        <v>7706</v>
      </c>
      <c r="P26" s="82">
        <v>8975</v>
      </c>
      <c r="Q26" s="84">
        <v>8975</v>
      </c>
      <c r="R26" s="84">
        <v>9371</v>
      </c>
      <c r="S26" s="84">
        <v>4956</v>
      </c>
      <c r="T26" s="84">
        <v>6679</v>
      </c>
      <c r="U26" s="82">
        <v>6304</v>
      </c>
      <c r="V26" s="84">
        <v>6304</v>
      </c>
      <c r="W26" s="84">
        <v>4558</v>
      </c>
      <c r="X26" s="84">
        <v>4263</v>
      </c>
      <c r="Y26" s="84">
        <v>4487</v>
      </c>
      <c r="Z26" s="82">
        <v>5184</v>
      </c>
      <c r="AA26" s="84">
        <v>5184</v>
      </c>
      <c r="AB26" s="84">
        <v>4292</v>
      </c>
      <c r="AC26" s="84">
        <v>5007</v>
      </c>
      <c r="AD26" s="84">
        <v>5810</v>
      </c>
      <c r="AE26" s="82">
        <v>5386</v>
      </c>
      <c r="AF26" s="84">
        <v>5386</v>
      </c>
      <c r="AG26" s="84">
        <v>6773</v>
      </c>
      <c r="AH26" s="84">
        <v>7477</v>
      </c>
      <c r="AI26" s="84">
        <v>7872</v>
      </c>
      <c r="AJ26" s="82">
        <v>8556</v>
      </c>
      <c r="AK26" s="84">
        <v>8556</v>
      </c>
      <c r="AL26" s="84">
        <v>9443</v>
      </c>
      <c r="AM26" s="84">
        <v>9733</v>
      </c>
      <c r="AN26" s="84">
        <v>9956</v>
      </c>
      <c r="AO26" s="82">
        <v>11312</v>
      </c>
      <c r="AP26" s="84">
        <v>11312</v>
      </c>
      <c r="AQ26" s="84">
        <v>13755</v>
      </c>
      <c r="AR26" s="84">
        <v>14331</v>
      </c>
      <c r="AS26" s="84">
        <v>13281</v>
      </c>
      <c r="AT26" s="82">
        <v>14267</v>
      </c>
      <c r="AU26" s="84">
        <v>14267</v>
      </c>
      <c r="AV26" s="84">
        <v>16137</v>
      </c>
      <c r="AW26" s="84">
        <v>16838</v>
      </c>
      <c r="AX26" s="84">
        <v>20369</v>
      </c>
      <c r="AY26" s="82">
        <v>19047</v>
      </c>
      <c r="AZ26" s="84">
        <v>19047</v>
      </c>
      <c r="BA26" s="84">
        <v>23177</v>
      </c>
      <c r="BB26" s="84">
        <v>22571</v>
      </c>
      <c r="BC26" s="84">
        <v>20267</v>
      </c>
      <c r="BD26" s="82">
        <v>20010</v>
      </c>
      <c r="BE26" s="84">
        <v>20010</v>
      </c>
      <c r="BF26" s="84">
        <v>15535</v>
      </c>
      <c r="BG26" s="84">
        <v>14402</v>
      </c>
      <c r="BH26" s="84">
        <v>13527</v>
      </c>
    </row>
    <row r="27" spans="1:60" ht="16.5" customHeight="1" x14ac:dyDescent="0.25">
      <c r="A27" s="27"/>
      <c r="B27" s="39" t="s">
        <v>117</v>
      </c>
      <c r="C27" s="40"/>
      <c r="D27" s="41"/>
      <c r="E27" s="115">
        <v>17989</v>
      </c>
      <c r="F27" s="114">
        <v>19601</v>
      </c>
      <c r="G27" s="115">
        <v>19601</v>
      </c>
      <c r="H27" s="83">
        <v>15402</v>
      </c>
      <c r="I27" s="83">
        <v>16771</v>
      </c>
      <c r="J27" s="83">
        <v>15485</v>
      </c>
      <c r="K27" s="82">
        <f t="shared" si="57"/>
        <v>16522</v>
      </c>
      <c r="L27" s="83">
        <v>16522</v>
      </c>
      <c r="M27" s="83">
        <v>17471</v>
      </c>
      <c r="N27" s="83">
        <v>15944</v>
      </c>
      <c r="O27" s="83">
        <v>15640</v>
      </c>
      <c r="P27" s="82">
        <v>14062</v>
      </c>
      <c r="Q27" s="83">
        <v>14062</v>
      </c>
      <c r="R27" s="83">
        <v>16417</v>
      </c>
      <c r="S27" s="83">
        <v>12071</v>
      </c>
      <c r="T27" s="83">
        <v>10457</v>
      </c>
      <c r="U27" s="82">
        <v>10063</v>
      </c>
      <c r="V27" s="83">
        <v>10063</v>
      </c>
      <c r="W27" s="83">
        <v>8417</v>
      </c>
      <c r="X27" s="83">
        <v>8047</v>
      </c>
      <c r="Y27" s="83">
        <v>9320</v>
      </c>
      <c r="Z27" s="82">
        <v>9726</v>
      </c>
      <c r="AA27" s="83">
        <v>9726</v>
      </c>
      <c r="AB27" s="83">
        <v>10061</v>
      </c>
      <c r="AC27" s="83">
        <v>10785</v>
      </c>
      <c r="AD27" s="83">
        <v>11856</v>
      </c>
      <c r="AE27" s="82">
        <v>15581</v>
      </c>
      <c r="AF27" s="83">
        <v>15581</v>
      </c>
      <c r="AG27" s="83">
        <v>16308</v>
      </c>
      <c r="AH27" s="83">
        <v>15390</v>
      </c>
      <c r="AI27" s="83">
        <v>14463</v>
      </c>
      <c r="AJ27" s="82">
        <v>15303</v>
      </c>
      <c r="AK27" s="83">
        <v>15303</v>
      </c>
      <c r="AL27" s="83">
        <v>14106</v>
      </c>
      <c r="AM27" s="83">
        <v>16554</v>
      </c>
      <c r="AN27" s="83">
        <v>19838</v>
      </c>
      <c r="AO27" s="82">
        <v>23745</v>
      </c>
      <c r="AP27" s="83">
        <v>23745</v>
      </c>
      <c r="AQ27" s="83">
        <v>26955</v>
      </c>
      <c r="AR27" s="83">
        <v>34555</v>
      </c>
      <c r="AS27" s="83">
        <v>42419</v>
      </c>
      <c r="AT27" s="82">
        <v>44014</v>
      </c>
      <c r="AU27" s="83">
        <v>44014</v>
      </c>
      <c r="AV27" s="83">
        <v>54917</v>
      </c>
      <c r="AW27" s="83">
        <v>55748</v>
      </c>
      <c r="AX27" s="83">
        <v>57792</v>
      </c>
      <c r="AY27" s="82">
        <v>46164</v>
      </c>
      <c r="AZ27" s="83">
        <v>46164</v>
      </c>
      <c r="BA27" s="83">
        <v>59395</v>
      </c>
      <c r="BB27" s="83">
        <v>59248</v>
      </c>
      <c r="BC27" s="83">
        <v>56360</v>
      </c>
      <c r="BD27" s="82">
        <v>55084</v>
      </c>
      <c r="BE27" s="83">
        <v>55084</v>
      </c>
      <c r="BF27" s="83">
        <v>52820</v>
      </c>
      <c r="BG27" s="83">
        <v>45001</v>
      </c>
      <c r="BH27" s="83">
        <v>39582</v>
      </c>
    </row>
    <row r="28" spans="1:60" ht="16.5" customHeight="1" x14ac:dyDescent="0.25">
      <c r="A28" s="27"/>
      <c r="B28" s="42" t="s">
        <v>118</v>
      </c>
      <c r="C28" s="43"/>
      <c r="D28" s="44"/>
      <c r="E28" s="116">
        <v>121133</v>
      </c>
      <c r="F28" s="114">
        <v>106837</v>
      </c>
      <c r="G28" s="116">
        <v>106837</v>
      </c>
      <c r="H28" s="84">
        <v>128041</v>
      </c>
      <c r="I28" s="84">
        <v>159903</v>
      </c>
      <c r="J28" s="84">
        <v>204459</v>
      </c>
      <c r="K28" s="82">
        <f t="shared" si="57"/>
        <v>201839</v>
      </c>
      <c r="L28" s="84">
        <v>201839</v>
      </c>
      <c r="M28" s="84">
        <v>71617</v>
      </c>
      <c r="N28" s="84">
        <v>86122</v>
      </c>
      <c r="O28" s="84">
        <v>108312</v>
      </c>
      <c r="P28" s="82">
        <v>67216</v>
      </c>
      <c r="Q28" s="84">
        <v>67216</v>
      </c>
      <c r="R28" s="84">
        <v>57244</v>
      </c>
      <c r="S28" s="84">
        <v>87897</v>
      </c>
      <c r="T28" s="84">
        <v>44760</v>
      </c>
      <c r="U28" s="82">
        <v>51838</v>
      </c>
      <c r="V28" s="84">
        <v>51838</v>
      </c>
      <c r="W28" s="84">
        <v>23121</v>
      </c>
      <c r="X28" s="84">
        <v>36568</v>
      </c>
      <c r="Y28" s="84">
        <v>43505</v>
      </c>
      <c r="Z28" s="82">
        <v>52978</v>
      </c>
      <c r="AA28" s="84">
        <v>52978</v>
      </c>
      <c r="AB28" s="84">
        <v>62173</v>
      </c>
      <c r="AC28" s="84">
        <v>8011</v>
      </c>
      <c r="AD28" s="84">
        <v>15159</v>
      </c>
      <c r="AE28" s="82">
        <v>5977</v>
      </c>
      <c r="AF28" s="84">
        <v>5977</v>
      </c>
      <c r="AG28" s="84">
        <v>14600</v>
      </c>
      <c r="AH28" s="84">
        <v>26371</v>
      </c>
      <c r="AI28" s="84">
        <v>13903</v>
      </c>
      <c r="AJ28" s="82">
        <v>26152</v>
      </c>
      <c r="AK28" s="84">
        <v>26152</v>
      </c>
      <c r="AL28" s="84">
        <v>17409</v>
      </c>
      <c r="AM28" s="84">
        <v>28631</v>
      </c>
      <c r="AN28" s="84">
        <v>24331</v>
      </c>
      <c r="AO28" s="82">
        <v>14961</v>
      </c>
      <c r="AP28" s="84">
        <v>14961</v>
      </c>
      <c r="AQ28" s="84">
        <v>34524</v>
      </c>
      <c r="AR28" s="84">
        <v>12384</v>
      </c>
      <c r="AS28" s="84">
        <v>12366</v>
      </c>
      <c r="AT28" s="82">
        <v>34204</v>
      </c>
      <c r="AU28" s="84">
        <v>34204</v>
      </c>
      <c r="AV28" s="84">
        <v>16838</v>
      </c>
      <c r="AW28" s="84">
        <v>14856</v>
      </c>
      <c r="AX28" s="84">
        <v>15942</v>
      </c>
      <c r="AY28" s="82">
        <v>19765</v>
      </c>
      <c r="AZ28" s="84">
        <v>19765</v>
      </c>
      <c r="BA28" s="84">
        <v>23748</v>
      </c>
      <c r="BB28" s="84">
        <v>27920</v>
      </c>
      <c r="BC28" s="84">
        <v>17870</v>
      </c>
      <c r="BD28" s="82">
        <v>10837</v>
      </c>
      <c r="BE28" s="84">
        <v>10837</v>
      </c>
      <c r="BF28" s="84">
        <v>18644</v>
      </c>
      <c r="BG28" s="84">
        <v>14738</v>
      </c>
      <c r="BH28" s="84">
        <v>15476</v>
      </c>
    </row>
    <row r="29" spans="1:60" ht="16.5" customHeight="1" x14ac:dyDescent="0.25">
      <c r="A29" s="27"/>
      <c r="B29" s="39" t="s">
        <v>119</v>
      </c>
      <c r="C29" s="40"/>
      <c r="D29" s="41"/>
      <c r="E29" s="115">
        <v>60086</v>
      </c>
      <c r="F29" s="114">
        <v>55655</v>
      </c>
      <c r="G29" s="115">
        <v>55655</v>
      </c>
      <c r="H29" s="83">
        <v>49177</v>
      </c>
      <c r="I29" s="83">
        <v>48346</v>
      </c>
      <c r="J29" s="83">
        <v>48730</v>
      </c>
      <c r="K29" s="82">
        <f t="shared" si="57"/>
        <v>56474</v>
      </c>
      <c r="L29" s="83">
        <v>56474</v>
      </c>
      <c r="M29" s="83">
        <v>54001</v>
      </c>
      <c r="N29" s="83">
        <v>43253</v>
      </c>
      <c r="O29" s="83">
        <v>30524</v>
      </c>
      <c r="P29" s="82">
        <v>31764</v>
      </c>
      <c r="Q29" s="83">
        <v>31764</v>
      </c>
      <c r="R29" s="83">
        <v>35868</v>
      </c>
      <c r="S29" s="83">
        <v>31855</v>
      </c>
      <c r="T29" s="83">
        <v>34830</v>
      </c>
      <c r="U29" s="82">
        <v>38346</v>
      </c>
      <c r="V29" s="83">
        <v>38346</v>
      </c>
      <c r="W29" s="83">
        <v>33638</v>
      </c>
      <c r="X29" s="83">
        <v>27948</v>
      </c>
      <c r="Y29" s="83">
        <v>24863</v>
      </c>
      <c r="Z29" s="82">
        <v>24475</v>
      </c>
      <c r="AA29" s="83">
        <v>24475</v>
      </c>
      <c r="AB29" s="83">
        <v>23620</v>
      </c>
      <c r="AC29" s="83">
        <v>20246</v>
      </c>
      <c r="AD29" s="83">
        <v>18384</v>
      </c>
      <c r="AE29" s="82">
        <v>16536</v>
      </c>
      <c r="AF29" s="83">
        <v>16536</v>
      </c>
      <c r="AG29" s="83">
        <v>8678</v>
      </c>
      <c r="AH29" s="83">
        <v>9448</v>
      </c>
      <c r="AI29" s="83">
        <v>11367</v>
      </c>
      <c r="AJ29" s="82">
        <v>11107</v>
      </c>
      <c r="AK29" s="83">
        <v>11107</v>
      </c>
      <c r="AL29" s="83">
        <v>10197</v>
      </c>
      <c r="AM29" s="83">
        <v>9615</v>
      </c>
      <c r="AN29" s="83">
        <v>10671</v>
      </c>
      <c r="AO29" s="82">
        <v>11186</v>
      </c>
      <c r="AP29" s="83">
        <v>11186</v>
      </c>
      <c r="AQ29" s="83">
        <v>7822</v>
      </c>
      <c r="AR29" s="83">
        <v>7172</v>
      </c>
      <c r="AS29" s="83">
        <v>5575</v>
      </c>
      <c r="AT29" s="82">
        <v>9055</v>
      </c>
      <c r="AU29" s="83">
        <v>9055</v>
      </c>
      <c r="AV29" s="83">
        <v>8896</v>
      </c>
      <c r="AW29" s="83">
        <v>10737</v>
      </c>
      <c r="AX29" s="83">
        <v>13466</v>
      </c>
      <c r="AY29" s="82">
        <v>15230</v>
      </c>
      <c r="AZ29" s="83">
        <v>15230</v>
      </c>
      <c r="BA29" s="83">
        <v>13320</v>
      </c>
      <c r="BB29" s="83">
        <v>12966</v>
      </c>
      <c r="BC29" s="83">
        <v>11191</v>
      </c>
      <c r="BD29" s="82">
        <v>12830</v>
      </c>
      <c r="BE29" s="83">
        <v>12830</v>
      </c>
      <c r="BF29" s="83">
        <v>9636</v>
      </c>
      <c r="BG29" s="83">
        <v>10987</v>
      </c>
      <c r="BH29" s="83">
        <v>8852</v>
      </c>
    </row>
    <row r="30" spans="1:60" ht="16.5" customHeight="1" x14ac:dyDescent="0.25">
      <c r="A30" s="27"/>
      <c r="B30" s="42" t="s">
        <v>120</v>
      </c>
      <c r="C30" s="43"/>
      <c r="D30" s="44"/>
      <c r="E30" s="116">
        <v>20134</v>
      </c>
      <c r="F30" s="114">
        <v>16550</v>
      </c>
      <c r="G30" s="116">
        <v>16550</v>
      </c>
      <c r="H30" s="84">
        <v>13365</v>
      </c>
      <c r="I30" s="84">
        <v>14482</v>
      </c>
      <c r="J30" s="84">
        <v>14676</v>
      </c>
      <c r="K30" s="82">
        <f t="shared" si="57"/>
        <v>16140</v>
      </c>
      <c r="L30" s="84">
        <v>16140</v>
      </c>
      <c r="M30" s="84">
        <v>31607</v>
      </c>
      <c r="N30" s="84">
        <v>26433</v>
      </c>
      <c r="O30" s="84">
        <v>26557</v>
      </c>
      <c r="P30" s="82">
        <v>25092</v>
      </c>
      <c r="Q30" s="84">
        <v>25092</v>
      </c>
      <c r="R30" s="84">
        <v>20692</v>
      </c>
      <c r="S30" s="84">
        <v>21097</v>
      </c>
      <c r="T30" s="84">
        <v>20333</v>
      </c>
      <c r="U30" s="82">
        <v>19082</v>
      </c>
      <c r="V30" s="84">
        <v>19082</v>
      </c>
      <c r="W30" s="84">
        <v>18116</v>
      </c>
      <c r="X30" s="84">
        <v>17649</v>
      </c>
      <c r="Y30" s="84">
        <v>19750</v>
      </c>
      <c r="Z30" s="82">
        <v>18741</v>
      </c>
      <c r="AA30" s="84">
        <v>18741</v>
      </c>
      <c r="AB30" s="84">
        <v>15227</v>
      </c>
      <c r="AC30" s="84">
        <v>11980</v>
      </c>
      <c r="AD30" s="84">
        <v>12603</v>
      </c>
      <c r="AE30" s="82">
        <v>11614</v>
      </c>
      <c r="AF30" s="84">
        <v>11614</v>
      </c>
      <c r="AG30" s="84">
        <v>11566</v>
      </c>
      <c r="AH30" s="84">
        <v>10516</v>
      </c>
      <c r="AI30" s="84">
        <v>9542</v>
      </c>
      <c r="AJ30" s="82">
        <v>9707</v>
      </c>
      <c r="AK30" s="84">
        <v>9707</v>
      </c>
      <c r="AL30" s="84">
        <v>6752</v>
      </c>
      <c r="AM30" s="84">
        <v>8184</v>
      </c>
      <c r="AN30" s="84">
        <v>11657</v>
      </c>
      <c r="AO30" s="82">
        <v>11475</v>
      </c>
      <c r="AP30" s="84">
        <v>11475</v>
      </c>
      <c r="AQ30" s="84">
        <v>13465</v>
      </c>
      <c r="AR30" s="84">
        <v>10513</v>
      </c>
      <c r="AS30" s="84">
        <v>11421</v>
      </c>
      <c r="AT30" s="82">
        <v>16916</v>
      </c>
      <c r="AU30" s="84">
        <v>16916</v>
      </c>
      <c r="AV30" s="84">
        <v>19846</v>
      </c>
      <c r="AW30" s="84">
        <v>16565</v>
      </c>
      <c r="AX30" s="84">
        <v>15890</v>
      </c>
      <c r="AY30" s="82">
        <v>12599</v>
      </c>
      <c r="AZ30" s="84">
        <v>12599</v>
      </c>
      <c r="BA30" s="84">
        <v>13594</v>
      </c>
      <c r="BB30" s="84">
        <v>11527</v>
      </c>
      <c r="BC30" s="84">
        <v>11252</v>
      </c>
      <c r="BD30" s="82">
        <v>8753</v>
      </c>
      <c r="BE30" s="84">
        <v>8753</v>
      </c>
      <c r="BF30" s="84">
        <v>9445</v>
      </c>
      <c r="BG30" s="84">
        <v>11093</v>
      </c>
      <c r="BH30" s="84">
        <v>6632</v>
      </c>
    </row>
    <row r="31" spans="1:60" ht="16.5" customHeight="1" x14ac:dyDescent="0.25">
      <c r="A31" s="27"/>
      <c r="B31" s="39" t="s">
        <v>109</v>
      </c>
      <c r="C31" s="40"/>
      <c r="D31" s="41"/>
      <c r="E31" s="115">
        <v>2768</v>
      </c>
      <c r="F31" s="114">
        <v>3418</v>
      </c>
      <c r="G31" s="115">
        <v>3418</v>
      </c>
      <c r="H31" s="83">
        <v>3900</v>
      </c>
      <c r="I31" s="83">
        <v>6767</v>
      </c>
      <c r="J31" s="83">
        <v>6676</v>
      </c>
      <c r="K31" s="82">
        <f t="shared" si="57"/>
        <v>7316</v>
      </c>
      <c r="L31" s="83">
        <v>7316</v>
      </c>
      <c r="M31" s="83">
        <v>9013</v>
      </c>
      <c r="N31" s="83">
        <v>3008</v>
      </c>
      <c r="O31" s="83">
        <v>3837</v>
      </c>
      <c r="P31" s="82">
        <v>3721</v>
      </c>
      <c r="Q31" s="83">
        <v>3721</v>
      </c>
      <c r="R31" s="83">
        <v>2896</v>
      </c>
      <c r="S31" s="83">
        <v>2421</v>
      </c>
      <c r="T31" s="83">
        <v>1538</v>
      </c>
      <c r="U31" s="82">
        <v>1922</v>
      </c>
      <c r="V31" s="83">
        <v>1922</v>
      </c>
      <c r="W31" s="83">
        <v>1859</v>
      </c>
      <c r="X31" s="83">
        <v>1873</v>
      </c>
      <c r="Y31" s="83">
        <v>1913</v>
      </c>
      <c r="Z31" s="82">
        <v>1962</v>
      </c>
      <c r="AA31" s="83">
        <v>1962</v>
      </c>
      <c r="AB31" s="83">
        <v>2691</v>
      </c>
      <c r="AC31" s="83">
        <v>10476</v>
      </c>
      <c r="AD31" s="83">
        <v>9516</v>
      </c>
      <c r="AE31" s="82">
        <v>10057</v>
      </c>
      <c r="AF31" s="83">
        <v>10057</v>
      </c>
      <c r="AG31" s="83">
        <v>16195</v>
      </c>
      <c r="AH31" s="83">
        <v>17472</v>
      </c>
      <c r="AI31" s="83">
        <v>19885</v>
      </c>
      <c r="AJ31" s="82">
        <v>16405</v>
      </c>
      <c r="AK31" s="83">
        <v>16405</v>
      </c>
      <c r="AL31" s="83">
        <v>12078</v>
      </c>
      <c r="AM31" s="83">
        <v>9447</v>
      </c>
      <c r="AN31" s="83">
        <v>9568</v>
      </c>
      <c r="AO31" s="82">
        <v>9533</v>
      </c>
      <c r="AP31" s="83">
        <v>9533</v>
      </c>
      <c r="AQ31" s="83">
        <v>13400</v>
      </c>
      <c r="AR31" s="83">
        <v>11973</v>
      </c>
      <c r="AS31" s="83">
        <v>12534</v>
      </c>
      <c r="AT31" s="82">
        <v>2961</v>
      </c>
      <c r="AU31" s="83">
        <v>2961</v>
      </c>
      <c r="AV31" s="83">
        <v>1095</v>
      </c>
      <c r="AW31" s="83">
        <v>184</v>
      </c>
      <c r="AX31" s="83">
        <v>192</v>
      </c>
      <c r="AY31" s="82">
        <v>184</v>
      </c>
      <c r="AZ31" s="83">
        <v>184</v>
      </c>
      <c r="BA31" s="83">
        <v>230</v>
      </c>
      <c r="BB31" s="83">
        <v>329</v>
      </c>
      <c r="BC31" s="83">
        <v>336</v>
      </c>
      <c r="BD31" s="82">
        <v>329</v>
      </c>
      <c r="BE31" s="83">
        <v>329</v>
      </c>
      <c r="BF31" s="83">
        <v>4632</v>
      </c>
      <c r="BG31" s="83">
        <v>4633</v>
      </c>
      <c r="BH31" s="83">
        <v>4349</v>
      </c>
    </row>
    <row r="32" spans="1:60" ht="16.5" customHeight="1" x14ac:dyDescent="0.25">
      <c r="A32" s="27"/>
      <c r="B32" s="42" t="s">
        <v>121</v>
      </c>
      <c r="C32" s="43"/>
      <c r="D32" s="44"/>
      <c r="E32" s="116">
        <v>40397</v>
      </c>
      <c r="F32" s="114">
        <v>40397</v>
      </c>
      <c r="G32" s="116">
        <v>40397</v>
      </c>
      <c r="H32" s="84" t="s">
        <v>1</v>
      </c>
      <c r="I32" s="84">
        <v>20000</v>
      </c>
      <c r="J32" s="84">
        <v>33268</v>
      </c>
      <c r="K32" s="82">
        <f t="shared" si="57"/>
        <v>33268</v>
      </c>
      <c r="L32" s="84">
        <v>33268</v>
      </c>
      <c r="M32" s="84" t="s">
        <v>1</v>
      </c>
      <c r="N32" s="84">
        <v>10000</v>
      </c>
      <c r="O32" s="84">
        <v>17087</v>
      </c>
      <c r="P32" s="82">
        <v>17087</v>
      </c>
      <c r="Q32" s="84">
        <v>17087</v>
      </c>
      <c r="R32" s="84">
        <v>3010</v>
      </c>
      <c r="S32" s="84">
        <v>7630</v>
      </c>
      <c r="T32" s="84">
        <v>8311</v>
      </c>
      <c r="U32" s="82">
        <v>8311</v>
      </c>
      <c r="V32" s="84">
        <v>8311</v>
      </c>
      <c r="W32" s="84" t="s">
        <v>1</v>
      </c>
      <c r="X32" s="84">
        <v>9500</v>
      </c>
      <c r="Y32" s="84">
        <v>616</v>
      </c>
      <c r="Z32" s="82">
        <v>616</v>
      </c>
      <c r="AA32" s="84">
        <v>616</v>
      </c>
      <c r="AB32" s="84">
        <v>3210</v>
      </c>
      <c r="AC32" s="84">
        <v>7959</v>
      </c>
      <c r="AD32" s="84">
        <v>4539</v>
      </c>
      <c r="AE32" s="82">
        <v>4539</v>
      </c>
      <c r="AF32" s="84">
        <v>4539</v>
      </c>
      <c r="AG32" s="84" t="s">
        <v>1</v>
      </c>
      <c r="AH32" s="84">
        <v>5000</v>
      </c>
      <c r="AI32" s="84">
        <v>4800</v>
      </c>
      <c r="AJ32" s="82">
        <v>4800</v>
      </c>
      <c r="AK32" s="84">
        <v>4800</v>
      </c>
      <c r="AL32" s="84" t="s">
        <v>1</v>
      </c>
      <c r="AM32" s="84">
        <v>5000</v>
      </c>
      <c r="AN32" s="84">
        <v>7294</v>
      </c>
      <c r="AO32" s="82">
        <v>7294</v>
      </c>
      <c r="AP32" s="84">
        <v>7294</v>
      </c>
      <c r="AQ32" s="84" t="s">
        <v>1</v>
      </c>
      <c r="AR32" s="84">
        <v>3968</v>
      </c>
      <c r="AS32" s="84">
        <v>13031</v>
      </c>
      <c r="AT32" s="82">
        <v>3968</v>
      </c>
      <c r="AU32" s="84">
        <v>3968</v>
      </c>
      <c r="AV32" s="84" t="s">
        <v>1</v>
      </c>
      <c r="AW32" s="84" t="s">
        <v>1</v>
      </c>
      <c r="AX32" s="84" t="s">
        <v>1</v>
      </c>
      <c r="AY32" s="82" t="s">
        <v>1</v>
      </c>
      <c r="AZ32" s="84" t="s">
        <v>1</v>
      </c>
      <c r="BA32" s="84">
        <v>9300</v>
      </c>
      <c r="BB32" s="84">
        <v>9300</v>
      </c>
      <c r="BC32" s="84">
        <v>9300</v>
      </c>
      <c r="BD32" s="82">
        <v>9300</v>
      </c>
      <c r="BE32" s="84">
        <v>9300</v>
      </c>
      <c r="BF32" s="84">
        <v>10767</v>
      </c>
      <c r="BG32" s="84">
        <v>10767</v>
      </c>
      <c r="BH32" s="84">
        <v>10767</v>
      </c>
    </row>
    <row r="33" spans="1:60" ht="16.5" customHeight="1" x14ac:dyDescent="0.25">
      <c r="A33" s="27"/>
      <c r="B33" s="39" t="s">
        <v>122</v>
      </c>
      <c r="C33" s="40"/>
      <c r="D33" s="41"/>
      <c r="E33" s="115">
        <v>12873</v>
      </c>
      <c r="F33" s="114">
        <v>11317</v>
      </c>
      <c r="G33" s="115">
        <v>11317</v>
      </c>
      <c r="H33" s="83">
        <v>11508</v>
      </c>
      <c r="I33" s="83">
        <v>11527</v>
      </c>
      <c r="J33" s="83">
        <v>11571</v>
      </c>
      <c r="K33" s="82">
        <f t="shared" si="57"/>
        <v>11596</v>
      </c>
      <c r="L33" s="83">
        <v>11596</v>
      </c>
      <c r="M33" s="83">
        <v>11621</v>
      </c>
      <c r="N33" s="83">
        <v>5908</v>
      </c>
      <c r="O33" s="83">
        <v>5714</v>
      </c>
      <c r="P33" s="82" t="s">
        <v>1</v>
      </c>
      <c r="Q33" s="83" t="s">
        <v>1</v>
      </c>
      <c r="R33" s="83" t="s">
        <v>1</v>
      </c>
      <c r="S33" s="83" t="s">
        <v>1</v>
      </c>
      <c r="T33" s="83" t="s">
        <v>1</v>
      </c>
      <c r="U33" s="82" t="s">
        <v>1</v>
      </c>
      <c r="V33" s="83" t="s">
        <v>1</v>
      </c>
      <c r="W33" s="83" t="s">
        <v>1</v>
      </c>
      <c r="X33" s="83" t="s">
        <v>1</v>
      </c>
      <c r="Y33" s="83" t="s">
        <v>1</v>
      </c>
      <c r="Z33" s="82" t="s">
        <v>1</v>
      </c>
      <c r="AA33" s="83" t="s">
        <v>1</v>
      </c>
      <c r="AB33" s="83" t="s">
        <v>1</v>
      </c>
      <c r="AC33" s="83" t="s">
        <v>1</v>
      </c>
      <c r="AD33" s="83" t="s">
        <v>1</v>
      </c>
      <c r="AE33" s="82" t="s">
        <v>1</v>
      </c>
      <c r="AF33" s="83" t="s">
        <v>1</v>
      </c>
      <c r="AG33" s="83" t="s">
        <v>1</v>
      </c>
      <c r="AH33" s="83" t="s">
        <v>1</v>
      </c>
      <c r="AI33" s="83" t="s">
        <v>1</v>
      </c>
      <c r="AJ33" s="82">
        <v>62381</v>
      </c>
      <c r="AK33" s="83">
        <v>62381</v>
      </c>
      <c r="AL33" s="83">
        <v>60764</v>
      </c>
      <c r="AM33" s="83">
        <v>123995</v>
      </c>
      <c r="AN33" s="83">
        <v>123715</v>
      </c>
      <c r="AO33" s="82">
        <v>136458</v>
      </c>
      <c r="AP33" s="83">
        <v>136458</v>
      </c>
      <c r="AQ33" s="83">
        <v>139593</v>
      </c>
      <c r="AR33" s="83">
        <v>225477</v>
      </c>
      <c r="AS33" s="83">
        <v>224326</v>
      </c>
      <c r="AT33" s="82">
        <v>223619</v>
      </c>
      <c r="AU33" s="83">
        <v>223619</v>
      </c>
      <c r="AV33" s="83">
        <v>223709</v>
      </c>
      <c r="AW33" s="83">
        <v>170860</v>
      </c>
      <c r="AX33" s="83">
        <v>168301</v>
      </c>
      <c r="AY33" s="82">
        <v>118722</v>
      </c>
      <c r="AZ33" s="83">
        <v>118722</v>
      </c>
      <c r="BA33" s="83">
        <v>111552</v>
      </c>
      <c r="BB33" s="83">
        <v>114704</v>
      </c>
      <c r="BC33" s="83">
        <v>97056</v>
      </c>
      <c r="BD33" s="82">
        <v>93898</v>
      </c>
      <c r="BE33" s="83">
        <v>93898</v>
      </c>
      <c r="BF33" s="83">
        <v>80525</v>
      </c>
      <c r="BG33" s="83">
        <v>13213</v>
      </c>
      <c r="BH33" s="83">
        <v>5241</v>
      </c>
    </row>
    <row r="34" spans="1:60" ht="16.5" customHeight="1" x14ac:dyDescent="0.25">
      <c r="A34" s="27"/>
      <c r="B34" s="42" t="s">
        <v>123</v>
      </c>
      <c r="C34" s="43"/>
      <c r="D34" s="44"/>
      <c r="E34" s="116" t="s">
        <v>1</v>
      </c>
      <c r="F34" s="114" t="s">
        <v>1</v>
      </c>
      <c r="G34" s="116" t="s">
        <v>1</v>
      </c>
      <c r="H34" s="84" t="s">
        <v>1</v>
      </c>
      <c r="I34" s="84" t="s">
        <v>1</v>
      </c>
      <c r="J34" s="84" t="s">
        <v>1</v>
      </c>
      <c r="K34" s="82" t="s">
        <v>1</v>
      </c>
      <c r="L34" s="84" t="s">
        <v>1</v>
      </c>
      <c r="M34" s="84" t="s">
        <v>1</v>
      </c>
      <c r="N34" s="84" t="s">
        <v>1</v>
      </c>
      <c r="O34" s="84" t="s">
        <v>1</v>
      </c>
      <c r="P34" s="82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2" t="s">
        <v>1</v>
      </c>
      <c r="V34" s="84" t="s">
        <v>1</v>
      </c>
      <c r="W34" s="84" t="s">
        <v>1</v>
      </c>
      <c r="X34" s="84" t="s">
        <v>1</v>
      </c>
      <c r="Y34" s="84" t="s">
        <v>1</v>
      </c>
      <c r="Z34" s="82" t="s">
        <v>1</v>
      </c>
      <c r="AA34" s="84" t="s">
        <v>1</v>
      </c>
      <c r="AB34" s="84" t="s">
        <v>1</v>
      </c>
      <c r="AC34" s="84" t="s">
        <v>1</v>
      </c>
      <c r="AD34" s="84" t="s">
        <v>1</v>
      </c>
      <c r="AE34" s="82" t="s">
        <v>1</v>
      </c>
      <c r="AF34" s="84" t="s">
        <v>1</v>
      </c>
      <c r="AG34" s="84" t="s">
        <v>1</v>
      </c>
      <c r="AH34" s="84" t="s">
        <v>1</v>
      </c>
      <c r="AI34" s="84" t="s">
        <v>1</v>
      </c>
      <c r="AJ34" s="82" t="s">
        <v>1</v>
      </c>
      <c r="AK34" s="84" t="s">
        <v>1</v>
      </c>
      <c r="AL34" s="84" t="s">
        <v>1</v>
      </c>
      <c r="AM34" s="84" t="s">
        <v>1</v>
      </c>
      <c r="AN34" s="84" t="s">
        <v>1</v>
      </c>
      <c r="AO34" s="82" t="s">
        <v>1</v>
      </c>
      <c r="AP34" s="84" t="s">
        <v>1</v>
      </c>
      <c r="AQ34" s="84" t="s">
        <v>1</v>
      </c>
      <c r="AR34" s="84" t="s">
        <v>1</v>
      </c>
      <c r="AS34" s="84" t="s">
        <v>1</v>
      </c>
      <c r="AT34" s="82" t="s">
        <v>1</v>
      </c>
      <c r="AU34" s="84" t="s">
        <v>1</v>
      </c>
      <c r="AV34" s="84" t="s">
        <v>1</v>
      </c>
      <c r="AW34" s="84" t="s">
        <v>1</v>
      </c>
      <c r="AX34" s="84" t="s">
        <v>1</v>
      </c>
      <c r="AY34" s="82" t="s">
        <v>1</v>
      </c>
      <c r="AZ34" s="84" t="s">
        <v>1</v>
      </c>
      <c r="BA34" s="84" t="s">
        <v>1</v>
      </c>
      <c r="BB34" s="84">
        <v>4567</v>
      </c>
      <c r="BC34" s="84">
        <v>4062</v>
      </c>
      <c r="BD34" s="82">
        <v>5038</v>
      </c>
      <c r="BE34" s="84">
        <v>5038</v>
      </c>
      <c r="BF34" s="84">
        <v>6543</v>
      </c>
      <c r="BG34" s="84">
        <v>7375</v>
      </c>
      <c r="BH34" s="84">
        <v>6304</v>
      </c>
    </row>
    <row r="35" spans="1:60" s="38" customFormat="1" ht="16.5" customHeight="1" x14ac:dyDescent="0.25">
      <c r="A35" s="34"/>
      <c r="B35" s="71" t="s">
        <v>124</v>
      </c>
      <c r="C35" s="72"/>
      <c r="D35" s="73"/>
      <c r="E35" s="85">
        <f t="shared" ref="E35" si="58">SUM(E36:E45)</f>
        <v>456525</v>
      </c>
      <c r="F35" s="80">
        <v>507274</v>
      </c>
      <c r="G35" s="85">
        <f t="shared" ref="G35" si="59">SUM(G36:G45)</f>
        <v>507274</v>
      </c>
      <c r="H35" s="85">
        <v>363366</v>
      </c>
      <c r="I35" s="85">
        <f t="shared" ref="I35:BC35" si="60">SUM(I36:I45)</f>
        <v>371039</v>
      </c>
      <c r="J35" s="85">
        <f t="shared" si="60"/>
        <v>292532</v>
      </c>
      <c r="K35" s="80">
        <f t="shared" si="60"/>
        <v>251728</v>
      </c>
      <c r="L35" s="85">
        <f t="shared" si="60"/>
        <v>251728</v>
      </c>
      <c r="M35" s="85">
        <f t="shared" si="60"/>
        <v>234851</v>
      </c>
      <c r="N35" s="85">
        <f t="shared" si="60"/>
        <v>229576</v>
      </c>
      <c r="O35" s="85">
        <f t="shared" si="60"/>
        <v>165965</v>
      </c>
      <c r="P35" s="80">
        <f t="shared" si="60"/>
        <v>158446</v>
      </c>
      <c r="Q35" s="85">
        <f t="shared" si="60"/>
        <v>158446</v>
      </c>
      <c r="R35" s="85">
        <f t="shared" si="60"/>
        <v>202767</v>
      </c>
      <c r="S35" s="85">
        <f t="shared" si="60"/>
        <v>202483</v>
      </c>
      <c r="T35" s="85">
        <f t="shared" si="60"/>
        <v>180978</v>
      </c>
      <c r="U35" s="80">
        <f t="shared" si="60"/>
        <v>158156</v>
      </c>
      <c r="V35" s="85">
        <f t="shared" si="60"/>
        <v>158156</v>
      </c>
      <c r="W35" s="85">
        <f t="shared" si="60"/>
        <v>135264</v>
      </c>
      <c r="X35" s="85">
        <f t="shared" si="60"/>
        <v>131876</v>
      </c>
      <c r="Y35" s="85">
        <f t="shared" si="60"/>
        <v>128078</v>
      </c>
      <c r="Z35" s="80">
        <f t="shared" si="60"/>
        <v>112137</v>
      </c>
      <c r="AA35" s="85">
        <f t="shared" si="60"/>
        <v>112137</v>
      </c>
      <c r="AB35" s="85">
        <f t="shared" si="60"/>
        <v>134959</v>
      </c>
      <c r="AC35" s="85">
        <f t="shared" si="60"/>
        <v>124620</v>
      </c>
      <c r="AD35" s="85">
        <f t="shared" si="60"/>
        <v>147386</v>
      </c>
      <c r="AE35" s="80">
        <f t="shared" si="60"/>
        <v>128791</v>
      </c>
      <c r="AF35" s="85">
        <f t="shared" si="60"/>
        <v>128791</v>
      </c>
      <c r="AG35" s="85">
        <f t="shared" si="60"/>
        <v>190296</v>
      </c>
      <c r="AH35" s="85">
        <f t="shared" si="60"/>
        <v>158037</v>
      </c>
      <c r="AI35" s="85">
        <f t="shared" si="60"/>
        <v>172333</v>
      </c>
      <c r="AJ35" s="80">
        <f t="shared" si="60"/>
        <v>198555</v>
      </c>
      <c r="AK35" s="85">
        <f t="shared" si="60"/>
        <v>198555</v>
      </c>
      <c r="AL35" s="85">
        <f t="shared" si="60"/>
        <v>132934</v>
      </c>
      <c r="AM35" s="85">
        <f t="shared" si="60"/>
        <v>140375</v>
      </c>
      <c r="AN35" s="85">
        <f t="shared" si="60"/>
        <v>140675</v>
      </c>
      <c r="AO35" s="80">
        <f t="shared" si="60"/>
        <v>189048</v>
      </c>
      <c r="AP35" s="85">
        <f t="shared" si="60"/>
        <v>189048</v>
      </c>
      <c r="AQ35" s="85">
        <f t="shared" si="60"/>
        <v>179789</v>
      </c>
      <c r="AR35" s="85">
        <f t="shared" si="60"/>
        <v>271164</v>
      </c>
      <c r="AS35" s="85">
        <f t="shared" si="60"/>
        <v>252380</v>
      </c>
      <c r="AT35" s="80">
        <f t="shared" si="60"/>
        <v>301009</v>
      </c>
      <c r="AU35" s="85">
        <f t="shared" si="60"/>
        <v>301009</v>
      </c>
      <c r="AV35" s="85">
        <f t="shared" si="60"/>
        <v>312874</v>
      </c>
      <c r="AW35" s="85">
        <f t="shared" si="60"/>
        <v>472120</v>
      </c>
      <c r="AX35" s="85">
        <f t="shared" si="60"/>
        <v>455659</v>
      </c>
      <c r="AY35" s="80">
        <f t="shared" si="60"/>
        <v>513573</v>
      </c>
      <c r="AZ35" s="85">
        <f t="shared" si="60"/>
        <v>513573</v>
      </c>
      <c r="BA35" s="85">
        <f t="shared" si="60"/>
        <v>506939</v>
      </c>
      <c r="BB35" s="85">
        <f t="shared" si="60"/>
        <v>564394</v>
      </c>
      <c r="BC35" s="85">
        <f t="shared" si="60"/>
        <v>633217</v>
      </c>
      <c r="BD35" s="80">
        <f>SUM(BD36:BD45)</f>
        <v>670336</v>
      </c>
      <c r="BE35" s="85">
        <f t="shared" ref="BE35:BF35" si="61">SUM(BE36:BE45)</f>
        <v>670336</v>
      </c>
      <c r="BF35" s="85">
        <f t="shared" si="61"/>
        <v>655698</v>
      </c>
      <c r="BG35" s="85">
        <f>SUM(BG36:BG45)</f>
        <v>754166</v>
      </c>
      <c r="BH35" s="85">
        <f>SUM(BH36:BH45)</f>
        <v>681342</v>
      </c>
    </row>
    <row r="36" spans="1:60" ht="16.5" customHeight="1" x14ac:dyDescent="0.25">
      <c r="A36" s="27"/>
      <c r="B36" s="42" t="s">
        <v>125</v>
      </c>
      <c r="C36" s="43"/>
      <c r="D36" s="44"/>
      <c r="E36" s="116">
        <v>188861</v>
      </c>
      <c r="F36" s="114">
        <v>228698</v>
      </c>
      <c r="G36" s="116">
        <v>228698</v>
      </c>
      <c r="H36" s="84">
        <v>244973</v>
      </c>
      <c r="I36" s="84">
        <v>264987</v>
      </c>
      <c r="J36" s="84">
        <v>209758</v>
      </c>
      <c r="K36" s="82">
        <f>L36</f>
        <v>205764</v>
      </c>
      <c r="L36" s="84">
        <v>205764</v>
      </c>
      <c r="M36" s="84">
        <v>194878</v>
      </c>
      <c r="N36" s="84">
        <v>184229</v>
      </c>
      <c r="O36" s="84">
        <v>132235</v>
      </c>
      <c r="P36" s="82">
        <v>146477</v>
      </c>
      <c r="Q36" s="84">
        <v>146477</v>
      </c>
      <c r="R36" s="84">
        <v>196545</v>
      </c>
      <c r="S36" s="84">
        <v>194183</v>
      </c>
      <c r="T36" s="84">
        <v>172839</v>
      </c>
      <c r="U36" s="82">
        <v>150571</v>
      </c>
      <c r="V36" s="84">
        <v>150571</v>
      </c>
      <c r="W36" s="84">
        <v>116740</v>
      </c>
      <c r="X36" s="84">
        <v>113890</v>
      </c>
      <c r="Y36" s="84">
        <v>110670</v>
      </c>
      <c r="Z36" s="82">
        <v>93501</v>
      </c>
      <c r="AA36" s="84">
        <v>93501</v>
      </c>
      <c r="AB36" s="84">
        <v>125162</v>
      </c>
      <c r="AC36" s="84">
        <v>115253</v>
      </c>
      <c r="AD36" s="84">
        <v>138826</v>
      </c>
      <c r="AE36" s="82">
        <v>120080</v>
      </c>
      <c r="AF36" s="84">
        <v>120080</v>
      </c>
      <c r="AG36" s="84">
        <v>181994</v>
      </c>
      <c r="AH36" s="84">
        <v>149619</v>
      </c>
      <c r="AI36" s="84">
        <v>162188</v>
      </c>
      <c r="AJ36" s="82">
        <v>188148</v>
      </c>
      <c r="AK36" s="84">
        <v>188148</v>
      </c>
      <c r="AL36" s="84">
        <v>106201</v>
      </c>
      <c r="AM36" s="84">
        <v>128313</v>
      </c>
      <c r="AN36" s="84">
        <v>129345</v>
      </c>
      <c r="AO36" s="82">
        <v>118451</v>
      </c>
      <c r="AP36" s="84">
        <v>118451</v>
      </c>
      <c r="AQ36" s="84">
        <v>109332</v>
      </c>
      <c r="AR36" s="84">
        <v>139789</v>
      </c>
      <c r="AS36" s="84">
        <v>116249</v>
      </c>
      <c r="AT36" s="82">
        <v>98130</v>
      </c>
      <c r="AU36" s="84">
        <v>98130</v>
      </c>
      <c r="AV36" s="84">
        <v>103441</v>
      </c>
      <c r="AW36" s="84">
        <v>127056</v>
      </c>
      <c r="AX36" s="84">
        <v>132578</v>
      </c>
      <c r="AY36" s="82">
        <v>110242</v>
      </c>
      <c r="AZ36" s="84">
        <v>110242</v>
      </c>
      <c r="BA36" s="84">
        <v>100516</v>
      </c>
      <c r="BB36" s="84">
        <v>82942</v>
      </c>
      <c r="BC36" s="84">
        <v>132934</v>
      </c>
      <c r="BD36" s="82">
        <v>155296</v>
      </c>
      <c r="BE36" s="84">
        <v>155296</v>
      </c>
      <c r="BF36" s="84">
        <v>127344</v>
      </c>
      <c r="BG36" s="84">
        <v>163075</v>
      </c>
      <c r="BH36" s="84">
        <v>123557</v>
      </c>
    </row>
    <row r="37" spans="1:60" ht="16.5" customHeight="1" x14ac:dyDescent="0.25">
      <c r="A37" s="27"/>
      <c r="B37" s="39" t="s">
        <v>118</v>
      </c>
      <c r="C37" s="40"/>
      <c r="D37" s="41"/>
      <c r="E37" s="115">
        <v>70557</v>
      </c>
      <c r="F37" s="114">
        <v>78194</v>
      </c>
      <c r="G37" s="115">
        <v>78194</v>
      </c>
      <c r="H37" s="83">
        <v>67450</v>
      </c>
      <c r="I37" s="83">
        <v>53988</v>
      </c>
      <c r="J37" s="83">
        <v>36358</v>
      </c>
      <c r="K37" s="82">
        <f>L37</f>
        <v>673</v>
      </c>
      <c r="L37" s="83">
        <v>673</v>
      </c>
      <c r="M37" s="83">
        <v>1667</v>
      </c>
      <c r="N37" s="83">
        <v>2639</v>
      </c>
      <c r="O37" s="83" t="s">
        <v>1</v>
      </c>
      <c r="P37" s="82" t="s">
        <v>1</v>
      </c>
      <c r="Q37" s="83" t="s">
        <v>1</v>
      </c>
      <c r="R37" s="83" t="s">
        <v>1</v>
      </c>
      <c r="S37" s="83" t="s">
        <v>1</v>
      </c>
      <c r="T37" s="83" t="s">
        <v>1</v>
      </c>
      <c r="U37" s="82" t="s">
        <v>1</v>
      </c>
      <c r="V37" s="83" t="s">
        <v>1</v>
      </c>
      <c r="W37" s="83">
        <v>9442</v>
      </c>
      <c r="X37" s="83">
        <v>9473</v>
      </c>
      <c r="Y37" s="83">
        <v>9698</v>
      </c>
      <c r="Z37" s="82">
        <v>9792</v>
      </c>
      <c r="AA37" s="83">
        <v>9792</v>
      </c>
      <c r="AB37" s="83" t="s">
        <v>1</v>
      </c>
      <c r="AC37" s="83" t="s">
        <v>1</v>
      </c>
      <c r="AD37" s="83" t="s">
        <v>1</v>
      </c>
      <c r="AE37" s="82" t="s">
        <v>1</v>
      </c>
      <c r="AF37" s="83" t="s">
        <v>1</v>
      </c>
      <c r="AG37" s="83" t="s">
        <v>1</v>
      </c>
      <c r="AH37" s="83" t="s">
        <v>1</v>
      </c>
      <c r="AI37" s="83" t="s">
        <v>1</v>
      </c>
      <c r="AJ37" s="82" t="s">
        <v>1</v>
      </c>
      <c r="AK37" s="83" t="s">
        <v>1</v>
      </c>
      <c r="AL37" s="83">
        <v>13752</v>
      </c>
      <c r="AM37" s="83" t="s">
        <v>1</v>
      </c>
      <c r="AN37" s="83" t="s">
        <v>1</v>
      </c>
      <c r="AO37" s="82" t="s">
        <v>1</v>
      </c>
      <c r="AP37" s="83" t="s">
        <v>1</v>
      </c>
      <c r="AQ37" s="83" t="s">
        <v>1</v>
      </c>
      <c r="AR37" s="83">
        <v>890</v>
      </c>
      <c r="AS37" s="83">
        <v>890</v>
      </c>
      <c r="AT37" s="82">
        <v>1590</v>
      </c>
      <c r="AU37" s="83">
        <v>1590</v>
      </c>
      <c r="AV37" s="83">
        <v>1590</v>
      </c>
      <c r="AW37" s="83">
        <v>700</v>
      </c>
      <c r="AX37" s="83">
        <v>700</v>
      </c>
      <c r="AY37" s="82">
        <v>700</v>
      </c>
      <c r="AZ37" s="83">
        <v>700</v>
      </c>
      <c r="BA37" s="83">
        <v>4290</v>
      </c>
      <c r="BB37" s="83">
        <v>2517</v>
      </c>
      <c r="BC37" s="83">
        <v>3314</v>
      </c>
      <c r="BD37" s="82">
        <v>10525</v>
      </c>
      <c r="BE37" s="83">
        <v>10525</v>
      </c>
      <c r="BF37" s="83">
        <v>11794</v>
      </c>
      <c r="BG37" s="83">
        <v>10180</v>
      </c>
      <c r="BH37" s="83">
        <v>8786</v>
      </c>
    </row>
    <row r="38" spans="1:60" ht="16.5" customHeight="1" x14ac:dyDescent="0.25">
      <c r="A38" s="27"/>
      <c r="B38" s="42" t="s">
        <v>119</v>
      </c>
      <c r="C38" s="43"/>
      <c r="D38" s="44"/>
      <c r="E38" s="116">
        <v>7183</v>
      </c>
      <c r="F38" s="114">
        <v>8593</v>
      </c>
      <c r="G38" s="116">
        <v>8593</v>
      </c>
      <c r="H38" s="84">
        <v>9027</v>
      </c>
      <c r="I38" s="84">
        <v>8157</v>
      </c>
      <c r="J38" s="84">
        <v>6824</v>
      </c>
      <c r="K38" s="82">
        <f>L38</f>
        <v>6847</v>
      </c>
      <c r="L38" s="84">
        <v>6847</v>
      </c>
      <c r="M38" s="84">
        <v>3010</v>
      </c>
      <c r="N38" s="84">
        <v>3722</v>
      </c>
      <c r="O38" s="84">
        <v>4854</v>
      </c>
      <c r="P38" s="82">
        <v>6096</v>
      </c>
      <c r="Q38" s="84">
        <v>6096</v>
      </c>
      <c r="R38" s="84">
        <v>1442</v>
      </c>
      <c r="S38" s="84">
        <v>1252</v>
      </c>
      <c r="T38" s="84">
        <v>843</v>
      </c>
      <c r="U38" s="82">
        <v>1250</v>
      </c>
      <c r="V38" s="84">
        <v>1250</v>
      </c>
      <c r="W38" s="84">
        <v>1171</v>
      </c>
      <c r="X38" s="84">
        <v>1402</v>
      </c>
      <c r="Y38" s="84">
        <v>1137</v>
      </c>
      <c r="Z38" s="82">
        <v>881</v>
      </c>
      <c r="AA38" s="84">
        <v>881</v>
      </c>
      <c r="AB38" s="84">
        <v>948</v>
      </c>
      <c r="AC38" s="84">
        <v>800</v>
      </c>
      <c r="AD38" s="84">
        <v>732</v>
      </c>
      <c r="AE38" s="82">
        <v>779</v>
      </c>
      <c r="AF38" s="84">
        <v>779</v>
      </c>
      <c r="AG38" s="84">
        <v>386</v>
      </c>
      <c r="AH38" s="84">
        <v>509</v>
      </c>
      <c r="AI38" s="84">
        <v>934</v>
      </c>
      <c r="AJ38" s="82">
        <v>948</v>
      </c>
      <c r="AK38" s="84">
        <v>948</v>
      </c>
      <c r="AL38" s="84">
        <v>1632</v>
      </c>
      <c r="AM38" s="84">
        <v>1468</v>
      </c>
      <c r="AN38" s="84">
        <v>1500</v>
      </c>
      <c r="AO38" s="82">
        <v>2087</v>
      </c>
      <c r="AP38" s="84">
        <v>2087</v>
      </c>
      <c r="AQ38" s="84">
        <v>1151</v>
      </c>
      <c r="AR38" s="84">
        <v>1393</v>
      </c>
      <c r="AS38" s="84">
        <v>2709</v>
      </c>
      <c r="AT38" s="82">
        <v>2022</v>
      </c>
      <c r="AU38" s="84">
        <v>2022</v>
      </c>
      <c r="AV38" s="84">
        <v>1186</v>
      </c>
      <c r="AW38" s="84">
        <v>1449</v>
      </c>
      <c r="AX38" s="84">
        <v>1569</v>
      </c>
      <c r="AY38" s="82">
        <v>1816</v>
      </c>
      <c r="AZ38" s="84">
        <v>1816</v>
      </c>
      <c r="BA38" s="84">
        <v>1775</v>
      </c>
      <c r="BB38" s="84">
        <v>1833</v>
      </c>
      <c r="BC38" s="84">
        <v>4079</v>
      </c>
      <c r="BD38" s="82">
        <v>3857</v>
      </c>
      <c r="BE38" s="84">
        <v>3857</v>
      </c>
      <c r="BF38" s="84">
        <v>3911</v>
      </c>
      <c r="BG38" s="84">
        <v>2411</v>
      </c>
      <c r="BH38" s="84">
        <v>2422</v>
      </c>
    </row>
    <row r="39" spans="1:60" ht="16.5" customHeight="1" x14ac:dyDescent="0.25">
      <c r="A39" s="27"/>
      <c r="B39" s="39" t="s">
        <v>120</v>
      </c>
      <c r="C39" s="40"/>
      <c r="D39" s="41"/>
      <c r="E39" s="115">
        <v>11823</v>
      </c>
      <c r="F39" s="114">
        <v>10303</v>
      </c>
      <c r="G39" s="115">
        <v>10303</v>
      </c>
      <c r="H39" s="83">
        <v>8754</v>
      </c>
      <c r="I39" s="83">
        <v>7398</v>
      </c>
      <c r="J39" s="83">
        <v>6329</v>
      </c>
      <c r="K39" s="82">
        <f>L39</f>
        <v>5011</v>
      </c>
      <c r="L39" s="83">
        <v>5011</v>
      </c>
      <c r="M39" s="83">
        <v>2883</v>
      </c>
      <c r="N39" s="83">
        <v>2076</v>
      </c>
      <c r="O39" s="83">
        <v>1767</v>
      </c>
      <c r="P39" s="82">
        <v>1767</v>
      </c>
      <c r="Q39" s="83">
        <v>1767</v>
      </c>
      <c r="R39" s="83">
        <v>2046</v>
      </c>
      <c r="S39" s="83">
        <v>2079</v>
      </c>
      <c r="T39" s="83">
        <v>2076</v>
      </c>
      <c r="U39" s="82">
        <v>2069</v>
      </c>
      <c r="V39" s="83">
        <v>2069</v>
      </c>
      <c r="W39" s="83">
        <v>2752</v>
      </c>
      <c r="X39" s="83">
        <v>2750</v>
      </c>
      <c r="Y39" s="83">
        <v>2745</v>
      </c>
      <c r="Z39" s="82">
        <v>4644</v>
      </c>
      <c r="AA39" s="83">
        <v>4644</v>
      </c>
      <c r="AB39" s="83">
        <v>4808</v>
      </c>
      <c r="AC39" s="83">
        <v>4805</v>
      </c>
      <c r="AD39" s="83">
        <v>4803</v>
      </c>
      <c r="AE39" s="82">
        <v>5422</v>
      </c>
      <c r="AF39" s="83">
        <v>5422</v>
      </c>
      <c r="AG39" s="83">
        <v>5199</v>
      </c>
      <c r="AH39" s="83">
        <v>5196</v>
      </c>
      <c r="AI39" s="83">
        <v>5193</v>
      </c>
      <c r="AJ39" s="82">
        <v>5050</v>
      </c>
      <c r="AK39" s="83">
        <v>5050</v>
      </c>
      <c r="AL39" s="83">
        <v>4988</v>
      </c>
      <c r="AM39" s="83">
        <v>4952</v>
      </c>
      <c r="AN39" s="83">
        <v>5070</v>
      </c>
      <c r="AO39" s="82">
        <v>5135</v>
      </c>
      <c r="AP39" s="83">
        <v>5135</v>
      </c>
      <c r="AQ39" s="83">
        <v>5099</v>
      </c>
      <c r="AR39" s="83">
        <v>5156</v>
      </c>
      <c r="AS39" s="83">
        <v>6556</v>
      </c>
      <c r="AT39" s="82">
        <v>4788</v>
      </c>
      <c r="AU39" s="83">
        <v>4788</v>
      </c>
      <c r="AV39" s="83">
        <v>4805</v>
      </c>
      <c r="AW39" s="83">
        <v>6089</v>
      </c>
      <c r="AX39" s="83">
        <v>5989</v>
      </c>
      <c r="AY39" s="82">
        <v>5757</v>
      </c>
      <c r="AZ39" s="83">
        <v>5757</v>
      </c>
      <c r="BA39" s="83">
        <v>5108</v>
      </c>
      <c r="BB39" s="83">
        <v>4791</v>
      </c>
      <c r="BC39" s="83">
        <v>3928</v>
      </c>
      <c r="BD39" s="82">
        <v>4124</v>
      </c>
      <c r="BE39" s="83">
        <v>4124</v>
      </c>
      <c r="BF39" s="83">
        <v>5255</v>
      </c>
      <c r="BG39" s="83">
        <v>5012</v>
      </c>
      <c r="BH39" s="83">
        <v>4763</v>
      </c>
    </row>
    <row r="40" spans="1:60" ht="16.5" customHeight="1" x14ac:dyDescent="0.25">
      <c r="A40" s="27"/>
      <c r="B40" s="42" t="s">
        <v>82</v>
      </c>
      <c r="C40" s="43"/>
      <c r="D40" s="44"/>
      <c r="E40" s="116">
        <v>3665</v>
      </c>
      <c r="F40" s="114">
        <v>3040</v>
      </c>
      <c r="G40" s="116">
        <v>3040</v>
      </c>
      <c r="H40" s="84">
        <v>6321</v>
      </c>
      <c r="I40" s="84">
        <v>4802</v>
      </c>
      <c r="J40" s="84">
        <v>4014</v>
      </c>
      <c r="K40" s="82">
        <f>L40</f>
        <v>4862</v>
      </c>
      <c r="L40" s="84">
        <v>4862</v>
      </c>
      <c r="M40" s="84">
        <v>3842</v>
      </c>
      <c r="N40" s="84">
        <v>2624</v>
      </c>
      <c r="O40" s="84">
        <v>2823</v>
      </c>
      <c r="P40" s="82">
        <v>4106</v>
      </c>
      <c r="Q40" s="84">
        <v>4106</v>
      </c>
      <c r="R40" s="84">
        <v>2734</v>
      </c>
      <c r="S40" s="84">
        <v>4969</v>
      </c>
      <c r="T40" s="84">
        <v>5220</v>
      </c>
      <c r="U40" s="82">
        <v>4266</v>
      </c>
      <c r="V40" s="84">
        <v>4266</v>
      </c>
      <c r="W40" s="84">
        <v>5159</v>
      </c>
      <c r="X40" s="84">
        <v>4361</v>
      </c>
      <c r="Y40" s="84">
        <v>3828</v>
      </c>
      <c r="Z40" s="82">
        <v>3319</v>
      </c>
      <c r="AA40" s="84">
        <v>3319</v>
      </c>
      <c r="AB40" s="84">
        <v>4041</v>
      </c>
      <c r="AC40" s="84">
        <v>3762</v>
      </c>
      <c r="AD40" s="84">
        <v>3025</v>
      </c>
      <c r="AE40" s="82">
        <v>2510</v>
      </c>
      <c r="AF40" s="84">
        <v>2510</v>
      </c>
      <c r="AG40" s="84">
        <v>2717</v>
      </c>
      <c r="AH40" s="84">
        <v>2713</v>
      </c>
      <c r="AI40" s="84">
        <v>4018</v>
      </c>
      <c r="AJ40" s="82">
        <v>4409</v>
      </c>
      <c r="AK40" s="84">
        <v>4409</v>
      </c>
      <c r="AL40" s="84">
        <v>6361</v>
      </c>
      <c r="AM40" s="84">
        <v>5642</v>
      </c>
      <c r="AN40" s="84">
        <v>4760</v>
      </c>
      <c r="AO40" s="82">
        <v>3172</v>
      </c>
      <c r="AP40" s="84">
        <v>3172</v>
      </c>
      <c r="AQ40" s="84">
        <v>3866</v>
      </c>
      <c r="AR40" s="84">
        <v>3319</v>
      </c>
      <c r="AS40" s="84">
        <v>2808</v>
      </c>
      <c r="AT40" s="82">
        <v>4032</v>
      </c>
      <c r="AU40" s="84">
        <v>4032</v>
      </c>
      <c r="AV40" s="84">
        <v>3826</v>
      </c>
      <c r="AW40" s="84">
        <v>4617</v>
      </c>
      <c r="AX40" s="84">
        <v>4427</v>
      </c>
      <c r="AY40" s="82">
        <v>19829</v>
      </c>
      <c r="AZ40" s="84">
        <v>19829</v>
      </c>
      <c r="BA40" s="84">
        <v>9434</v>
      </c>
      <c r="BB40" s="84">
        <v>10150</v>
      </c>
      <c r="BC40" s="84">
        <v>13144</v>
      </c>
      <c r="BD40" s="82">
        <v>9270</v>
      </c>
      <c r="BE40" s="84">
        <v>9270</v>
      </c>
      <c r="BF40" s="84">
        <v>8889</v>
      </c>
      <c r="BG40" s="84">
        <v>7947</v>
      </c>
      <c r="BH40" s="84">
        <v>6480</v>
      </c>
    </row>
    <row r="41" spans="1:60" ht="16.5" customHeight="1" x14ac:dyDescent="0.25">
      <c r="A41" s="27"/>
      <c r="B41" s="39" t="s">
        <v>128</v>
      </c>
      <c r="C41" s="40"/>
      <c r="D41" s="41"/>
      <c r="E41" s="115" t="s">
        <v>1</v>
      </c>
      <c r="F41" s="114" t="s">
        <v>1</v>
      </c>
      <c r="G41" s="115" t="s">
        <v>1</v>
      </c>
      <c r="H41" s="83" t="s">
        <v>1</v>
      </c>
      <c r="I41" s="83" t="s">
        <v>1</v>
      </c>
      <c r="J41" s="83" t="s">
        <v>1</v>
      </c>
      <c r="K41" s="82" t="s">
        <v>1</v>
      </c>
      <c r="L41" s="83" t="s">
        <v>1</v>
      </c>
      <c r="M41" s="83" t="s">
        <v>1</v>
      </c>
      <c r="N41" s="83" t="s">
        <v>1</v>
      </c>
      <c r="O41" s="83" t="s">
        <v>1</v>
      </c>
      <c r="P41" s="82" t="s">
        <v>1</v>
      </c>
      <c r="Q41" s="83" t="s">
        <v>1</v>
      </c>
      <c r="R41" s="83" t="s">
        <v>1</v>
      </c>
      <c r="S41" s="83" t="s">
        <v>1</v>
      </c>
      <c r="T41" s="83" t="s">
        <v>1</v>
      </c>
      <c r="U41" s="82" t="s">
        <v>1</v>
      </c>
      <c r="V41" s="83" t="s">
        <v>1</v>
      </c>
      <c r="W41" s="83" t="s">
        <v>1</v>
      </c>
      <c r="X41" s="83" t="s">
        <v>1</v>
      </c>
      <c r="Y41" s="83" t="s">
        <v>1</v>
      </c>
      <c r="Z41" s="82" t="s">
        <v>1</v>
      </c>
      <c r="AA41" s="83" t="s">
        <v>1</v>
      </c>
      <c r="AB41" s="83" t="s">
        <v>1</v>
      </c>
      <c r="AC41" s="83" t="s">
        <v>1</v>
      </c>
      <c r="AD41" s="83" t="s">
        <v>1</v>
      </c>
      <c r="AE41" s="82" t="s">
        <v>1</v>
      </c>
      <c r="AF41" s="83" t="s">
        <v>1</v>
      </c>
      <c r="AG41" s="83" t="s">
        <v>1</v>
      </c>
      <c r="AH41" s="83" t="s">
        <v>1</v>
      </c>
      <c r="AI41" s="83" t="s">
        <v>1</v>
      </c>
      <c r="AJ41" s="82" t="s">
        <v>1</v>
      </c>
      <c r="AK41" s="83" t="s">
        <v>1</v>
      </c>
      <c r="AL41" s="83" t="s">
        <v>1</v>
      </c>
      <c r="AM41" s="83" t="s">
        <v>1</v>
      </c>
      <c r="AN41" s="83" t="s">
        <v>1</v>
      </c>
      <c r="AO41" s="82" t="s">
        <v>1</v>
      </c>
      <c r="AP41" s="83" t="s">
        <v>1</v>
      </c>
      <c r="AQ41" s="83" t="s">
        <v>1</v>
      </c>
      <c r="AR41" s="83" t="s">
        <v>1</v>
      </c>
      <c r="AS41" s="83" t="s">
        <v>1</v>
      </c>
      <c r="AT41" s="82" t="s">
        <v>1</v>
      </c>
      <c r="AU41" s="83" t="s">
        <v>1</v>
      </c>
      <c r="AV41" s="83" t="s">
        <v>1</v>
      </c>
      <c r="AW41" s="83" t="s">
        <v>1</v>
      </c>
      <c r="AX41" s="83" t="s">
        <v>1</v>
      </c>
      <c r="AY41" s="82" t="s">
        <v>1</v>
      </c>
      <c r="AZ41" s="83" t="s">
        <v>1</v>
      </c>
      <c r="BA41" s="83" t="s">
        <v>1</v>
      </c>
      <c r="BB41" s="83" t="s">
        <v>1</v>
      </c>
      <c r="BC41" s="83">
        <v>3975</v>
      </c>
      <c r="BD41" s="82" t="s">
        <v>1</v>
      </c>
      <c r="BE41" s="83" t="s">
        <v>1</v>
      </c>
      <c r="BF41" s="83">
        <v>7950</v>
      </c>
      <c r="BG41" s="83">
        <v>7950</v>
      </c>
      <c r="BH41" s="83">
        <v>7950</v>
      </c>
    </row>
    <row r="42" spans="1:60" ht="16.5" customHeight="1" x14ac:dyDescent="0.25">
      <c r="A42" s="27"/>
      <c r="B42" s="42" t="s">
        <v>126</v>
      </c>
      <c r="C42" s="43"/>
      <c r="D42" s="44"/>
      <c r="E42" s="116">
        <v>160346</v>
      </c>
      <c r="F42" s="114">
        <v>166183</v>
      </c>
      <c r="G42" s="116">
        <v>166183</v>
      </c>
      <c r="H42" s="84">
        <v>17143</v>
      </c>
      <c r="I42" s="84">
        <v>22857</v>
      </c>
      <c r="J42" s="84">
        <v>22857</v>
      </c>
      <c r="K42" s="82">
        <v>28571</v>
      </c>
      <c r="L42" s="84">
        <v>28571</v>
      </c>
      <c r="M42" s="84">
        <v>28571</v>
      </c>
      <c r="N42" s="84">
        <v>34286</v>
      </c>
      <c r="O42" s="84">
        <v>24286</v>
      </c>
      <c r="P42" s="82" t="s">
        <v>1</v>
      </c>
      <c r="Q42" s="84" t="s">
        <v>1</v>
      </c>
      <c r="R42" s="84" t="s">
        <v>1</v>
      </c>
      <c r="S42" s="84" t="s">
        <v>1</v>
      </c>
      <c r="T42" s="84" t="s">
        <v>1</v>
      </c>
      <c r="U42" s="82" t="s">
        <v>1</v>
      </c>
      <c r="V42" s="84" t="s">
        <v>1</v>
      </c>
      <c r="W42" s="84" t="s">
        <v>1</v>
      </c>
      <c r="X42" s="84" t="s">
        <v>1</v>
      </c>
      <c r="Y42" s="84" t="s">
        <v>1</v>
      </c>
      <c r="Z42" s="82" t="s">
        <v>1</v>
      </c>
      <c r="AA42" s="84" t="s">
        <v>1</v>
      </c>
      <c r="AB42" s="84" t="s">
        <v>1</v>
      </c>
      <c r="AC42" s="84" t="s">
        <v>1</v>
      </c>
      <c r="AD42" s="84" t="s">
        <v>1</v>
      </c>
      <c r="AE42" s="82" t="s">
        <v>1</v>
      </c>
      <c r="AF42" s="84" t="s">
        <v>1</v>
      </c>
      <c r="AG42" s="84" t="s">
        <v>1</v>
      </c>
      <c r="AH42" s="84" t="s">
        <v>1</v>
      </c>
      <c r="AI42" s="84" t="s">
        <v>1</v>
      </c>
      <c r="AJ42" s="82" t="s">
        <v>1</v>
      </c>
      <c r="AK42" s="84" t="s">
        <v>1</v>
      </c>
      <c r="AL42" s="84" t="s">
        <v>1</v>
      </c>
      <c r="AM42" s="84" t="s">
        <v>1</v>
      </c>
      <c r="AN42" s="84" t="s">
        <v>1</v>
      </c>
      <c r="AO42" s="82">
        <v>59960</v>
      </c>
      <c r="AP42" s="84">
        <v>59960</v>
      </c>
      <c r="AQ42" s="84">
        <v>59836</v>
      </c>
      <c r="AR42" s="84">
        <v>119710</v>
      </c>
      <c r="AS42" s="84">
        <v>122087</v>
      </c>
      <c r="AT42" s="82">
        <v>189451</v>
      </c>
      <c r="AU42" s="84">
        <v>189451</v>
      </c>
      <c r="AV42" s="84">
        <v>196808</v>
      </c>
      <c r="AW42" s="84">
        <v>330789</v>
      </c>
      <c r="AX42" s="84">
        <v>308874</v>
      </c>
      <c r="AY42" s="82">
        <v>373552</v>
      </c>
      <c r="AZ42" s="84">
        <v>373552</v>
      </c>
      <c r="BA42" s="84">
        <v>383994</v>
      </c>
      <c r="BB42" s="84">
        <v>460209</v>
      </c>
      <c r="BC42" s="84">
        <v>469765</v>
      </c>
      <c r="BD42" s="82">
        <v>479314</v>
      </c>
      <c r="BE42" s="84">
        <v>479314</v>
      </c>
      <c r="BF42" s="84">
        <v>485537</v>
      </c>
      <c r="BG42" s="84">
        <v>556739</v>
      </c>
      <c r="BH42" s="84">
        <v>526696</v>
      </c>
    </row>
    <row r="43" spans="1:60" ht="16.5" customHeight="1" x14ac:dyDescent="0.25">
      <c r="A43" s="27"/>
      <c r="B43" s="39" t="s">
        <v>117</v>
      </c>
      <c r="C43" s="40"/>
      <c r="D43" s="41"/>
      <c r="E43" s="115">
        <v>14090</v>
      </c>
      <c r="F43" s="114">
        <v>12263</v>
      </c>
      <c r="G43" s="115">
        <v>12263</v>
      </c>
      <c r="H43" s="83">
        <v>9698</v>
      </c>
      <c r="I43" s="83">
        <v>8850</v>
      </c>
      <c r="J43" s="83">
        <v>6392</v>
      </c>
      <c r="K43" s="82" t="s">
        <v>1</v>
      </c>
      <c r="L43" s="83" t="s">
        <v>1</v>
      </c>
      <c r="M43" s="83" t="s">
        <v>1</v>
      </c>
      <c r="N43" s="83" t="s">
        <v>1</v>
      </c>
      <c r="O43" s="83" t="s">
        <v>1</v>
      </c>
      <c r="P43" s="82" t="s">
        <v>1</v>
      </c>
      <c r="Q43" s="83" t="s">
        <v>1</v>
      </c>
      <c r="R43" s="83" t="s">
        <v>1</v>
      </c>
      <c r="S43" s="83" t="s">
        <v>1</v>
      </c>
      <c r="T43" s="83" t="s">
        <v>1</v>
      </c>
      <c r="U43" s="82" t="s">
        <v>1</v>
      </c>
      <c r="V43" s="83" t="s">
        <v>1</v>
      </c>
      <c r="W43" s="83" t="s">
        <v>1</v>
      </c>
      <c r="X43" s="83" t="s">
        <v>1</v>
      </c>
      <c r="Y43" s="83" t="s">
        <v>1</v>
      </c>
      <c r="Z43" s="82" t="s">
        <v>1</v>
      </c>
      <c r="AA43" s="83" t="s">
        <v>1</v>
      </c>
      <c r="AB43" s="83" t="s">
        <v>1</v>
      </c>
      <c r="AC43" s="83" t="s">
        <v>1</v>
      </c>
      <c r="AD43" s="83" t="s">
        <v>1</v>
      </c>
      <c r="AE43" s="82" t="s">
        <v>1</v>
      </c>
      <c r="AF43" s="83" t="s">
        <v>1</v>
      </c>
      <c r="AG43" s="83" t="s">
        <v>1</v>
      </c>
      <c r="AH43" s="83" t="s">
        <v>1</v>
      </c>
      <c r="AI43" s="83" t="s">
        <v>1</v>
      </c>
      <c r="AJ43" s="82" t="s">
        <v>1</v>
      </c>
      <c r="AK43" s="83" t="s">
        <v>1</v>
      </c>
      <c r="AL43" s="83" t="s">
        <v>1</v>
      </c>
      <c r="AM43" s="83" t="s">
        <v>1</v>
      </c>
      <c r="AN43" s="83" t="s">
        <v>1</v>
      </c>
      <c r="AO43" s="82" t="s">
        <v>1</v>
      </c>
      <c r="AP43" s="83" t="s">
        <v>1</v>
      </c>
      <c r="AQ43" s="83" t="s">
        <v>1</v>
      </c>
      <c r="AR43" s="83" t="s">
        <v>1</v>
      </c>
      <c r="AS43" s="83" t="s">
        <v>1</v>
      </c>
      <c r="AT43" s="82" t="s">
        <v>1</v>
      </c>
      <c r="AU43" s="83" t="s">
        <v>1</v>
      </c>
      <c r="AV43" s="83" t="s">
        <v>1</v>
      </c>
      <c r="AW43" s="83" t="s">
        <v>1</v>
      </c>
      <c r="AX43" s="83" t="s">
        <v>1</v>
      </c>
      <c r="AY43" s="82" t="s">
        <v>1</v>
      </c>
      <c r="AZ43" s="83" t="s">
        <v>1</v>
      </c>
      <c r="BA43" s="83" t="s">
        <v>1</v>
      </c>
      <c r="BB43" s="83" t="s">
        <v>1</v>
      </c>
      <c r="BC43" s="83" t="s">
        <v>1</v>
      </c>
      <c r="BD43" s="82" t="s">
        <v>1</v>
      </c>
      <c r="BE43" s="83" t="s">
        <v>1</v>
      </c>
      <c r="BF43" s="83" t="s">
        <v>1</v>
      </c>
      <c r="BG43" s="83" t="s">
        <v>1</v>
      </c>
      <c r="BH43" s="83" t="s">
        <v>1</v>
      </c>
    </row>
    <row r="44" spans="1:60" ht="16.5" customHeight="1" x14ac:dyDescent="0.25">
      <c r="A44" s="27"/>
      <c r="B44" s="42" t="s">
        <v>127</v>
      </c>
      <c r="C44" s="43"/>
      <c r="D44" s="44"/>
      <c r="E44" s="116" t="s">
        <v>1</v>
      </c>
      <c r="F44" s="114" t="s">
        <v>1</v>
      </c>
      <c r="G44" s="116" t="s">
        <v>1</v>
      </c>
      <c r="H44" s="84" t="s">
        <v>1</v>
      </c>
      <c r="I44" s="84" t="s">
        <v>1</v>
      </c>
      <c r="J44" s="84" t="s">
        <v>1</v>
      </c>
      <c r="K44" s="82" t="s">
        <v>1</v>
      </c>
      <c r="L44" s="84" t="s">
        <v>1</v>
      </c>
      <c r="M44" s="84" t="s">
        <v>1</v>
      </c>
      <c r="N44" s="84" t="s">
        <v>1</v>
      </c>
      <c r="O44" s="84" t="s">
        <v>1</v>
      </c>
      <c r="P44" s="82" t="s">
        <v>1</v>
      </c>
      <c r="Q44" s="84" t="s">
        <v>1</v>
      </c>
      <c r="R44" s="84" t="s">
        <v>1</v>
      </c>
      <c r="S44" s="84" t="s">
        <v>1</v>
      </c>
      <c r="T44" s="84" t="s">
        <v>1</v>
      </c>
      <c r="U44" s="82" t="s">
        <v>1</v>
      </c>
      <c r="V44" s="84" t="s">
        <v>1</v>
      </c>
      <c r="W44" s="84" t="s">
        <v>1</v>
      </c>
      <c r="X44" s="84" t="s">
        <v>1</v>
      </c>
      <c r="Y44" s="84" t="s">
        <v>1</v>
      </c>
      <c r="Z44" s="82" t="s">
        <v>1</v>
      </c>
      <c r="AA44" s="84" t="s">
        <v>1</v>
      </c>
      <c r="AB44" s="84" t="s">
        <v>1</v>
      </c>
      <c r="AC44" s="84" t="s">
        <v>1</v>
      </c>
      <c r="AD44" s="84" t="s">
        <v>1</v>
      </c>
      <c r="AE44" s="82" t="s">
        <v>1</v>
      </c>
      <c r="AF44" s="84" t="s">
        <v>1</v>
      </c>
      <c r="AG44" s="84" t="s">
        <v>1</v>
      </c>
      <c r="AH44" s="84" t="s">
        <v>1</v>
      </c>
      <c r="AI44" s="84" t="s">
        <v>1</v>
      </c>
      <c r="AJ44" s="82" t="s">
        <v>1</v>
      </c>
      <c r="AK44" s="84" t="s">
        <v>1</v>
      </c>
      <c r="AL44" s="84" t="s">
        <v>1</v>
      </c>
      <c r="AM44" s="84" t="s">
        <v>1</v>
      </c>
      <c r="AN44" s="84" t="s">
        <v>1</v>
      </c>
      <c r="AO44" s="82">
        <v>243</v>
      </c>
      <c r="AP44" s="84">
        <v>243</v>
      </c>
      <c r="AQ44" s="84">
        <v>505</v>
      </c>
      <c r="AR44" s="84">
        <v>907</v>
      </c>
      <c r="AS44" s="84">
        <v>1081</v>
      </c>
      <c r="AT44" s="82">
        <v>996</v>
      </c>
      <c r="AU44" s="84">
        <v>996</v>
      </c>
      <c r="AV44" s="84">
        <v>1218</v>
      </c>
      <c r="AW44" s="84">
        <v>1420</v>
      </c>
      <c r="AX44" s="84">
        <v>1522</v>
      </c>
      <c r="AY44" s="82">
        <v>1677</v>
      </c>
      <c r="AZ44" s="84">
        <v>1677</v>
      </c>
      <c r="BA44" s="84">
        <v>1822</v>
      </c>
      <c r="BB44" s="84">
        <v>1952</v>
      </c>
      <c r="BC44" s="84">
        <v>2078</v>
      </c>
      <c r="BD44" s="82">
        <v>7950</v>
      </c>
      <c r="BE44" s="84">
        <v>7950</v>
      </c>
      <c r="BF44" s="84" t="s">
        <v>1</v>
      </c>
      <c r="BG44" s="84" t="s">
        <v>1</v>
      </c>
      <c r="BH44" s="84" t="s">
        <v>1</v>
      </c>
    </row>
    <row r="45" spans="1:60" ht="16.5" customHeight="1" x14ac:dyDescent="0.25">
      <c r="A45" s="27"/>
      <c r="B45" s="39" t="s">
        <v>92</v>
      </c>
      <c r="C45" s="40"/>
      <c r="D45" s="41"/>
      <c r="E45" s="115" t="s">
        <v>1</v>
      </c>
      <c r="F45" s="114" t="s">
        <v>1</v>
      </c>
      <c r="G45" s="115" t="s">
        <v>1</v>
      </c>
      <c r="H45" s="83" t="s">
        <v>1</v>
      </c>
      <c r="I45" s="83" t="s">
        <v>1</v>
      </c>
      <c r="J45" s="83" t="s">
        <v>1</v>
      </c>
      <c r="K45" s="82" t="s">
        <v>1</v>
      </c>
      <c r="L45" s="83" t="s">
        <v>1</v>
      </c>
      <c r="M45" s="83" t="s">
        <v>1</v>
      </c>
      <c r="N45" s="83" t="s">
        <v>1</v>
      </c>
      <c r="O45" s="83" t="s">
        <v>1</v>
      </c>
      <c r="P45" s="82" t="s">
        <v>1</v>
      </c>
      <c r="Q45" s="83" t="s">
        <v>1</v>
      </c>
      <c r="R45" s="83" t="s">
        <v>1</v>
      </c>
      <c r="S45" s="83" t="s">
        <v>1</v>
      </c>
      <c r="T45" s="83" t="s">
        <v>1</v>
      </c>
      <c r="U45" s="82" t="s">
        <v>1</v>
      </c>
      <c r="V45" s="83" t="s">
        <v>1</v>
      </c>
      <c r="W45" s="83" t="s">
        <v>1</v>
      </c>
      <c r="X45" s="83" t="s">
        <v>1</v>
      </c>
      <c r="Y45" s="83" t="s">
        <v>1</v>
      </c>
      <c r="Z45" s="82" t="s">
        <v>1</v>
      </c>
      <c r="AA45" s="83" t="s">
        <v>1</v>
      </c>
      <c r="AB45" s="83" t="s">
        <v>1</v>
      </c>
      <c r="AC45" s="83" t="s">
        <v>1</v>
      </c>
      <c r="AD45" s="83" t="s">
        <v>1</v>
      </c>
      <c r="AE45" s="82" t="s">
        <v>1</v>
      </c>
      <c r="AF45" s="83" t="s">
        <v>1</v>
      </c>
      <c r="AG45" s="83" t="s">
        <v>1</v>
      </c>
      <c r="AH45" s="83" t="s">
        <v>1</v>
      </c>
      <c r="AI45" s="83" t="s">
        <v>1</v>
      </c>
      <c r="AJ45" s="82" t="s">
        <v>1</v>
      </c>
      <c r="AK45" s="83" t="s">
        <v>1</v>
      </c>
      <c r="AL45" s="83" t="s">
        <v>1</v>
      </c>
      <c r="AM45" s="83" t="s">
        <v>1</v>
      </c>
      <c r="AN45" s="83" t="s">
        <v>1</v>
      </c>
      <c r="AO45" s="82" t="s">
        <v>1</v>
      </c>
      <c r="AP45" s="83" t="s">
        <v>1</v>
      </c>
      <c r="AQ45" s="83" t="s">
        <v>1</v>
      </c>
      <c r="AR45" s="83" t="s">
        <v>1</v>
      </c>
      <c r="AS45" s="83" t="s">
        <v>1</v>
      </c>
      <c r="AT45" s="82" t="s">
        <v>1</v>
      </c>
      <c r="AU45" s="83" t="s">
        <v>1</v>
      </c>
      <c r="AV45" s="83" t="s">
        <v>1</v>
      </c>
      <c r="AW45" s="83" t="s">
        <v>1</v>
      </c>
      <c r="AX45" s="83" t="s">
        <v>1</v>
      </c>
      <c r="AY45" s="82" t="s">
        <v>1</v>
      </c>
      <c r="AZ45" s="83" t="s">
        <v>1</v>
      </c>
      <c r="BA45" s="83" t="s">
        <v>1</v>
      </c>
      <c r="BB45" s="83" t="s">
        <v>1</v>
      </c>
      <c r="BC45" s="83" t="s">
        <v>1</v>
      </c>
      <c r="BD45" s="82" t="s">
        <v>1</v>
      </c>
      <c r="BE45" s="83" t="s">
        <v>1</v>
      </c>
      <c r="BF45" s="83">
        <v>5018</v>
      </c>
      <c r="BG45" s="83">
        <v>852</v>
      </c>
      <c r="BH45" s="83">
        <v>688</v>
      </c>
    </row>
    <row r="46" spans="1:60" s="38" customFormat="1" ht="16.5" customHeight="1" x14ac:dyDescent="0.25">
      <c r="A46" s="34"/>
      <c r="B46" s="68" t="s">
        <v>129</v>
      </c>
      <c r="C46" s="69"/>
      <c r="D46" s="70"/>
      <c r="E46" s="79">
        <f t="shared" ref="E46" si="62">SUM(E47:E53)</f>
        <v>1250447</v>
      </c>
      <c r="F46" s="80">
        <v>1212900</v>
      </c>
      <c r="G46" s="79">
        <f t="shared" ref="G46" si="63">SUM(G47:G53)</f>
        <v>1212900</v>
      </c>
      <c r="H46" s="79">
        <v>1193725</v>
      </c>
      <c r="I46" s="79">
        <f t="shared" ref="I46:J46" si="64">SUM(I47:I53)</f>
        <v>1153287</v>
      </c>
      <c r="J46" s="79">
        <f t="shared" si="64"/>
        <v>1126969</v>
      </c>
      <c r="K46" s="80">
        <f t="shared" ref="K46" si="65">SUM(K47:K53)</f>
        <v>1093132</v>
      </c>
      <c r="L46" s="79">
        <f t="shared" ref="L46" si="66">SUM(L47:L53)</f>
        <v>1093132</v>
      </c>
      <c r="M46" s="79">
        <f t="shared" ref="M46" si="67">SUM(M47:M53)</f>
        <v>1089552</v>
      </c>
      <c r="N46" s="79">
        <f t="shared" ref="N46" si="68">SUM(N47:N53)</f>
        <v>666276</v>
      </c>
      <c r="O46" s="79">
        <f t="shared" ref="O46" si="69">SUM(O47:O53)</f>
        <v>634000</v>
      </c>
      <c r="P46" s="80">
        <f t="shared" ref="P46" si="70">SUM(P47:P53)</f>
        <v>600491</v>
      </c>
      <c r="Q46" s="79">
        <f t="shared" ref="Q46" si="71">SUM(Q47:Q53)</f>
        <v>600491</v>
      </c>
      <c r="R46" s="79">
        <f t="shared" ref="R46" si="72">SUM(R47:R53)</f>
        <v>599785</v>
      </c>
      <c r="S46" s="79">
        <f t="shared" ref="S46" si="73">SUM(S47:S53)</f>
        <v>579270</v>
      </c>
      <c r="T46" s="79">
        <f t="shared" ref="T46" si="74">SUM(T47:T53)</f>
        <v>561720</v>
      </c>
      <c r="U46" s="80">
        <f t="shared" ref="U46" si="75">SUM(U47:U53)</f>
        <v>547867</v>
      </c>
      <c r="V46" s="79">
        <f t="shared" ref="V46" si="76">SUM(V47:V53)</f>
        <v>547867</v>
      </c>
      <c r="W46" s="79">
        <f t="shared" ref="W46" si="77">SUM(W47:W53)</f>
        <v>531506</v>
      </c>
      <c r="X46" s="79">
        <f t="shared" ref="X46" si="78">SUM(X47:X53)</f>
        <v>522861</v>
      </c>
      <c r="Y46" s="79">
        <f t="shared" ref="Y46" si="79">SUM(Y47:Y53)</f>
        <v>521593</v>
      </c>
      <c r="Z46" s="80">
        <f t="shared" ref="Z46" si="80">SUM(Z47:Z53)</f>
        <v>523991</v>
      </c>
      <c r="AA46" s="79">
        <f t="shared" ref="AA46" si="81">SUM(AA47:AA53)</f>
        <v>523991</v>
      </c>
      <c r="AB46" s="79">
        <f t="shared" ref="AB46" si="82">SUM(AB47:AB53)</f>
        <v>522905</v>
      </c>
      <c r="AC46" s="79">
        <f t="shared" ref="AC46" si="83">SUM(AC47:AC53)</f>
        <v>524156</v>
      </c>
      <c r="AD46" s="79">
        <f t="shared" ref="AD46" si="84">SUM(AD47:AD53)</f>
        <v>543213</v>
      </c>
      <c r="AE46" s="80">
        <f t="shared" ref="AE46" si="85">SUM(AE47:AE53)</f>
        <v>546365</v>
      </c>
      <c r="AF46" s="79">
        <f t="shared" ref="AF46" si="86">SUM(AF47:AF53)</f>
        <v>546365</v>
      </c>
      <c r="AG46" s="79">
        <f t="shared" ref="AG46" si="87">SUM(AG47:AG53)</f>
        <v>553452</v>
      </c>
      <c r="AH46" s="79">
        <f t="shared" ref="AH46" si="88">SUM(AH47:AH53)</f>
        <v>564588</v>
      </c>
      <c r="AI46" s="79">
        <f t="shared" ref="AI46" si="89">SUM(AI47:AI53)</f>
        <v>569491</v>
      </c>
      <c r="AJ46" s="80">
        <f t="shared" ref="AJ46:AK46" si="90">SUM(AJ47:AJ53)</f>
        <v>570226</v>
      </c>
      <c r="AK46" s="79">
        <f t="shared" si="90"/>
        <v>570226</v>
      </c>
      <c r="AL46" s="79">
        <f t="shared" ref="AL46" si="91">SUM(AL47:AL53)</f>
        <v>575381</v>
      </c>
      <c r="AM46" s="79">
        <f t="shared" ref="AM46" si="92">SUM(AM47:AM53)</f>
        <v>581647</v>
      </c>
      <c r="AN46" s="79">
        <f t="shared" ref="AN46" si="93">SUM(AN47:AN53)</f>
        <v>587563</v>
      </c>
      <c r="AO46" s="80">
        <f t="shared" ref="AO46:AP46" si="94">SUM(AO47:AO53)</f>
        <v>598914</v>
      </c>
      <c r="AP46" s="79">
        <f t="shared" si="94"/>
        <v>598914</v>
      </c>
      <c r="AQ46" s="79">
        <f t="shared" ref="AQ46" si="95">SUM(AQ47:AQ53)</f>
        <v>612898</v>
      </c>
      <c r="AR46" s="79">
        <f t="shared" ref="AR46" si="96">SUM(AR47:AR53)</f>
        <v>605361</v>
      </c>
      <c r="AS46" s="79">
        <f t="shared" ref="AS46" si="97">SUM(AS47:AS53)</f>
        <v>597223</v>
      </c>
      <c r="AT46" s="80">
        <f t="shared" ref="AT46:AU46" si="98">SUM(AT47:AT53)</f>
        <v>488271</v>
      </c>
      <c r="AU46" s="79">
        <f t="shared" si="98"/>
        <v>488271</v>
      </c>
      <c r="AV46" s="79">
        <f t="shared" ref="AV46" si="99">SUM(AV47:AV53)</f>
        <v>483382</v>
      </c>
      <c r="AW46" s="79">
        <f t="shared" ref="AW46" si="100">SUM(AW47:AW53)</f>
        <v>475303</v>
      </c>
      <c r="AX46" s="79">
        <f t="shared" ref="AX46" si="101">SUM(AX47:AX53)</f>
        <v>471195</v>
      </c>
      <c r="AY46" s="80">
        <f t="shared" ref="AY46:AZ46" si="102">SUM(AY47:AY53)</f>
        <v>468098</v>
      </c>
      <c r="AZ46" s="79">
        <f t="shared" si="102"/>
        <v>468098</v>
      </c>
      <c r="BA46" s="79">
        <f t="shared" ref="BA46" si="103">SUM(BA47:BA53)</f>
        <v>466031</v>
      </c>
      <c r="BB46" s="79">
        <f t="shared" ref="BB46" si="104">SUM(BB47:BB53)</f>
        <v>461231</v>
      </c>
      <c r="BC46" s="79">
        <f t="shared" ref="BC46" si="105">SUM(BC47:BC53)</f>
        <v>494182</v>
      </c>
      <c r="BD46" s="80">
        <f>SUM(BD47:BD53)</f>
        <v>508413</v>
      </c>
      <c r="BE46" s="79">
        <f>SUM(BE47:BE53)</f>
        <v>508413</v>
      </c>
      <c r="BF46" s="79">
        <f>SUM(BF47:BF53)</f>
        <v>530175</v>
      </c>
      <c r="BG46" s="79">
        <f t="shared" ref="BG46:BH46" si="106">SUM(BG47:BG53)</f>
        <v>509897</v>
      </c>
      <c r="BH46" s="79">
        <f t="shared" si="106"/>
        <v>492983</v>
      </c>
    </row>
    <row r="47" spans="1:60" ht="16.5" customHeight="1" x14ac:dyDescent="0.25">
      <c r="A47" s="27"/>
      <c r="B47" s="39" t="s">
        <v>130</v>
      </c>
      <c r="C47" s="40"/>
      <c r="D47" s="41"/>
      <c r="E47" s="115">
        <v>866080</v>
      </c>
      <c r="F47" s="114">
        <v>866080</v>
      </c>
      <c r="G47" s="115">
        <v>866080</v>
      </c>
      <c r="H47" s="83">
        <v>866080</v>
      </c>
      <c r="I47" s="83">
        <v>866080</v>
      </c>
      <c r="J47" s="83">
        <v>866080</v>
      </c>
      <c r="K47" s="82">
        <f>L47</f>
        <v>866080</v>
      </c>
      <c r="L47" s="83">
        <v>866080</v>
      </c>
      <c r="M47" s="83">
        <v>866080</v>
      </c>
      <c r="N47" s="83">
        <v>461080</v>
      </c>
      <c r="O47" s="83">
        <v>461080</v>
      </c>
      <c r="P47" s="82">
        <v>461080</v>
      </c>
      <c r="Q47" s="83">
        <v>461080</v>
      </c>
      <c r="R47" s="83">
        <v>461080</v>
      </c>
      <c r="S47" s="83">
        <v>461080</v>
      </c>
      <c r="T47" s="83">
        <v>461080</v>
      </c>
      <c r="U47" s="82">
        <v>461080</v>
      </c>
      <c r="V47" s="83">
        <v>461080</v>
      </c>
      <c r="W47" s="83">
        <v>461080</v>
      </c>
      <c r="X47" s="83">
        <v>461080</v>
      </c>
      <c r="Y47" s="83">
        <v>461080</v>
      </c>
      <c r="Z47" s="82">
        <v>461080</v>
      </c>
      <c r="AA47" s="83">
        <v>461080</v>
      </c>
      <c r="AB47" s="83">
        <v>461080</v>
      </c>
      <c r="AC47" s="83">
        <v>461080</v>
      </c>
      <c r="AD47" s="83">
        <v>461080</v>
      </c>
      <c r="AE47" s="82">
        <v>461080</v>
      </c>
      <c r="AF47" s="83">
        <v>461080</v>
      </c>
      <c r="AG47" s="83">
        <v>461080</v>
      </c>
      <c r="AH47" s="83">
        <v>461080</v>
      </c>
      <c r="AI47" s="83">
        <v>461080</v>
      </c>
      <c r="AJ47" s="82">
        <v>461080</v>
      </c>
      <c r="AK47" s="83">
        <v>461080</v>
      </c>
      <c r="AL47" s="83">
        <v>461080</v>
      </c>
      <c r="AM47" s="83">
        <v>461080</v>
      </c>
      <c r="AN47" s="83">
        <v>461080</v>
      </c>
      <c r="AO47" s="82">
        <v>461080</v>
      </c>
      <c r="AP47" s="83">
        <v>461080</v>
      </c>
      <c r="AQ47" s="83">
        <v>461080</v>
      </c>
      <c r="AR47" s="83">
        <v>461080</v>
      </c>
      <c r="AS47" s="83">
        <v>461080</v>
      </c>
      <c r="AT47" s="82">
        <v>461080</v>
      </c>
      <c r="AU47" s="83">
        <v>461080</v>
      </c>
      <c r="AV47" s="83">
        <v>461080</v>
      </c>
      <c r="AW47" s="83">
        <v>461080</v>
      </c>
      <c r="AX47" s="83">
        <v>461080</v>
      </c>
      <c r="AY47" s="82">
        <v>461080</v>
      </c>
      <c r="AZ47" s="83">
        <v>461080</v>
      </c>
      <c r="BA47" s="83">
        <v>461080</v>
      </c>
      <c r="BB47" s="83">
        <v>461080</v>
      </c>
      <c r="BC47" s="83">
        <v>461080</v>
      </c>
      <c r="BD47" s="82">
        <v>461080</v>
      </c>
      <c r="BE47" s="83">
        <v>461080</v>
      </c>
      <c r="BF47" s="83">
        <v>461080</v>
      </c>
      <c r="BG47" s="83">
        <v>461080</v>
      </c>
      <c r="BH47" s="83">
        <v>426520</v>
      </c>
    </row>
    <row r="48" spans="1:60" ht="16.5" customHeight="1" x14ac:dyDescent="0.25">
      <c r="A48" s="27"/>
      <c r="B48" s="42" t="s">
        <v>131</v>
      </c>
      <c r="C48" s="43"/>
      <c r="D48" s="44"/>
      <c r="E48" s="116">
        <v>-24585</v>
      </c>
      <c r="F48" s="114">
        <v>-24585</v>
      </c>
      <c r="G48" s="116">
        <v>-24585</v>
      </c>
      <c r="H48" s="84">
        <v>-24585</v>
      </c>
      <c r="I48" s="84">
        <v>-24585</v>
      </c>
      <c r="J48" s="84">
        <v>-24585</v>
      </c>
      <c r="K48" s="82">
        <f>L48</f>
        <v>-24585</v>
      </c>
      <c r="L48" s="84">
        <v>-24585</v>
      </c>
      <c r="M48" s="84">
        <v>-23150</v>
      </c>
      <c r="N48" s="84" t="s">
        <v>1</v>
      </c>
      <c r="O48" s="84" t="s">
        <v>1</v>
      </c>
      <c r="P48" s="82" t="s">
        <v>1</v>
      </c>
      <c r="Q48" s="84" t="s">
        <v>1</v>
      </c>
      <c r="R48" s="84" t="s">
        <v>1</v>
      </c>
      <c r="S48" s="84" t="s">
        <v>1</v>
      </c>
      <c r="T48" s="84" t="s">
        <v>1</v>
      </c>
      <c r="U48" s="82" t="s">
        <v>1</v>
      </c>
      <c r="V48" s="84" t="s">
        <v>1</v>
      </c>
      <c r="W48" s="84" t="s">
        <v>1</v>
      </c>
      <c r="X48" s="84" t="s">
        <v>1</v>
      </c>
      <c r="Y48" s="84" t="s">
        <v>1</v>
      </c>
      <c r="Z48" s="82" t="s">
        <v>1</v>
      </c>
      <c r="AA48" s="84" t="s">
        <v>1</v>
      </c>
      <c r="AB48" s="84" t="s">
        <v>1</v>
      </c>
      <c r="AC48" s="84" t="s">
        <v>1</v>
      </c>
      <c r="AD48" s="84" t="s">
        <v>1</v>
      </c>
      <c r="AE48" s="82" t="s">
        <v>1</v>
      </c>
      <c r="AF48" s="84" t="s">
        <v>1</v>
      </c>
      <c r="AG48" s="84" t="s">
        <v>1</v>
      </c>
      <c r="AH48" s="84" t="s">
        <v>1</v>
      </c>
      <c r="AI48" s="84" t="s">
        <v>1</v>
      </c>
      <c r="AJ48" s="82" t="s">
        <v>1</v>
      </c>
      <c r="AK48" s="84" t="s">
        <v>1</v>
      </c>
      <c r="AL48" s="84" t="s">
        <v>1</v>
      </c>
      <c r="AM48" s="84" t="s">
        <v>1</v>
      </c>
      <c r="AN48" s="84" t="s">
        <v>1</v>
      </c>
      <c r="AO48" s="82" t="s">
        <v>1</v>
      </c>
      <c r="AP48" s="84" t="s">
        <v>1</v>
      </c>
      <c r="AQ48" s="84" t="s">
        <v>1</v>
      </c>
      <c r="AR48" s="84" t="s">
        <v>1</v>
      </c>
      <c r="AS48" s="84" t="s">
        <v>1</v>
      </c>
      <c r="AT48" s="82" t="s">
        <v>1</v>
      </c>
      <c r="AU48" s="84" t="s">
        <v>1</v>
      </c>
      <c r="AV48" s="84" t="s">
        <v>1</v>
      </c>
      <c r="AW48" s="84" t="s">
        <v>1</v>
      </c>
      <c r="AX48" s="84" t="s">
        <v>1</v>
      </c>
      <c r="AY48" s="82" t="s">
        <v>1</v>
      </c>
      <c r="AZ48" s="84" t="s">
        <v>1</v>
      </c>
      <c r="BA48" s="84" t="s">
        <v>1</v>
      </c>
      <c r="BB48" s="84" t="s">
        <v>1</v>
      </c>
      <c r="BC48" s="84" t="s">
        <v>1</v>
      </c>
      <c r="BD48" s="82" t="s">
        <v>1</v>
      </c>
      <c r="BE48" s="84" t="s">
        <v>1</v>
      </c>
      <c r="BF48" s="84" t="s">
        <v>1</v>
      </c>
      <c r="BG48" s="84" t="s">
        <v>1</v>
      </c>
      <c r="BH48" s="84" t="s">
        <v>1</v>
      </c>
    </row>
    <row r="49" spans="1:60" ht="16.5" customHeight="1" x14ac:dyDescent="0.25">
      <c r="A49" s="27"/>
      <c r="B49" s="39" t="s">
        <v>132</v>
      </c>
      <c r="C49" s="40"/>
      <c r="D49" s="41"/>
      <c r="E49" s="115">
        <v>12629</v>
      </c>
      <c r="F49" s="114">
        <v>12629</v>
      </c>
      <c r="G49" s="115">
        <v>12629</v>
      </c>
      <c r="H49" s="83">
        <v>12629</v>
      </c>
      <c r="I49" s="83">
        <v>12629</v>
      </c>
      <c r="J49" s="83">
        <v>12629</v>
      </c>
      <c r="K49" s="82">
        <f>L49</f>
        <v>12629</v>
      </c>
      <c r="L49" s="83">
        <v>12629</v>
      </c>
      <c r="M49" s="83">
        <v>12629</v>
      </c>
      <c r="N49" s="83">
        <v>12629</v>
      </c>
      <c r="O49" s="83">
        <v>12629</v>
      </c>
      <c r="P49" s="82">
        <v>12629</v>
      </c>
      <c r="Q49" s="83">
        <v>12629</v>
      </c>
      <c r="R49" s="83">
        <v>12564</v>
      </c>
      <c r="S49" s="83">
        <v>12564</v>
      </c>
      <c r="T49" s="83">
        <v>12564</v>
      </c>
      <c r="U49" s="82">
        <v>12564</v>
      </c>
      <c r="V49" s="83">
        <v>12564</v>
      </c>
      <c r="W49" s="83">
        <v>12564</v>
      </c>
      <c r="X49" s="83">
        <v>12564</v>
      </c>
      <c r="Y49" s="83">
        <v>12564</v>
      </c>
      <c r="Z49" s="82">
        <v>12564</v>
      </c>
      <c r="AA49" s="83">
        <v>12564</v>
      </c>
      <c r="AB49" s="83">
        <v>12564</v>
      </c>
      <c r="AC49" s="83">
        <v>12564</v>
      </c>
      <c r="AD49" s="83">
        <v>12564</v>
      </c>
      <c r="AE49" s="82">
        <v>12564</v>
      </c>
      <c r="AF49" s="83">
        <v>12564</v>
      </c>
      <c r="AG49" s="83">
        <v>12564</v>
      </c>
      <c r="AH49" s="83">
        <v>12564</v>
      </c>
      <c r="AI49" s="83">
        <v>12564</v>
      </c>
      <c r="AJ49" s="82">
        <v>12564</v>
      </c>
      <c r="AK49" s="83">
        <v>12564</v>
      </c>
      <c r="AL49" s="83">
        <v>12564</v>
      </c>
      <c r="AM49" s="83">
        <v>12564</v>
      </c>
      <c r="AN49" s="83">
        <v>12564</v>
      </c>
      <c r="AO49" s="82">
        <v>12564</v>
      </c>
      <c r="AP49" s="83">
        <v>12564</v>
      </c>
      <c r="AQ49" s="83">
        <v>12564</v>
      </c>
      <c r="AR49" s="83">
        <v>12564</v>
      </c>
      <c r="AS49" s="83">
        <v>12564</v>
      </c>
      <c r="AT49" s="82">
        <v>12556</v>
      </c>
      <c r="AU49" s="83">
        <v>12556</v>
      </c>
      <c r="AV49" s="83">
        <v>12531</v>
      </c>
      <c r="AW49" s="83">
        <v>12506</v>
      </c>
      <c r="AX49" s="83">
        <v>12482</v>
      </c>
      <c r="AY49" s="82">
        <v>12448</v>
      </c>
      <c r="AZ49" s="83">
        <v>12448</v>
      </c>
      <c r="BA49" s="83">
        <v>12353</v>
      </c>
      <c r="BB49" s="83">
        <v>12259</v>
      </c>
      <c r="BC49" s="83">
        <v>12163</v>
      </c>
      <c r="BD49" s="82">
        <v>12049</v>
      </c>
      <c r="BE49" s="83">
        <v>12049</v>
      </c>
      <c r="BF49" s="83">
        <v>11897</v>
      </c>
      <c r="BG49" s="83">
        <v>11744</v>
      </c>
      <c r="BH49" s="83">
        <v>11591</v>
      </c>
    </row>
    <row r="50" spans="1:60" ht="16.5" customHeight="1" x14ac:dyDescent="0.25">
      <c r="A50" s="27"/>
      <c r="B50" s="42" t="s">
        <v>133</v>
      </c>
      <c r="C50" s="43"/>
      <c r="D50" s="44"/>
      <c r="E50" s="116">
        <v>349012</v>
      </c>
      <c r="F50" s="114">
        <v>313914</v>
      </c>
      <c r="G50" s="116">
        <v>313914</v>
      </c>
      <c r="H50" s="84">
        <v>298893</v>
      </c>
      <c r="I50" s="84">
        <v>250860</v>
      </c>
      <c r="J50" s="84">
        <v>222012</v>
      </c>
      <c r="K50" s="82">
        <f>L50</f>
        <v>190951</v>
      </c>
      <c r="L50" s="84">
        <v>190951</v>
      </c>
      <c r="M50" s="84">
        <v>180489</v>
      </c>
      <c r="N50" s="84">
        <v>137912</v>
      </c>
      <c r="O50" s="84">
        <v>113612</v>
      </c>
      <c r="P50" s="82">
        <v>87052</v>
      </c>
      <c r="Q50" s="84">
        <v>87052</v>
      </c>
      <c r="R50" s="84">
        <v>95817</v>
      </c>
      <c r="S50" s="84">
        <v>74719</v>
      </c>
      <c r="T50" s="84">
        <v>61261</v>
      </c>
      <c r="U50" s="82">
        <v>48370</v>
      </c>
      <c r="V50" s="84">
        <v>48370</v>
      </c>
      <c r="W50" s="84">
        <v>36319</v>
      </c>
      <c r="X50" s="84">
        <v>26810</v>
      </c>
      <c r="Y50" s="84">
        <v>32793</v>
      </c>
      <c r="Z50" s="82">
        <v>30573</v>
      </c>
      <c r="AA50" s="84">
        <v>30573</v>
      </c>
      <c r="AB50" s="84">
        <v>29218</v>
      </c>
      <c r="AC50" s="84">
        <v>27304</v>
      </c>
      <c r="AD50" s="84">
        <v>41145</v>
      </c>
      <c r="AE50" s="82">
        <v>40288</v>
      </c>
      <c r="AF50" s="84">
        <v>40288</v>
      </c>
      <c r="AG50" s="84">
        <v>46472</v>
      </c>
      <c r="AH50" s="84">
        <v>39613</v>
      </c>
      <c r="AI50" s="84">
        <v>41123</v>
      </c>
      <c r="AJ50" s="82">
        <v>48861</v>
      </c>
      <c r="AK50" s="84">
        <v>48861</v>
      </c>
      <c r="AL50" s="84">
        <v>50271</v>
      </c>
      <c r="AM50" s="84">
        <v>45834</v>
      </c>
      <c r="AN50" s="84">
        <v>42264</v>
      </c>
      <c r="AO50" s="82">
        <v>36158</v>
      </c>
      <c r="AP50" s="84">
        <v>36158</v>
      </c>
      <c r="AQ50" s="84">
        <v>35229</v>
      </c>
      <c r="AR50" s="84">
        <v>28302</v>
      </c>
      <c r="AS50" s="84">
        <v>20785</v>
      </c>
      <c r="AT50" s="82">
        <v>12739</v>
      </c>
      <c r="AU50" s="84">
        <v>12739</v>
      </c>
      <c r="AV50" s="84" t="s">
        <v>1</v>
      </c>
      <c r="AW50" s="84" t="s">
        <v>1</v>
      </c>
      <c r="AX50" s="84" t="s">
        <v>1</v>
      </c>
      <c r="AY50" s="82" t="s">
        <v>1</v>
      </c>
      <c r="AZ50" s="84" t="s">
        <v>1</v>
      </c>
      <c r="BA50" s="84">
        <v>29864</v>
      </c>
      <c r="BB50" s="84">
        <v>-17352</v>
      </c>
      <c r="BC50" s="84">
        <v>16312</v>
      </c>
      <c r="BD50" s="82">
        <v>29864</v>
      </c>
      <c r="BE50" s="84">
        <v>29864</v>
      </c>
      <c r="BF50" s="84">
        <v>5</v>
      </c>
      <c r="BG50" s="84">
        <v>5</v>
      </c>
      <c r="BH50" s="84">
        <v>34565</v>
      </c>
    </row>
    <row r="51" spans="1:60" ht="16.5" customHeight="1" x14ac:dyDescent="0.25">
      <c r="A51" s="27"/>
      <c r="B51" s="39" t="s">
        <v>137</v>
      </c>
      <c r="C51" s="40"/>
      <c r="D51" s="41"/>
      <c r="E51" s="115">
        <v>-6992</v>
      </c>
      <c r="F51" s="114">
        <v>-6992</v>
      </c>
      <c r="G51" s="115">
        <v>-6992</v>
      </c>
      <c r="H51" s="83">
        <v>-6992</v>
      </c>
      <c r="I51" s="83" t="s">
        <v>1</v>
      </c>
      <c r="J51" s="83" t="s">
        <v>1</v>
      </c>
      <c r="K51" s="82" t="s">
        <v>1</v>
      </c>
      <c r="L51" s="83" t="s">
        <v>1</v>
      </c>
      <c r="M51" s="83" t="s">
        <v>1</v>
      </c>
      <c r="N51" s="83" t="s">
        <v>1</v>
      </c>
      <c r="O51" s="83"/>
      <c r="P51" s="82" t="s">
        <v>1</v>
      </c>
      <c r="Q51" s="83" t="s">
        <v>1</v>
      </c>
      <c r="R51" s="83">
        <v>-43</v>
      </c>
      <c r="S51" s="83">
        <v>-43</v>
      </c>
      <c r="T51" s="83">
        <v>-43</v>
      </c>
      <c r="U51" s="82">
        <v>-43</v>
      </c>
      <c r="V51" s="83">
        <v>-43</v>
      </c>
      <c r="W51" s="83">
        <v>-43</v>
      </c>
      <c r="X51" s="83">
        <v>-43</v>
      </c>
      <c r="Y51" s="83">
        <v>-43</v>
      </c>
      <c r="Z51" s="82">
        <v>-43</v>
      </c>
      <c r="AA51" s="83">
        <v>-43</v>
      </c>
      <c r="AB51" s="83">
        <v>-43</v>
      </c>
      <c r="AC51" s="83">
        <v>-43</v>
      </c>
      <c r="AD51" s="83">
        <v>-5351</v>
      </c>
      <c r="AE51" s="82">
        <v>-3877</v>
      </c>
      <c r="AF51" s="83">
        <v>-3877</v>
      </c>
      <c r="AG51" s="83">
        <v>-5741</v>
      </c>
      <c r="AH51" s="83">
        <v>-5741</v>
      </c>
      <c r="AI51" s="83">
        <v>-2293</v>
      </c>
      <c r="AJ51" s="82">
        <v>-10015</v>
      </c>
      <c r="AK51" s="83">
        <v>-10015</v>
      </c>
      <c r="AL51" s="83">
        <v>-7118</v>
      </c>
      <c r="AM51" s="83">
        <v>-6341</v>
      </c>
      <c r="AN51" s="83">
        <v>-6119</v>
      </c>
      <c r="AO51" s="82">
        <v>-724</v>
      </c>
      <c r="AP51" s="83">
        <v>-724</v>
      </c>
      <c r="AQ51" s="83" t="s">
        <v>1</v>
      </c>
      <c r="AR51" s="83" t="s">
        <v>1</v>
      </c>
      <c r="AS51" s="83" t="s">
        <v>1</v>
      </c>
      <c r="AT51" s="82" t="s">
        <v>1</v>
      </c>
      <c r="AU51" s="83" t="s">
        <v>1</v>
      </c>
      <c r="AV51" s="83" t="s">
        <v>1</v>
      </c>
      <c r="AW51" s="83" t="s">
        <v>1</v>
      </c>
      <c r="AX51" s="83" t="s">
        <v>1</v>
      </c>
      <c r="AY51" s="82" t="s">
        <v>1</v>
      </c>
      <c r="AZ51" s="83" t="s">
        <v>1</v>
      </c>
      <c r="BA51" s="83" t="s">
        <v>1</v>
      </c>
      <c r="BB51" s="83" t="s">
        <v>1</v>
      </c>
      <c r="BC51" s="83" t="s">
        <v>1</v>
      </c>
      <c r="BD51" s="82" t="s">
        <v>1</v>
      </c>
      <c r="BE51" s="83" t="s">
        <v>1</v>
      </c>
      <c r="BF51" s="83" t="s">
        <v>1</v>
      </c>
      <c r="BG51" s="83" t="s">
        <v>1</v>
      </c>
      <c r="BH51" s="83" t="s">
        <v>1</v>
      </c>
    </row>
    <row r="52" spans="1:60" ht="16.5" customHeight="1" x14ac:dyDescent="0.25">
      <c r="A52" s="27"/>
      <c r="B52" s="42" t="s">
        <v>136</v>
      </c>
      <c r="C52" s="43"/>
      <c r="D52" s="44"/>
      <c r="E52" s="116" t="s">
        <v>1</v>
      </c>
      <c r="F52" s="114" t="s">
        <v>1</v>
      </c>
      <c r="G52" s="116" t="s">
        <v>1</v>
      </c>
      <c r="H52" s="84" t="s">
        <v>1</v>
      </c>
      <c r="I52" s="84" t="s">
        <v>1</v>
      </c>
      <c r="J52" s="84" t="s">
        <v>1</v>
      </c>
      <c r="K52" s="82" t="s">
        <v>1</v>
      </c>
      <c r="L52" s="84" t="s">
        <v>1</v>
      </c>
      <c r="M52" s="84" t="s">
        <v>1</v>
      </c>
      <c r="N52" s="84" t="s">
        <v>1</v>
      </c>
      <c r="O52" s="84" t="s">
        <v>1</v>
      </c>
      <c r="P52" s="82" t="s">
        <v>1</v>
      </c>
      <c r="Q52" s="84" t="s">
        <v>1</v>
      </c>
      <c r="R52" s="84" t="s">
        <v>1</v>
      </c>
      <c r="S52" s="84" t="s">
        <v>1</v>
      </c>
      <c r="T52" s="84" t="s">
        <v>1</v>
      </c>
      <c r="U52" s="82" t="s">
        <v>1</v>
      </c>
      <c r="V52" s="84" t="s">
        <v>1</v>
      </c>
      <c r="W52" s="84" t="s">
        <v>1</v>
      </c>
      <c r="X52" s="84" t="s">
        <v>1</v>
      </c>
      <c r="Y52" s="84" t="s">
        <v>1</v>
      </c>
      <c r="Z52" s="82" t="s">
        <v>1</v>
      </c>
      <c r="AA52" s="84" t="s">
        <v>1</v>
      </c>
      <c r="AB52" s="84" t="s">
        <v>1</v>
      </c>
      <c r="AC52" s="84" t="s">
        <v>1</v>
      </c>
      <c r="AD52" s="84" t="s">
        <v>1</v>
      </c>
      <c r="AE52" s="82" t="s">
        <v>1</v>
      </c>
      <c r="AF52" s="84" t="s">
        <v>1</v>
      </c>
      <c r="AG52" s="84" t="s">
        <v>1</v>
      </c>
      <c r="AH52" s="84" t="s">
        <v>1</v>
      </c>
      <c r="AI52" s="84" t="s">
        <v>1</v>
      </c>
      <c r="AJ52" s="82" t="s">
        <v>1</v>
      </c>
      <c r="AK52" s="84" t="s">
        <v>1</v>
      </c>
      <c r="AL52" s="84" t="s">
        <v>1</v>
      </c>
      <c r="AM52" s="84" t="s">
        <v>1</v>
      </c>
      <c r="AN52" s="84" t="s">
        <v>1</v>
      </c>
      <c r="AO52" s="82" t="s">
        <v>1</v>
      </c>
      <c r="AP52" s="84" t="s">
        <v>1</v>
      </c>
      <c r="AQ52" s="84" t="s">
        <v>1</v>
      </c>
      <c r="AR52" s="84" t="s">
        <v>1</v>
      </c>
      <c r="AS52" s="84" t="s">
        <v>1</v>
      </c>
      <c r="AT52" s="82" t="s">
        <v>1</v>
      </c>
      <c r="AU52" s="84" t="s">
        <v>1</v>
      </c>
      <c r="AV52" s="84">
        <v>4981</v>
      </c>
      <c r="AW52" s="84">
        <v>-3532</v>
      </c>
      <c r="AX52" s="84">
        <v>-7543</v>
      </c>
      <c r="AY52" s="82">
        <v>-10558</v>
      </c>
      <c r="AZ52" s="84">
        <v>-10558</v>
      </c>
      <c r="BA52" s="84">
        <v>-43147</v>
      </c>
      <c r="BB52" s="84" t="s">
        <v>1</v>
      </c>
      <c r="BC52" s="84" t="s">
        <v>1</v>
      </c>
      <c r="BD52" s="82" t="s">
        <v>1</v>
      </c>
      <c r="BE52" s="84" t="s">
        <v>1</v>
      </c>
      <c r="BF52" s="84">
        <v>57193</v>
      </c>
      <c r="BG52" s="84">
        <v>37068</v>
      </c>
      <c r="BH52" s="84">
        <v>20307</v>
      </c>
    </row>
    <row r="53" spans="1:60" ht="16.5" customHeight="1" x14ac:dyDescent="0.25">
      <c r="A53" s="27"/>
      <c r="B53" s="39" t="s">
        <v>134</v>
      </c>
      <c r="C53" s="40"/>
      <c r="D53" s="41"/>
      <c r="E53" s="115">
        <v>54303</v>
      </c>
      <c r="F53" s="114">
        <v>51854</v>
      </c>
      <c r="G53" s="115">
        <v>51854</v>
      </c>
      <c r="H53" s="83">
        <v>47700</v>
      </c>
      <c r="I53" s="83">
        <v>48303</v>
      </c>
      <c r="J53" s="83">
        <v>50833</v>
      </c>
      <c r="K53" s="82">
        <f>L53</f>
        <v>48057</v>
      </c>
      <c r="L53" s="83">
        <v>48057</v>
      </c>
      <c r="M53" s="83">
        <v>53504</v>
      </c>
      <c r="N53" s="83">
        <v>54655</v>
      </c>
      <c r="O53" s="83">
        <v>46679</v>
      </c>
      <c r="P53" s="82">
        <v>39730</v>
      </c>
      <c r="Q53" s="83">
        <v>39730</v>
      </c>
      <c r="R53" s="83">
        <v>30367</v>
      </c>
      <c r="S53" s="83">
        <v>30950</v>
      </c>
      <c r="T53" s="83">
        <v>26858</v>
      </c>
      <c r="U53" s="82">
        <v>25896</v>
      </c>
      <c r="V53" s="83">
        <v>25896</v>
      </c>
      <c r="W53" s="83">
        <v>21586</v>
      </c>
      <c r="X53" s="83">
        <v>22450</v>
      </c>
      <c r="Y53" s="83">
        <v>15199</v>
      </c>
      <c r="Z53" s="82">
        <v>19817</v>
      </c>
      <c r="AA53" s="83">
        <v>19817</v>
      </c>
      <c r="AB53" s="83">
        <v>20086</v>
      </c>
      <c r="AC53" s="83">
        <v>23251</v>
      </c>
      <c r="AD53" s="83">
        <v>33775</v>
      </c>
      <c r="AE53" s="82">
        <v>36310</v>
      </c>
      <c r="AF53" s="83">
        <v>36310</v>
      </c>
      <c r="AG53" s="83">
        <v>39077</v>
      </c>
      <c r="AH53" s="83">
        <v>57072</v>
      </c>
      <c r="AI53" s="83">
        <v>57017</v>
      </c>
      <c r="AJ53" s="82">
        <v>57736</v>
      </c>
      <c r="AK53" s="83">
        <v>57736</v>
      </c>
      <c r="AL53" s="83">
        <v>58584</v>
      </c>
      <c r="AM53" s="83">
        <v>68510</v>
      </c>
      <c r="AN53" s="83">
        <v>77774</v>
      </c>
      <c r="AO53" s="82">
        <v>89836</v>
      </c>
      <c r="AP53" s="83">
        <v>89836</v>
      </c>
      <c r="AQ53" s="83">
        <v>104025</v>
      </c>
      <c r="AR53" s="83">
        <v>103415</v>
      </c>
      <c r="AS53" s="83">
        <v>102794</v>
      </c>
      <c r="AT53" s="82">
        <v>1896</v>
      </c>
      <c r="AU53" s="83">
        <v>1896</v>
      </c>
      <c r="AV53" s="83">
        <v>4790</v>
      </c>
      <c r="AW53" s="83">
        <v>5249</v>
      </c>
      <c r="AX53" s="83">
        <v>5176</v>
      </c>
      <c r="AY53" s="82">
        <v>5128</v>
      </c>
      <c r="AZ53" s="83">
        <v>5128</v>
      </c>
      <c r="BA53" s="83">
        <v>5881</v>
      </c>
      <c r="BB53" s="83">
        <v>5244</v>
      </c>
      <c r="BC53" s="83">
        <v>4627</v>
      </c>
      <c r="BD53" s="82">
        <v>5420</v>
      </c>
      <c r="BE53" s="83">
        <v>5420</v>
      </c>
      <c r="BF53" s="83" t="s">
        <v>1</v>
      </c>
      <c r="BG53" s="83" t="s">
        <v>1</v>
      </c>
      <c r="BH53" s="83" t="s">
        <v>1</v>
      </c>
    </row>
    <row r="54" spans="1:60" s="38" customFormat="1" ht="16.5" customHeight="1" x14ac:dyDescent="0.25">
      <c r="A54" s="34"/>
      <c r="B54" s="68" t="s">
        <v>135</v>
      </c>
      <c r="C54" s="69"/>
      <c r="D54" s="70"/>
      <c r="E54" s="79">
        <f t="shared" ref="E54" si="107">E23+E35+E46</f>
        <v>2167632</v>
      </c>
      <c r="F54" s="80">
        <v>2176901</v>
      </c>
      <c r="G54" s="79">
        <f t="shared" ref="G54" si="108">G23+G35+G46</f>
        <v>2176901</v>
      </c>
      <c r="H54" s="79">
        <v>1939546</v>
      </c>
      <c r="I54" s="79">
        <f t="shared" ref="I54:AO54" si="109">I23+I35+I46</f>
        <v>1960094</v>
      </c>
      <c r="J54" s="79">
        <f t="shared" si="109"/>
        <v>1868279</v>
      </c>
      <c r="K54" s="80">
        <f t="shared" si="109"/>
        <v>1798507</v>
      </c>
      <c r="L54" s="79">
        <f t="shared" si="109"/>
        <v>1798507</v>
      </c>
      <c r="M54" s="79">
        <f t="shared" si="109"/>
        <v>1693084</v>
      </c>
      <c r="N54" s="79">
        <f t="shared" si="109"/>
        <v>1247367</v>
      </c>
      <c r="O54" s="79">
        <f t="shared" si="109"/>
        <v>1171491</v>
      </c>
      <c r="P54" s="80">
        <f t="shared" si="109"/>
        <v>1087083</v>
      </c>
      <c r="Q54" s="79">
        <f t="shared" si="109"/>
        <v>1087083</v>
      </c>
      <c r="R54" s="79">
        <f t="shared" si="109"/>
        <v>1052586</v>
      </c>
      <c r="S54" s="79">
        <f t="shared" si="109"/>
        <v>1028389</v>
      </c>
      <c r="T54" s="79">
        <f t="shared" si="109"/>
        <v>965327</v>
      </c>
      <c r="U54" s="80">
        <f t="shared" si="109"/>
        <v>939490</v>
      </c>
      <c r="V54" s="79">
        <f t="shared" si="109"/>
        <v>939490</v>
      </c>
      <c r="W54" s="79">
        <f t="shared" si="109"/>
        <v>888575</v>
      </c>
      <c r="X54" s="79">
        <f t="shared" si="109"/>
        <v>848505</v>
      </c>
      <c r="Y54" s="79">
        <f t="shared" si="109"/>
        <v>855021</v>
      </c>
      <c r="Z54" s="80">
        <f t="shared" si="109"/>
        <v>871065</v>
      </c>
      <c r="AA54" s="79">
        <f t="shared" si="109"/>
        <v>871065</v>
      </c>
      <c r="AB54" s="79">
        <f t="shared" si="109"/>
        <v>888756</v>
      </c>
      <c r="AC54" s="79">
        <f t="shared" si="109"/>
        <v>855325</v>
      </c>
      <c r="AD54" s="79">
        <f t="shared" si="109"/>
        <v>928027</v>
      </c>
      <c r="AE54" s="80">
        <f t="shared" si="109"/>
        <v>959648</v>
      </c>
      <c r="AF54" s="79">
        <f t="shared" si="109"/>
        <v>959648</v>
      </c>
      <c r="AG54" s="79">
        <f t="shared" si="109"/>
        <v>980195</v>
      </c>
      <c r="AH54" s="79">
        <f t="shared" si="109"/>
        <v>982166</v>
      </c>
      <c r="AI54" s="79">
        <f t="shared" si="109"/>
        <v>988620</v>
      </c>
      <c r="AJ54" s="80">
        <f t="shared" si="109"/>
        <v>1102593</v>
      </c>
      <c r="AK54" s="79">
        <f t="shared" si="109"/>
        <v>1102593</v>
      </c>
      <c r="AL54" s="79">
        <f t="shared" si="109"/>
        <v>1045256</v>
      </c>
      <c r="AM54" s="79">
        <f t="shared" si="109"/>
        <v>1127024</v>
      </c>
      <c r="AN54" s="79">
        <f t="shared" si="109"/>
        <v>1132177</v>
      </c>
      <c r="AO54" s="80">
        <f t="shared" si="109"/>
        <v>1238526</v>
      </c>
      <c r="AP54" s="79">
        <f t="shared" ref="AP54:BH54" si="110">AP23+AP35+AP46</f>
        <v>1238526</v>
      </c>
      <c r="AQ54" s="79">
        <f t="shared" si="110"/>
        <v>1300384</v>
      </c>
      <c r="AR54" s="79">
        <f t="shared" si="110"/>
        <v>1515826</v>
      </c>
      <c r="AS54" s="79">
        <f t="shared" si="110"/>
        <v>1534588</v>
      </c>
      <c r="AT54" s="80">
        <f t="shared" si="110"/>
        <v>1467385</v>
      </c>
      <c r="AU54" s="79">
        <f t="shared" si="110"/>
        <v>1467385</v>
      </c>
      <c r="AV54" s="79">
        <f t="shared" si="110"/>
        <v>1475083</v>
      </c>
      <c r="AW54" s="79">
        <f t="shared" si="110"/>
        <v>1576743</v>
      </c>
      <c r="AX54" s="79">
        <f t="shared" si="110"/>
        <v>1599815</v>
      </c>
      <c r="AY54" s="80">
        <f t="shared" si="110"/>
        <v>1664719</v>
      </c>
      <c r="AZ54" s="79">
        <f t="shared" si="110"/>
        <v>1664719</v>
      </c>
      <c r="BA54" s="79">
        <f t="shared" si="110"/>
        <v>1683850</v>
      </c>
      <c r="BB54" s="79">
        <f t="shared" si="110"/>
        <v>1813329</v>
      </c>
      <c r="BC54" s="79">
        <f t="shared" si="110"/>
        <v>1813317</v>
      </c>
      <c r="BD54" s="80">
        <f t="shared" si="110"/>
        <v>1799696</v>
      </c>
      <c r="BE54" s="79">
        <f t="shared" si="110"/>
        <v>1799696</v>
      </c>
      <c r="BF54" s="79">
        <f t="shared" si="110"/>
        <v>1678408</v>
      </c>
      <c r="BG54" s="79">
        <f t="shared" si="110"/>
        <v>1577085</v>
      </c>
      <c r="BH54" s="79">
        <f t="shared" si="110"/>
        <v>1445492</v>
      </c>
    </row>
    <row r="55" spans="1:60" x14ac:dyDescent="0.25">
      <c r="E55" s="94">
        <f t="shared" ref="E55" si="111">E54-E22</f>
        <v>0</v>
      </c>
      <c r="F55" s="94">
        <f t="shared" ref="F55:BG55" si="112">F54-F22</f>
        <v>0</v>
      </c>
      <c r="G55" s="94">
        <f t="shared" si="112"/>
        <v>0</v>
      </c>
      <c r="H55" s="94">
        <f t="shared" si="112"/>
        <v>0</v>
      </c>
      <c r="I55" s="94">
        <f t="shared" si="112"/>
        <v>0</v>
      </c>
      <c r="J55" s="94">
        <f t="shared" si="112"/>
        <v>0</v>
      </c>
      <c r="K55" s="94">
        <f t="shared" si="112"/>
        <v>0</v>
      </c>
      <c r="L55" s="94">
        <f t="shared" si="112"/>
        <v>0</v>
      </c>
      <c r="M55" s="94">
        <f t="shared" si="112"/>
        <v>0</v>
      </c>
      <c r="N55" s="94">
        <f t="shared" si="112"/>
        <v>0</v>
      </c>
      <c r="O55" s="94">
        <f t="shared" si="112"/>
        <v>0</v>
      </c>
      <c r="P55" s="94">
        <f t="shared" si="112"/>
        <v>0</v>
      </c>
      <c r="Q55" s="94">
        <f t="shared" si="112"/>
        <v>0</v>
      </c>
      <c r="R55" s="94">
        <f t="shared" si="112"/>
        <v>0</v>
      </c>
      <c r="S55" s="94">
        <f t="shared" si="112"/>
        <v>0</v>
      </c>
      <c r="T55" s="94">
        <f t="shared" si="112"/>
        <v>0</v>
      </c>
      <c r="U55" s="94">
        <f t="shared" si="112"/>
        <v>0</v>
      </c>
      <c r="V55" s="94">
        <f t="shared" si="112"/>
        <v>0</v>
      </c>
      <c r="W55" s="94">
        <f t="shared" si="112"/>
        <v>0</v>
      </c>
      <c r="X55" s="94">
        <f t="shared" si="112"/>
        <v>0</v>
      </c>
      <c r="Y55" s="94">
        <f t="shared" si="112"/>
        <v>0</v>
      </c>
      <c r="Z55" s="94">
        <f t="shared" si="112"/>
        <v>0</v>
      </c>
      <c r="AA55" s="94">
        <f t="shared" si="112"/>
        <v>0</v>
      </c>
      <c r="AB55" s="94">
        <f t="shared" si="112"/>
        <v>0</v>
      </c>
      <c r="AC55" s="94">
        <f t="shared" si="112"/>
        <v>0</v>
      </c>
      <c r="AD55" s="94">
        <f t="shared" si="112"/>
        <v>0</v>
      </c>
      <c r="AE55" s="94">
        <f t="shared" si="112"/>
        <v>0</v>
      </c>
      <c r="AF55" s="94">
        <f t="shared" si="112"/>
        <v>0</v>
      </c>
      <c r="AG55" s="94">
        <f t="shared" si="112"/>
        <v>0</v>
      </c>
      <c r="AH55" s="94">
        <f t="shared" si="112"/>
        <v>0</v>
      </c>
      <c r="AI55" s="94">
        <f t="shared" si="112"/>
        <v>0</v>
      </c>
      <c r="AJ55" s="94">
        <f t="shared" si="112"/>
        <v>0</v>
      </c>
      <c r="AK55" s="94">
        <f t="shared" si="112"/>
        <v>0</v>
      </c>
      <c r="AL55" s="94">
        <f t="shared" si="112"/>
        <v>0</v>
      </c>
      <c r="AM55" s="94">
        <f t="shared" si="112"/>
        <v>0</v>
      </c>
      <c r="AN55" s="94">
        <f t="shared" si="112"/>
        <v>0</v>
      </c>
      <c r="AO55" s="94">
        <f t="shared" si="112"/>
        <v>0</v>
      </c>
      <c r="AP55" s="94">
        <f t="shared" si="112"/>
        <v>0</v>
      </c>
      <c r="AQ55" s="94">
        <f t="shared" si="112"/>
        <v>0</v>
      </c>
      <c r="AR55" s="94">
        <f t="shared" si="112"/>
        <v>0</v>
      </c>
      <c r="AS55" s="94">
        <f t="shared" si="112"/>
        <v>0</v>
      </c>
      <c r="AT55" s="94">
        <f t="shared" si="112"/>
        <v>0</v>
      </c>
      <c r="AU55" s="94">
        <f t="shared" si="112"/>
        <v>0</v>
      </c>
      <c r="AV55" s="94">
        <f t="shared" si="112"/>
        <v>0</v>
      </c>
      <c r="AW55" s="94">
        <f t="shared" si="112"/>
        <v>0</v>
      </c>
      <c r="AX55" s="94">
        <f t="shared" si="112"/>
        <v>0</v>
      </c>
      <c r="AY55" s="94">
        <f t="shared" si="112"/>
        <v>0</v>
      </c>
      <c r="AZ55" s="94">
        <f t="shared" si="112"/>
        <v>0</v>
      </c>
      <c r="BA55" s="94">
        <f t="shared" si="112"/>
        <v>0</v>
      </c>
      <c r="BB55" s="94">
        <f t="shared" si="112"/>
        <v>0</v>
      </c>
      <c r="BC55" s="94">
        <f t="shared" si="112"/>
        <v>0</v>
      </c>
      <c r="BD55" s="94">
        <f t="shared" si="112"/>
        <v>0</v>
      </c>
      <c r="BE55" s="94">
        <f t="shared" si="112"/>
        <v>0</v>
      </c>
      <c r="BF55" s="94">
        <f t="shared" si="112"/>
        <v>0</v>
      </c>
      <c r="BG55" s="94">
        <f t="shared" si="112"/>
        <v>0</v>
      </c>
      <c r="BH55" s="94">
        <f>BH54-BH22</f>
        <v>0</v>
      </c>
    </row>
    <row r="1048502" spans="20:20" x14ac:dyDescent="0.25">
      <c r="T1048502" s="63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X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3" sqref="B3:C3"/>
    </sheetView>
  </sheetViews>
  <sheetFormatPr defaultColWidth="8.85546875" defaultRowHeight="12.75" x14ac:dyDescent="0.2"/>
  <cols>
    <col min="1" max="1" width="1.42578125" style="55" customWidth="1"/>
    <col min="2" max="2" width="67" style="56" bestFit="1" customWidth="1"/>
    <col min="3" max="3" width="38.7109375" style="55" customWidth="1"/>
    <col min="4" max="4" width="10.140625" style="63" customWidth="1"/>
    <col min="5" max="7" width="10.140625" style="63" bestFit="1" customWidth="1"/>
    <col min="8" max="8" width="10.5703125" style="63" bestFit="1" customWidth="1"/>
    <col min="9" max="10" width="10.140625" style="63" bestFit="1" customWidth="1"/>
    <col min="11" max="11" width="10.5703125" style="63" bestFit="1" customWidth="1"/>
    <col min="12" max="12" width="9.7109375" style="63" customWidth="1"/>
    <col min="13" max="13" width="10.140625" style="63" bestFit="1" customWidth="1"/>
    <col min="14" max="14" width="9.7109375" style="63" customWidth="1"/>
    <col min="15" max="15" width="10.140625" style="63" bestFit="1" customWidth="1"/>
    <col min="16" max="16" width="9.7109375" style="63" customWidth="1"/>
    <col min="17" max="17" width="9.28515625" style="63" bestFit="1" customWidth="1"/>
    <col min="18" max="18" width="8.85546875" style="63" bestFit="1" customWidth="1"/>
    <col min="19" max="20" width="9.7109375" style="63" customWidth="1"/>
    <col min="21" max="22" width="10.5703125" style="63" bestFit="1" customWidth="1"/>
    <col min="23" max="23" width="11" style="63" bestFit="1" customWidth="1"/>
    <col min="24" max="24" width="10.140625" style="63" bestFit="1" customWidth="1"/>
    <col min="25" max="25" width="10.5703125" style="63" bestFit="1" customWidth="1"/>
    <col min="26" max="27" width="9.7109375" style="63" customWidth="1"/>
    <col min="28" max="29" width="10.5703125" style="63" bestFit="1" customWidth="1"/>
    <col min="30" max="31" width="10.140625" style="63" bestFit="1" customWidth="1"/>
    <col min="32" max="33" width="11" style="63" bestFit="1" customWidth="1"/>
    <col min="34" max="34" width="11.42578125" style="63" bestFit="1" customWidth="1"/>
    <col min="35" max="35" width="10.140625" style="63" bestFit="1" customWidth="1"/>
    <col min="36" max="36" width="11" style="63" bestFit="1" customWidth="1"/>
    <col min="37" max="37" width="11.42578125" style="63" bestFit="1" customWidth="1"/>
    <col min="38" max="38" width="11" style="63" bestFit="1" customWidth="1"/>
    <col min="39" max="39" width="10.140625" style="63" bestFit="1" customWidth="1"/>
    <col min="40" max="41" width="9.7109375" style="63" customWidth="1"/>
    <col min="42" max="42" width="11" style="63" bestFit="1" customWidth="1"/>
    <col min="43" max="44" width="10.140625" style="63" bestFit="1" customWidth="1"/>
    <col min="45" max="46" width="11.42578125" style="63" bestFit="1" customWidth="1"/>
    <col min="47" max="47" width="11" style="63" bestFit="1" customWidth="1"/>
    <col min="48" max="48" width="10.140625" style="63" bestFit="1" customWidth="1"/>
    <col min="49" max="16384" width="8.85546875" style="55"/>
  </cols>
  <sheetData>
    <row r="1" spans="1:92" ht="52.15" customHeight="1" thickBot="1" x14ac:dyDescent="0.25">
      <c r="A1" s="57"/>
      <c r="B1" s="49"/>
      <c r="C1" s="50"/>
      <c r="D1" s="12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</row>
    <row r="2" spans="1:92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</row>
    <row r="3" spans="1:92" s="30" customFormat="1" ht="25.9" customHeight="1" x14ac:dyDescent="0.2">
      <c r="A3" s="27"/>
      <c r="B3" s="123" t="s">
        <v>153</v>
      </c>
      <c r="C3" s="123"/>
      <c r="D3" s="126" t="s">
        <v>182</v>
      </c>
      <c r="E3" s="17" t="s">
        <v>180</v>
      </c>
      <c r="F3" s="17" t="s">
        <v>179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32</v>
      </c>
      <c r="O3" s="17" t="s">
        <v>33</v>
      </c>
      <c r="P3" s="17" t="s">
        <v>34</v>
      </c>
      <c r="Q3" s="17" t="s">
        <v>35</v>
      </c>
      <c r="R3" s="17" t="s">
        <v>36</v>
      </c>
      <c r="S3" s="17" t="s">
        <v>37</v>
      </c>
      <c r="T3" s="17" t="s">
        <v>38</v>
      </c>
      <c r="U3" s="17" t="s">
        <v>39</v>
      </c>
      <c r="V3" s="17" t="s">
        <v>40</v>
      </c>
      <c r="W3" s="17" t="s">
        <v>41</v>
      </c>
      <c r="X3" s="17" t="s">
        <v>42</v>
      </c>
      <c r="Y3" s="17" t="s">
        <v>43</v>
      </c>
      <c r="Z3" s="17" t="s">
        <v>44</v>
      </c>
      <c r="AA3" s="17" t="s">
        <v>45</v>
      </c>
      <c r="AB3" s="17" t="s">
        <v>46</v>
      </c>
      <c r="AC3" s="17" t="s">
        <v>47</v>
      </c>
      <c r="AD3" s="17" t="s">
        <v>48</v>
      </c>
      <c r="AE3" s="17" t="s">
        <v>49</v>
      </c>
      <c r="AF3" s="17" t="s">
        <v>50</v>
      </c>
      <c r="AG3" s="17" t="s">
        <v>51</v>
      </c>
      <c r="AH3" s="17" t="s">
        <v>52</v>
      </c>
      <c r="AI3" s="17" t="s">
        <v>53</v>
      </c>
      <c r="AJ3" s="17" t="s">
        <v>54</v>
      </c>
      <c r="AK3" s="17" t="s">
        <v>55</v>
      </c>
      <c r="AL3" s="17" t="s">
        <v>56</v>
      </c>
      <c r="AM3" s="17" t="s">
        <v>57</v>
      </c>
      <c r="AN3" s="17" t="s">
        <v>58</v>
      </c>
      <c r="AO3" s="17" t="s">
        <v>59</v>
      </c>
      <c r="AP3" s="17" t="s">
        <v>60</v>
      </c>
      <c r="AQ3" s="17" t="s">
        <v>61</v>
      </c>
      <c r="AR3" s="17" t="s">
        <v>62</v>
      </c>
      <c r="AS3" s="17" t="s">
        <v>63</v>
      </c>
      <c r="AT3" s="17" t="s">
        <v>64</v>
      </c>
      <c r="AU3" s="17" t="s">
        <v>65</v>
      </c>
      <c r="AV3" s="17" t="s">
        <v>66</v>
      </c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</row>
    <row r="4" spans="1:92" s="61" customFormat="1" ht="18.75" customHeight="1" x14ac:dyDescent="0.2">
      <c r="A4" s="53"/>
      <c r="B4" s="67" t="s">
        <v>138</v>
      </c>
      <c r="C4" s="67"/>
      <c r="D4" s="99">
        <f t="shared" ref="D4" si="0">D5</f>
        <v>43599</v>
      </c>
      <c r="E4" s="99">
        <f t="shared" ref="E4" si="1">E5</f>
        <v>66021</v>
      </c>
      <c r="F4" s="99">
        <v>56791</v>
      </c>
      <c r="G4" s="99">
        <f t="shared" ref="G4:AV4" si="2">G5</f>
        <v>42374</v>
      </c>
      <c r="H4" s="99">
        <f t="shared" si="2"/>
        <v>36333</v>
      </c>
      <c r="I4" s="99">
        <f t="shared" si="2"/>
        <v>52625</v>
      </c>
      <c r="J4" s="99">
        <f t="shared" si="2"/>
        <v>50297</v>
      </c>
      <c r="K4" s="99">
        <f t="shared" si="2"/>
        <v>32793</v>
      </c>
      <c r="L4" s="99">
        <f t="shared" si="2"/>
        <v>32590</v>
      </c>
      <c r="M4" s="99">
        <f t="shared" si="2"/>
        <v>26837</v>
      </c>
      <c r="N4" s="99">
        <f t="shared" si="2"/>
        <v>26029</v>
      </c>
      <c r="O4" s="99">
        <f t="shared" si="2"/>
        <v>20389</v>
      </c>
      <c r="P4" s="99">
        <f t="shared" si="2"/>
        <v>16208</v>
      </c>
      <c r="Q4" s="99">
        <f t="shared" si="2"/>
        <v>45028</v>
      </c>
      <c r="R4" s="99">
        <f t="shared" si="2"/>
        <v>11846</v>
      </c>
      <c r="S4" s="99">
        <f t="shared" si="2"/>
        <v>4518</v>
      </c>
      <c r="T4" s="99">
        <f t="shared" si="2"/>
        <v>4320</v>
      </c>
      <c r="U4" s="99">
        <f t="shared" si="2"/>
        <v>9348</v>
      </c>
      <c r="V4" s="99">
        <f t="shared" si="2"/>
        <v>5890</v>
      </c>
      <c r="W4" s="99">
        <f t="shared" si="2"/>
        <v>994</v>
      </c>
      <c r="X4" s="99">
        <f t="shared" si="2"/>
        <v>1230</v>
      </c>
      <c r="Y4" s="99">
        <f t="shared" si="2"/>
        <v>33018</v>
      </c>
      <c r="Z4" s="99">
        <f t="shared" si="2"/>
        <v>10070</v>
      </c>
      <c r="AA4" s="99">
        <f t="shared" si="2"/>
        <v>6763</v>
      </c>
      <c r="AB4" s="99">
        <f t="shared" si="2"/>
        <v>7361</v>
      </c>
      <c r="AC4" s="99">
        <f t="shared" si="2"/>
        <v>49050</v>
      </c>
      <c r="AD4" s="99">
        <f t="shared" si="2"/>
        <v>12960</v>
      </c>
      <c r="AE4" s="99">
        <f t="shared" si="2"/>
        <v>11112</v>
      </c>
      <c r="AF4" s="99">
        <f t="shared" si="2"/>
        <v>16453</v>
      </c>
      <c r="AG4" s="99">
        <f t="shared" si="2"/>
        <v>70973</v>
      </c>
      <c r="AH4" s="99">
        <f t="shared" si="2"/>
        <v>16732</v>
      </c>
      <c r="AI4" s="99">
        <f t="shared" si="2"/>
        <v>17536</v>
      </c>
      <c r="AJ4" s="99">
        <f t="shared" si="2"/>
        <v>20230</v>
      </c>
      <c r="AK4" s="99">
        <f t="shared" si="2"/>
        <v>46109</v>
      </c>
      <c r="AL4" s="99">
        <f t="shared" si="2"/>
        <v>32399</v>
      </c>
      <c r="AM4" s="99">
        <f t="shared" si="2"/>
        <v>18769</v>
      </c>
      <c r="AN4" s="99">
        <f t="shared" si="2"/>
        <v>10032</v>
      </c>
      <c r="AO4" s="99">
        <f t="shared" si="2"/>
        <v>9876</v>
      </c>
      <c r="AP4" s="99">
        <f t="shared" si="2"/>
        <v>12609</v>
      </c>
      <c r="AQ4" s="99">
        <f t="shared" si="2"/>
        <v>-26270</v>
      </c>
      <c r="AR4" s="99">
        <f t="shared" si="2"/>
        <v>-5775</v>
      </c>
      <c r="AS4" s="99">
        <f t="shared" si="2"/>
        <v>69051</v>
      </c>
      <c r="AT4" s="99">
        <f t="shared" si="2"/>
        <v>57193</v>
      </c>
      <c r="AU4" s="99">
        <f t="shared" si="2"/>
        <v>37068</v>
      </c>
      <c r="AV4" s="99">
        <f t="shared" si="2"/>
        <v>20307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</row>
    <row r="5" spans="1:92" s="30" customFormat="1" ht="19.5" customHeight="1" x14ac:dyDescent="0.2">
      <c r="A5" s="27"/>
      <c r="B5" s="96" t="s">
        <v>89</v>
      </c>
      <c r="C5" s="96"/>
      <c r="D5" s="97">
        <v>43599</v>
      </c>
      <c r="E5" s="97">
        <v>66021</v>
      </c>
      <c r="F5" s="97">
        <v>56791</v>
      </c>
      <c r="G5" s="97">
        <v>42374</v>
      </c>
      <c r="H5" s="97">
        <v>36333</v>
      </c>
      <c r="I5" s="98">
        <v>52625</v>
      </c>
      <c r="J5" s="98">
        <v>50297</v>
      </c>
      <c r="K5" s="98">
        <v>32793</v>
      </c>
      <c r="L5" s="98">
        <v>32590</v>
      </c>
      <c r="M5" s="98">
        <v>26837</v>
      </c>
      <c r="N5" s="98">
        <v>26029</v>
      </c>
      <c r="O5" s="98">
        <v>20389</v>
      </c>
      <c r="P5" s="98">
        <v>16208</v>
      </c>
      <c r="Q5" s="98">
        <v>45028</v>
      </c>
      <c r="R5" s="98">
        <v>11846</v>
      </c>
      <c r="S5" s="98">
        <v>4518</v>
      </c>
      <c r="T5" s="98">
        <v>4320</v>
      </c>
      <c r="U5" s="98">
        <v>9348</v>
      </c>
      <c r="V5" s="98">
        <v>5890</v>
      </c>
      <c r="W5" s="98">
        <v>994</v>
      </c>
      <c r="X5" s="98">
        <v>1230</v>
      </c>
      <c r="Y5" s="98">
        <v>33018</v>
      </c>
      <c r="Z5" s="98">
        <v>10070</v>
      </c>
      <c r="AA5" s="98">
        <v>6763</v>
      </c>
      <c r="AB5" s="98">
        <v>7361</v>
      </c>
      <c r="AC5" s="98">
        <v>49050</v>
      </c>
      <c r="AD5" s="98">
        <v>12960</v>
      </c>
      <c r="AE5" s="98">
        <v>11112</v>
      </c>
      <c r="AF5" s="98">
        <v>16453</v>
      </c>
      <c r="AG5" s="98">
        <v>70973</v>
      </c>
      <c r="AH5" s="98">
        <v>16732</v>
      </c>
      <c r="AI5" s="98">
        <v>17536</v>
      </c>
      <c r="AJ5" s="98">
        <v>20230</v>
      </c>
      <c r="AK5" s="98">
        <v>46109</v>
      </c>
      <c r="AL5" s="98">
        <v>32399</v>
      </c>
      <c r="AM5" s="98">
        <v>18769</v>
      </c>
      <c r="AN5" s="98">
        <v>10032</v>
      </c>
      <c r="AO5" s="98">
        <v>9876</v>
      </c>
      <c r="AP5" s="98">
        <v>12609</v>
      </c>
      <c r="AQ5" s="98">
        <v>-26270</v>
      </c>
      <c r="AR5" s="98">
        <v>-5775</v>
      </c>
      <c r="AS5" s="98">
        <v>69051</v>
      </c>
      <c r="AT5" s="98">
        <v>57193</v>
      </c>
      <c r="AU5" s="98">
        <v>37068</v>
      </c>
      <c r="AV5" s="98">
        <v>20307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</row>
    <row r="6" spans="1:92" s="38" customFormat="1" ht="16.5" customHeight="1" x14ac:dyDescent="0.2">
      <c r="A6" s="34"/>
      <c r="B6" s="67" t="s">
        <v>139</v>
      </c>
      <c r="C6" s="67"/>
      <c r="D6" s="99">
        <f t="shared" ref="D6" si="3">SUM(D7:D17)</f>
        <v>4501</v>
      </c>
      <c r="E6" s="99">
        <f t="shared" ref="E6" si="4">SUM(E7:E17)</f>
        <v>8687</v>
      </c>
      <c r="F6" s="99">
        <v>4305</v>
      </c>
      <c r="G6" s="99">
        <f t="shared" ref="G6:AV6" si="5">SUM(G7:G17)</f>
        <v>5392</v>
      </c>
      <c r="H6" s="99">
        <f t="shared" si="5"/>
        <v>3993</v>
      </c>
      <c r="I6" s="99">
        <f t="shared" si="5"/>
        <v>1120</v>
      </c>
      <c r="J6" s="99">
        <f t="shared" si="5"/>
        <v>7285</v>
      </c>
      <c r="K6" s="99">
        <f t="shared" si="5"/>
        <v>5912</v>
      </c>
      <c r="L6" s="99">
        <f t="shared" si="5"/>
        <v>1944</v>
      </c>
      <c r="M6" s="99">
        <f t="shared" si="5"/>
        <v>2439</v>
      </c>
      <c r="N6" s="99">
        <f t="shared" si="5"/>
        <v>5293</v>
      </c>
      <c r="O6" s="99">
        <f t="shared" si="5"/>
        <v>5039</v>
      </c>
      <c r="P6" s="99">
        <f t="shared" si="5"/>
        <v>1994</v>
      </c>
      <c r="Q6" s="99">
        <f t="shared" si="5"/>
        <v>14217</v>
      </c>
      <c r="R6" s="99">
        <f t="shared" si="5"/>
        <v>7841</v>
      </c>
      <c r="S6" s="99">
        <f t="shared" si="5"/>
        <v>3820</v>
      </c>
      <c r="T6" s="99">
        <f t="shared" si="5"/>
        <v>2297</v>
      </c>
      <c r="U6" s="99">
        <f t="shared" si="5"/>
        <v>16467</v>
      </c>
      <c r="V6" s="99">
        <f t="shared" si="5"/>
        <v>10769</v>
      </c>
      <c r="W6" s="99">
        <f t="shared" si="5"/>
        <v>6497</v>
      </c>
      <c r="X6" s="99">
        <f t="shared" si="5"/>
        <v>735</v>
      </c>
      <c r="Y6" s="99">
        <f t="shared" si="5"/>
        <v>9247</v>
      </c>
      <c r="Z6" s="99">
        <f t="shared" si="5"/>
        <v>861</v>
      </c>
      <c r="AA6" s="99">
        <f t="shared" si="5"/>
        <v>2201</v>
      </c>
      <c r="AB6" s="99">
        <f t="shared" si="5"/>
        <v>3061</v>
      </c>
      <c r="AC6" s="99">
        <f t="shared" si="5"/>
        <v>15204</v>
      </c>
      <c r="AD6" s="99">
        <f t="shared" si="5"/>
        <v>3168</v>
      </c>
      <c r="AE6" s="99">
        <f t="shared" si="5"/>
        <v>-1759</v>
      </c>
      <c r="AF6" s="99">
        <f t="shared" si="5"/>
        <v>5432</v>
      </c>
      <c r="AG6" s="99">
        <f t="shared" si="5"/>
        <v>12709</v>
      </c>
      <c r="AH6" s="99">
        <f t="shared" si="5"/>
        <v>2886</v>
      </c>
      <c r="AI6" s="99">
        <f t="shared" si="5"/>
        <v>3178</v>
      </c>
      <c r="AJ6" s="99">
        <f t="shared" si="5"/>
        <v>4419</v>
      </c>
      <c r="AK6" s="99">
        <f t="shared" si="5"/>
        <v>48455</v>
      </c>
      <c r="AL6" s="99">
        <f t="shared" si="5"/>
        <v>35668</v>
      </c>
      <c r="AM6" s="99">
        <f t="shared" si="5"/>
        <v>25434</v>
      </c>
      <c r="AN6" s="99">
        <f t="shared" si="5"/>
        <v>12895</v>
      </c>
      <c r="AO6" s="99">
        <f t="shared" si="5"/>
        <v>6595</v>
      </c>
      <c r="AP6" s="99">
        <f t="shared" si="5"/>
        <v>23582</v>
      </c>
      <c r="AQ6" s="99">
        <f t="shared" si="5"/>
        <v>25171</v>
      </c>
      <c r="AR6" s="99">
        <f t="shared" si="5"/>
        <v>25336</v>
      </c>
      <c r="AS6" s="99">
        <f t="shared" si="5"/>
        <v>81619</v>
      </c>
      <c r="AT6" s="99">
        <f t="shared" si="5"/>
        <v>75928</v>
      </c>
      <c r="AU6" s="99">
        <f t="shared" si="5"/>
        <v>42846</v>
      </c>
      <c r="AV6" s="99">
        <f t="shared" si="5"/>
        <v>18274</v>
      </c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</row>
    <row r="7" spans="1:92" s="30" customFormat="1" ht="19.5" customHeight="1" x14ac:dyDescent="0.2">
      <c r="A7" s="27"/>
      <c r="B7" s="39" t="s">
        <v>140</v>
      </c>
      <c r="C7" s="39"/>
      <c r="D7" s="120">
        <v>-3854</v>
      </c>
      <c r="E7" s="120">
        <v>730</v>
      </c>
      <c r="F7" s="81">
        <v>424</v>
      </c>
      <c r="G7" s="81">
        <v>1557</v>
      </c>
      <c r="H7" s="81">
        <v>3914</v>
      </c>
      <c r="I7" s="83">
        <v>659</v>
      </c>
      <c r="J7" s="83">
        <v>673</v>
      </c>
      <c r="K7" s="83" t="s">
        <v>1</v>
      </c>
      <c r="L7" s="83">
        <v>195</v>
      </c>
      <c r="M7" s="83">
        <v>-790</v>
      </c>
      <c r="N7" s="83">
        <v>0</v>
      </c>
      <c r="O7" s="83">
        <v>-112</v>
      </c>
      <c r="P7" s="83">
        <v>-964</v>
      </c>
      <c r="Q7" s="83" t="s">
        <v>1</v>
      </c>
      <c r="R7" s="83" t="s">
        <v>1</v>
      </c>
      <c r="S7" s="83" t="s">
        <v>1</v>
      </c>
      <c r="T7" s="83" t="s">
        <v>1</v>
      </c>
      <c r="U7" s="83">
        <v>-581</v>
      </c>
      <c r="V7" s="83">
        <v>-581</v>
      </c>
      <c r="W7" s="83" t="s">
        <v>1</v>
      </c>
      <c r="X7" s="83" t="s">
        <v>1</v>
      </c>
      <c r="Y7" s="83">
        <v>-3734</v>
      </c>
      <c r="Z7" s="83">
        <v>23</v>
      </c>
      <c r="AA7" s="83">
        <v>-1419</v>
      </c>
      <c r="AB7" s="83">
        <v>-3316</v>
      </c>
      <c r="AC7" s="83">
        <v>-1472</v>
      </c>
      <c r="AD7" s="83">
        <v>-856</v>
      </c>
      <c r="AE7" s="83">
        <v>-1068</v>
      </c>
      <c r="AF7" s="83">
        <v>453</v>
      </c>
      <c r="AG7" s="83">
        <v>1658</v>
      </c>
      <c r="AH7" s="83">
        <v>634</v>
      </c>
      <c r="AI7" s="83">
        <v>142</v>
      </c>
      <c r="AJ7" s="83">
        <v>698</v>
      </c>
      <c r="AK7" s="83">
        <v>1190</v>
      </c>
      <c r="AL7" s="83">
        <v>570</v>
      </c>
      <c r="AM7" s="83">
        <v>195</v>
      </c>
      <c r="AN7" s="83">
        <v>401</v>
      </c>
      <c r="AO7" s="83">
        <v>563</v>
      </c>
      <c r="AP7" s="83">
        <v>523</v>
      </c>
      <c r="AQ7" s="83">
        <v>414</v>
      </c>
      <c r="AR7" s="83">
        <v>396</v>
      </c>
      <c r="AS7" s="83">
        <v>2783</v>
      </c>
      <c r="AT7" s="83">
        <v>1911</v>
      </c>
      <c r="AU7" s="83">
        <v>1050</v>
      </c>
      <c r="AV7" s="83">
        <v>450</v>
      </c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</row>
    <row r="8" spans="1:92" ht="18" customHeight="1" x14ac:dyDescent="0.2">
      <c r="A8" s="19"/>
      <c r="B8" s="42" t="s">
        <v>141</v>
      </c>
      <c r="C8" s="42"/>
      <c r="D8" s="116">
        <v>213</v>
      </c>
      <c r="E8" s="116">
        <v>154</v>
      </c>
      <c r="F8" s="84">
        <v>149</v>
      </c>
      <c r="G8" s="84">
        <v>204</v>
      </c>
      <c r="H8" s="84">
        <v>306</v>
      </c>
      <c r="I8" s="84">
        <v>-843</v>
      </c>
      <c r="J8" s="84">
        <v>725</v>
      </c>
      <c r="K8" s="84">
        <v>647</v>
      </c>
      <c r="L8" s="84">
        <v>676</v>
      </c>
      <c r="M8" s="84">
        <v>-4</v>
      </c>
      <c r="N8" s="84">
        <v>479</v>
      </c>
      <c r="O8" s="84">
        <v>501</v>
      </c>
      <c r="P8" s="84">
        <v>264</v>
      </c>
      <c r="Q8" s="84">
        <v>1057</v>
      </c>
      <c r="R8" s="84">
        <v>264</v>
      </c>
      <c r="S8" s="84">
        <v>267</v>
      </c>
      <c r="T8" s="84">
        <v>264</v>
      </c>
      <c r="U8" s="84">
        <v>1264</v>
      </c>
      <c r="V8" s="84">
        <v>962</v>
      </c>
      <c r="W8" s="84">
        <v>658</v>
      </c>
      <c r="X8" s="84">
        <v>332</v>
      </c>
      <c r="Y8" s="84">
        <v>1345</v>
      </c>
      <c r="Z8" s="84">
        <v>364</v>
      </c>
      <c r="AA8" s="84">
        <v>249</v>
      </c>
      <c r="AB8" s="84">
        <v>381</v>
      </c>
      <c r="AC8" s="84">
        <v>2285</v>
      </c>
      <c r="AD8" s="84">
        <v>667</v>
      </c>
      <c r="AE8" s="84">
        <v>480</v>
      </c>
      <c r="AF8" s="84">
        <v>517</v>
      </c>
      <c r="AG8" s="84">
        <v>2156</v>
      </c>
      <c r="AH8" s="84">
        <v>517</v>
      </c>
      <c r="AI8" s="84">
        <v>547</v>
      </c>
      <c r="AJ8" s="84">
        <v>552</v>
      </c>
      <c r="AK8" s="84">
        <v>2920</v>
      </c>
      <c r="AL8" s="84">
        <v>2357</v>
      </c>
      <c r="AM8" s="84">
        <v>1766</v>
      </c>
      <c r="AN8" s="84">
        <v>878</v>
      </c>
      <c r="AO8" s="84">
        <v>903</v>
      </c>
      <c r="AP8" s="84">
        <v>827</v>
      </c>
      <c r="AQ8" s="84">
        <v>762</v>
      </c>
      <c r="AR8" s="84">
        <v>799</v>
      </c>
      <c r="AS8" s="84">
        <v>2505</v>
      </c>
      <c r="AT8" s="84">
        <v>1815</v>
      </c>
      <c r="AU8" s="84">
        <v>1174</v>
      </c>
      <c r="AV8" s="84">
        <v>570</v>
      </c>
    </row>
    <row r="9" spans="1:92" s="30" customFormat="1" ht="19.5" customHeight="1" x14ac:dyDescent="0.2">
      <c r="A9" s="27"/>
      <c r="B9" s="39" t="s">
        <v>142</v>
      </c>
      <c r="C9" s="39"/>
      <c r="D9" s="120">
        <v>-332</v>
      </c>
      <c r="E9" s="120">
        <v>1608</v>
      </c>
      <c r="F9" s="81">
        <v>1653</v>
      </c>
      <c r="G9" s="81">
        <v>1392</v>
      </c>
      <c r="H9" s="81">
        <v>-1380</v>
      </c>
      <c r="I9" s="83">
        <v>-2179</v>
      </c>
      <c r="J9" s="83">
        <v>580</v>
      </c>
      <c r="K9" s="83">
        <v>1717</v>
      </c>
      <c r="L9" s="83">
        <v>-1153</v>
      </c>
      <c r="M9" s="83">
        <v>-887</v>
      </c>
      <c r="N9" s="83">
        <v>-1339</v>
      </c>
      <c r="O9" s="83">
        <v>914</v>
      </c>
      <c r="P9" s="83">
        <v>-1469</v>
      </c>
      <c r="Q9" s="83">
        <v>520</v>
      </c>
      <c r="R9" s="83">
        <v>3108</v>
      </c>
      <c r="S9" s="83">
        <v>-5</v>
      </c>
      <c r="T9" s="83">
        <v>-311</v>
      </c>
      <c r="U9" s="83">
        <v>3136</v>
      </c>
      <c r="V9" s="83">
        <v>656</v>
      </c>
      <c r="W9" s="83">
        <v>-119</v>
      </c>
      <c r="X9" s="83">
        <v>-1337</v>
      </c>
      <c r="Y9" s="83">
        <v>-2103</v>
      </c>
      <c r="Z9" s="83">
        <v>-2558</v>
      </c>
      <c r="AA9" s="83">
        <v>282</v>
      </c>
      <c r="AB9" s="83">
        <v>1683</v>
      </c>
      <c r="AC9" s="83">
        <v>2467</v>
      </c>
      <c r="AD9" s="83">
        <v>174</v>
      </c>
      <c r="AE9" s="83">
        <v>1577</v>
      </c>
      <c r="AF9" s="83">
        <v>215</v>
      </c>
      <c r="AG9" s="83">
        <v>-1131</v>
      </c>
      <c r="AH9" s="83">
        <v>238</v>
      </c>
      <c r="AI9" s="83">
        <v>501</v>
      </c>
      <c r="AJ9" s="83">
        <v>-1761</v>
      </c>
      <c r="AK9" s="83">
        <v>-8515</v>
      </c>
      <c r="AL9" s="83">
        <v>-8534</v>
      </c>
      <c r="AM9" s="83">
        <v>-5614</v>
      </c>
      <c r="AN9" s="83">
        <v>-3159</v>
      </c>
      <c r="AO9" s="83" t="s">
        <v>1</v>
      </c>
      <c r="AP9" s="83" t="s">
        <v>1</v>
      </c>
      <c r="AQ9" s="83" t="s">
        <v>1</v>
      </c>
      <c r="AR9" s="83" t="s">
        <v>1</v>
      </c>
      <c r="AS9" s="83" t="s">
        <v>1</v>
      </c>
      <c r="AT9" s="83" t="s">
        <v>1</v>
      </c>
      <c r="AU9" s="83" t="s">
        <v>1</v>
      </c>
      <c r="AV9" s="83" t="s">
        <v>1</v>
      </c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</row>
    <row r="10" spans="1:92" ht="18" customHeight="1" x14ac:dyDescent="0.2">
      <c r="A10" s="19"/>
      <c r="B10" s="42" t="s">
        <v>148</v>
      </c>
      <c r="C10" s="42"/>
      <c r="D10" s="116" t="s">
        <v>1</v>
      </c>
      <c r="E10" s="116" t="s">
        <v>1</v>
      </c>
      <c r="F10" s="84" t="s">
        <v>1</v>
      </c>
      <c r="G10" s="84" t="s">
        <v>1</v>
      </c>
      <c r="H10" s="84" t="s">
        <v>1</v>
      </c>
      <c r="I10" s="84">
        <v>16</v>
      </c>
      <c r="J10" s="84" t="s">
        <v>1</v>
      </c>
      <c r="K10" s="84">
        <v>167</v>
      </c>
      <c r="L10" s="84" t="s">
        <v>1</v>
      </c>
      <c r="M10" s="84" t="s">
        <v>1</v>
      </c>
      <c r="N10" s="84" t="s">
        <v>1</v>
      </c>
      <c r="O10" s="84" t="s">
        <v>1</v>
      </c>
      <c r="P10" s="84" t="s">
        <v>1</v>
      </c>
      <c r="Q10" s="84" t="s">
        <v>1</v>
      </c>
      <c r="R10" s="84" t="s">
        <v>1</v>
      </c>
      <c r="S10" s="84" t="s">
        <v>1</v>
      </c>
      <c r="T10" s="84" t="s">
        <v>1</v>
      </c>
      <c r="U10" s="84" t="s">
        <v>1</v>
      </c>
      <c r="V10" s="84" t="s">
        <v>1</v>
      </c>
      <c r="W10" s="84" t="s">
        <v>1</v>
      </c>
      <c r="X10" s="84" t="s">
        <v>1</v>
      </c>
      <c r="Y10" s="84" t="s">
        <v>1</v>
      </c>
      <c r="Z10" s="84" t="s">
        <v>1</v>
      </c>
      <c r="AA10" s="84" t="s">
        <v>1</v>
      </c>
      <c r="AB10" s="84" t="s">
        <v>1</v>
      </c>
      <c r="AC10" s="84" t="s">
        <v>1</v>
      </c>
      <c r="AD10" s="84" t="s">
        <v>1</v>
      </c>
      <c r="AE10" s="84" t="s">
        <v>1</v>
      </c>
      <c r="AF10" s="84" t="s">
        <v>1</v>
      </c>
      <c r="AG10" s="84" t="s">
        <v>1</v>
      </c>
      <c r="AH10" s="84" t="s">
        <v>1</v>
      </c>
      <c r="AI10" s="84" t="s">
        <v>1</v>
      </c>
      <c r="AJ10" s="84" t="s">
        <v>1</v>
      </c>
      <c r="AK10" s="84" t="s">
        <v>1</v>
      </c>
      <c r="AL10" s="84" t="s">
        <v>1</v>
      </c>
      <c r="AM10" s="84" t="s">
        <v>1</v>
      </c>
      <c r="AN10" s="84" t="s">
        <v>1</v>
      </c>
      <c r="AO10" s="84" t="s">
        <v>1</v>
      </c>
      <c r="AP10" s="84" t="s">
        <v>1</v>
      </c>
      <c r="AQ10" s="84" t="s">
        <v>1</v>
      </c>
      <c r="AR10" s="84" t="s">
        <v>1</v>
      </c>
      <c r="AS10" s="84" t="s">
        <v>1</v>
      </c>
      <c r="AT10" s="84" t="s">
        <v>1</v>
      </c>
      <c r="AU10" s="84" t="s">
        <v>1</v>
      </c>
      <c r="AV10" s="84" t="s">
        <v>1</v>
      </c>
    </row>
    <row r="11" spans="1:92" s="30" customFormat="1" ht="19.5" customHeight="1" x14ac:dyDescent="0.2">
      <c r="A11" s="27"/>
      <c r="B11" s="39" t="s">
        <v>143</v>
      </c>
      <c r="C11" s="39"/>
      <c r="D11" s="120">
        <v>409</v>
      </c>
      <c r="E11" s="120">
        <v>409</v>
      </c>
      <c r="F11" s="81">
        <v>409</v>
      </c>
      <c r="G11" s="81">
        <v>409</v>
      </c>
      <c r="H11" s="81">
        <v>409</v>
      </c>
      <c r="I11" s="83">
        <v>1491</v>
      </c>
      <c r="J11" s="83" t="s">
        <v>1</v>
      </c>
      <c r="K11" s="83" t="s">
        <v>1</v>
      </c>
      <c r="L11" s="83" t="s">
        <v>1</v>
      </c>
      <c r="M11" s="83" t="s">
        <v>1</v>
      </c>
      <c r="N11" s="83" t="s">
        <v>1</v>
      </c>
      <c r="O11" s="83" t="s">
        <v>1</v>
      </c>
      <c r="P11" s="83" t="s">
        <v>1</v>
      </c>
      <c r="Q11" s="83" t="s">
        <v>1</v>
      </c>
      <c r="R11" s="83" t="s">
        <v>1</v>
      </c>
      <c r="S11" s="83" t="s">
        <v>1</v>
      </c>
      <c r="T11" s="83" t="s">
        <v>1</v>
      </c>
      <c r="U11" s="83" t="s">
        <v>1</v>
      </c>
      <c r="V11" s="83" t="s">
        <v>1</v>
      </c>
      <c r="W11" s="83" t="s">
        <v>1</v>
      </c>
      <c r="X11" s="83" t="s">
        <v>1</v>
      </c>
      <c r="Y11" s="83" t="s">
        <v>1</v>
      </c>
      <c r="Z11" s="83" t="s">
        <v>1</v>
      </c>
      <c r="AA11" s="83" t="s">
        <v>1</v>
      </c>
      <c r="AB11" s="83" t="s">
        <v>1</v>
      </c>
      <c r="AC11" s="83" t="s">
        <v>1</v>
      </c>
      <c r="AD11" s="83" t="s">
        <v>1</v>
      </c>
      <c r="AE11" s="83" t="s">
        <v>1</v>
      </c>
      <c r="AF11" s="83" t="s">
        <v>1</v>
      </c>
      <c r="AG11" s="83" t="s">
        <v>1</v>
      </c>
      <c r="AH11" s="83" t="s">
        <v>1</v>
      </c>
      <c r="AI11" s="83" t="s">
        <v>1</v>
      </c>
      <c r="AJ11" s="83" t="s">
        <v>1</v>
      </c>
      <c r="AK11" s="83" t="s">
        <v>1</v>
      </c>
      <c r="AL11" s="83" t="s">
        <v>1</v>
      </c>
      <c r="AM11" s="83" t="s">
        <v>1</v>
      </c>
      <c r="AN11" s="83" t="s">
        <v>1</v>
      </c>
      <c r="AO11" s="83" t="s">
        <v>1</v>
      </c>
      <c r="AP11" s="83" t="s">
        <v>1</v>
      </c>
      <c r="AQ11" s="83" t="s">
        <v>1</v>
      </c>
      <c r="AR11" s="83" t="s">
        <v>1</v>
      </c>
      <c r="AS11" s="83" t="s">
        <v>1</v>
      </c>
      <c r="AT11" s="83" t="s">
        <v>1</v>
      </c>
      <c r="AU11" s="83" t="s">
        <v>1</v>
      </c>
      <c r="AV11" s="83" t="s">
        <v>1</v>
      </c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</row>
    <row r="12" spans="1:92" ht="18" customHeight="1" x14ac:dyDescent="0.2">
      <c r="A12" s="19"/>
      <c r="B12" s="42" t="s">
        <v>149</v>
      </c>
      <c r="C12" s="42"/>
      <c r="D12" s="116" t="s">
        <v>1</v>
      </c>
      <c r="E12" s="116" t="s">
        <v>1</v>
      </c>
      <c r="F12" s="84" t="s">
        <v>1</v>
      </c>
      <c r="G12" s="84" t="s">
        <v>1</v>
      </c>
      <c r="H12" s="84" t="s">
        <v>1</v>
      </c>
      <c r="I12" s="84" t="s">
        <v>1</v>
      </c>
      <c r="J12" s="84" t="s">
        <v>1</v>
      </c>
      <c r="K12" s="84" t="s">
        <v>1</v>
      </c>
      <c r="L12" s="84" t="s">
        <v>1</v>
      </c>
      <c r="M12" s="84" t="s">
        <v>1</v>
      </c>
      <c r="N12" s="84" t="s">
        <v>1</v>
      </c>
      <c r="O12" s="84" t="s">
        <v>1</v>
      </c>
      <c r="P12" s="84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4" t="s">
        <v>1</v>
      </c>
      <c r="V12" s="84" t="s">
        <v>1</v>
      </c>
      <c r="W12" s="84" t="s">
        <v>1</v>
      </c>
      <c r="X12" s="84" t="s">
        <v>1</v>
      </c>
      <c r="Y12" s="84" t="s">
        <v>1</v>
      </c>
      <c r="Z12" s="84" t="s">
        <v>1</v>
      </c>
      <c r="AA12" s="84" t="s">
        <v>1</v>
      </c>
      <c r="AB12" s="84" t="s">
        <v>1</v>
      </c>
      <c r="AC12" s="84" t="s">
        <v>1</v>
      </c>
      <c r="AD12" s="84" t="s">
        <v>1</v>
      </c>
      <c r="AE12" s="84" t="s">
        <v>1</v>
      </c>
      <c r="AF12" s="84" t="s">
        <v>1</v>
      </c>
      <c r="AG12" s="84">
        <v>82</v>
      </c>
      <c r="AH12" s="84" t="s">
        <v>1</v>
      </c>
      <c r="AI12" s="84" t="s">
        <v>1</v>
      </c>
      <c r="AJ12" s="84">
        <v>82</v>
      </c>
      <c r="AK12" s="84">
        <v>493</v>
      </c>
      <c r="AL12" s="84">
        <v>370</v>
      </c>
      <c r="AM12" s="84">
        <v>246</v>
      </c>
      <c r="AN12" s="84">
        <v>123</v>
      </c>
      <c r="AO12" s="84">
        <v>123</v>
      </c>
      <c r="AP12" s="84">
        <v>124</v>
      </c>
      <c r="AQ12" s="84">
        <v>123</v>
      </c>
      <c r="AR12" s="84">
        <v>123</v>
      </c>
      <c r="AS12" s="84">
        <v>940</v>
      </c>
      <c r="AT12" s="84">
        <v>816</v>
      </c>
      <c r="AU12" s="84">
        <v>503</v>
      </c>
      <c r="AV12" s="84">
        <v>272</v>
      </c>
    </row>
    <row r="13" spans="1:92" s="30" customFormat="1" ht="19.5" customHeight="1" x14ac:dyDescent="0.2">
      <c r="A13" s="27"/>
      <c r="B13" s="39" t="s">
        <v>144</v>
      </c>
      <c r="C13" s="39"/>
      <c r="D13" s="120">
        <v>3789</v>
      </c>
      <c r="E13" s="120">
        <v>3785</v>
      </c>
      <c r="F13" s="81">
        <v>3470</v>
      </c>
      <c r="G13" s="81">
        <v>3097</v>
      </c>
      <c r="H13" s="81">
        <v>2921</v>
      </c>
      <c r="I13" s="83">
        <v>2458</v>
      </c>
      <c r="J13" s="83">
        <v>2262</v>
      </c>
      <c r="K13" s="83">
        <v>2047</v>
      </c>
      <c r="L13" s="83">
        <v>1866</v>
      </c>
      <c r="M13" s="83">
        <v>2450</v>
      </c>
      <c r="N13" s="83">
        <v>3558</v>
      </c>
      <c r="O13" s="83">
        <v>1349</v>
      </c>
      <c r="P13" s="83">
        <v>1746</v>
      </c>
      <c r="Q13" s="83">
        <v>6865</v>
      </c>
      <c r="R13" s="83">
        <v>1708</v>
      </c>
      <c r="S13" s="83">
        <v>1788</v>
      </c>
      <c r="T13" s="83">
        <v>1560</v>
      </c>
      <c r="U13" s="83">
        <v>4504</v>
      </c>
      <c r="V13" s="83">
        <v>3232</v>
      </c>
      <c r="W13" s="83">
        <v>2052</v>
      </c>
      <c r="X13" s="83">
        <v>963</v>
      </c>
      <c r="Y13" s="83">
        <v>3354</v>
      </c>
      <c r="Z13" s="83">
        <v>751</v>
      </c>
      <c r="AA13" s="83">
        <v>751</v>
      </c>
      <c r="AB13" s="83">
        <v>1106</v>
      </c>
      <c r="AC13" s="83">
        <v>4264</v>
      </c>
      <c r="AD13" s="83">
        <v>1081</v>
      </c>
      <c r="AE13" s="83">
        <v>1037</v>
      </c>
      <c r="AF13" s="83">
        <v>949</v>
      </c>
      <c r="AG13" s="83">
        <v>3198</v>
      </c>
      <c r="AH13" s="83">
        <v>896</v>
      </c>
      <c r="AI13" s="83">
        <v>630</v>
      </c>
      <c r="AJ13" s="83">
        <v>578</v>
      </c>
      <c r="AK13" s="83">
        <v>1805</v>
      </c>
      <c r="AL13" s="83">
        <v>1266</v>
      </c>
      <c r="AM13" s="83">
        <v>626</v>
      </c>
      <c r="AN13" s="83">
        <v>325</v>
      </c>
      <c r="AO13" s="83">
        <v>945</v>
      </c>
      <c r="AP13" s="83">
        <v>567</v>
      </c>
      <c r="AQ13" s="83">
        <v>1012</v>
      </c>
      <c r="AR13" s="83">
        <v>1175</v>
      </c>
      <c r="AS13" s="83">
        <v>4805</v>
      </c>
      <c r="AT13" s="83">
        <v>3604</v>
      </c>
      <c r="AU13" s="83">
        <v>2551</v>
      </c>
      <c r="AV13" s="83">
        <v>1144</v>
      </c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</row>
    <row r="14" spans="1:92" ht="18" customHeight="1" x14ac:dyDescent="0.2">
      <c r="A14" s="19"/>
      <c r="B14" s="42" t="s">
        <v>145</v>
      </c>
      <c r="C14" s="42"/>
      <c r="D14" s="116">
        <v>4541</v>
      </c>
      <c r="E14" s="116">
        <v>1017</v>
      </c>
      <c r="F14" s="84">
        <v>2763</v>
      </c>
      <c r="G14" s="84">
        <v>2957</v>
      </c>
      <c r="H14" s="84">
        <v>3062</v>
      </c>
      <c r="I14" s="84">
        <v>3575</v>
      </c>
      <c r="J14" s="84">
        <v>3766</v>
      </c>
      <c r="K14" s="84">
        <v>3532</v>
      </c>
      <c r="L14" s="84">
        <v>2165</v>
      </c>
      <c r="M14" s="84">
        <v>3271</v>
      </c>
      <c r="N14" s="84">
        <v>2568</v>
      </c>
      <c r="O14" s="84">
        <v>3239</v>
      </c>
      <c r="P14" s="84">
        <v>2670</v>
      </c>
      <c r="Q14" s="84">
        <v>11761</v>
      </c>
      <c r="R14" s="84">
        <v>2675</v>
      </c>
      <c r="S14" s="84">
        <v>3074</v>
      </c>
      <c r="T14" s="84">
        <v>3779</v>
      </c>
      <c r="U14" s="84">
        <v>11867</v>
      </c>
      <c r="V14" s="84">
        <v>9012</v>
      </c>
      <c r="W14" s="84">
        <v>5883</v>
      </c>
      <c r="X14" s="84">
        <v>2690</v>
      </c>
      <c r="Y14" s="84">
        <v>13158</v>
      </c>
      <c r="Z14" s="84">
        <v>3226</v>
      </c>
      <c r="AA14" s="84">
        <v>3605</v>
      </c>
      <c r="AB14" s="84">
        <v>3337</v>
      </c>
      <c r="AC14" s="84">
        <v>16064</v>
      </c>
      <c r="AD14" s="84">
        <v>2038</v>
      </c>
      <c r="AE14" s="84">
        <v>2101</v>
      </c>
      <c r="AF14" s="84">
        <v>7254</v>
      </c>
      <c r="AG14" s="84">
        <v>39979</v>
      </c>
      <c r="AH14" s="84">
        <v>8747</v>
      </c>
      <c r="AI14" s="84">
        <v>12012</v>
      </c>
      <c r="AJ14" s="84">
        <v>11237</v>
      </c>
      <c r="AK14" s="84">
        <v>61992</v>
      </c>
      <c r="AL14" s="84">
        <v>45397</v>
      </c>
      <c r="AM14" s="84">
        <v>31745</v>
      </c>
      <c r="AN14" s="84">
        <v>16656</v>
      </c>
      <c r="AO14" s="84">
        <v>5156</v>
      </c>
      <c r="AP14" s="84">
        <v>21621</v>
      </c>
      <c r="AQ14" s="84">
        <v>21635</v>
      </c>
      <c r="AR14" s="84">
        <v>20180</v>
      </c>
      <c r="AS14" s="84">
        <v>58192</v>
      </c>
      <c r="AT14" s="84">
        <v>40560</v>
      </c>
      <c r="AU14" s="84">
        <v>23662</v>
      </c>
      <c r="AV14" s="84">
        <v>9373</v>
      </c>
    </row>
    <row r="15" spans="1:92" s="30" customFormat="1" ht="19.5" customHeight="1" x14ac:dyDescent="0.2">
      <c r="A15" s="27"/>
      <c r="B15" s="39" t="s">
        <v>146</v>
      </c>
      <c r="C15" s="39"/>
      <c r="D15" s="120">
        <v>-485</v>
      </c>
      <c r="E15" s="120">
        <v>447</v>
      </c>
      <c r="F15" s="81">
        <v>284</v>
      </c>
      <c r="G15" s="81">
        <v>982</v>
      </c>
      <c r="H15" s="81">
        <v>-1086</v>
      </c>
      <c r="I15" s="83">
        <v>34</v>
      </c>
      <c r="J15" s="83">
        <v>1378</v>
      </c>
      <c r="K15" s="83">
        <v>-25</v>
      </c>
      <c r="L15" s="83">
        <v>97</v>
      </c>
      <c r="M15" s="83">
        <v>-576</v>
      </c>
      <c r="N15" s="83">
        <v>998</v>
      </c>
      <c r="O15" s="83">
        <v>860</v>
      </c>
      <c r="P15" s="83">
        <v>646</v>
      </c>
      <c r="Q15" s="83">
        <v>639</v>
      </c>
      <c r="R15" s="83">
        <v>600</v>
      </c>
      <c r="S15" s="83">
        <v>-355</v>
      </c>
      <c r="T15" s="83">
        <v>36</v>
      </c>
      <c r="U15" s="83">
        <v>-2610</v>
      </c>
      <c r="V15" s="83">
        <v>-2043</v>
      </c>
      <c r="W15" s="83">
        <v>-1813</v>
      </c>
      <c r="X15" s="83">
        <v>-1712</v>
      </c>
      <c r="Y15" s="83">
        <v>-867</v>
      </c>
      <c r="Z15" s="83">
        <v>503</v>
      </c>
      <c r="AA15" s="83">
        <v>-157</v>
      </c>
      <c r="AB15" s="83">
        <v>-645</v>
      </c>
      <c r="AC15" s="83">
        <v>-3728</v>
      </c>
      <c r="AD15" s="83">
        <v>-894</v>
      </c>
      <c r="AE15" s="83">
        <v>-1266</v>
      </c>
      <c r="AF15" s="83">
        <v>-1153</v>
      </c>
      <c r="AG15" s="83">
        <v>-13119</v>
      </c>
      <c r="AH15" s="83">
        <v>-3737</v>
      </c>
      <c r="AI15" s="83">
        <v>-4008</v>
      </c>
      <c r="AJ15" s="83">
        <v>-3261</v>
      </c>
      <c r="AK15" s="83">
        <v>-10461</v>
      </c>
      <c r="AL15" s="83">
        <v>-4806</v>
      </c>
      <c r="AM15" s="83">
        <v>-3862</v>
      </c>
      <c r="AN15" s="83">
        <v>-2561</v>
      </c>
      <c r="AO15" s="83">
        <v>-1744</v>
      </c>
      <c r="AP15" s="83" t="s">
        <v>1</v>
      </c>
      <c r="AQ15" s="83">
        <v>331</v>
      </c>
      <c r="AR15" s="83">
        <v>2425</v>
      </c>
      <c r="AS15" s="83">
        <v>12642</v>
      </c>
      <c r="AT15" s="83">
        <v>22089</v>
      </c>
      <c r="AU15" s="83">
        <v>13328</v>
      </c>
      <c r="AV15" s="83">
        <v>6442</v>
      </c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</row>
    <row r="16" spans="1:92" ht="18" customHeight="1" x14ac:dyDescent="0.2">
      <c r="A16" s="19"/>
      <c r="B16" s="42" t="s">
        <v>82</v>
      </c>
      <c r="C16" s="42"/>
      <c r="D16" s="116">
        <v>1520</v>
      </c>
      <c r="E16" s="116">
        <v>1549</v>
      </c>
      <c r="F16" s="84">
        <v>1356</v>
      </c>
      <c r="G16" s="84">
        <v>1069</v>
      </c>
      <c r="H16" s="84">
        <v>1318</v>
      </c>
      <c r="I16" s="84">
        <v>2128</v>
      </c>
      <c r="J16" s="84">
        <v>807</v>
      </c>
      <c r="K16" s="84">
        <v>309</v>
      </c>
      <c r="L16" s="84" t="s">
        <v>1</v>
      </c>
      <c r="M16" s="84">
        <v>-279</v>
      </c>
      <c r="N16" s="84">
        <v>-33</v>
      </c>
      <c r="O16" s="84">
        <v>3</v>
      </c>
      <c r="P16" s="84">
        <v>7</v>
      </c>
      <c r="Q16" s="84">
        <v>-2575</v>
      </c>
      <c r="R16" s="84">
        <v>2</v>
      </c>
      <c r="S16" s="84">
        <v>5</v>
      </c>
      <c r="T16" s="84">
        <v>-1899</v>
      </c>
      <c r="U16" s="84">
        <v>-156</v>
      </c>
      <c r="V16" s="84">
        <v>8</v>
      </c>
      <c r="W16" s="84">
        <v>5</v>
      </c>
      <c r="X16" s="84">
        <v>3</v>
      </c>
      <c r="Y16" s="84">
        <v>372</v>
      </c>
      <c r="Z16" s="84">
        <v>3</v>
      </c>
      <c r="AA16" s="84">
        <v>3</v>
      </c>
      <c r="AB16" s="84">
        <v>143</v>
      </c>
      <c r="AC16" s="84">
        <v>-85</v>
      </c>
      <c r="AD16" s="84">
        <v>36</v>
      </c>
      <c r="AE16" s="84">
        <v>-118</v>
      </c>
      <c r="AF16" s="84">
        <v>-65</v>
      </c>
      <c r="AG16" s="84">
        <v>-1263</v>
      </c>
      <c r="AH16" s="84">
        <v>-57</v>
      </c>
      <c r="AI16" s="84">
        <v>-1400</v>
      </c>
      <c r="AJ16" s="84">
        <v>158</v>
      </c>
      <c r="AK16" s="84">
        <v>-969</v>
      </c>
      <c r="AL16" s="84">
        <v>-952</v>
      </c>
      <c r="AM16" s="84">
        <v>332</v>
      </c>
      <c r="AN16" s="84">
        <v>232</v>
      </c>
      <c r="AO16" s="84">
        <v>649</v>
      </c>
      <c r="AP16" s="84">
        <v>317</v>
      </c>
      <c r="AQ16" s="84">
        <v>863</v>
      </c>
      <c r="AR16" s="84">
        <v>238</v>
      </c>
      <c r="AS16" s="84">
        <v>-248</v>
      </c>
      <c r="AT16" s="84">
        <v>791</v>
      </c>
      <c r="AU16" s="84">
        <v>402</v>
      </c>
      <c r="AV16" s="84">
        <v>11</v>
      </c>
    </row>
    <row r="17" spans="1:16378" s="30" customFormat="1" ht="19.5" customHeight="1" x14ac:dyDescent="0.2">
      <c r="A17" s="27"/>
      <c r="B17" s="39" t="s">
        <v>147</v>
      </c>
      <c r="C17" s="39"/>
      <c r="D17" s="120">
        <f>-2884+1584</f>
        <v>-1300</v>
      </c>
      <c r="E17" s="120">
        <f>-8295+7283</f>
        <v>-1012</v>
      </c>
      <c r="F17" s="81">
        <v>-6203</v>
      </c>
      <c r="G17" s="81">
        <v>-6275</v>
      </c>
      <c r="H17" s="81">
        <v>-5471</v>
      </c>
      <c r="I17" s="83">
        <v>-6219</v>
      </c>
      <c r="J17" s="83">
        <v>-2906</v>
      </c>
      <c r="K17" s="83">
        <v>-2482</v>
      </c>
      <c r="L17" s="83">
        <v>-1902</v>
      </c>
      <c r="M17" s="83">
        <v>-746</v>
      </c>
      <c r="N17" s="83">
        <v>-938</v>
      </c>
      <c r="O17" s="83">
        <v>-1715</v>
      </c>
      <c r="P17" s="83">
        <v>-906</v>
      </c>
      <c r="Q17" s="83">
        <v>-4050</v>
      </c>
      <c r="R17" s="83">
        <v>-516</v>
      </c>
      <c r="S17" s="83">
        <v>-954</v>
      </c>
      <c r="T17" s="83">
        <v>-1132</v>
      </c>
      <c r="U17" s="83">
        <v>-957</v>
      </c>
      <c r="V17" s="83">
        <v>-477</v>
      </c>
      <c r="W17" s="83">
        <v>-169</v>
      </c>
      <c r="X17" s="83">
        <v>-204</v>
      </c>
      <c r="Y17" s="83">
        <v>-2278</v>
      </c>
      <c r="Z17" s="83">
        <v>-1451</v>
      </c>
      <c r="AA17" s="83">
        <v>-1113</v>
      </c>
      <c r="AB17" s="83">
        <v>372</v>
      </c>
      <c r="AC17" s="83">
        <v>-4591</v>
      </c>
      <c r="AD17" s="83">
        <v>922</v>
      </c>
      <c r="AE17" s="83">
        <v>-4502</v>
      </c>
      <c r="AF17" s="83">
        <v>-2738</v>
      </c>
      <c r="AG17" s="83">
        <v>-18851</v>
      </c>
      <c r="AH17" s="83">
        <v>-4352</v>
      </c>
      <c r="AI17" s="83">
        <v>-5246</v>
      </c>
      <c r="AJ17" s="83">
        <v>-3864</v>
      </c>
      <c r="AK17" s="83" t="s">
        <v>1</v>
      </c>
      <c r="AL17" s="83" t="s">
        <v>1</v>
      </c>
      <c r="AM17" s="83" t="s">
        <v>1</v>
      </c>
      <c r="AN17" s="83" t="s">
        <v>1</v>
      </c>
      <c r="AO17" s="83" t="s">
        <v>1</v>
      </c>
      <c r="AP17" s="83">
        <v>-397</v>
      </c>
      <c r="AQ17" s="83">
        <v>31</v>
      </c>
      <c r="AR17" s="83" t="s">
        <v>1</v>
      </c>
      <c r="AS17" s="83" t="s">
        <v>1</v>
      </c>
      <c r="AT17" s="83">
        <v>4342</v>
      </c>
      <c r="AU17" s="83">
        <v>176</v>
      </c>
      <c r="AV17" s="83">
        <v>12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</row>
    <row r="18" spans="1:16378" s="38" customFormat="1" ht="16.5" customHeight="1" x14ac:dyDescent="0.2">
      <c r="A18" s="34"/>
      <c r="B18" s="68" t="s">
        <v>150</v>
      </c>
      <c r="C18" s="68"/>
      <c r="D18" s="100">
        <f t="shared" ref="D18" si="6">SUM(D19:D24)</f>
        <v>29890</v>
      </c>
      <c r="E18" s="100">
        <f t="shared" ref="E18" si="7">SUM(E19:E24)</f>
        <v>-4564</v>
      </c>
      <c r="F18" s="100">
        <v>8540</v>
      </c>
      <c r="G18" s="100">
        <f t="shared" ref="G18:AV18" si="8">SUM(G19:G24)</f>
        <v>-55042</v>
      </c>
      <c r="H18" s="100">
        <f t="shared" si="8"/>
        <v>30823</v>
      </c>
      <c r="I18" s="100">
        <f t="shared" si="8"/>
        <v>40790</v>
      </c>
      <c r="J18" s="100">
        <f t="shared" si="8"/>
        <v>-24249</v>
      </c>
      <c r="K18" s="100">
        <f t="shared" si="8"/>
        <v>-108221</v>
      </c>
      <c r="L18" s="100">
        <f t="shared" si="8"/>
        <v>-10043</v>
      </c>
      <c r="M18" s="100">
        <f t="shared" si="8"/>
        <v>5890</v>
      </c>
      <c r="N18" s="100">
        <f t="shared" si="8"/>
        <v>-7343</v>
      </c>
      <c r="O18" s="100">
        <f t="shared" si="8"/>
        <v>434</v>
      </c>
      <c r="P18" s="100">
        <f t="shared" si="8"/>
        <v>-27015</v>
      </c>
      <c r="Q18" s="100">
        <f t="shared" si="8"/>
        <v>17657</v>
      </c>
      <c r="R18" s="100">
        <f t="shared" si="8"/>
        <v>3419</v>
      </c>
      <c r="S18" s="100">
        <f t="shared" si="8"/>
        <v>32159</v>
      </c>
      <c r="T18" s="100">
        <f t="shared" si="8"/>
        <v>32875</v>
      </c>
      <c r="U18" s="100">
        <f t="shared" si="8"/>
        <v>151912</v>
      </c>
      <c r="V18" s="100">
        <f t="shared" si="8"/>
        <v>117557</v>
      </c>
      <c r="W18" s="100">
        <f t="shared" si="8"/>
        <v>99745</v>
      </c>
      <c r="X18" s="100">
        <f t="shared" si="8"/>
        <v>46137</v>
      </c>
      <c r="Y18" s="100">
        <f t="shared" si="8"/>
        <v>69373</v>
      </c>
      <c r="Z18" s="100">
        <f t="shared" si="8"/>
        <v>7431</v>
      </c>
      <c r="AA18" s="100">
        <f t="shared" si="8"/>
        <v>16224</v>
      </c>
      <c r="AB18" s="100">
        <f t="shared" si="8"/>
        <v>43714</v>
      </c>
      <c r="AC18" s="100">
        <f t="shared" si="8"/>
        <v>209237</v>
      </c>
      <c r="AD18" s="100">
        <f t="shared" si="8"/>
        <v>36040</v>
      </c>
      <c r="AE18" s="100">
        <f t="shared" si="8"/>
        <v>70773</v>
      </c>
      <c r="AF18" s="100">
        <f t="shared" si="8"/>
        <v>68124</v>
      </c>
      <c r="AG18" s="100">
        <f t="shared" si="8"/>
        <v>418779</v>
      </c>
      <c r="AH18" s="100">
        <f t="shared" si="8"/>
        <v>132901</v>
      </c>
      <c r="AI18" s="100">
        <f t="shared" si="8"/>
        <v>127395</v>
      </c>
      <c r="AJ18" s="100">
        <f t="shared" si="8"/>
        <v>58250</v>
      </c>
      <c r="AK18" s="100">
        <f t="shared" si="8"/>
        <v>183579</v>
      </c>
      <c r="AL18" s="100">
        <f t="shared" si="8"/>
        <v>131176</v>
      </c>
      <c r="AM18" s="100">
        <f t="shared" si="8"/>
        <v>64701</v>
      </c>
      <c r="AN18" s="100">
        <f t="shared" si="8"/>
        <v>55644</v>
      </c>
      <c r="AO18" s="100">
        <f t="shared" si="8"/>
        <v>35175</v>
      </c>
      <c r="AP18" s="100">
        <f t="shared" si="8"/>
        <v>53475</v>
      </c>
      <c r="AQ18" s="100">
        <f t="shared" si="8"/>
        <v>19212</v>
      </c>
      <c r="AR18" s="100">
        <f t="shared" si="8"/>
        <v>-70684</v>
      </c>
      <c r="AS18" s="100">
        <f t="shared" si="8"/>
        <v>-587358</v>
      </c>
      <c r="AT18" s="100">
        <f t="shared" si="8"/>
        <v>-340977</v>
      </c>
      <c r="AU18" s="100">
        <f t="shared" si="8"/>
        <v>-201466</v>
      </c>
      <c r="AV18" s="100">
        <f t="shared" si="8"/>
        <v>-95630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</row>
    <row r="19" spans="1:16378" s="30" customFormat="1" ht="19.5" customHeight="1" x14ac:dyDescent="0.2">
      <c r="A19" s="27"/>
      <c r="B19" s="39" t="s">
        <v>110</v>
      </c>
      <c r="C19" s="39"/>
      <c r="D19" s="120" t="s">
        <v>1</v>
      </c>
      <c r="E19" s="120" t="s">
        <v>1</v>
      </c>
      <c r="F19" s="81" t="s">
        <v>1</v>
      </c>
      <c r="G19" s="81" t="s">
        <v>1</v>
      </c>
      <c r="H19" s="81" t="s">
        <v>1</v>
      </c>
      <c r="I19" s="83" t="s">
        <v>1</v>
      </c>
      <c r="J19" s="83" t="s">
        <v>1</v>
      </c>
      <c r="K19" s="83" t="s">
        <v>1</v>
      </c>
      <c r="L19" s="83" t="s">
        <v>1</v>
      </c>
      <c r="M19" s="83" t="s">
        <v>1</v>
      </c>
      <c r="N19" s="83" t="s">
        <v>1</v>
      </c>
      <c r="O19" s="83" t="s">
        <v>1</v>
      </c>
      <c r="P19" s="83" t="s">
        <v>1</v>
      </c>
      <c r="Q19" s="83" t="s">
        <v>1</v>
      </c>
      <c r="R19" s="83" t="s">
        <v>1</v>
      </c>
      <c r="S19" s="83" t="s">
        <v>1</v>
      </c>
      <c r="T19" s="83" t="s">
        <v>1</v>
      </c>
      <c r="U19" s="83" t="s">
        <v>1</v>
      </c>
      <c r="V19" s="83" t="s">
        <v>1</v>
      </c>
      <c r="W19" s="83" t="s">
        <v>1</v>
      </c>
      <c r="X19" s="83" t="s">
        <v>1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83">
        <v>25276</v>
      </c>
      <c r="AL19" s="83">
        <v>25044</v>
      </c>
      <c r="AM19" s="83">
        <v>-6451</v>
      </c>
      <c r="AN19" s="83">
        <v>6246</v>
      </c>
      <c r="AO19" s="83">
        <v>7144</v>
      </c>
      <c r="AP19" s="83">
        <v>37093</v>
      </c>
      <c r="AQ19" s="83">
        <v>21107</v>
      </c>
      <c r="AR19" s="83">
        <v>10094</v>
      </c>
      <c r="AS19" s="83">
        <v>-185206</v>
      </c>
      <c r="AT19" s="83">
        <v>1699</v>
      </c>
      <c r="AU19" s="83">
        <v>1542</v>
      </c>
      <c r="AV19" s="83">
        <v>904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</row>
    <row r="20" spans="1:16378" ht="18" customHeight="1" x14ac:dyDescent="0.2">
      <c r="A20" s="19"/>
      <c r="B20" s="42" t="s">
        <v>101</v>
      </c>
      <c r="C20" s="42"/>
      <c r="D20" s="116">
        <v>15959</v>
      </c>
      <c r="E20" s="116">
        <v>-30597</v>
      </c>
      <c r="F20" s="84">
        <v>-18123</v>
      </c>
      <c r="G20" s="84">
        <v>-53420</v>
      </c>
      <c r="H20" s="84">
        <v>-4629</v>
      </c>
      <c r="I20" s="84">
        <v>54</v>
      </c>
      <c r="J20" s="84">
        <v>-69508</v>
      </c>
      <c r="K20" s="84">
        <v>-9991</v>
      </c>
      <c r="L20" s="84">
        <v>-21566</v>
      </c>
      <c r="M20" s="84">
        <v>16307</v>
      </c>
      <c r="N20" s="84">
        <v>-12477</v>
      </c>
      <c r="O20" s="84">
        <v>-28785</v>
      </c>
      <c r="P20" s="84">
        <v>-34439</v>
      </c>
      <c r="Q20" s="84">
        <v>-40951</v>
      </c>
      <c r="R20" s="84">
        <v>-29967</v>
      </c>
      <c r="S20" s="84">
        <v>8211</v>
      </c>
      <c r="T20" s="84">
        <v>-3724</v>
      </c>
      <c r="U20" s="84">
        <v>112997</v>
      </c>
      <c r="V20" s="84">
        <v>84597</v>
      </c>
      <c r="W20" s="84">
        <v>75473</v>
      </c>
      <c r="X20" s="84">
        <v>32382</v>
      </c>
      <c r="Y20" s="84">
        <v>2422</v>
      </c>
      <c r="Z20" s="84">
        <v>-38847</v>
      </c>
      <c r="AA20" s="84">
        <v>13434</v>
      </c>
      <c r="AB20" s="84">
        <v>20868</v>
      </c>
      <c r="AC20" s="84">
        <v>171189</v>
      </c>
      <c r="AD20" s="84">
        <v>32793</v>
      </c>
      <c r="AE20" s="84">
        <v>57692</v>
      </c>
      <c r="AF20" s="84">
        <v>49447</v>
      </c>
      <c r="AG20" s="84">
        <v>346564</v>
      </c>
      <c r="AH20" s="84">
        <v>131417</v>
      </c>
      <c r="AI20" s="84">
        <v>104901</v>
      </c>
      <c r="AJ20" s="84">
        <v>17051</v>
      </c>
      <c r="AK20" s="84">
        <v>117022</v>
      </c>
      <c r="AL20" s="84">
        <v>84671</v>
      </c>
      <c r="AM20" s="84">
        <v>54347</v>
      </c>
      <c r="AN20" s="84">
        <v>40708</v>
      </c>
      <c r="AO20" s="84">
        <v>45646</v>
      </c>
      <c r="AP20" s="84">
        <v>23360</v>
      </c>
      <c r="AQ20" s="84">
        <v>-6703</v>
      </c>
      <c r="AR20" s="84">
        <v>-72002</v>
      </c>
      <c r="AS20" s="84">
        <v>-375082</v>
      </c>
      <c r="AT20" s="84">
        <v>-334307</v>
      </c>
      <c r="AU20" s="84">
        <v>-208240</v>
      </c>
      <c r="AV20" s="84">
        <v>-102574</v>
      </c>
    </row>
    <row r="21" spans="1:16378" s="30" customFormat="1" ht="19.5" customHeight="1" x14ac:dyDescent="0.2">
      <c r="A21" s="27"/>
      <c r="B21" s="39" t="s">
        <v>102</v>
      </c>
      <c r="C21" s="39"/>
      <c r="D21" s="120">
        <v>12436</v>
      </c>
      <c r="E21" s="120">
        <v>24361</v>
      </c>
      <c r="F21" s="81">
        <v>30336</v>
      </c>
      <c r="G21" s="81">
        <v>-2490</v>
      </c>
      <c r="H21" s="81">
        <v>34553</v>
      </c>
      <c r="I21" s="83">
        <v>33901</v>
      </c>
      <c r="J21" s="83">
        <v>33247</v>
      </c>
      <c r="K21" s="83">
        <v>-93670</v>
      </c>
      <c r="L21" s="83">
        <v>8623</v>
      </c>
      <c r="M21" s="83">
        <v>-10608</v>
      </c>
      <c r="N21" s="83">
        <v>5108</v>
      </c>
      <c r="O21" s="83">
        <v>26712</v>
      </c>
      <c r="P21" s="83">
        <v>8590</v>
      </c>
      <c r="Q21" s="83">
        <v>47319</v>
      </c>
      <c r="R21" s="83">
        <v>26820</v>
      </c>
      <c r="S21" s="83">
        <v>23342</v>
      </c>
      <c r="T21" s="83">
        <v>32916</v>
      </c>
      <c r="U21" s="83">
        <v>78993</v>
      </c>
      <c r="V21" s="83">
        <v>70241</v>
      </c>
      <c r="W21" s="83">
        <v>41290</v>
      </c>
      <c r="X21" s="83">
        <v>19076</v>
      </c>
      <c r="Y21" s="83">
        <v>61211</v>
      </c>
      <c r="Z21" s="83">
        <v>34614</v>
      </c>
      <c r="AA21" s="83">
        <v>10305</v>
      </c>
      <c r="AB21" s="83">
        <v>12692</v>
      </c>
      <c r="AC21" s="83">
        <v>16413</v>
      </c>
      <c r="AD21" s="83">
        <v>94</v>
      </c>
      <c r="AE21" s="83">
        <v>-116</v>
      </c>
      <c r="AF21" s="83">
        <v>9735</v>
      </c>
      <c r="AG21" s="83">
        <v>86454</v>
      </c>
      <c r="AH21" s="83">
        <v>4145</v>
      </c>
      <c r="AI21" s="83">
        <v>29398</v>
      </c>
      <c r="AJ21" s="83">
        <v>39771</v>
      </c>
      <c r="AK21" s="83">
        <v>25431</v>
      </c>
      <c r="AL21" s="83">
        <v>5889</v>
      </c>
      <c r="AM21" s="83">
        <v>2449</v>
      </c>
      <c r="AN21" s="83">
        <v>210</v>
      </c>
      <c r="AO21" s="83">
        <v>-6200</v>
      </c>
      <c r="AP21" s="83">
        <v>-20822</v>
      </c>
      <c r="AQ21" s="83">
        <v>26657</v>
      </c>
      <c r="AR21" s="83">
        <v>-7803</v>
      </c>
      <c r="AS21" s="83">
        <v>-25341</v>
      </c>
      <c r="AT21" s="83">
        <v>-13231</v>
      </c>
      <c r="AU21" s="83">
        <v>785</v>
      </c>
      <c r="AV21" s="83">
        <v>10136</v>
      </c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</row>
    <row r="22" spans="1:16378" ht="18" customHeight="1" x14ac:dyDescent="0.2">
      <c r="A22" s="19"/>
      <c r="B22" s="42" t="s">
        <v>104</v>
      </c>
      <c r="C22" s="42"/>
      <c r="D22" s="116">
        <v>-153</v>
      </c>
      <c r="E22" s="116">
        <v>114</v>
      </c>
      <c r="F22" s="84">
        <v>-347</v>
      </c>
      <c r="G22" s="84">
        <v>-233</v>
      </c>
      <c r="H22" s="84">
        <v>-652</v>
      </c>
      <c r="I22" s="84">
        <v>-123</v>
      </c>
      <c r="J22" s="84">
        <v>-16</v>
      </c>
      <c r="K22" s="84">
        <v>-31</v>
      </c>
      <c r="L22" s="84">
        <v>-32</v>
      </c>
      <c r="M22" s="84">
        <v>-66</v>
      </c>
      <c r="N22" s="84">
        <v>-48</v>
      </c>
      <c r="O22" s="84">
        <v>-59</v>
      </c>
      <c r="P22" s="84">
        <v>-151</v>
      </c>
      <c r="Q22" s="84">
        <v>3511</v>
      </c>
      <c r="R22" s="84">
        <v>126</v>
      </c>
      <c r="S22" s="84">
        <v>1082</v>
      </c>
      <c r="T22" s="84">
        <v>297</v>
      </c>
      <c r="U22" s="84">
        <v>392</v>
      </c>
      <c r="V22" s="84">
        <v>334</v>
      </c>
      <c r="W22" s="84">
        <v>574</v>
      </c>
      <c r="X22" s="84">
        <v>566</v>
      </c>
      <c r="Y22" s="84">
        <v>801</v>
      </c>
      <c r="Z22" s="84">
        <v>135</v>
      </c>
      <c r="AA22" s="84">
        <v>154</v>
      </c>
      <c r="AB22" s="84">
        <v>353</v>
      </c>
      <c r="AC22" s="84">
        <v>2605</v>
      </c>
      <c r="AD22" s="84">
        <v>397</v>
      </c>
      <c r="AE22" s="84">
        <v>1369</v>
      </c>
      <c r="AF22" s="84">
        <v>576</v>
      </c>
      <c r="AG22" s="84">
        <v>916</v>
      </c>
      <c r="AH22" s="84">
        <v>-121</v>
      </c>
      <c r="AI22" s="84">
        <v>469</v>
      </c>
      <c r="AJ22" s="84">
        <v>696</v>
      </c>
      <c r="AK22" s="84">
        <v>822</v>
      </c>
      <c r="AL22" s="84">
        <v>518</v>
      </c>
      <c r="AM22" s="84">
        <v>623</v>
      </c>
      <c r="AN22" s="84">
        <v>445</v>
      </c>
      <c r="AO22" s="84">
        <v>464</v>
      </c>
      <c r="AP22" s="84">
        <v>236</v>
      </c>
      <c r="AQ22" s="84">
        <v>-209</v>
      </c>
      <c r="AR22" s="84">
        <v>-1441</v>
      </c>
      <c r="AS22" s="84">
        <v>-619</v>
      </c>
      <c r="AT22" s="84">
        <v>1017</v>
      </c>
      <c r="AU22" s="84">
        <v>534</v>
      </c>
      <c r="AV22" s="84">
        <v>533</v>
      </c>
    </row>
    <row r="23" spans="1:16378" s="30" customFormat="1" ht="19.5" customHeight="1" x14ac:dyDescent="0.2">
      <c r="A23" s="27"/>
      <c r="B23" s="39" t="s">
        <v>109</v>
      </c>
      <c r="C23" s="39"/>
      <c r="D23" s="120">
        <v>-1735</v>
      </c>
      <c r="E23" s="120">
        <v>-2138</v>
      </c>
      <c r="F23" s="81">
        <v>-6609</v>
      </c>
      <c r="G23" s="81">
        <v>1422</v>
      </c>
      <c r="H23" s="81">
        <v>-48</v>
      </c>
      <c r="I23" s="83">
        <v>-7513</v>
      </c>
      <c r="J23" s="83">
        <v>10364</v>
      </c>
      <c r="K23" s="83">
        <v>-4698</v>
      </c>
      <c r="L23" s="83">
        <v>3060</v>
      </c>
      <c r="M23" s="83">
        <v>-264</v>
      </c>
      <c r="N23" s="83">
        <v>-2023</v>
      </c>
      <c r="O23" s="83">
        <v>2442</v>
      </c>
      <c r="P23" s="83">
        <v>1540</v>
      </c>
      <c r="Q23" s="83">
        <v>7069</v>
      </c>
      <c r="R23" s="83">
        <v>3821</v>
      </c>
      <c r="S23" s="83">
        <v>342</v>
      </c>
      <c r="T23" s="83">
        <v>4592</v>
      </c>
      <c r="U23" s="83">
        <v>-15271</v>
      </c>
      <c r="V23" s="83">
        <v>-15432</v>
      </c>
      <c r="W23" s="83">
        <v>4922</v>
      </c>
      <c r="X23" s="83">
        <v>-3965</v>
      </c>
      <c r="Y23" s="83">
        <v>-2790</v>
      </c>
      <c r="Z23" s="83">
        <v>10205</v>
      </c>
      <c r="AA23" s="83">
        <v>-6142</v>
      </c>
      <c r="AB23" s="83">
        <v>1584</v>
      </c>
      <c r="AC23" s="83">
        <v>18017</v>
      </c>
      <c r="AD23" s="83">
        <v>3556</v>
      </c>
      <c r="AE23" s="83">
        <v>11930</v>
      </c>
      <c r="AF23" s="83">
        <v>6714</v>
      </c>
      <c r="AG23" s="83">
        <v>-23677</v>
      </c>
      <c r="AH23" s="83">
        <v>3286</v>
      </c>
      <c r="AI23" s="83">
        <v>-12995</v>
      </c>
      <c r="AJ23" s="83">
        <v>-7158</v>
      </c>
      <c r="AK23" s="83">
        <v>3049</v>
      </c>
      <c r="AL23" s="83">
        <v>7668</v>
      </c>
      <c r="AM23" s="83">
        <v>3583</v>
      </c>
      <c r="AN23" s="83">
        <v>4441</v>
      </c>
      <c r="AO23" s="83">
        <v>-857</v>
      </c>
      <c r="AP23" s="83">
        <v>2792</v>
      </c>
      <c r="AQ23" s="83">
        <v>-577</v>
      </c>
      <c r="AR23" s="83">
        <v>1180</v>
      </c>
      <c r="AS23" s="83">
        <v>1118</v>
      </c>
      <c r="AT23" s="83">
        <v>6780</v>
      </c>
      <c r="AU23" s="83">
        <v>3796</v>
      </c>
      <c r="AV23" s="83">
        <v>-4430</v>
      </c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</row>
    <row r="24" spans="1:16378" ht="18" customHeight="1" x14ac:dyDescent="0.2">
      <c r="A24" s="19"/>
      <c r="B24" s="42" t="s">
        <v>103</v>
      </c>
      <c r="C24" s="42"/>
      <c r="D24" s="116">
        <v>3383</v>
      </c>
      <c r="E24" s="116">
        <v>3696</v>
      </c>
      <c r="F24" s="84">
        <v>3283</v>
      </c>
      <c r="G24" s="84">
        <v>-321</v>
      </c>
      <c r="H24" s="84">
        <v>1599</v>
      </c>
      <c r="I24" s="84">
        <v>14471</v>
      </c>
      <c r="J24" s="84">
        <v>1664</v>
      </c>
      <c r="K24" s="84">
        <v>169</v>
      </c>
      <c r="L24" s="84">
        <v>-128</v>
      </c>
      <c r="M24" s="84">
        <v>521</v>
      </c>
      <c r="N24" s="84">
        <v>2097</v>
      </c>
      <c r="O24" s="84">
        <v>124</v>
      </c>
      <c r="P24" s="84">
        <v>-2555</v>
      </c>
      <c r="Q24" s="84">
        <v>709</v>
      </c>
      <c r="R24" s="84">
        <v>2619</v>
      </c>
      <c r="S24" s="84">
        <v>-818</v>
      </c>
      <c r="T24" s="84">
        <v>-1206</v>
      </c>
      <c r="U24" s="84">
        <v>-25199</v>
      </c>
      <c r="V24" s="84">
        <v>-22183</v>
      </c>
      <c r="W24" s="84">
        <v>-22514</v>
      </c>
      <c r="X24" s="84">
        <v>-1922</v>
      </c>
      <c r="Y24" s="84">
        <v>7729</v>
      </c>
      <c r="Z24" s="84">
        <v>1324</v>
      </c>
      <c r="AA24" s="84">
        <v>-1527</v>
      </c>
      <c r="AB24" s="84">
        <v>8217</v>
      </c>
      <c r="AC24" s="84">
        <v>1013</v>
      </c>
      <c r="AD24" s="84">
        <v>-800</v>
      </c>
      <c r="AE24" s="84">
        <v>-102</v>
      </c>
      <c r="AF24" s="84">
        <v>1652</v>
      </c>
      <c r="AG24" s="84">
        <v>8522</v>
      </c>
      <c r="AH24" s="84">
        <v>-5826</v>
      </c>
      <c r="AI24" s="84">
        <v>5622</v>
      </c>
      <c r="AJ24" s="84">
        <v>7890</v>
      </c>
      <c r="AK24" s="84">
        <v>11979</v>
      </c>
      <c r="AL24" s="84">
        <v>7386</v>
      </c>
      <c r="AM24" s="84">
        <v>10150</v>
      </c>
      <c r="AN24" s="84">
        <v>3594</v>
      </c>
      <c r="AO24" s="84">
        <v>-11022</v>
      </c>
      <c r="AP24" s="84">
        <v>10816</v>
      </c>
      <c r="AQ24" s="84">
        <v>-21063</v>
      </c>
      <c r="AR24" s="84">
        <v>-712</v>
      </c>
      <c r="AS24" s="84">
        <v>-2228</v>
      </c>
      <c r="AT24" s="84">
        <v>-2935</v>
      </c>
      <c r="AU24" s="84">
        <v>117</v>
      </c>
      <c r="AV24" s="84">
        <v>-199</v>
      </c>
    </row>
    <row r="25" spans="1:16378" s="62" customFormat="1" ht="16.5" customHeight="1" x14ac:dyDescent="0.2">
      <c r="B25" s="71" t="s">
        <v>151</v>
      </c>
      <c r="C25" s="71"/>
      <c r="D25" s="101">
        <f t="shared" ref="D25" si="9">SUM(D26:D31)</f>
        <v>-89105</v>
      </c>
      <c r="E25" s="101">
        <f t="shared" ref="E25" si="10">SUM(E26:E31)</f>
        <v>-61766</v>
      </c>
      <c r="F25" s="101">
        <v>-71179</v>
      </c>
      <c r="G25" s="101">
        <f t="shared" ref="G25:AV25" si="11">SUM(G26:G31)</f>
        <v>-86580</v>
      </c>
      <c r="H25" s="101">
        <f t="shared" si="11"/>
        <v>-141734</v>
      </c>
      <c r="I25" s="101">
        <f t="shared" si="11"/>
        <v>-56336</v>
      </c>
      <c r="J25" s="101">
        <f t="shared" si="11"/>
        <v>-22472</v>
      </c>
      <c r="K25" s="101">
        <f t="shared" si="11"/>
        <v>48356</v>
      </c>
      <c r="L25" s="101">
        <f t="shared" si="11"/>
        <v>6778</v>
      </c>
      <c r="M25" s="101">
        <f t="shared" si="11"/>
        <v>-25738</v>
      </c>
      <c r="N25" s="101">
        <f t="shared" si="11"/>
        <v>-18822</v>
      </c>
      <c r="O25" s="101">
        <f t="shared" si="11"/>
        <v>-46658</v>
      </c>
      <c r="P25" s="101">
        <f t="shared" si="11"/>
        <v>3253</v>
      </c>
      <c r="Q25" s="101">
        <f t="shared" si="11"/>
        <v>-5441</v>
      </c>
      <c r="R25" s="101">
        <f t="shared" si="11"/>
        <v>-7956</v>
      </c>
      <c r="S25" s="101">
        <f t="shared" si="11"/>
        <v>-30120</v>
      </c>
      <c r="T25" s="101">
        <f t="shared" si="11"/>
        <v>-12547</v>
      </c>
      <c r="U25" s="101">
        <f t="shared" si="11"/>
        <v>-22606</v>
      </c>
      <c r="V25" s="101">
        <f t="shared" si="11"/>
        <v>-1345</v>
      </c>
      <c r="W25" s="101">
        <f t="shared" si="11"/>
        <v>-9038</v>
      </c>
      <c r="X25" s="101">
        <f t="shared" si="11"/>
        <v>-1468</v>
      </c>
      <c r="Y25" s="101">
        <f t="shared" si="11"/>
        <v>-55298</v>
      </c>
      <c r="Z25" s="101">
        <f t="shared" si="11"/>
        <v>-14084</v>
      </c>
      <c r="AA25" s="101">
        <f t="shared" si="11"/>
        <v>-15002</v>
      </c>
      <c r="AB25" s="101">
        <f t="shared" si="11"/>
        <v>-18274</v>
      </c>
      <c r="AC25" s="101">
        <f t="shared" si="11"/>
        <v>-83934</v>
      </c>
      <c r="AD25" s="101">
        <f t="shared" si="11"/>
        <v>-10481</v>
      </c>
      <c r="AE25" s="101">
        <f t="shared" si="11"/>
        <v>-20228</v>
      </c>
      <c r="AF25" s="101">
        <f t="shared" si="11"/>
        <v>-25951</v>
      </c>
      <c r="AG25" s="101">
        <f t="shared" si="11"/>
        <v>-73602</v>
      </c>
      <c r="AH25" s="101">
        <f t="shared" si="11"/>
        <v>-9537</v>
      </c>
      <c r="AI25" s="101">
        <f t="shared" si="11"/>
        <v>-4318</v>
      </c>
      <c r="AJ25" s="101">
        <f t="shared" si="11"/>
        <v>-27073</v>
      </c>
      <c r="AK25" s="101">
        <f t="shared" si="11"/>
        <v>-31769</v>
      </c>
      <c r="AL25" s="101">
        <f t="shared" si="11"/>
        <v>-5865</v>
      </c>
      <c r="AM25" s="101">
        <f t="shared" si="11"/>
        <v>-829</v>
      </c>
      <c r="AN25" s="101">
        <f t="shared" si="11"/>
        <v>6216</v>
      </c>
      <c r="AO25" s="101">
        <f t="shared" si="11"/>
        <v>-17790</v>
      </c>
      <c r="AP25" s="101">
        <f t="shared" si="11"/>
        <v>-18399</v>
      </c>
      <c r="AQ25" s="101">
        <f t="shared" si="11"/>
        <v>-16586</v>
      </c>
      <c r="AR25" s="101">
        <f t="shared" si="11"/>
        <v>2085</v>
      </c>
      <c r="AS25" s="101">
        <f t="shared" si="11"/>
        <v>-18293</v>
      </c>
      <c r="AT25" s="101">
        <f t="shared" si="11"/>
        <v>-1081</v>
      </c>
      <c r="AU25" s="101">
        <f t="shared" si="11"/>
        <v>2577</v>
      </c>
      <c r="AV25" s="101">
        <f t="shared" si="11"/>
        <v>-3422</v>
      </c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  <c r="ANG25" s="55"/>
      <c r="ANH25" s="55"/>
      <c r="ANI25" s="55"/>
      <c r="ANJ25" s="55"/>
      <c r="ANK25" s="55"/>
      <c r="ANL25" s="55"/>
      <c r="ANM25" s="55"/>
      <c r="ANN25" s="55"/>
      <c r="ANO25" s="55"/>
      <c r="ANP25" s="55"/>
      <c r="ANQ25" s="55"/>
      <c r="ANR25" s="55"/>
      <c r="ANS25" s="55"/>
      <c r="ANT25" s="55"/>
      <c r="ANU25" s="55"/>
      <c r="ANV25" s="55"/>
      <c r="ANW25" s="55"/>
      <c r="ANX25" s="55"/>
      <c r="ANY25" s="55"/>
      <c r="ANZ25" s="55"/>
      <c r="AOA25" s="55"/>
      <c r="AOB25" s="55"/>
      <c r="AOC25" s="55"/>
      <c r="AOD25" s="55"/>
      <c r="AOE25" s="55"/>
      <c r="AOF25" s="55"/>
      <c r="AOG25" s="55"/>
      <c r="AOH25" s="55"/>
      <c r="AOI25" s="55"/>
      <c r="AOJ25" s="55"/>
      <c r="AOK25" s="55"/>
      <c r="AOL25" s="55"/>
      <c r="AOM25" s="55"/>
      <c r="AON25" s="55"/>
      <c r="AOO25" s="55"/>
      <c r="AOP25" s="55"/>
      <c r="AOQ25" s="55"/>
      <c r="AOR25" s="55"/>
      <c r="AOS25" s="55"/>
      <c r="AOT25" s="55"/>
      <c r="AOU25" s="55"/>
      <c r="AOV25" s="55"/>
      <c r="AOW25" s="55"/>
      <c r="AOX25" s="55"/>
      <c r="AOY25" s="55"/>
      <c r="AOZ25" s="55"/>
      <c r="APA25" s="55"/>
      <c r="APB25" s="55"/>
      <c r="APC25" s="55"/>
      <c r="APD25" s="55"/>
      <c r="APE25" s="55"/>
      <c r="APF25" s="55"/>
      <c r="APG25" s="55"/>
      <c r="APH25" s="55"/>
      <c r="API25" s="55"/>
      <c r="APJ25" s="55"/>
      <c r="APK25" s="55"/>
      <c r="APL25" s="55"/>
      <c r="APM25" s="55"/>
      <c r="APN25" s="55"/>
      <c r="APO25" s="55"/>
      <c r="APP25" s="55"/>
      <c r="APQ25" s="55"/>
      <c r="APR25" s="55"/>
      <c r="APS25" s="55"/>
      <c r="APT25" s="55"/>
      <c r="APU25" s="55"/>
      <c r="APV25" s="55"/>
      <c r="APW25" s="55"/>
      <c r="APX25" s="55"/>
      <c r="APY25" s="55"/>
      <c r="APZ25" s="55"/>
      <c r="AQA25" s="55"/>
      <c r="AQB25" s="55"/>
      <c r="AQC25" s="55"/>
      <c r="AQD25" s="55"/>
      <c r="AQE25" s="55"/>
      <c r="AQF25" s="55"/>
      <c r="AQG25" s="55"/>
      <c r="AQH25" s="55"/>
      <c r="AQI25" s="55"/>
      <c r="AQJ25" s="55"/>
      <c r="AQK25" s="55"/>
      <c r="AQL25" s="55"/>
      <c r="AQM25" s="55"/>
      <c r="AQN25" s="55"/>
      <c r="AQO25" s="55"/>
      <c r="AQP25" s="55"/>
      <c r="AQQ25" s="55"/>
      <c r="AQR25" s="55"/>
      <c r="AQS25" s="55"/>
      <c r="AQT25" s="55"/>
      <c r="AQU25" s="55"/>
      <c r="AQV25" s="55"/>
      <c r="AQW25" s="55"/>
      <c r="AQX25" s="55"/>
      <c r="AQY25" s="55"/>
      <c r="AQZ25" s="55"/>
      <c r="ARA25" s="55"/>
      <c r="ARB25" s="55"/>
      <c r="ARC25" s="55"/>
      <c r="ARD25" s="55"/>
      <c r="ARE25" s="55"/>
      <c r="ARF25" s="55"/>
      <c r="ARG25" s="55"/>
      <c r="ARH25" s="55"/>
      <c r="ARI25" s="55"/>
      <c r="ARJ25" s="55"/>
      <c r="ARK25" s="55"/>
      <c r="ARL25" s="55"/>
      <c r="ARM25" s="55"/>
      <c r="ARN25" s="55"/>
      <c r="ARO25" s="55"/>
      <c r="ARP25" s="55"/>
      <c r="ARQ25" s="55"/>
      <c r="ARR25" s="55"/>
      <c r="ARS25" s="55"/>
      <c r="ART25" s="55"/>
      <c r="ARU25" s="55"/>
      <c r="ARV25" s="55"/>
      <c r="ARW25" s="55"/>
      <c r="ARX25" s="55"/>
      <c r="ARY25" s="55"/>
      <c r="ARZ25" s="55"/>
      <c r="ASA25" s="55"/>
      <c r="ASB25" s="55"/>
      <c r="ASC25" s="55"/>
      <c r="ASD25" s="55"/>
      <c r="ASE25" s="55"/>
      <c r="ASF25" s="55"/>
      <c r="ASG25" s="55"/>
      <c r="ASH25" s="55"/>
      <c r="ASI25" s="55"/>
      <c r="ASJ25" s="55"/>
      <c r="ASK25" s="55"/>
      <c r="ASL25" s="55"/>
      <c r="ASM25" s="55"/>
      <c r="ASN25" s="55"/>
      <c r="ASO25" s="55"/>
      <c r="ASP25" s="55"/>
      <c r="ASQ25" s="55"/>
      <c r="ASR25" s="55"/>
      <c r="ASS25" s="55"/>
      <c r="AST25" s="55"/>
      <c r="ASU25" s="55"/>
      <c r="ASV25" s="55"/>
      <c r="ASW25" s="55"/>
      <c r="ASX25" s="55"/>
      <c r="ASY25" s="55"/>
      <c r="ASZ25" s="55"/>
      <c r="ATA25" s="55"/>
      <c r="ATB25" s="55"/>
      <c r="ATC25" s="55"/>
      <c r="ATD25" s="55"/>
      <c r="ATE25" s="55"/>
      <c r="ATF25" s="55"/>
      <c r="ATG25" s="55"/>
      <c r="ATH25" s="55"/>
      <c r="ATI25" s="55"/>
      <c r="ATJ25" s="55"/>
      <c r="ATK25" s="55"/>
      <c r="ATL25" s="55"/>
      <c r="ATM25" s="55"/>
      <c r="ATN25" s="55"/>
      <c r="ATO25" s="55"/>
      <c r="ATP25" s="55"/>
      <c r="ATQ25" s="55"/>
      <c r="ATR25" s="55"/>
      <c r="ATS25" s="55"/>
      <c r="ATT25" s="55"/>
      <c r="ATU25" s="55"/>
      <c r="ATV25" s="55"/>
      <c r="ATW25" s="55"/>
      <c r="ATX25" s="55"/>
      <c r="ATY25" s="55"/>
      <c r="ATZ25" s="55"/>
      <c r="AUA25" s="55"/>
      <c r="AUB25" s="55"/>
      <c r="AUC25" s="55"/>
      <c r="AUD25" s="55"/>
      <c r="AUE25" s="55"/>
      <c r="AUF25" s="55"/>
      <c r="AUG25" s="55"/>
      <c r="AUH25" s="55"/>
      <c r="AUI25" s="55"/>
      <c r="AUJ25" s="55"/>
      <c r="AUK25" s="55"/>
      <c r="AUL25" s="55"/>
      <c r="AUM25" s="55"/>
      <c r="AUN25" s="55"/>
      <c r="AUO25" s="55"/>
      <c r="AUP25" s="55"/>
      <c r="AUQ25" s="55"/>
      <c r="AUR25" s="55"/>
      <c r="AUS25" s="55"/>
      <c r="AUT25" s="55"/>
      <c r="AUU25" s="55"/>
      <c r="AUV25" s="55"/>
      <c r="AUW25" s="55"/>
      <c r="AUX25" s="55"/>
      <c r="AUY25" s="55"/>
      <c r="AUZ25" s="55"/>
      <c r="AVA25" s="55"/>
      <c r="AVB25" s="55"/>
      <c r="AVC25" s="55"/>
      <c r="AVD25" s="55"/>
      <c r="AVE25" s="55"/>
      <c r="AVF25" s="55"/>
      <c r="AVG25" s="55"/>
      <c r="AVH25" s="55"/>
      <c r="AVI25" s="55"/>
      <c r="AVJ25" s="55"/>
      <c r="AVK25" s="55"/>
      <c r="AVL25" s="55"/>
      <c r="AVM25" s="55"/>
      <c r="AVN25" s="55"/>
      <c r="AVO25" s="55"/>
      <c r="AVP25" s="55"/>
      <c r="AVQ25" s="55"/>
      <c r="AVR25" s="55"/>
      <c r="AVS25" s="55"/>
      <c r="AVT25" s="55"/>
      <c r="AVU25" s="55"/>
      <c r="AVV25" s="55"/>
      <c r="AVW25" s="55"/>
      <c r="AVX25" s="55"/>
      <c r="AVY25" s="55"/>
      <c r="AVZ25" s="55"/>
      <c r="AWA25" s="55"/>
      <c r="AWB25" s="55"/>
      <c r="AWC25" s="55"/>
      <c r="AWD25" s="55"/>
      <c r="AWE25" s="55"/>
      <c r="AWF25" s="55"/>
      <c r="AWG25" s="55"/>
      <c r="AWH25" s="55"/>
      <c r="AWI25" s="55"/>
      <c r="AWJ25" s="55"/>
      <c r="AWK25" s="55"/>
      <c r="AWL25" s="55"/>
      <c r="AWM25" s="55"/>
      <c r="AWN25" s="55"/>
      <c r="AWO25" s="55"/>
      <c r="AWP25" s="55"/>
      <c r="AWQ25" s="55"/>
      <c r="AWR25" s="55"/>
      <c r="AWS25" s="55"/>
      <c r="AWT25" s="55"/>
      <c r="AWU25" s="55"/>
      <c r="AWV25" s="55"/>
      <c r="AWW25" s="55"/>
      <c r="AWX25" s="55"/>
      <c r="AWY25" s="55"/>
      <c r="AWZ25" s="55"/>
      <c r="AXA25" s="55"/>
      <c r="AXB25" s="55"/>
      <c r="AXC25" s="55"/>
      <c r="AXD25" s="55"/>
      <c r="AXE25" s="55"/>
      <c r="AXF25" s="55"/>
      <c r="AXG25" s="55"/>
      <c r="AXH25" s="55"/>
      <c r="AXI25" s="55"/>
      <c r="AXJ25" s="55"/>
      <c r="AXK25" s="55"/>
      <c r="AXL25" s="55"/>
      <c r="AXM25" s="55"/>
      <c r="AXN25" s="55"/>
      <c r="AXO25" s="55"/>
      <c r="AXP25" s="55"/>
      <c r="AXQ25" s="55"/>
      <c r="AXR25" s="55"/>
      <c r="AXS25" s="55"/>
      <c r="AXT25" s="55"/>
      <c r="AXU25" s="55"/>
      <c r="AXV25" s="55"/>
      <c r="AXW25" s="55"/>
      <c r="AXX25" s="55"/>
      <c r="AXY25" s="55"/>
      <c r="AXZ25" s="55"/>
      <c r="AYA25" s="55"/>
      <c r="AYB25" s="55"/>
      <c r="AYC25" s="55"/>
      <c r="AYD25" s="55"/>
      <c r="AYE25" s="55"/>
      <c r="AYF25" s="55"/>
      <c r="AYG25" s="55"/>
      <c r="AYH25" s="55"/>
      <c r="AYI25" s="55"/>
      <c r="AYJ25" s="55"/>
      <c r="AYK25" s="55"/>
      <c r="AYL25" s="55"/>
      <c r="AYM25" s="55"/>
      <c r="AYN25" s="55"/>
      <c r="AYO25" s="55"/>
      <c r="AYP25" s="55"/>
      <c r="AYQ25" s="55"/>
      <c r="AYR25" s="55"/>
      <c r="AYS25" s="55"/>
      <c r="AYT25" s="55"/>
      <c r="AYU25" s="55"/>
      <c r="AYV25" s="55"/>
      <c r="AYW25" s="55"/>
      <c r="AYX25" s="55"/>
      <c r="AYY25" s="55"/>
      <c r="AYZ25" s="55"/>
      <c r="AZA25" s="55"/>
      <c r="AZB25" s="55"/>
      <c r="AZC25" s="55"/>
      <c r="AZD25" s="55"/>
      <c r="AZE25" s="55"/>
      <c r="AZF25" s="55"/>
      <c r="AZG25" s="55"/>
      <c r="AZH25" s="55"/>
      <c r="AZI25" s="55"/>
      <c r="AZJ25" s="55"/>
      <c r="AZK25" s="55"/>
      <c r="AZL25" s="55"/>
      <c r="AZM25" s="55"/>
      <c r="AZN25" s="55"/>
      <c r="AZO25" s="55"/>
      <c r="AZP25" s="55"/>
      <c r="AZQ25" s="55"/>
      <c r="AZR25" s="55"/>
      <c r="AZS25" s="55"/>
      <c r="AZT25" s="55"/>
      <c r="AZU25" s="55"/>
      <c r="AZV25" s="55"/>
      <c r="AZW25" s="55"/>
      <c r="AZX25" s="55"/>
      <c r="AZY25" s="55"/>
      <c r="AZZ25" s="55"/>
      <c r="BAA25" s="55"/>
      <c r="BAB25" s="55"/>
      <c r="BAC25" s="55"/>
      <c r="BAD25" s="55"/>
      <c r="BAE25" s="55"/>
      <c r="BAF25" s="55"/>
      <c r="BAG25" s="55"/>
      <c r="BAH25" s="55"/>
      <c r="BAI25" s="55"/>
      <c r="BAJ25" s="55"/>
      <c r="BAK25" s="55"/>
      <c r="BAL25" s="55"/>
      <c r="BAM25" s="55"/>
      <c r="BAN25" s="55"/>
      <c r="BAO25" s="55"/>
      <c r="BAP25" s="55"/>
      <c r="BAQ25" s="55"/>
      <c r="BAR25" s="55"/>
      <c r="BAS25" s="55"/>
      <c r="BAT25" s="55"/>
      <c r="BAU25" s="55"/>
      <c r="BAV25" s="55"/>
      <c r="BAW25" s="55"/>
      <c r="BAX25" s="55"/>
      <c r="BAY25" s="55"/>
      <c r="BAZ25" s="55"/>
      <c r="BBA25" s="55"/>
      <c r="BBB25" s="55"/>
      <c r="BBC25" s="55"/>
      <c r="BBD25" s="55"/>
      <c r="BBE25" s="55"/>
      <c r="BBF25" s="55"/>
      <c r="BBG25" s="55"/>
      <c r="BBH25" s="55"/>
      <c r="BBI25" s="55"/>
      <c r="BBJ25" s="55"/>
      <c r="BBK25" s="55"/>
      <c r="BBL25" s="55"/>
      <c r="BBM25" s="55"/>
      <c r="BBN25" s="55"/>
      <c r="BBO25" s="55"/>
      <c r="BBP25" s="55"/>
      <c r="BBQ25" s="55"/>
      <c r="BBR25" s="55"/>
      <c r="BBS25" s="55"/>
      <c r="BBT25" s="55"/>
      <c r="BBU25" s="55"/>
      <c r="BBV25" s="55"/>
      <c r="BBW25" s="55"/>
      <c r="BBX25" s="55"/>
      <c r="BBY25" s="55"/>
      <c r="BBZ25" s="55"/>
      <c r="BCA25" s="55"/>
      <c r="BCB25" s="55"/>
      <c r="BCC25" s="55"/>
      <c r="BCD25" s="55"/>
      <c r="BCE25" s="55"/>
      <c r="BCF25" s="55"/>
      <c r="BCG25" s="55"/>
      <c r="BCH25" s="55"/>
      <c r="BCI25" s="55"/>
      <c r="BCJ25" s="55"/>
      <c r="BCK25" s="55"/>
      <c r="BCL25" s="55"/>
      <c r="BCM25" s="55"/>
      <c r="BCN25" s="55"/>
      <c r="BCO25" s="55"/>
      <c r="BCP25" s="55"/>
      <c r="BCQ25" s="55"/>
      <c r="BCR25" s="55"/>
      <c r="BCS25" s="55"/>
      <c r="BCT25" s="55"/>
      <c r="BCU25" s="55"/>
      <c r="BCV25" s="55"/>
      <c r="BCW25" s="55"/>
      <c r="BCX25" s="55"/>
      <c r="BCY25" s="55"/>
      <c r="BCZ25" s="55"/>
      <c r="BDA25" s="55"/>
      <c r="BDB25" s="55"/>
      <c r="BDC25" s="55"/>
      <c r="BDD25" s="55"/>
      <c r="BDE25" s="55"/>
      <c r="BDF25" s="55"/>
      <c r="BDG25" s="55"/>
      <c r="BDH25" s="55"/>
      <c r="BDI25" s="55"/>
      <c r="BDJ25" s="55"/>
      <c r="BDK25" s="55"/>
      <c r="BDL25" s="55"/>
      <c r="BDM25" s="55"/>
      <c r="BDN25" s="55"/>
      <c r="BDO25" s="55"/>
      <c r="BDP25" s="55"/>
      <c r="BDQ25" s="55"/>
      <c r="BDR25" s="55"/>
      <c r="BDS25" s="55"/>
      <c r="BDT25" s="55"/>
      <c r="BDU25" s="55"/>
      <c r="BDV25" s="55"/>
      <c r="BDW25" s="55"/>
      <c r="BDX25" s="55"/>
      <c r="BDY25" s="55"/>
      <c r="BDZ25" s="55"/>
      <c r="BEA25" s="55"/>
      <c r="BEB25" s="55"/>
      <c r="BEC25" s="55"/>
      <c r="BED25" s="55"/>
      <c r="BEE25" s="55"/>
      <c r="BEF25" s="55"/>
      <c r="BEG25" s="55"/>
      <c r="BEH25" s="55"/>
      <c r="BEI25" s="55"/>
      <c r="BEJ25" s="55"/>
      <c r="BEK25" s="55"/>
      <c r="BEL25" s="55"/>
      <c r="BEM25" s="55"/>
      <c r="BEN25" s="55"/>
      <c r="BEO25" s="55"/>
      <c r="BEP25" s="55"/>
      <c r="BEQ25" s="55"/>
      <c r="BER25" s="55"/>
      <c r="BES25" s="55"/>
      <c r="BET25" s="55"/>
      <c r="BEU25" s="55"/>
      <c r="BEV25" s="55"/>
      <c r="BEW25" s="55"/>
      <c r="BEX25" s="55"/>
      <c r="BEY25" s="55"/>
      <c r="BEZ25" s="55"/>
      <c r="BFA25" s="55"/>
      <c r="BFB25" s="55"/>
      <c r="BFC25" s="55"/>
      <c r="BFD25" s="55"/>
      <c r="BFE25" s="55"/>
      <c r="BFF25" s="55"/>
      <c r="BFG25" s="55"/>
      <c r="BFH25" s="55"/>
      <c r="BFI25" s="55"/>
      <c r="BFJ25" s="55"/>
      <c r="BFK25" s="55"/>
      <c r="BFL25" s="55"/>
      <c r="BFM25" s="55"/>
      <c r="BFN25" s="55"/>
      <c r="BFO25" s="55"/>
      <c r="BFP25" s="55"/>
      <c r="BFQ25" s="55"/>
      <c r="BFR25" s="55"/>
      <c r="BFS25" s="55"/>
      <c r="BFT25" s="55"/>
      <c r="BFU25" s="55"/>
      <c r="BFV25" s="55"/>
      <c r="BFW25" s="55"/>
      <c r="BFX25" s="55"/>
      <c r="BFY25" s="55"/>
      <c r="BFZ25" s="55"/>
      <c r="BGA25" s="55"/>
      <c r="BGB25" s="55"/>
      <c r="BGC25" s="55"/>
      <c r="BGD25" s="55"/>
      <c r="BGE25" s="55"/>
      <c r="BGF25" s="55"/>
      <c r="BGG25" s="55"/>
      <c r="BGH25" s="55"/>
      <c r="BGI25" s="55"/>
      <c r="BGJ25" s="55"/>
      <c r="BGK25" s="55"/>
      <c r="BGL25" s="55"/>
      <c r="BGM25" s="55"/>
      <c r="BGN25" s="55"/>
      <c r="BGO25" s="55"/>
      <c r="BGP25" s="55"/>
      <c r="BGQ25" s="55"/>
      <c r="BGR25" s="55"/>
      <c r="BGS25" s="55"/>
      <c r="BGT25" s="55"/>
      <c r="BGU25" s="55"/>
      <c r="BGV25" s="55"/>
      <c r="BGW25" s="55"/>
      <c r="BGX25" s="55"/>
      <c r="BGY25" s="55"/>
      <c r="BGZ25" s="55"/>
      <c r="BHA25" s="55"/>
      <c r="BHB25" s="55"/>
      <c r="BHC25" s="55"/>
      <c r="BHD25" s="55"/>
      <c r="BHE25" s="55"/>
      <c r="BHF25" s="55"/>
      <c r="BHG25" s="55"/>
      <c r="BHH25" s="55"/>
      <c r="BHI25" s="55"/>
      <c r="BHJ25" s="55"/>
      <c r="BHK25" s="55"/>
      <c r="BHL25" s="55"/>
      <c r="BHM25" s="55"/>
      <c r="BHN25" s="55"/>
      <c r="BHO25" s="55"/>
      <c r="BHP25" s="55"/>
      <c r="BHQ25" s="55"/>
      <c r="BHR25" s="55"/>
      <c r="BHS25" s="55"/>
      <c r="BHT25" s="55"/>
      <c r="BHU25" s="55"/>
      <c r="BHV25" s="55"/>
      <c r="BHW25" s="55"/>
      <c r="BHX25" s="55"/>
      <c r="BHY25" s="55"/>
      <c r="BHZ25" s="55"/>
      <c r="BIA25" s="55"/>
      <c r="BIB25" s="55"/>
      <c r="BIC25" s="55"/>
      <c r="BID25" s="55"/>
      <c r="BIE25" s="55"/>
      <c r="BIF25" s="55"/>
      <c r="BIG25" s="55"/>
      <c r="BIH25" s="55"/>
      <c r="BII25" s="55"/>
      <c r="BIJ25" s="55"/>
      <c r="BIK25" s="55"/>
      <c r="BIL25" s="55"/>
      <c r="BIM25" s="55"/>
      <c r="BIN25" s="55"/>
      <c r="BIO25" s="55"/>
      <c r="BIP25" s="55"/>
      <c r="BIQ25" s="55"/>
      <c r="BIR25" s="55"/>
      <c r="BIS25" s="55"/>
      <c r="BIT25" s="55"/>
      <c r="BIU25" s="55"/>
      <c r="BIV25" s="55"/>
      <c r="BIW25" s="55"/>
      <c r="BIX25" s="55"/>
      <c r="BIY25" s="55"/>
      <c r="BIZ25" s="55"/>
      <c r="BJA25" s="55"/>
      <c r="BJB25" s="55"/>
      <c r="BJC25" s="55"/>
      <c r="BJD25" s="55"/>
      <c r="BJE25" s="55"/>
      <c r="BJF25" s="55"/>
      <c r="BJG25" s="55"/>
      <c r="BJH25" s="55"/>
      <c r="BJI25" s="55"/>
      <c r="BJJ25" s="55"/>
      <c r="BJK25" s="55"/>
      <c r="BJL25" s="55"/>
      <c r="BJM25" s="55"/>
      <c r="BJN25" s="55"/>
      <c r="BJO25" s="55"/>
      <c r="BJP25" s="55"/>
      <c r="BJQ25" s="55"/>
      <c r="BJR25" s="55"/>
      <c r="BJS25" s="55"/>
      <c r="BJT25" s="55"/>
      <c r="BJU25" s="55"/>
      <c r="BJV25" s="55"/>
      <c r="BJW25" s="55"/>
      <c r="BJX25" s="55"/>
      <c r="BJY25" s="55"/>
      <c r="BJZ25" s="55"/>
      <c r="BKA25" s="55"/>
      <c r="BKB25" s="55"/>
      <c r="BKC25" s="55"/>
      <c r="BKD25" s="55"/>
      <c r="BKE25" s="55"/>
      <c r="BKF25" s="55"/>
      <c r="BKG25" s="55"/>
      <c r="BKH25" s="55"/>
      <c r="BKI25" s="55"/>
      <c r="BKJ25" s="55"/>
      <c r="BKK25" s="55"/>
      <c r="BKL25" s="55"/>
      <c r="BKM25" s="55"/>
      <c r="BKN25" s="55"/>
      <c r="BKO25" s="55"/>
      <c r="BKP25" s="55"/>
      <c r="BKQ25" s="55"/>
      <c r="BKR25" s="55"/>
      <c r="BKS25" s="55"/>
      <c r="BKT25" s="55"/>
      <c r="BKU25" s="55"/>
      <c r="BKV25" s="55"/>
      <c r="BKW25" s="55"/>
      <c r="BKX25" s="55"/>
      <c r="BKY25" s="55"/>
      <c r="BKZ25" s="55"/>
      <c r="BLA25" s="55"/>
      <c r="BLB25" s="55"/>
      <c r="BLC25" s="55"/>
      <c r="BLD25" s="55"/>
      <c r="BLE25" s="55"/>
      <c r="BLF25" s="55"/>
      <c r="BLG25" s="55"/>
      <c r="BLH25" s="55"/>
      <c r="BLI25" s="55"/>
      <c r="BLJ25" s="55"/>
      <c r="BLK25" s="55"/>
      <c r="BLL25" s="55"/>
      <c r="BLM25" s="55"/>
      <c r="BLN25" s="55"/>
      <c r="BLO25" s="55"/>
      <c r="BLP25" s="55"/>
      <c r="BLQ25" s="55"/>
      <c r="BLR25" s="55"/>
      <c r="BLS25" s="55"/>
      <c r="BLT25" s="55"/>
      <c r="BLU25" s="55"/>
      <c r="BLV25" s="55"/>
      <c r="BLW25" s="55"/>
      <c r="BLX25" s="55"/>
      <c r="BLY25" s="55"/>
      <c r="BLZ25" s="55"/>
      <c r="BMA25" s="55"/>
      <c r="BMB25" s="55"/>
      <c r="BMC25" s="55"/>
      <c r="BMD25" s="55"/>
      <c r="BME25" s="55"/>
      <c r="BMF25" s="55"/>
      <c r="BMG25" s="55"/>
      <c r="BMH25" s="55"/>
      <c r="BMI25" s="55"/>
      <c r="BMJ25" s="55"/>
      <c r="BMK25" s="55"/>
      <c r="BML25" s="55"/>
      <c r="BMM25" s="55"/>
      <c r="BMN25" s="55"/>
      <c r="BMO25" s="55"/>
      <c r="BMP25" s="55"/>
      <c r="BMQ25" s="55"/>
      <c r="BMR25" s="55"/>
      <c r="BMS25" s="55"/>
      <c r="BMT25" s="55"/>
      <c r="BMU25" s="55"/>
      <c r="BMV25" s="55"/>
      <c r="BMW25" s="55"/>
      <c r="BMX25" s="55"/>
      <c r="BMY25" s="55"/>
      <c r="BMZ25" s="55"/>
      <c r="BNA25" s="55"/>
      <c r="BNB25" s="55"/>
      <c r="BNC25" s="55"/>
      <c r="BND25" s="55"/>
      <c r="BNE25" s="55"/>
      <c r="BNF25" s="55"/>
      <c r="BNG25" s="55"/>
      <c r="BNH25" s="55"/>
      <c r="BNI25" s="55"/>
      <c r="BNJ25" s="55"/>
      <c r="BNK25" s="55"/>
      <c r="BNL25" s="55"/>
      <c r="BNM25" s="55"/>
      <c r="BNN25" s="55"/>
      <c r="BNO25" s="55"/>
      <c r="BNP25" s="55"/>
      <c r="BNQ25" s="55"/>
      <c r="BNR25" s="55"/>
      <c r="BNS25" s="55"/>
      <c r="BNT25" s="55"/>
      <c r="BNU25" s="55"/>
      <c r="BNV25" s="55"/>
      <c r="BNW25" s="55"/>
      <c r="BNX25" s="55"/>
      <c r="BNY25" s="55"/>
      <c r="BNZ25" s="55"/>
      <c r="BOA25" s="55"/>
      <c r="BOB25" s="55"/>
      <c r="BOC25" s="55"/>
      <c r="BOD25" s="55"/>
      <c r="BOE25" s="55"/>
      <c r="BOF25" s="55"/>
      <c r="BOG25" s="55"/>
      <c r="BOH25" s="55"/>
      <c r="BOI25" s="55"/>
      <c r="BOJ25" s="55"/>
      <c r="BOK25" s="55"/>
      <c r="BOL25" s="55"/>
      <c r="BOM25" s="55"/>
      <c r="BON25" s="55"/>
      <c r="BOO25" s="55"/>
      <c r="BOP25" s="55"/>
      <c r="BOQ25" s="55"/>
      <c r="BOR25" s="55"/>
      <c r="BOS25" s="55"/>
      <c r="BOT25" s="55"/>
      <c r="BOU25" s="55"/>
      <c r="BOV25" s="55"/>
      <c r="BOW25" s="55"/>
      <c r="BOX25" s="55"/>
      <c r="BOY25" s="55"/>
      <c r="BOZ25" s="55"/>
      <c r="BPA25" s="55"/>
      <c r="BPB25" s="55"/>
      <c r="BPC25" s="55"/>
      <c r="BPD25" s="55"/>
      <c r="BPE25" s="55"/>
      <c r="BPF25" s="55"/>
      <c r="BPG25" s="55"/>
      <c r="BPH25" s="55"/>
      <c r="BPI25" s="55"/>
      <c r="BPJ25" s="55"/>
      <c r="BPK25" s="55"/>
      <c r="BPL25" s="55"/>
      <c r="BPM25" s="55"/>
      <c r="BPN25" s="55"/>
      <c r="BPO25" s="55"/>
      <c r="BPP25" s="55"/>
      <c r="BPQ25" s="55"/>
      <c r="BPR25" s="55"/>
      <c r="BPS25" s="55"/>
      <c r="BPT25" s="55"/>
      <c r="BPU25" s="55"/>
      <c r="BPV25" s="55"/>
      <c r="BPW25" s="55"/>
      <c r="BPX25" s="55"/>
      <c r="BPY25" s="55"/>
      <c r="BPZ25" s="55"/>
      <c r="BQA25" s="55"/>
      <c r="BQB25" s="55"/>
      <c r="BQC25" s="55"/>
      <c r="BQD25" s="55"/>
      <c r="BQE25" s="55"/>
      <c r="BQF25" s="55"/>
      <c r="BQG25" s="55"/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  <c r="WFG25" s="55"/>
      <c r="WFH25" s="55"/>
      <c r="WFI25" s="55"/>
      <c r="WFJ25" s="55"/>
      <c r="WFK25" s="55"/>
      <c r="WFL25" s="55"/>
      <c r="WFM25" s="55"/>
      <c r="WFN25" s="55"/>
      <c r="WFO25" s="55"/>
      <c r="WFP25" s="55"/>
      <c r="WFQ25" s="55"/>
      <c r="WFR25" s="55"/>
      <c r="WFS25" s="55"/>
      <c r="WFT25" s="55"/>
      <c r="WFU25" s="55"/>
      <c r="WFV25" s="55"/>
      <c r="WFW25" s="55"/>
      <c r="WFX25" s="55"/>
      <c r="WFY25" s="55"/>
      <c r="WFZ25" s="55"/>
      <c r="WGA25" s="55"/>
      <c r="WGB25" s="55"/>
      <c r="WGC25" s="55"/>
      <c r="WGD25" s="55"/>
      <c r="WGE25" s="55"/>
      <c r="WGF25" s="55"/>
      <c r="WGG25" s="55"/>
      <c r="WGH25" s="55"/>
      <c r="WGI25" s="55"/>
      <c r="WGJ25" s="55"/>
      <c r="WGK25" s="55"/>
      <c r="WGL25" s="55"/>
      <c r="WGM25" s="55"/>
      <c r="WGN25" s="55"/>
      <c r="WGO25" s="55"/>
      <c r="WGP25" s="55"/>
      <c r="WGQ25" s="55"/>
      <c r="WGR25" s="55"/>
      <c r="WGS25" s="55"/>
      <c r="WGT25" s="55"/>
      <c r="WGU25" s="55"/>
      <c r="WGV25" s="55"/>
      <c r="WGW25" s="55"/>
      <c r="WGX25" s="55"/>
      <c r="WGY25" s="55"/>
      <c r="WGZ25" s="55"/>
      <c r="WHA25" s="55"/>
      <c r="WHB25" s="55"/>
      <c r="WHC25" s="55"/>
      <c r="WHD25" s="55"/>
      <c r="WHE25" s="55"/>
      <c r="WHF25" s="55"/>
      <c r="WHG25" s="55"/>
      <c r="WHH25" s="55"/>
      <c r="WHI25" s="55"/>
      <c r="WHJ25" s="55"/>
      <c r="WHK25" s="55"/>
      <c r="WHL25" s="55"/>
      <c r="WHM25" s="55"/>
      <c r="WHN25" s="55"/>
      <c r="WHO25" s="55"/>
      <c r="WHP25" s="55"/>
      <c r="WHQ25" s="55"/>
      <c r="WHR25" s="55"/>
      <c r="WHS25" s="55"/>
      <c r="WHT25" s="55"/>
      <c r="WHU25" s="55"/>
      <c r="WHV25" s="55"/>
      <c r="WHW25" s="55"/>
      <c r="WHX25" s="55"/>
      <c r="WHY25" s="55"/>
      <c r="WHZ25" s="55"/>
      <c r="WIA25" s="55"/>
      <c r="WIB25" s="55"/>
      <c r="WIC25" s="55"/>
      <c r="WID25" s="55"/>
      <c r="WIE25" s="55"/>
      <c r="WIF25" s="55"/>
      <c r="WIG25" s="55"/>
      <c r="WIH25" s="55"/>
      <c r="WII25" s="55"/>
      <c r="WIJ25" s="55"/>
      <c r="WIK25" s="55"/>
      <c r="WIL25" s="55"/>
      <c r="WIM25" s="55"/>
      <c r="WIN25" s="55"/>
      <c r="WIO25" s="55"/>
      <c r="WIP25" s="55"/>
      <c r="WIQ25" s="55"/>
      <c r="WIR25" s="55"/>
      <c r="WIS25" s="55"/>
      <c r="WIT25" s="55"/>
      <c r="WIU25" s="55"/>
      <c r="WIV25" s="55"/>
      <c r="WIW25" s="55"/>
      <c r="WIX25" s="55"/>
      <c r="WIY25" s="55"/>
      <c r="WIZ25" s="55"/>
      <c r="WJA25" s="55"/>
      <c r="WJB25" s="55"/>
      <c r="WJC25" s="55"/>
      <c r="WJD25" s="55"/>
      <c r="WJE25" s="55"/>
      <c r="WJF25" s="55"/>
      <c r="WJG25" s="55"/>
      <c r="WJH25" s="55"/>
      <c r="WJI25" s="55"/>
      <c r="WJJ25" s="55"/>
      <c r="WJK25" s="55"/>
      <c r="WJL25" s="55"/>
      <c r="WJM25" s="55"/>
      <c r="WJN25" s="55"/>
      <c r="WJO25" s="55"/>
      <c r="WJP25" s="55"/>
      <c r="WJQ25" s="55"/>
      <c r="WJR25" s="55"/>
      <c r="WJS25" s="55"/>
      <c r="WJT25" s="55"/>
      <c r="WJU25" s="55"/>
      <c r="WJV25" s="55"/>
      <c r="WJW25" s="55"/>
      <c r="WJX25" s="55"/>
      <c r="WJY25" s="55"/>
      <c r="WJZ25" s="55"/>
      <c r="WKA25" s="55"/>
      <c r="WKB25" s="55"/>
      <c r="WKC25" s="55"/>
      <c r="WKD25" s="55"/>
      <c r="WKE25" s="55"/>
      <c r="WKF25" s="55"/>
      <c r="WKG25" s="55"/>
      <c r="WKH25" s="55"/>
      <c r="WKI25" s="55"/>
      <c r="WKJ25" s="55"/>
      <c r="WKK25" s="55"/>
      <c r="WKL25" s="55"/>
      <c r="WKM25" s="55"/>
      <c r="WKN25" s="55"/>
      <c r="WKO25" s="55"/>
      <c r="WKP25" s="55"/>
      <c r="WKQ25" s="55"/>
      <c r="WKR25" s="55"/>
      <c r="WKS25" s="55"/>
      <c r="WKT25" s="55"/>
      <c r="WKU25" s="55"/>
      <c r="WKV25" s="55"/>
      <c r="WKW25" s="55"/>
      <c r="WKX25" s="55"/>
      <c r="WKY25" s="55"/>
      <c r="WKZ25" s="55"/>
      <c r="WLA25" s="55"/>
      <c r="WLB25" s="55"/>
      <c r="WLC25" s="55"/>
      <c r="WLD25" s="55"/>
      <c r="WLE25" s="55"/>
      <c r="WLF25" s="55"/>
      <c r="WLG25" s="55"/>
      <c r="WLH25" s="55"/>
      <c r="WLI25" s="55"/>
      <c r="WLJ25" s="55"/>
      <c r="WLK25" s="55"/>
      <c r="WLL25" s="55"/>
      <c r="WLM25" s="55"/>
      <c r="WLN25" s="55"/>
      <c r="WLO25" s="55"/>
      <c r="WLP25" s="55"/>
      <c r="WLQ25" s="55"/>
      <c r="WLR25" s="55"/>
      <c r="WLS25" s="55"/>
      <c r="WLT25" s="55"/>
      <c r="WLU25" s="55"/>
      <c r="WLV25" s="55"/>
      <c r="WLW25" s="55"/>
      <c r="WLX25" s="55"/>
      <c r="WLY25" s="55"/>
      <c r="WLZ25" s="55"/>
      <c r="WMA25" s="55"/>
      <c r="WMB25" s="55"/>
      <c r="WMC25" s="55"/>
      <c r="WMD25" s="55"/>
      <c r="WME25" s="55"/>
      <c r="WMF25" s="55"/>
      <c r="WMG25" s="55"/>
      <c r="WMH25" s="55"/>
      <c r="WMI25" s="55"/>
      <c r="WMJ25" s="55"/>
      <c r="WMK25" s="55"/>
      <c r="WML25" s="55"/>
      <c r="WMM25" s="55"/>
      <c r="WMN25" s="55"/>
      <c r="WMO25" s="55"/>
      <c r="WMP25" s="55"/>
      <c r="WMQ25" s="55"/>
      <c r="WMR25" s="55"/>
      <c r="WMS25" s="55"/>
      <c r="WMT25" s="55"/>
      <c r="WMU25" s="55"/>
      <c r="WMV25" s="55"/>
      <c r="WMW25" s="55"/>
      <c r="WMX25" s="55"/>
      <c r="WMY25" s="55"/>
      <c r="WMZ25" s="55"/>
      <c r="WNA25" s="55"/>
      <c r="WNB25" s="55"/>
      <c r="WNC25" s="55"/>
      <c r="WND25" s="55"/>
      <c r="WNE25" s="55"/>
      <c r="WNF25" s="55"/>
      <c r="WNG25" s="55"/>
      <c r="WNH25" s="55"/>
      <c r="WNI25" s="55"/>
      <c r="WNJ25" s="55"/>
      <c r="WNK25" s="55"/>
      <c r="WNL25" s="55"/>
      <c r="WNM25" s="55"/>
      <c r="WNN25" s="55"/>
      <c r="WNO25" s="55"/>
      <c r="WNP25" s="55"/>
      <c r="WNQ25" s="55"/>
      <c r="WNR25" s="55"/>
      <c r="WNS25" s="55"/>
      <c r="WNT25" s="55"/>
      <c r="WNU25" s="55"/>
      <c r="WNV25" s="55"/>
      <c r="WNW25" s="55"/>
      <c r="WNX25" s="55"/>
      <c r="WNY25" s="55"/>
      <c r="WNZ25" s="55"/>
      <c r="WOA25" s="55"/>
      <c r="WOB25" s="55"/>
      <c r="WOC25" s="55"/>
      <c r="WOD25" s="55"/>
      <c r="WOE25" s="55"/>
      <c r="WOF25" s="55"/>
      <c r="WOG25" s="55"/>
      <c r="WOH25" s="55"/>
      <c r="WOI25" s="55"/>
      <c r="WOJ25" s="55"/>
      <c r="WOK25" s="55"/>
      <c r="WOL25" s="55"/>
      <c r="WOM25" s="55"/>
      <c r="WON25" s="55"/>
      <c r="WOO25" s="55"/>
      <c r="WOP25" s="55"/>
      <c r="WOQ25" s="55"/>
      <c r="WOR25" s="55"/>
      <c r="WOS25" s="55"/>
      <c r="WOT25" s="55"/>
      <c r="WOU25" s="55"/>
      <c r="WOV25" s="55"/>
      <c r="WOW25" s="55"/>
      <c r="WOX25" s="55"/>
      <c r="WOY25" s="55"/>
      <c r="WOZ25" s="55"/>
      <c r="WPA25" s="55"/>
      <c r="WPB25" s="55"/>
      <c r="WPC25" s="55"/>
      <c r="WPD25" s="55"/>
      <c r="WPE25" s="55"/>
      <c r="WPF25" s="55"/>
      <c r="WPG25" s="55"/>
      <c r="WPH25" s="55"/>
      <c r="WPI25" s="55"/>
      <c r="WPJ25" s="55"/>
      <c r="WPK25" s="55"/>
      <c r="WPL25" s="55"/>
      <c r="WPM25" s="55"/>
      <c r="WPN25" s="55"/>
      <c r="WPO25" s="55"/>
      <c r="WPP25" s="55"/>
      <c r="WPQ25" s="55"/>
      <c r="WPR25" s="55"/>
      <c r="WPS25" s="55"/>
      <c r="WPT25" s="55"/>
      <c r="WPU25" s="55"/>
      <c r="WPV25" s="55"/>
      <c r="WPW25" s="55"/>
      <c r="WPX25" s="55"/>
      <c r="WPY25" s="55"/>
      <c r="WPZ25" s="55"/>
      <c r="WQA25" s="55"/>
      <c r="WQB25" s="55"/>
      <c r="WQC25" s="55"/>
      <c r="WQD25" s="55"/>
      <c r="WQE25" s="55"/>
      <c r="WQF25" s="55"/>
      <c r="WQG25" s="55"/>
      <c r="WQH25" s="55"/>
      <c r="WQI25" s="55"/>
      <c r="WQJ25" s="55"/>
      <c r="WQK25" s="55"/>
      <c r="WQL25" s="55"/>
      <c r="WQM25" s="55"/>
      <c r="WQN25" s="55"/>
      <c r="WQO25" s="55"/>
      <c r="WQP25" s="55"/>
      <c r="WQQ25" s="55"/>
      <c r="WQR25" s="55"/>
      <c r="WQS25" s="55"/>
      <c r="WQT25" s="55"/>
      <c r="WQU25" s="55"/>
      <c r="WQV25" s="55"/>
      <c r="WQW25" s="55"/>
      <c r="WQX25" s="55"/>
      <c r="WQY25" s="55"/>
      <c r="WQZ25" s="55"/>
      <c r="WRA25" s="55"/>
      <c r="WRB25" s="55"/>
      <c r="WRC25" s="55"/>
      <c r="WRD25" s="55"/>
      <c r="WRE25" s="55"/>
      <c r="WRF25" s="55"/>
      <c r="WRG25" s="55"/>
      <c r="WRH25" s="55"/>
      <c r="WRI25" s="55"/>
      <c r="WRJ25" s="55"/>
      <c r="WRK25" s="55"/>
      <c r="WRL25" s="55"/>
      <c r="WRM25" s="55"/>
      <c r="WRN25" s="55"/>
      <c r="WRO25" s="55"/>
      <c r="WRP25" s="55"/>
      <c r="WRQ25" s="55"/>
      <c r="WRR25" s="55"/>
      <c r="WRS25" s="55"/>
      <c r="WRT25" s="55"/>
      <c r="WRU25" s="55"/>
      <c r="WRV25" s="55"/>
      <c r="WRW25" s="55"/>
      <c r="WRX25" s="55"/>
      <c r="WRY25" s="55"/>
      <c r="WRZ25" s="55"/>
      <c r="WSA25" s="55"/>
      <c r="WSB25" s="55"/>
      <c r="WSC25" s="55"/>
      <c r="WSD25" s="55"/>
      <c r="WSE25" s="55"/>
      <c r="WSF25" s="55"/>
      <c r="WSG25" s="55"/>
      <c r="WSH25" s="55"/>
      <c r="WSI25" s="55"/>
      <c r="WSJ25" s="55"/>
      <c r="WSK25" s="55"/>
      <c r="WSL25" s="55"/>
      <c r="WSM25" s="55"/>
      <c r="WSN25" s="55"/>
      <c r="WSO25" s="55"/>
      <c r="WSP25" s="55"/>
      <c r="WSQ25" s="55"/>
      <c r="WSR25" s="55"/>
      <c r="WSS25" s="55"/>
      <c r="WST25" s="55"/>
      <c r="WSU25" s="55"/>
      <c r="WSV25" s="55"/>
      <c r="WSW25" s="55"/>
      <c r="WSX25" s="55"/>
      <c r="WSY25" s="55"/>
      <c r="WSZ25" s="55"/>
      <c r="WTA25" s="55"/>
      <c r="WTB25" s="55"/>
      <c r="WTC25" s="55"/>
      <c r="WTD25" s="55"/>
      <c r="WTE25" s="55"/>
      <c r="WTF25" s="55"/>
      <c r="WTG25" s="55"/>
      <c r="WTH25" s="55"/>
      <c r="WTI25" s="55"/>
      <c r="WTJ25" s="55"/>
      <c r="WTK25" s="55"/>
      <c r="WTL25" s="55"/>
      <c r="WTM25" s="55"/>
      <c r="WTN25" s="55"/>
      <c r="WTO25" s="55"/>
      <c r="WTP25" s="55"/>
      <c r="WTQ25" s="55"/>
      <c r="WTR25" s="55"/>
      <c r="WTS25" s="55"/>
      <c r="WTT25" s="55"/>
      <c r="WTU25" s="55"/>
      <c r="WTV25" s="55"/>
      <c r="WTW25" s="55"/>
      <c r="WTX25" s="55"/>
      <c r="WTY25" s="55"/>
      <c r="WTZ25" s="55"/>
      <c r="WUA25" s="55"/>
      <c r="WUB25" s="55"/>
      <c r="WUC25" s="55"/>
      <c r="WUD25" s="55"/>
      <c r="WUE25" s="55"/>
      <c r="WUF25" s="55"/>
      <c r="WUG25" s="55"/>
      <c r="WUH25" s="55"/>
      <c r="WUI25" s="55"/>
      <c r="WUJ25" s="55"/>
      <c r="WUK25" s="55"/>
      <c r="WUL25" s="55"/>
      <c r="WUM25" s="55"/>
      <c r="WUN25" s="55"/>
      <c r="WUO25" s="55"/>
      <c r="WUP25" s="55"/>
      <c r="WUQ25" s="55"/>
      <c r="WUR25" s="55"/>
      <c r="WUS25" s="55"/>
      <c r="WUT25" s="55"/>
      <c r="WUU25" s="55"/>
      <c r="WUV25" s="55"/>
      <c r="WUW25" s="55"/>
      <c r="WUX25" s="55"/>
      <c r="WUY25" s="55"/>
      <c r="WUZ25" s="55"/>
      <c r="WVA25" s="55"/>
      <c r="WVB25" s="55"/>
      <c r="WVC25" s="55"/>
      <c r="WVD25" s="55"/>
      <c r="WVE25" s="55"/>
      <c r="WVF25" s="55"/>
      <c r="WVG25" s="55"/>
      <c r="WVH25" s="55"/>
      <c r="WVI25" s="55"/>
      <c r="WVJ25" s="55"/>
      <c r="WVK25" s="55"/>
      <c r="WVL25" s="55"/>
      <c r="WVM25" s="55"/>
      <c r="WVN25" s="55"/>
      <c r="WVO25" s="55"/>
      <c r="WVP25" s="55"/>
      <c r="WVQ25" s="55"/>
      <c r="WVR25" s="55"/>
      <c r="WVS25" s="55"/>
      <c r="WVT25" s="55"/>
      <c r="WVU25" s="55"/>
      <c r="WVV25" s="55"/>
      <c r="WVW25" s="55"/>
      <c r="WVX25" s="55"/>
      <c r="WVY25" s="55"/>
      <c r="WVZ25" s="55"/>
      <c r="WWA25" s="55"/>
      <c r="WWB25" s="55"/>
      <c r="WWC25" s="55"/>
      <c r="WWD25" s="55"/>
      <c r="WWE25" s="55"/>
      <c r="WWF25" s="55"/>
      <c r="WWG25" s="55"/>
      <c r="WWH25" s="55"/>
      <c r="WWI25" s="55"/>
      <c r="WWJ25" s="55"/>
      <c r="WWK25" s="55"/>
      <c r="WWL25" s="55"/>
      <c r="WWM25" s="55"/>
      <c r="WWN25" s="55"/>
      <c r="WWO25" s="55"/>
      <c r="WWP25" s="55"/>
      <c r="WWQ25" s="55"/>
      <c r="WWR25" s="55"/>
      <c r="WWS25" s="55"/>
      <c r="WWT25" s="55"/>
      <c r="WWU25" s="55"/>
      <c r="WWV25" s="55"/>
      <c r="WWW25" s="55"/>
      <c r="WWX25" s="55"/>
      <c r="WWY25" s="55"/>
      <c r="WWZ25" s="55"/>
      <c r="WXA25" s="55"/>
      <c r="WXB25" s="55"/>
      <c r="WXC25" s="55"/>
      <c r="WXD25" s="55"/>
      <c r="WXE25" s="55"/>
      <c r="WXF25" s="55"/>
      <c r="WXG25" s="55"/>
      <c r="WXH25" s="55"/>
      <c r="WXI25" s="55"/>
      <c r="WXJ25" s="55"/>
      <c r="WXK25" s="55"/>
      <c r="WXL25" s="55"/>
      <c r="WXM25" s="55"/>
      <c r="WXN25" s="55"/>
      <c r="WXO25" s="55"/>
      <c r="WXP25" s="55"/>
      <c r="WXQ25" s="55"/>
      <c r="WXR25" s="55"/>
      <c r="WXS25" s="55"/>
      <c r="WXT25" s="55"/>
      <c r="WXU25" s="55"/>
      <c r="WXV25" s="55"/>
      <c r="WXW25" s="55"/>
      <c r="WXX25" s="55"/>
      <c r="WXY25" s="55"/>
      <c r="WXZ25" s="55"/>
      <c r="WYA25" s="55"/>
      <c r="WYB25" s="55"/>
      <c r="WYC25" s="55"/>
      <c r="WYD25" s="55"/>
      <c r="WYE25" s="55"/>
      <c r="WYF25" s="55"/>
      <c r="WYG25" s="55"/>
      <c r="WYH25" s="55"/>
      <c r="WYI25" s="55"/>
      <c r="WYJ25" s="55"/>
      <c r="WYK25" s="55"/>
      <c r="WYL25" s="55"/>
      <c r="WYM25" s="55"/>
      <c r="WYN25" s="55"/>
      <c r="WYO25" s="55"/>
      <c r="WYP25" s="55"/>
      <c r="WYQ25" s="55"/>
      <c r="WYR25" s="55"/>
      <c r="WYS25" s="55"/>
      <c r="WYT25" s="55"/>
      <c r="WYU25" s="55"/>
      <c r="WYV25" s="55"/>
      <c r="WYW25" s="55"/>
      <c r="WYX25" s="55"/>
      <c r="WYY25" s="55"/>
      <c r="WYZ25" s="55"/>
      <c r="WZA25" s="55"/>
      <c r="WZB25" s="55"/>
      <c r="WZC25" s="55"/>
      <c r="WZD25" s="55"/>
      <c r="WZE25" s="55"/>
      <c r="WZF25" s="55"/>
      <c r="WZG25" s="55"/>
      <c r="WZH25" s="55"/>
      <c r="WZI25" s="55"/>
      <c r="WZJ25" s="55"/>
      <c r="WZK25" s="55"/>
      <c r="WZL25" s="55"/>
      <c r="WZM25" s="55"/>
      <c r="WZN25" s="55"/>
      <c r="WZO25" s="55"/>
      <c r="WZP25" s="55"/>
      <c r="WZQ25" s="55"/>
      <c r="WZR25" s="55"/>
      <c r="WZS25" s="55"/>
      <c r="WZT25" s="55"/>
      <c r="WZU25" s="55"/>
      <c r="WZV25" s="55"/>
      <c r="WZW25" s="55"/>
      <c r="WZX25" s="55"/>
      <c r="WZY25" s="55"/>
      <c r="WZZ25" s="55"/>
      <c r="XAA25" s="55"/>
      <c r="XAB25" s="55"/>
      <c r="XAC25" s="55"/>
      <c r="XAD25" s="55"/>
      <c r="XAE25" s="55"/>
      <c r="XAF25" s="55"/>
      <c r="XAG25" s="55"/>
      <c r="XAH25" s="55"/>
      <c r="XAI25" s="55"/>
      <c r="XAJ25" s="55"/>
      <c r="XAK25" s="55"/>
      <c r="XAL25" s="55"/>
      <c r="XAM25" s="55"/>
      <c r="XAN25" s="55"/>
      <c r="XAO25" s="55"/>
      <c r="XAP25" s="55"/>
      <c r="XAQ25" s="55"/>
      <c r="XAR25" s="55"/>
      <c r="XAS25" s="55"/>
      <c r="XAT25" s="55"/>
      <c r="XAU25" s="55"/>
      <c r="XAV25" s="55"/>
      <c r="XAW25" s="55"/>
      <c r="XAX25" s="55"/>
      <c r="XAY25" s="55"/>
      <c r="XAZ25" s="55"/>
      <c r="XBA25" s="55"/>
      <c r="XBB25" s="55"/>
      <c r="XBC25" s="55"/>
      <c r="XBD25" s="55"/>
      <c r="XBE25" s="55"/>
      <c r="XBF25" s="55"/>
      <c r="XBG25" s="55"/>
      <c r="XBH25" s="55"/>
      <c r="XBI25" s="55"/>
      <c r="XBJ25" s="55"/>
      <c r="XBK25" s="55"/>
      <c r="XBL25" s="55"/>
      <c r="XBM25" s="55"/>
      <c r="XBN25" s="55"/>
      <c r="XBO25" s="55"/>
      <c r="XBP25" s="55"/>
      <c r="XBQ25" s="55"/>
      <c r="XBR25" s="55"/>
      <c r="XBS25" s="55"/>
      <c r="XBT25" s="55"/>
      <c r="XBU25" s="55"/>
      <c r="XBV25" s="55"/>
      <c r="XBW25" s="55"/>
      <c r="XBX25" s="55"/>
      <c r="XBY25" s="55"/>
      <c r="XBZ25" s="55"/>
      <c r="XCA25" s="55"/>
      <c r="XCB25" s="55"/>
      <c r="XCC25" s="55"/>
      <c r="XCD25" s="55"/>
      <c r="XCE25" s="55"/>
      <c r="XCF25" s="55"/>
      <c r="XCG25" s="55"/>
      <c r="XCH25" s="55"/>
      <c r="XCI25" s="55"/>
      <c r="XCJ25" s="55"/>
      <c r="XCK25" s="55"/>
      <c r="XCL25" s="55"/>
      <c r="XCM25" s="55"/>
      <c r="XCN25" s="55"/>
      <c r="XCO25" s="55"/>
      <c r="XCP25" s="55"/>
      <c r="XCQ25" s="55"/>
      <c r="XCR25" s="55"/>
      <c r="XCS25" s="55"/>
      <c r="XCT25" s="55"/>
      <c r="XCU25" s="55"/>
      <c r="XCV25" s="55"/>
      <c r="XCW25" s="55"/>
      <c r="XCX25" s="55"/>
      <c r="XCY25" s="55"/>
      <c r="XCZ25" s="55"/>
      <c r="XDA25" s="55"/>
      <c r="XDB25" s="55"/>
      <c r="XDC25" s="55"/>
      <c r="XDD25" s="55"/>
      <c r="XDE25" s="55"/>
      <c r="XDF25" s="55"/>
      <c r="XDG25" s="55"/>
      <c r="XDH25" s="55"/>
      <c r="XDI25" s="55"/>
      <c r="XDJ25" s="55"/>
      <c r="XDK25" s="55"/>
      <c r="XDL25" s="55"/>
      <c r="XDM25" s="55"/>
      <c r="XDN25" s="55"/>
      <c r="XDO25" s="55"/>
      <c r="XDP25" s="55"/>
      <c r="XDQ25" s="55"/>
      <c r="XDR25" s="55"/>
      <c r="XDS25" s="55"/>
      <c r="XDT25" s="55"/>
      <c r="XDU25" s="55"/>
      <c r="XDV25" s="55"/>
      <c r="XDW25" s="55"/>
      <c r="XDX25" s="55"/>
      <c r="XDY25" s="55"/>
      <c r="XDZ25" s="55"/>
      <c r="XEA25" s="55"/>
      <c r="XEB25" s="55"/>
      <c r="XEC25" s="55"/>
      <c r="XED25" s="55"/>
      <c r="XEE25" s="55"/>
      <c r="XEF25" s="55"/>
      <c r="XEG25" s="55"/>
      <c r="XEH25" s="55"/>
      <c r="XEI25" s="55"/>
      <c r="XEJ25" s="55"/>
      <c r="XEK25" s="55"/>
      <c r="XEL25" s="55"/>
      <c r="XEM25" s="55"/>
      <c r="XEN25" s="55"/>
      <c r="XEO25" s="55"/>
      <c r="XEP25" s="55"/>
      <c r="XEQ25" s="55"/>
      <c r="XER25" s="55"/>
      <c r="XES25" s="55"/>
      <c r="XET25" s="55"/>
      <c r="XEU25" s="55"/>
      <c r="XEV25" s="55"/>
      <c r="XEW25" s="55"/>
      <c r="XEX25" s="55"/>
    </row>
    <row r="26" spans="1:16378" ht="18" customHeight="1" x14ac:dyDescent="0.2">
      <c r="A26" s="19"/>
      <c r="B26" s="42" t="s">
        <v>114</v>
      </c>
      <c r="C26" s="42"/>
      <c r="D26" s="116">
        <v>14320</v>
      </c>
      <c r="E26" s="116">
        <v>2180</v>
      </c>
      <c r="F26" s="84">
        <v>-986</v>
      </c>
      <c r="G26" s="84">
        <v>4685</v>
      </c>
      <c r="H26" s="84">
        <v>9060</v>
      </c>
      <c r="I26" s="84">
        <v>-4155</v>
      </c>
      <c r="J26" s="84">
        <v>-2183</v>
      </c>
      <c r="K26" s="84">
        <v>-6107</v>
      </c>
      <c r="L26" s="84">
        <v>19089</v>
      </c>
      <c r="M26" s="84">
        <v>-678</v>
      </c>
      <c r="N26" s="84">
        <v>4724</v>
      </c>
      <c r="O26" s="84">
        <v>777</v>
      </c>
      <c r="P26" s="84">
        <v>643</v>
      </c>
      <c r="Q26" s="84">
        <v>6498</v>
      </c>
      <c r="R26" s="84">
        <v>2134</v>
      </c>
      <c r="S26" s="84">
        <v>486</v>
      </c>
      <c r="T26" s="84">
        <v>6187</v>
      </c>
      <c r="U26" s="84">
        <v>2123</v>
      </c>
      <c r="V26" s="84">
        <v>6701</v>
      </c>
      <c r="W26" s="84">
        <v>1695</v>
      </c>
      <c r="X26" s="84">
        <v>2945</v>
      </c>
      <c r="Y26" s="84">
        <v>-3794</v>
      </c>
      <c r="Z26" s="84">
        <v>-1044</v>
      </c>
      <c r="AA26" s="84">
        <v>-30</v>
      </c>
      <c r="AB26" s="84">
        <v>3177</v>
      </c>
      <c r="AC26" s="84">
        <v>-2664</v>
      </c>
      <c r="AD26" s="84">
        <v>4498</v>
      </c>
      <c r="AE26" s="84">
        <v>-1255</v>
      </c>
      <c r="AF26" s="84">
        <v>234</v>
      </c>
      <c r="AG26" s="84">
        <v>-6087</v>
      </c>
      <c r="AH26" s="84">
        <v>-3513</v>
      </c>
      <c r="AI26" s="84">
        <v>-202</v>
      </c>
      <c r="AJ26" s="84">
        <v>2220</v>
      </c>
      <c r="AK26" s="84">
        <v>-5243</v>
      </c>
      <c r="AL26" s="84">
        <v>2998</v>
      </c>
      <c r="AM26" s="84">
        <v>5668</v>
      </c>
      <c r="AN26" s="84">
        <v>7645</v>
      </c>
      <c r="AO26" s="84">
        <v>-6695</v>
      </c>
      <c r="AP26" s="84">
        <v>-2914</v>
      </c>
      <c r="AQ26" s="84">
        <v>-294</v>
      </c>
      <c r="AR26" s="84">
        <v>7429</v>
      </c>
      <c r="AS26" s="84">
        <v>10250</v>
      </c>
      <c r="AT26" s="84">
        <v>17295</v>
      </c>
      <c r="AU26" s="84">
        <v>13670</v>
      </c>
      <c r="AV26" s="84">
        <v>8625</v>
      </c>
    </row>
    <row r="27" spans="1:16378" s="30" customFormat="1" ht="19.5" customHeight="1" x14ac:dyDescent="0.2">
      <c r="A27" s="27"/>
      <c r="B27" s="39" t="s">
        <v>116</v>
      </c>
      <c r="C27" s="39"/>
      <c r="D27" s="120">
        <v>-6508</v>
      </c>
      <c r="E27" s="120">
        <v>712</v>
      </c>
      <c r="F27" s="81">
        <v>3110</v>
      </c>
      <c r="G27" s="81">
        <v>3576</v>
      </c>
      <c r="H27" s="81">
        <v>-5616</v>
      </c>
      <c r="I27" s="83">
        <v>1234</v>
      </c>
      <c r="J27" s="83">
        <v>5002</v>
      </c>
      <c r="K27" s="83">
        <v>107</v>
      </c>
      <c r="L27" s="83">
        <v>-1385</v>
      </c>
      <c r="M27" s="83">
        <v>-746</v>
      </c>
      <c r="N27" s="83">
        <v>4743</v>
      </c>
      <c r="O27" s="83">
        <v>-1615</v>
      </c>
      <c r="P27" s="83">
        <v>403</v>
      </c>
      <c r="Q27" s="83">
        <v>1286</v>
      </c>
      <c r="R27" s="83">
        <v>382</v>
      </c>
      <c r="S27" s="83">
        <v>-235</v>
      </c>
      <c r="T27" s="83">
        <v>-338</v>
      </c>
      <c r="U27" s="83">
        <v>-436</v>
      </c>
      <c r="V27" s="83">
        <v>-714</v>
      </c>
      <c r="W27" s="83">
        <v>-279</v>
      </c>
      <c r="X27" s="83">
        <v>200</v>
      </c>
      <c r="Y27" s="83">
        <v>-2654</v>
      </c>
      <c r="Z27" s="83">
        <v>-729</v>
      </c>
      <c r="AA27" s="83">
        <v>-83</v>
      </c>
      <c r="AB27" s="83">
        <v>-383</v>
      </c>
      <c r="AC27" s="83">
        <v>-1170</v>
      </c>
      <c r="AD27" s="83">
        <v>196</v>
      </c>
      <c r="AE27" s="83">
        <v>53</v>
      </c>
      <c r="AF27" s="83">
        <v>-614</v>
      </c>
      <c r="AG27" s="83">
        <v>-2070</v>
      </c>
      <c r="AH27" s="83">
        <v>335</v>
      </c>
      <c r="AI27" s="83">
        <v>374</v>
      </c>
      <c r="AJ27" s="83">
        <v>-391</v>
      </c>
      <c r="AK27" s="83">
        <v>-2959</v>
      </c>
      <c r="AL27" s="83">
        <v>-1219</v>
      </c>
      <c r="AM27" s="83">
        <v>-694</v>
      </c>
      <c r="AN27" s="83">
        <v>1114</v>
      </c>
      <c r="AO27" s="83">
        <v>-4164</v>
      </c>
      <c r="AP27" s="83">
        <v>528</v>
      </c>
      <c r="AQ27" s="83">
        <v>-61</v>
      </c>
      <c r="AR27" s="83">
        <v>2335</v>
      </c>
      <c r="AS27" s="83">
        <v>3192</v>
      </c>
      <c r="AT27" s="83">
        <v>1081</v>
      </c>
      <c r="AU27" s="83">
        <v>-52</v>
      </c>
      <c r="AV27" s="83">
        <v>-927</v>
      </c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</row>
    <row r="28" spans="1:16378" ht="18" customHeight="1" x14ac:dyDescent="0.2">
      <c r="A28" s="19"/>
      <c r="B28" s="42" t="s">
        <v>118</v>
      </c>
      <c r="C28" s="42"/>
      <c r="D28" s="116">
        <v>-95945</v>
      </c>
      <c r="E28" s="116">
        <v>-35784</v>
      </c>
      <c r="F28" s="84">
        <v>-74735</v>
      </c>
      <c r="G28" s="84">
        <v>-98054</v>
      </c>
      <c r="H28" s="84">
        <v>-142339</v>
      </c>
      <c r="I28" s="84">
        <v>-40299</v>
      </c>
      <c r="J28" s="84">
        <v>-40501</v>
      </c>
      <c r="K28" s="84">
        <v>42883</v>
      </c>
      <c r="L28" s="84">
        <v>-7515</v>
      </c>
      <c r="M28" s="84">
        <v>-29264</v>
      </c>
      <c r="N28" s="84">
        <v>-32087</v>
      </c>
      <c r="O28" s="84">
        <v>-44018</v>
      </c>
      <c r="P28" s="84">
        <v>4879</v>
      </c>
      <c r="Q28" s="84">
        <v>-27806</v>
      </c>
      <c r="R28" s="84">
        <v>-16398</v>
      </c>
      <c r="S28" s="84">
        <v>-31620</v>
      </c>
      <c r="T28" s="84">
        <v>-20049</v>
      </c>
      <c r="U28" s="84">
        <v>-38839</v>
      </c>
      <c r="V28" s="84">
        <v>-17576</v>
      </c>
      <c r="W28" s="84">
        <v>-13929</v>
      </c>
      <c r="X28" s="84">
        <v>-6781</v>
      </c>
      <c r="Y28" s="84">
        <v>-56017</v>
      </c>
      <c r="Z28" s="84">
        <v>-12468</v>
      </c>
      <c r="AA28" s="84">
        <v>-13519</v>
      </c>
      <c r="AB28" s="84">
        <v>-21149</v>
      </c>
      <c r="AC28" s="84">
        <v>-77114</v>
      </c>
      <c r="AD28" s="84">
        <v>-14489</v>
      </c>
      <c r="AE28" s="84">
        <v>-14465</v>
      </c>
      <c r="AF28" s="84">
        <v>-24651</v>
      </c>
      <c r="AG28" s="84">
        <v>-66132</v>
      </c>
      <c r="AH28" s="84">
        <v>-9719</v>
      </c>
      <c r="AI28" s="84">
        <v>-3863</v>
      </c>
      <c r="AJ28" s="84">
        <v>-24546</v>
      </c>
      <c r="AK28" s="84">
        <v>-21915</v>
      </c>
      <c r="AL28" s="84">
        <v>-7927</v>
      </c>
      <c r="AM28" s="84">
        <v>-4909</v>
      </c>
      <c r="AN28" s="84">
        <v>-3823</v>
      </c>
      <c r="AO28" s="84">
        <v>-7887</v>
      </c>
      <c r="AP28" s="84">
        <v>-13809</v>
      </c>
      <c r="AQ28" s="84">
        <v>-12565</v>
      </c>
      <c r="AR28" s="84">
        <v>-3376</v>
      </c>
      <c r="AS28" s="84">
        <v>-34722</v>
      </c>
      <c r="AT28" s="84">
        <v>-21593</v>
      </c>
      <c r="AU28" s="84">
        <v>-15654</v>
      </c>
      <c r="AV28" s="84">
        <v>-8219</v>
      </c>
    </row>
    <row r="29" spans="1:16378" s="30" customFormat="1" ht="19.5" customHeight="1" x14ac:dyDescent="0.2">
      <c r="A29" s="27"/>
      <c r="B29" s="39" t="s">
        <v>119</v>
      </c>
      <c r="C29" s="39"/>
      <c r="D29" s="120">
        <v>-1562</v>
      </c>
      <c r="E29" s="120">
        <v>-24342</v>
      </c>
      <c r="F29" s="81">
        <v>1679</v>
      </c>
      <c r="G29" s="81">
        <v>2074</v>
      </c>
      <c r="H29" s="81">
        <v>-1352</v>
      </c>
      <c r="I29" s="83">
        <v>2473</v>
      </c>
      <c r="J29" s="83">
        <v>10748</v>
      </c>
      <c r="K29" s="83">
        <v>12729</v>
      </c>
      <c r="L29" s="83">
        <v>-1240</v>
      </c>
      <c r="M29" s="83">
        <v>-4104</v>
      </c>
      <c r="N29" s="83">
        <v>4013</v>
      </c>
      <c r="O29" s="83">
        <v>-2975</v>
      </c>
      <c r="P29" s="83">
        <v>-3516</v>
      </c>
      <c r="Q29" s="83">
        <v>13871</v>
      </c>
      <c r="R29" s="83">
        <v>5690</v>
      </c>
      <c r="S29" s="83">
        <v>3085</v>
      </c>
      <c r="T29" s="83">
        <v>388</v>
      </c>
      <c r="U29" s="83">
        <v>7939</v>
      </c>
      <c r="V29" s="83">
        <v>7084</v>
      </c>
      <c r="W29" s="83">
        <v>3710</v>
      </c>
      <c r="X29" s="83">
        <v>1848</v>
      </c>
      <c r="Y29" s="83">
        <v>5429</v>
      </c>
      <c r="Z29" s="83">
        <v>-770</v>
      </c>
      <c r="AA29" s="83">
        <v>-1919</v>
      </c>
      <c r="AB29" s="83">
        <v>260</v>
      </c>
      <c r="AC29" s="83">
        <v>-79</v>
      </c>
      <c r="AD29" s="83">
        <v>582</v>
      </c>
      <c r="AE29" s="83">
        <v>-1056</v>
      </c>
      <c r="AF29" s="83">
        <v>-515</v>
      </c>
      <c r="AG29" s="83">
        <v>5581</v>
      </c>
      <c r="AH29" s="83">
        <v>650</v>
      </c>
      <c r="AI29" s="83">
        <v>1597</v>
      </c>
      <c r="AJ29" s="83">
        <v>-30</v>
      </c>
      <c r="AK29" s="83">
        <v>-6175</v>
      </c>
      <c r="AL29" s="83">
        <v>-6334</v>
      </c>
      <c r="AM29" s="83">
        <v>-4493</v>
      </c>
      <c r="AN29" s="83">
        <v>-1764</v>
      </c>
      <c r="AO29" s="83">
        <v>1910</v>
      </c>
      <c r="AP29" s="83">
        <v>-4213</v>
      </c>
      <c r="AQ29" s="83">
        <v>2280</v>
      </c>
      <c r="AR29" s="83">
        <v>-2615</v>
      </c>
      <c r="AS29" s="83">
        <v>-739</v>
      </c>
      <c r="AT29" s="83">
        <v>-2428</v>
      </c>
      <c r="AU29" s="83">
        <v>-245</v>
      </c>
      <c r="AV29" s="83">
        <v>-3451</v>
      </c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</row>
    <row r="30" spans="1:16378" ht="18" customHeight="1" x14ac:dyDescent="0.2">
      <c r="A30" s="19"/>
      <c r="B30" s="42" t="s">
        <v>120</v>
      </c>
      <c r="C30" s="42"/>
      <c r="D30" s="116">
        <v>590</v>
      </c>
      <c r="E30" s="116">
        <v>-4532</v>
      </c>
      <c r="F30" s="84">
        <v>-247</v>
      </c>
      <c r="G30" s="84">
        <v>1139</v>
      </c>
      <c r="H30" s="84">
        <v>-1487</v>
      </c>
      <c r="I30" s="84">
        <v>-15589</v>
      </c>
      <c r="J30" s="84">
        <v>4462</v>
      </c>
      <c r="K30" s="84">
        <v>-1256</v>
      </c>
      <c r="L30" s="84">
        <v>-2171</v>
      </c>
      <c r="M30" s="84">
        <v>9054</v>
      </c>
      <c r="N30" s="84">
        <v>-215</v>
      </c>
      <c r="O30" s="84">
        <v>1173</v>
      </c>
      <c r="P30" s="84">
        <v>844</v>
      </c>
      <c r="Q30" s="84">
        <v>710</v>
      </c>
      <c r="R30" s="84">
        <v>236</v>
      </c>
      <c r="S30" s="84">
        <v>-1836</v>
      </c>
      <c r="T30" s="84" t="s">
        <v>1</v>
      </c>
      <c r="U30" s="84">
        <v>7229</v>
      </c>
      <c r="V30" s="84">
        <v>3782</v>
      </c>
      <c r="W30" s="84">
        <v>387</v>
      </c>
      <c r="X30" s="84">
        <v>942</v>
      </c>
      <c r="Y30" s="84">
        <v>1738</v>
      </c>
      <c r="Z30" s="84">
        <v>927</v>
      </c>
      <c r="AA30" s="84">
        <v>549</v>
      </c>
      <c r="AB30" s="84">
        <v>-179</v>
      </c>
      <c r="AC30" s="84">
        <v>-2907</v>
      </c>
      <c r="AD30" s="84">
        <v>-1268</v>
      </c>
      <c r="AE30" s="84">
        <v>-3505</v>
      </c>
      <c r="AF30" s="84">
        <v>-405</v>
      </c>
      <c r="AG30" s="84">
        <v>-4894</v>
      </c>
      <c r="AH30" s="84">
        <v>2710</v>
      </c>
      <c r="AI30" s="84">
        <v>-2224</v>
      </c>
      <c r="AJ30" s="84">
        <v>-4326</v>
      </c>
      <c r="AK30" s="84">
        <v>4523</v>
      </c>
      <c r="AL30" s="84">
        <v>6617</v>
      </c>
      <c r="AM30" s="84">
        <v>3599</v>
      </c>
      <c r="AN30" s="84">
        <v>3044</v>
      </c>
      <c r="AO30" s="84">
        <v>-954</v>
      </c>
      <c r="AP30" s="84">
        <v>2009</v>
      </c>
      <c r="AQ30" s="84">
        <v>-5946</v>
      </c>
      <c r="AR30" s="84">
        <v>-1254</v>
      </c>
      <c r="AS30" s="84">
        <v>4106</v>
      </c>
      <c r="AT30" s="84">
        <v>4710</v>
      </c>
      <c r="AU30" s="84">
        <v>4858</v>
      </c>
      <c r="AV30" s="84">
        <v>550</v>
      </c>
    </row>
    <row r="31" spans="1:16378" s="30" customFormat="1" ht="19.5" customHeight="1" x14ac:dyDescent="0.2">
      <c r="A31" s="27"/>
      <c r="B31" s="39" t="s">
        <v>152</v>
      </c>
      <c r="C31" s="39"/>
      <c r="D31" s="120" t="s">
        <v>1</v>
      </c>
      <c r="E31" s="120" t="s">
        <v>1</v>
      </c>
      <c r="F31" s="81" t="s">
        <v>1</v>
      </c>
      <c r="G31" s="81" t="s">
        <v>1</v>
      </c>
      <c r="H31" s="81" t="s">
        <v>1</v>
      </c>
      <c r="I31" s="83" t="s">
        <v>1</v>
      </c>
      <c r="J31" s="83" t="s">
        <v>1</v>
      </c>
      <c r="K31" s="83" t="s">
        <v>1</v>
      </c>
      <c r="L31" s="83" t="s">
        <v>1</v>
      </c>
      <c r="M31" s="83" t="s">
        <v>1</v>
      </c>
      <c r="N31" s="83" t="s">
        <v>1</v>
      </c>
      <c r="O31" s="83" t="s">
        <v>1</v>
      </c>
      <c r="P31" s="83" t="s">
        <v>1</v>
      </c>
      <c r="Q31" s="83" t="s">
        <v>1</v>
      </c>
      <c r="R31" s="83" t="s">
        <v>1</v>
      </c>
      <c r="S31" s="83" t="s">
        <v>1</v>
      </c>
      <c r="T31" s="83">
        <v>1265</v>
      </c>
      <c r="U31" s="83">
        <v>-622</v>
      </c>
      <c r="V31" s="83">
        <v>-622</v>
      </c>
      <c r="W31" s="83">
        <v>-622</v>
      </c>
      <c r="X31" s="83">
        <v>-622</v>
      </c>
      <c r="Y31" s="83" t="s">
        <v>1</v>
      </c>
      <c r="Z31" s="83" t="s">
        <v>1</v>
      </c>
      <c r="AA31" s="83" t="s">
        <v>1</v>
      </c>
      <c r="AB31" s="83" t="s">
        <v>1</v>
      </c>
      <c r="AC31" s="83" t="s">
        <v>1</v>
      </c>
      <c r="AD31" s="83" t="s">
        <v>1</v>
      </c>
      <c r="AE31" s="83" t="s">
        <v>1</v>
      </c>
      <c r="AF31" s="83" t="s">
        <v>1</v>
      </c>
      <c r="AG31" s="83" t="s">
        <v>1</v>
      </c>
      <c r="AH31" s="83" t="s">
        <v>1</v>
      </c>
      <c r="AI31" s="83" t="s">
        <v>1</v>
      </c>
      <c r="AJ31" s="83" t="s">
        <v>1</v>
      </c>
      <c r="AK31" s="83" t="s">
        <v>1</v>
      </c>
      <c r="AL31" s="83" t="s">
        <v>1</v>
      </c>
      <c r="AM31" s="83" t="s">
        <v>1</v>
      </c>
      <c r="AN31" s="83" t="s">
        <v>1</v>
      </c>
      <c r="AO31" s="83" t="s">
        <v>1</v>
      </c>
      <c r="AP31" s="83" t="s">
        <v>1</v>
      </c>
      <c r="AQ31" s="83" t="s">
        <v>1</v>
      </c>
      <c r="AR31" s="83">
        <v>-434</v>
      </c>
      <c r="AS31" s="83">
        <v>-380</v>
      </c>
      <c r="AT31" s="83">
        <v>-146</v>
      </c>
      <c r="AU31" s="83" t="s">
        <v>1</v>
      </c>
      <c r="AV31" s="83" t="s">
        <v>1</v>
      </c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</row>
    <row r="32" spans="1:16378" s="38" customFormat="1" ht="16.5" customHeight="1" x14ac:dyDescent="0.2">
      <c r="A32" s="34"/>
      <c r="B32" s="68" t="s">
        <v>154</v>
      </c>
      <c r="C32" s="68"/>
      <c r="D32" s="100">
        <f t="shared" ref="D32" si="12">D6+D18+D25+D4</f>
        <v>-11115</v>
      </c>
      <c r="E32" s="100">
        <f t="shared" ref="E32" si="13">E6+E18+E25+E4</f>
        <v>8378</v>
      </c>
      <c r="F32" s="100">
        <v>-1543</v>
      </c>
      <c r="G32" s="100">
        <f t="shared" ref="G32:X32" si="14">G6+G18+G25+G4</f>
        <v>-93856</v>
      </c>
      <c r="H32" s="100">
        <f t="shared" si="14"/>
        <v>-70585</v>
      </c>
      <c r="I32" s="100">
        <f t="shared" si="14"/>
        <v>38199</v>
      </c>
      <c r="J32" s="100">
        <f t="shared" si="14"/>
        <v>10861</v>
      </c>
      <c r="K32" s="100">
        <f t="shared" si="14"/>
        <v>-21160</v>
      </c>
      <c r="L32" s="100">
        <f t="shared" si="14"/>
        <v>31269</v>
      </c>
      <c r="M32" s="100">
        <f t="shared" si="14"/>
        <v>9428</v>
      </c>
      <c r="N32" s="100">
        <f t="shared" si="14"/>
        <v>5157</v>
      </c>
      <c r="O32" s="100">
        <f t="shared" si="14"/>
        <v>-20796</v>
      </c>
      <c r="P32" s="100">
        <f t="shared" si="14"/>
        <v>-5560</v>
      </c>
      <c r="Q32" s="100">
        <f t="shared" si="14"/>
        <v>71461</v>
      </c>
      <c r="R32" s="100">
        <f t="shared" si="14"/>
        <v>15150</v>
      </c>
      <c r="S32" s="100">
        <f t="shared" si="14"/>
        <v>10377</v>
      </c>
      <c r="T32" s="100">
        <f t="shared" si="14"/>
        <v>26945</v>
      </c>
      <c r="U32" s="100">
        <f t="shared" si="14"/>
        <v>155121</v>
      </c>
      <c r="V32" s="100">
        <f t="shared" si="14"/>
        <v>132871</v>
      </c>
      <c r="W32" s="100">
        <f t="shared" si="14"/>
        <v>98198</v>
      </c>
      <c r="X32" s="100">
        <f t="shared" si="14"/>
        <v>46634</v>
      </c>
      <c r="Y32" s="100">
        <v>56340</v>
      </c>
      <c r="Z32" s="100">
        <v>4278</v>
      </c>
      <c r="AA32" s="100">
        <f>AA6+AA18+AA25+AA4</f>
        <v>10186</v>
      </c>
      <c r="AB32" s="100">
        <f>AB6+AB18+AB25+AB4</f>
        <v>35862</v>
      </c>
      <c r="AC32" s="100">
        <v>189557</v>
      </c>
      <c r="AD32" s="100">
        <f t="shared" ref="AD32:AV32" si="15">AD6+AD18+AD25+AD4</f>
        <v>41687</v>
      </c>
      <c r="AE32" s="100">
        <f t="shared" si="15"/>
        <v>59898</v>
      </c>
      <c r="AF32" s="100">
        <f t="shared" si="15"/>
        <v>64058</v>
      </c>
      <c r="AG32" s="100">
        <f t="shared" si="15"/>
        <v>428859</v>
      </c>
      <c r="AH32" s="100">
        <f t="shared" si="15"/>
        <v>142982</v>
      </c>
      <c r="AI32" s="100">
        <f t="shared" si="15"/>
        <v>143791</v>
      </c>
      <c r="AJ32" s="100">
        <f t="shared" si="15"/>
        <v>55826</v>
      </c>
      <c r="AK32" s="100">
        <f t="shared" si="15"/>
        <v>246374</v>
      </c>
      <c r="AL32" s="100">
        <f t="shared" si="15"/>
        <v>193378</v>
      </c>
      <c r="AM32" s="100">
        <f t="shared" si="15"/>
        <v>108075</v>
      </c>
      <c r="AN32" s="100">
        <f t="shared" si="15"/>
        <v>84787</v>
      </c>
      <c r="AO32" s="100">
        <f t="shared" si="15"/>
        <v>33856</v>
      </c>
      <c r="AP32" s="100">
        <f t="shared" si="15"/>
        <v>71267</v>
      </c>
      <c r="AQ32" s="100">
        <f t="shared" si="15"/>
        <v>1527</v>
      </c>
      <c r="AR32" s="100">
        <f t="shared" si="15"/>
        <v>-49038</v>
      </c>
      <c r="AS32" s="100">
        <f t="shared" si="15"/>
        <v>-454981</v>
      </c>
      <c r="AT32" s="100">
        <f t="shared" si="15"/>
        <v>-208937</v>
      </c>
      <c r="AU32" s="100">
        <f t="shared" si="15"/>
        <v>-118975</v>
      </c>
      <c r="AV32" s="100">
        <f t="shared" si="15"/>
        <v>-60471</v>
      </c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</row>
    <row r="33" spans="1:92" s="30" customFormat="1" ht="19.5" customHeight="1" x14ac:dyDescent="0.2">
      <c r="A33" s="27"/>
      <c r="B33" s="39" t="s">
        <v>155</v>
      </c>
      <c r="C33" s="39"/>
      <c r="D33" s="120">
        <v>-4571</v>
      </c>
      <c r="E33" s="120">
        <v>-5242</v>
      </c>
      <c r="F33" s="81">
        <v>-4943</v>
      </c>
      <c r="G33" s="81">
        <v>-2708</v>
      </c>
      <c r="H33" s="81">
        <v>-4306</v>
      </c>
      <c r="I33" s="83">
        <v>-4366</v>
      </c>
      <c r="J33" s="83">
        <v>-3139</v>
      </c>
      <c r="K33" s="83">
        <v>-3890</v>
      </c>
      <c r="L33" s="83">
        <v>-3327</v>
      </c>
      <c r="M33" s="83">
        <v>-2748</v>
      </c>
      <c r="N33" s="83">
        <v>-3640</v>
      </c>
      <c r="O33" s="83">
        <v>-2326</v>
      </c>
      <c r="P33" s="83">
        <v>-1955</v>
      </c>
      <c r="Q33" s="83">
        <v>-9101</v>
      </c>
      <c r="R33" s="83">
        <v>-2204</v>
      </c>
      <c r="S33" s="83">
        <v>-2337</v>
      </c>
      <c r="T33" s="83">
        <v>-2310</v>
      </c>
      <c r="U33" s="83">
        <v>-8684</v>
      </c>
      <c r="V33" s="83">
        <v>-7351</v>
      </c>
      <c r="W33" s="83">
        <v>-4834</v>
      </c>
      <c r="X33" s="83">
        <v>-2280</v>
      </c>
      <c r="Y33" s="83">
        <v>-9508</v>
      </c>
      <c r="Z33" s="83">
        <v>-1846</v>
      </c>
      <c r="AA33" s="83">
        <v>-2518</v>
      </c>
      <c r="AB33" s="83">
        <v>-2890</v>
      </c>
      <c r="AC33" s="83">
        <v>-15845</v>
      </c>
      <c r="AD33" s="83">
        <v>-3494</v>
      </c>
      <c r="AE33" s="83">
        <v>-3977</v>
      </c>
      <c r="AF33" s="83">
        <v>-5101</v>
      </c>
      <c r="AG33" s="83">
        <v>-25107</v>
      </c>
      <c r="AH33" s="83">
        <v>-7275</v>
      </c>
      <c r="AI33" s="83">
        <v>-6033</v>
      </c>
      <c r="AJ33" s="83">
        <v>-6259</v>
      </c>
      <c r="AK33" s="83">
        <v>-28467</v>
      </c>
      <c r="AL33" s="83">
        <v>-22157</v>
      </c>
      <c r="AM33" s="83">
        <v>-15932</v>
      </c>
      <c r="AN33" s="83">
        <v>-7878</v>
      </c>
      <c r="AO33" s="83">
        <v>-7978</v>
      </c>
      <c r="AP33" s="83">
        <v>-8119</v>
      </c>
      <c r="AQ33" s="83">
        <v>-5116</v>
      </c>
      <c r="AR33" s="83">
        <v>-4665</v>
      </c>
      <c r="AS33" s="83">
        <v>-14606</v>
      </c>
      <c r="AT33" s="83" t="s">
        <v>1</v>
      </c>
      <c r="AU33" s="83" t="s">
        <v>1</v>
      </c>
      <c r="AV33" s="83" t="s">
        <v>1</v>
      </c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</row>
    <row r="34" spans="1:92" ht="18" customHeight="1" x14ac:dyDescent="0.2">
      <c r="A34" s="19"/>
      <c r="B34" s="42" t="s">
        <v>181</v>
      </c>
      <c r="C34" s="42"/>
      <c r="D34" s="116">
        <v>-2723</v>
      </c>
      <c r="E34" s="116">
        <v>-11740</v>
      </c>
      <c r="F34" s="84" t="s">
        <v>1</v>
      </c>
      <c r="G34" s="84" t="s">
        <v>1</v>
      </c>
      <c r="H34" s="84" t="s">
        <v>1</v>
      </c>
      <c r="I34" s="84" t="s">
        <v>1</v>
      </c>
      <c r="J34" s="84" t="s">
        <v>1</v>
      </c>
      <c r="K34" s="84" t="s">
        <v>1</v>
      </c>
      <c r="L34" s="84" t="s">
        <v>1</v>
      </c>
      <c r="M34" s="84" t="s">
        <v>1</v>
      </c>
      <c r="N34" s="84" t="s">
        <v>1</v>
      </c>
      <c r="O34" s="84" t="s">
        <v>1</v>
      </c>
      <c r="P34" s="84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4" t="s">
        <v>1</v>
      </c>
      <c r="V34" s="84" t="s">
        <v>1</v>
      </c>
      <c r="W34" s="84" t="s">
        <v>1</v>
      </c>
      <c r="X34" s="84" t="s">
        <v>1</v>
      </c>
      <c r="Y34" s="84" t="s">
        <v>1</v>
      </c>
      <c r="Z34" s="84" t="s">
        <v>1</v>
      </c>
      <c r="AA34" s="84" t="s">
        <v>1</v>
      </c>
      <c r="AB34" s="84" t="s">
        <v>1</v>
      </c>
      <c r="AC34" s="84" t="s">
        <v>1</v>
      </c>
      <c r="AD34" s="84" t="s">
        <v>1</v>
      </c>
      <c r="AE34" s="84" t="s">
        <v>1</v>
      </c>
      <c r="AF34" s="84" t="s">
        <v>1</v>
      </c>
      <c r="AG34" s="84" t="s">
        <v>1</v>
      </c>
      <c r="AH34" s="84" t="s">
        <v>1</v>
      </c>
      <c r="AI34" s="84" t="s">
        <v>1</v>
      </c>
      <c r="AJ34" s="84" t="s">
        <v>1</v>
      </c>
      <c r="AK34" s="84" t="s">
        <v>1</v>
      </c>
      <c r="AL34" s="84" t="s">
        <v>1</v>
      </c>
      <c r="AM34" s="84" t="s">
        <v>1</v>
      </c>
      <c r="AN34" s="84" t="s">
        <v>1</v>
      </c>
      <c r="AO34" s="84" t="s">
        <v>1</v>
      </c>
      <c r="AP34" s="84" t="s">
        <v>1</v>
      </c>
      <c r="AQ34" s="84" t="s">
        <v>1</v>
      </c>
      <c r="AR34" s="84" t="s">
        <v>1</v>
      </c>
      <c r="AS34" s="84" t="s">
        <v>1</v>
      </c>
      <c r="AT34" s="84" t="s">
        <v>1</v>
      </c>
      <c r="AU34" s="84" t="s">
        <v>1</v>
      </c>
      <c r="AV34" s="84" t="s">
        <v>1</v>
      </c>
    </row>
    <row r="35" spans="1:92" s="38" customFormat="1" ht="16.5" customHeight="1" x14ac:dyDescent="0.2">
      <c r="A35" s="34"/>
      <c r="B35" s="68" t="s">
        <v>156</v>
      </c>
      <c r="C35" s="68"/>
      <c r="D35" s="100">
        <f>SUM(D32:D34)</f>
        <v>-18409</v>
      </c>
      <c r="E35" s="100">
        <f>SUM(E32:E34)</f>
        <v>-8604</v>
      </c>
      <c r="F35" s="100">
        <v>-6486</v>
      </c>
      <c r="G35" s="100">
        <f>SUM(G32:G33)</f>
        <v>-96564</v>
      </c>
      <c r="H35" s="100">
        <f>SUM(H32:H33)</f>
        <v>-74891</v>
      </c>
      <c r="I35" s="100">
        <f>SUM(I32:I33)</f>
        <v>33833</v>
      </c>
      <c r="J35" s="100">
        <f>SUM(J32:J33)+13</f>
        <v>7735</v>
      </c>
      <c r="K35" s="100">
        <f t="shared" ref="K35:X35" si="16">SUM(K32:K33)</f>
        <v>-25050</v>
      </c>
      <c r="L35" s="100">
        <f t="shared" si="16"/>
        <v>27942</v>
      </c>
      <c r="M35" s="100">
        <f t="shared" si="16"/>
        <v>6680</v>
      </c>
      <c r="N35" s="100">
        <f t="shared" si="16"/>
        <v>1517</v>
      </c>
      <c r="O35" s="100">
        <f t="shared" si="16"/>
        <v>-23122</v>
      </c>
      <c r="P35" s="100">
        <f t="shared" si="16"/>
        <v>-7515</v>
      </c>
      <c r="Q35" s="100">
        <f t="shared" si="16"/>
        <v>62360</v>
      </c>
      <c r="R35" s="100">
        <f t="shared" si="16"/>
        <v>12946</v>
      </c>
      <c r="S35" s="100">
        <f t="shared" si="16"/>
        <v>8040</v>
      </c>
      <c r="T35" s="100">
        <f t="shared" si="16"/>
        <v>24635</v>
      </c>
      <c r="U35" s="100">
        <f t="shared" si="16"/>
        <v>146437</v>
      </c>
      <c r="V35" s="100">
        <f t="shared" si="16"/>
        <v>125520</v>
      </c>
      <c r="W35" s="100">
        <f t="shared" si="16"/>
        <v>93364</v>
      </c>
      <c r="X35" s="100">
        <f t="shared" si="16"/>
        <v>44354</v>
      </c>
      <c r="Y35" s="100">
        <f t="shared" ref="Y35:AV35" si="17">SUM(Y32:Y33)</f>
        <v>46832</v>
      </c>
      <c r="Z35" s="100">
        <f t="shared" si="17"/>
        <v>2432</v>
      </c>
      <c r="AA35" s="100">
        <f>SUM(AA32:AA33)</f>
        <v>7668</v>
      </c>
      <c r="AB35" s="100">
        <f>SUM(AB32:AB33)</f>
        <v>32972</v>
      </c>
      <c r="AC35" s="100">
        <f t="shared" si="17"/>
        <v>173712</v>
      </c>
      <c r="AD35" s="100">
        <f t="shared" ref="AD35:AM35" si="18">SUM(AD32:AD33)</f>
        <v>38193</v>
      </c>
      <c r="AE35" s="100">
        <f t="shared" si="18"/>
        <v>55921</v>
      </c>
      <c r="AF35" s="100">
        <f t="shared" si="18"/>
        <v>58957</v>
      </c>
      <c r="AG35" s="100">
        <f t="shared" si="18"/>
        <v>403752</v>
      </c>
      <c r="AH35" s="100">
        <f t="shared" si="18"/>
        <v>135707</v>
      </c>
      <c r="AI35" s="100">
        <f t="shared" si="18"/>
        <v>137758</v>
      </c>
      <c r="AJ35" s="100">
        <f t="shared" si="18"/>
        <v>49567</v>
      </c>
      <c r="AK35" s="100">
        <f t="shared" si="18"/>
        <v>217907</v>
      </c>
      <c r="AL35" s="100">
        <f t="shared" si="18"/>
        <v>171221</v>
      </c>
      <c r="AM35" s="100">
        <f t="shared" si="18"/>
        <v>92143</v>
      </c>
      <c r="AN35" s="100">
        <f>SUM(AN32:AN33)</f>
        <v>76909</v>
      </c>
      <c r="AO35" s="100">
        <f>SUM(AO32:AO33)</f>
        <v>25878</v>
      </c>
      <c r="AP35" s="100">
        <f t="shared" si="17"/>
        <v>63148</v>
      </c>
      <c r="AQ35" s="100">
        <f t="shared" si="17"/>
        <v>-3589</v>
      </c>
      <c r="AR35" s="100">
        <f t="shared" si="17"/>
        <v>-53703</v>
      </c>
      <c r="AS35" s="100">
        <f t="shared" si="17"/>
        <v>-469587</v>
      </c>
      <c r="AT35" s="100">
        <f t="shared" si="17"/>
        <v>-208937</v>
      </c>
      <c r="AU35" s="100">
        <f t="shared" si="17"/>
        <v>-118975</v>
      </c>
      <c r="AV35" s="100">
        <f t="shared" si="17"/>
        <v>-60471</v>
      </c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</row>
    <row r="36" spans="1:92" s="38" customFormat="1" ht="19.5" customHeight="1" x14ac:dyDescent="0.2">
      <c r="A36" s="34"/>
      <c r="B36" s="45" t="s">
        <v>157</v>
      </c>
      <c r="C36" s="45"/>
      <c r="D36" s="121"/>
      <c r="E36" s="121"/>
      <c r="F36" s="88"/>
      <c r="G36" s="88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</row>
    <row r="37" spans="1:92" ht="18" customHeight="1" x14ac:dyDescent="0.2">
      <c r="A37" s="19"/>
      <c r="B37" s="42" t="s">
        <v>158</v>
      </c>
      <c r="C37" s="42"/>
      <c r="D37" s="116">
        <v>6203</v>
      </c>
      <c r="E37" s="116">
        <v>7401</v>
      </c>
      <c r="F37" s="84">
        <v>6327</v>
      </c>
      <c r="G37" s="84">
        <v>453</v>
      </c>
      <c r="H37" s="84">
        <v>481</v>
      </c>
      <c r="I37" s="84">
        <v>-10227</v>
      </c>
      <c r="J37" s="84">
        <v>868</v>
      </c>
      <c r="K37" s="84">
        <v>-1179</v>
      </c>
      <c r="L37" s="84">
        <v>-4803</v>
      </c>
      <c r="M37" s="84">
        <v>-190</v>
      </c>
      <c r="N37" s="84">
        <v>2845</v>
      </c>
      <c r="O37" s="84">
        <v>325</v>
      </c>
      <c r="P37" s="84">
        <v>1116</v>
      </c>
      <c r="Q37" s="84">
        <v>-196</v>
      </c>
      <c r="R37" s="84">
        <v>126</v>
      </c>
      <c r="S37" s="84">
        <v>142</v>
      </c>
      <c r="T37" s="84">
        <v>-1536</v>
      </c>
      <c r="U37" s="84">
        <v>5392</v>
      </c>
      <c r="V37" s="84">
        <v>7825</v>
      </c>
      <c r="W37" s="84">
        <v>1539</v>
      </c>
      <c r="X37" s="84">
        <v>1100</v>
      </c>
      <c r="Y37" s="84">
        <v>17812</v>
      </c>
      <c r="Z37" s="84">
        <v>5599</v>
      </c>
      <c r="AA37" s="84">
        <v>1185</v>
      </c>
      <c r="AB37" s="84">
        <v>2765</v>
      </c>
      <c r="AC37" s="84">
        <v>20372</v>
      </c>
      <c r="AD37" s="84">
        <v>2504</v>
      </c>
      <c r="AE37" s="84">
        <v>7198</v>
      </c>
      <c r="AF37" s="84">
        <v>3176</v>
      </c>
      <c r="AG37" s="84">
        <v>33677</v>
      </c>
      <c r="AH37" s="84">
        <v>2817</v>
      </c>
      <c r="AI37" s="84">
        <v>8300</v>
      </c>
      <c r="AJ37" s="84">
        <v>10442</v>
      </c>
      <c r="AK37" s="84" t="s">
        <v>1</v>
      </c>
      <c r="AL37" s="84" t="s">
        <v>1</v>
      </c>
      <c r="AM37" s="84" t="s">
        <v>1</v>
      </c>
      <c r="AN37" s="84" t="s">
        <v>1</v>
      </c>
      <c r="AO37" s="84" t="s">
        <v>1</v>
      </c>
      <c r="AP37" s="84" t="s">
        <v>1</v>
      </c>
      <c r="AQ37" s="84" t="s">
        <v>1</v>
      </c>
      <c r="AR37" s="84" t="s">
        <v>1</v>
      </c>
      <c r="AS37" s="84" t="s">
        <v>1</v>
      </c>
      <c r="AT37" s="84" t="s">
        <v>1</v>
      </c>
      <c r="AU37" s="84" t="s">
        <v>1</v>
      </c>
      <c r="AV37" s="84" t="s">
        <v>1</v>
      </c>
    </row>
    <row r="38" spans="1:92" s="30" customFormat="1" ht="19.5" customHeight="1" x14ac:dyDescent="0.2">
      <c r="A38" s="27"/>
      <c r="B38" s="39" t="s">
        <v>159</v>
      </c>
      <c r="C38" s="39"/>
      <c r="D38" s="120">
        <v>-5847</v>
      </c>
      <c r="E38" s="120">
        <v>-6024</v>
      </c>
      <c r="F38" s="81">
        <v>-3399</v>
      </c>
      <c r="G38" s="81">
        <v>-3761</v>
      </c>
      <c r="H38" s="81">
        <v>-4445</v>
      </c>
      <c r="I38" s="83">
        <v>-3352</v>
      </c>
      <c r="J38" s="83">
        <v>-3349</v>
      </c>
      <c r="K38" s="83">
        <v>-3898</v>
      </c>
      <c r="L38" s="83">
        <v>-2603</v>
      </c>
      <c r="M38" s="83">
        <v>-2933</v>
      </c>
      <c r="N38" s="83">
        <v>-3803</v>
      </c>
      <c r="O38" s="83">
        <v>-984</v>
      </c>
      <c r="P38" s="83">
        <v>-1750</v>
      </c>
      <c r="Q38" s="83">
        <v>-7508</v>
      </c>
      <c r="R38" s="83">
        <v>-1756</v>
      </c>
      <c r="S38" s="83">
        <v>-1778</v>
      </c>
      <c r="T38" s="83">
        <v>-2041</v>
      </c>
      <c r="U38" s="83">
        <v>-7493</v>
      </c>
      <c r="V38" s="83">
        <v>-6207</v>
      </c>
      <c r="W38" s="83">
        <v>-4170</v>
      </c>
      <c r="X38" s="83">
        <v>-1185</v>
      </c>
      <c r="Y38" s="83">
        <v>-3071</v>
      </c>
      <c r="Z38" s="83">
        <v>-8</v>
      </c>
      <c r="AA38" s="83">
        <v>-353</v>
      </c>
      <c r="AB38" s="83">
        <v>-148</v>
      </c>
      <c r="AC38" s="83">
        <v>-4317</v>
      </c>
      <c r="AD38" s="83">
        <v>-452</v>
      </c>
      <c r="AE38" s="83">
        <v>-269</v>
      </c>
      <c r="AF38" s="83">
        <v>-1036</v>
      </c>
      <c r="AG38" s="83">
        <v>-4465</v>
      </c>
      <c r="AH38" s="83">
        <v>-1437</v>
      </c>
      <c r="AI38" s="83">
        <v>-1527</v>
      </c>
      <c r="AJ38" s="83">
        <v>-213</v>
      </c>
      <c r="AK38" s="83">
        <v>-4432</v>
      </c>
      <c r="AL38" s="83">
        <v>-3211</v>
      </c>
      <c r="AM38" s="83">
        <v>-390</v>
      </c>
      <c r="AN38" s="83">
        <v>-55</v>
      </c>
      <c r="AO38" s="83">
        <v>-180</v>
      </c>
      <c r="AP38" s="83">
        <v>-799</v>
      </c>
      <c r="AQ38" s="83">
        <v>-198</v>
      </c>
      <c r="AR38" s="83">
        <v>-1077</v>
      </c>
      <c r="AS38" s="83">
        <v>-6499</v>
      </c>
      <c r="AT38" s="83">
        <v>-4213</v>
      </c>
      <c r="AU38" s="83">
        <v>-3455</v>
      </c>
      <c r="AV38" s="83">
        <v>-1872</v>
      </c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</row>
    <row r="39" spans="1:92" ht="18" customHeight="1" x14ac:dyDescent="0.2">
      <c r="A39" s="19"/>
      <c r="B39" s="42" t="s">
        <v>160</v>
      </c>
      <c r="C39" s="42"/>
      <c r="D39" s="116">
        <v>-360</v>
      </c>
      <c r="E39" s="116">
        <v>-244</v>
      </c>
      <c r="F39" s="84">
        <v>-286</v>
      </c>
      <c r="G39" s="84">
        <v>-118</v>
      </c>
      <c r="H39" s="84">
        <v>-332</v>
      </c>
      <c r="I39" s="84">
        <v>-96</v>
      </c>
      <c r="J39" s="84">
        <v>-92</v>
      </c>
      <c r="K39" s="84">
        <v>-155</v>
      </c>
      <c r="L39" s="84">
        <v>-24</v>
      </c>
      <c r="M39" s="84">
        <v>-264</v>
      </c>
      <c r="N39" s="84">
        <v>100</v>
      </c>
      <c r="O39" s="84">
        <v>-152</v>
      </c>
      <c r="P39" s="84">
        <v>-101</v>
      </c>
      <c r="Q39" s="84">
        <v>-150</v>
      </c>
      <c r="R39" s="84">
        <v>-36</v>
      </c>
      <c r="S39" s="84">
        <v>-50</v>
      </c>
      <c r="T39" s="84">
        <v>-17</v>
      </c>
      <c r="U39" s="84">
        <v>-227</v>
      </c>
      <c r="V39" s="84">
        <v>-34</v>
      </c>
      <c r="W39" s="84">
        <v>-34</v>
      </c>
      <c r="X39" s="84">
        <v>-2</v>
      </c>
      <c r="Y39" s="84">
        <v>-128</v>
      </c>
      <c r="Z39" s="84" t="s">
        <v>1</v>
      </c>
      <c r="AA39" s="84">
        <v>-4</v>
      </c>
      <c r="AB39" s="84">
        <v>-83</v>
      </c>
      <c r="AC39" s="84">
        <v>-637</v>
      </c>
      <c r="AD39" s="84" t="s">
        <v>1</v>
      </c>
      <c r="AE39" s="84">
        <v>-11</v>
      </c>
      <c r="AF39" s="84">
        <v>-497</v>
      </c>
      <c r="AG39" s="84">
        <v>-265</v>
      </c>
      <c r="AH39" s="84">
        <v>-43</v>
      </c>
      <c r="AI39" s="84">
        <v>-136</v>
      </c>
      <c r="AJ39" s="84">
        <v>-74</v>
      </c>
      <c r="AK39" s="84">
        <v>-138</v>
      </c>
      <c r="AL39" s="84">
        <v>-117</v>
      </c>
      <c r="AM39" s="84">
        <v>-88</v>
      </c>
      <c r="AN39" s="84">
        <v>-55</v>
      </c>
      <c r="AO39" s="84">
        <v>-66</v>
      </c>
      <c r="AP39" s="84">
        <v>-20</v>
      </c>
      <c r="AQ39" s="84">
        <v>-206</v>
      </c>
      <c r="AR39" s="84">
        <v>-130</v>
      </c>
      <c r="AS39" s="84">
        <v>-1551</v>
      </c>
      <c r="AT39" s="84">
        <v>-349</v>
      </c>
      <c r="AU39" s="84">
        <v>-186</v>
      </c>
      <c r="AV39" s="84">
        <v>-118</v>
      </c>
    </row>
    <row r="40" spans="1:92" s="30" customFormat="1" ht="19.5" customHeight="1" x14ac:dyDescent="0.2">
      <c r="A40" s="27"/>
      <c r="B40" s="39" t="s">
        <v>162</v>
      </c>
      <c r="C40" s="39"/>
      <c r="D40" s="120" t="s">
        <v>1</v>
      </c>
      <c r="E40" s="120" t="s">
        <v>1</v>
      </c>
      <c r="F40" s="81">
        <v>-6992</v>
      </c>
      <c r="G40" s="81" t="s">
        <v>1</v>
      </c>
      <c r="H40" s="81" t="s">
        <v>1</v>
      </c>
      <c r="I40" s="83" t="s">
        <v>1</v>
      </c>
      <c r="J40" s="83" t="s">
        <v>1</v>
      </c>
      <c r="K40" s="83" t="s">
        <v>1</v>
      </c>
      <c r="L40" s="83" t="s">
        <v>1</v>
      </c>
      <c r="M40" s="83" t="s">
        <v>1</v>
      </c>
      <c r="N40" s="83" t="s">
        <v>1</v>
      </c>
      <c r="O40" s="83" t="s">
        <v>1</v>
      </c>
      <c r="P40" s="83" t="s">
        <v>1</v>
      </c>
      <c r="Q40" s="83" t="s">
        <v>1</v>
      </c>
      <c r="R40" s="83" t="s">
        <v>1</v>
      </c>
      <c r="S40" s="83" t="s">
        <v>1</v>
      </c>
      <c r="T40" s="83" t="s">
        <v>1</v>
      </c>
      <c r="U40" s="83">
        <v>-2898</v>
      </c>
      <c r="V40" s="83">
        <v>-2898</v>
      </c>
      <c r="W40" s="83">
        <v>-2898</v>
      </c>
      <c r="X40" s="83">
        <v>-1474</v>
      </c>
      <c r="Y40" s="83">
        <v>-11807</v>
      </c>
      <c r="Z40" s="83">
        <v>-5741</v>
      </c>
      <c r="AA40" s="83">
        <v>-3448</v>
      </c>
      <c r="AB40" s="83">
        <v>-2293</v>
      </c>
      <c r="AC40" s="83">
        <v>-9291</v>
      </c>
      <c r="AD40" s="83">
        <v>-777</v>
      </c>
      <c r="AE40" s="83">
        <v>-222</v>
      </c>
      <c r="AF40" s="83">
        <v>-5395</v>
      </c>
      <c r="AG40" s="83" t="s">
        <v>1</v>
      </c>
      <c r="AH40" s="83" t="s">
        <v>1</v>
      </c>
      <c r="AI40" s="83" t="s">
        <v>1</v>
      </c>
      <c r="AJ40" s="83" t="s">
        <v>1</v>
      </c>
      <c r="AK40" s="83" t="s">
        <v>1</v>
      </c>
      <c r="AL40" s="83" t="s">
        <v>1</v>
      </c>
      <c r="AM40" s="83" t="s">
        <v>1</v>
      </c>
      <c r="AN40" s="83" t="s">
        <v>1</v>
      </c>
      <c r="AO40" s="83" t="s">
        <v>1</v>
      </c>
      <c r="AP40" s="83" t="s">
        <v>1</v>
      </c>
      <c r="AQ40" s="83" t="s">
        <v>1</v>
      </c>
      <c r="AR40" s="83" t="s">
        <v>1</v>
      </c>
      <c r="AS40" s="83" t="s">
        <v>1</v>
      </c>
      <c r="AT40" s="83">
        <v>10153</v>
      </c>
      <c r="AU40" s="83">
        <v>10153</v>
      </c>
      <c r="AV40" s="83">
        <v>10153</v>
      </c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</row>
    <row r="41" spans="1:92" ht="18" customHeight="1" x14ac:dyDescent="0.2">
      <c r="A41" s="19"/>
      <c r="B41" s="42" t="s">
        <v>161</v>
      </c>
      <c r="C41" s="42"/>
      <c r="D41" s="116" t="s">
        <v>1</v>
      </c>
      <c r="E41" s="116" t="s">
        <v>1</v>
      </c>
      <c r="F41" s="84">
        <v>-20000</v>
      </c>
      <c r="G41" s="84">
        <v>-20000</v>
      </c>
      <c r="H41" s="84" t="s">
        <v>1</v>
      </c>
      <c r="I41" s="84" t="s">
        <v>1</v>
      </c>
      <c r="J41" s="84">
        <v>-10000</v>
      </c>
      <c r="K41" s="84">
        <v>-10000</v>
      </c>
      <c r="L41" s="84" t="s">
        <v>1</v>
      </c>
      <c r="M41" s="84">
        <v>-3010</v>
      </c>
      <c r="N41" s="84">
        <v>-4620</v>
      </c>
      <c r="O41" s="84">
        <v>-4620</v>
      </c>
      <c r="P41" s="84" t="s">
        <v>1</v>
      </c>
      <c r="Q41" s="84">
        <v>-9500</v>
      </c>
      <c r="R41" s="84">
        <v>-9500</v>
      </c>
      <c r="S41" s="84" t="s">
        <v>1</v>
      </c>
      <c r="T41" s="84" t="s">
        <v>1</v>
      </c>
      <c r="U41" s="84">
        <v>-9500</v>
      </c>
      <c r="V41" s="84">
        <v>-6290</v>
      </c>
      <c r="W41" s="84">
        <v>-1541</v>
      </c>
      <c r="X41" s="84" t="s">
        <v>1</v>
      </c>
      <c r="Y41" s="84">
        <v>-10000</v>
      </c>
      <c r="Z41" s="84">
        <v>-5000</v>
      </c>
      <c r="AA41" s="84">
        <v>-5000</v>
      </c>
      <c r="AB41" s="84" t="s">
        <v>1</v>
      </c>
      <c r="AC41" s="84">
        <v>-10000</v>
      </c>
      <c r="AD41" s="84">
        <v>-5000</v>
      </c>
      <c r="AE41" s="84">
        <v>-5000</v>
      </c>
      <c r="AF41" s="84" t="s">
        <v>1</v>
      </c>
      <c r="AG41" s="84">
        <v>-20305</v>
      </c>
      <c r="AH41" s="84">
        <v>-3968</v>
      </c>
      <c r="AI41" s="84">
        <v>-9063</v>
      </c>
      <c r="AJ41" s="84">
        <v>-7274</v>
      </c>
      <c r="AK41" s="84" t="s">
        <v>1</v>
      </c>
      <c r="AL41" s="84" t="s">
        <v>1</v>
      </c>
      <c r="AM41" s="84" t="s">
        <v>1</v>
      </c>
      <c r="AN41" s="84" t="s">
        <v>1</v>
      </c>
      <c r="AO41" s="84" t="s">
        <v>1</v>
      </c>
      <c r="AP41" s="84" t="s">
        <v>1</v>
      </c>
      <c r="AQ41" s="84" t="s">
        <v>1</v>
      </c>
      <c r="AR41" s="84" t="s">
        <v>1</v>
      </c>
      <c r="AS41" s="84" t="s">
        <v>1</v>
      </c>
      <c r="AT41" s="84" t="s">
        <v>1</v>
      </c>
      <c r="AU41" s="84" t="s">
        <v>1</v>
      </c>
      <c r="AV41" s="84" t="s">
        <v>1</v>
      </c>
    </row>
    <row r="42" spans="1:92" s="30" customFormat="1" ht="19.5" customHeight="1" x14ac:dyDescent="0.2">
      <c r="A42" s="27"/>
      <c r="B42" s="39" t="s">
        <v>163</v>
      </c>
      <c r="C42" s="39"/>
      <c r="D42" s="120" t="s">
        <v>1</v>
      </c>
      <c r="E42" s="120" t="s">
        <v>1</v>
      </c>
      <c r="F42" s="81" t="s">
        <v>1</v>
      </c>
      <c r="G42" s="81" t="s">
        <v>1</v>
      </c>
      <c r="H42" s="81" t="s">
        <v>1</v>
      </c>
      <c r="I42" s="83" t="s">
        <v>1</v>
      </c>
      <c r="J42" s="83" t="s">
        <v>1</v>
      </c>
      <c r="K42" s="83" t="s">
        <v>1</v>
      </c>
      <c r="L42" s="83" t="s">
        <v>1</v>
      </c>
      <c r="M42" s="83">
        <v>108</v>
      </c>
      <c r="N42" s="83" t="s">
        <v>1</v>
      </c>
      <c r="O42" s="83" t="s">
        <v>1</v>
      </c>
      <c r="P42" s="83" t="s">
        <v>1</v>
      </c>
      <c r="Q42" s="83" t="s">
        <v>1</v>
      </c>
      <c r="R42" s="83" t="s">
        <v>1</v>
      </c>
      <c r="S42" s="83" t="s">
        <v>1</v>
      </c>
      <c r="T42" s="83" t="s">
        <v>1</v>
      </c>
      <c r="U42" s="83" t="s">
        <v>1</v>
      </c>
      <c r="V42" s="83" t="s">
        <v>1</v>
      </c>
      <c r="W42" s="83" t="s">
        <v>1</v>
      </c>
      <c r="X42" s="83" t="s">
        <v>1</v>
      </c>
      <c r="Y42" s="83" t="s">
        <v>1</v>
      </c>
      <c r="Z42" s="83" t="s">
        <v>1</v>
      </c>
      <c r="AA42" s="83" t="s">
        <v>1</v>
      </c>
      <c r="AB42" s="83" t="s">
        <v>1</v>
      </c>
      <c r="AC42" s="83" t="s">
        <v>1</v>
      </c>
      <c r="AD42" s="83" t="s">
        <v>1</v>
      </c>
      <c r="AE42" s="83" t="s">
        <v>1</v>
      </c>
      <c r="AF42" s="83" t="s">
        <v>1</v>
      </c>
      <c r="AG42" s="83">
        <v>45</v>
      </c>
      <c r="AH42" s="83" t="s">
        <v>1</v>
      </c>
      <c r="AI42" s="83" t="s">
        <v>1</v>
      </c>
      <c r="AJ42" s="83" t="s">
        <v>1</v>
      </c>
      <c r="AK42" s="83" t="s">
        <v>1</v>
      </c>
      <c r="AL42" s="83" t="s">
        <v>1</v>
      </c>
      <c r="AM42" s="83" t="s">
        <v>1</v>
      </c>
      <c r="AN42" s="83" t="s">
        <v>1</v>
      </c>
      <c r="AO42" s="83" t="s">
        <v>1</v>
      </c>
      <c r="AP42" s="83" t="s">
        <v>1</v>
      </c>
      <c r="AQ42" s="83" t="s">
        <v>1</v>
      </c>
      <c r="AR42" s="83" t="s">
        <v>1</v>
      </c>
      <c r="AS42" s="83" t="s">
        <v>1</v>
      </c>
      <c r="AT42" s="83" t="s">
        <v>1</v>
      </c>
      <c r="AU42" s="83" t="s">
        <v>1</v>
      </c>
      <c r="AV42" s="83" t="s">
        <v>1</v>
      </c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</row>
    <row r="43" spans="1:92" ht="18" customHeight="1" x14ac:dyDescent="0.2">
      <c r="A43" s="19"/>
      <c r="B43" s="42" t="s">
        <v>164</v>
      </c>
      <c r="C43" s="42"/>
      <c r="D43" s="116" t="s">
        <v>1</v>
      </c>
      <c r="E43" s="116" t="s">
        <v>1</v>
      </c>
      <c r="F43" s="84" t="s">
        <v>1</v>
      </c>
      <c r="G43" s="84" t="s">
        <v>1</v>
      </c>
      <c r="H43" s="84" t="s">
        <v>1</v>
      </c>
      <c r="I43" s="84" t="s">
        <v>1</v>
      </c>
      <c r="J43" s="84" t="s">
        <v>1</v>
      </c>
      <c r="K43" s="84" t="s">
        <v>1</v>
      </c>
      <c r="L43" s="84" t="s">
        <v>1</v>
      </c>
      <c r="M43" s="84" t="s">
        <v>1</v>
      </c>
      <c r="N43" s="84" t="s">
        <v>1</v>
      </c>
      <c r="O43" s="84" t="s">
        <v>1</v>
      </c>
      <c r="P43" s="84" t="s">
        <v>1</v>
      </c>
      <c r="Q43" s="84">
        <v>165</v>
      </c>
      <c r="R43" s="84">
        <v>55</v>
      </c>
      <c r="S43" s="84">
        <v>72</v>
      </c>
      <c r="T43" s="84" t="s">
        <v>1</v>
      </c>
      <c r="U43" s="84">
        <v>313</v>
      </c>
      <c r="V43" s="84">
        <v>263</v>
      </c>
      <c r="W43" s="84">
        <v>263</v>
      </c>
      <c r="X43" s="84">
        <v>147</v>
      </c>
      <c r="Y43" s="84">
        <v>342</v>
      </c>
      <c r="Z43" s="84">
        <v>61</v>
      </c>
      <c r="AA43" s="84">
        <v>190</v>
      </c>
      <c r="AB43" s="84">
        <v>81</v>
      </c>
      <c r="AC43" s="84">
        <v>1618</v>
      </c>
      <c r="AD43" s="84">
        <v>276</v>
      </c>
      <c r="AE43" s="84">
        <v>405</v>
      </c>
      <c r="AF43" s="84">
        <v>643</v>
      </c>
      <c r="AG43" s="84" t="s">
        <v>1</v>
      </c>
      <c r="AH43" s="84">
        <v>45</v>
      </c>
      <c r="AI43" s="84" t="s">
        <v>1</v>
      </c>
      <c r="AJ43" s="84" t="s">
        <v>1</v>
      </c>
      <c r="AK43" s="84">
        <v>621</v>
      </c>
      <c r="AL43" s="84">
        <v>377</v>
      </c>
      <c r="AM43" s="84">
        <v>371</v>
      </c>
      <c r="AN43" s="84">
        <v>90</v>
      </c>
      <c r="AO43" s="84">
        <v>326</v>
      </c>
      <c r="AP43" s="84">
        <v>280</v>
      </c>
      <c r="AQ43" s="84" t="s">
        <v>1</v>
      </c>
      <c r="AR43" s="84">
        <v>124</v>
      </c>
      <c r="AS43" s="84" t="s">
        <v>1</v>
      </c>
      <c r="AT43" s="84" t="s">
        <v>1</v>
      </c>
      <c r="AU43" s="84" t="s">
        <v>1</v>
      </c>
      <c r="AV43" s="84" t="s">
        <v>1</v>
      </c>
    </row>
    <row r="44" spans="1:92" s="30" customFormat="1" ht="19.5" customHeight="1" x14ac:dyDescent="0.2">
      <c r="A44" s="27"/>
      <c r="B44" s="39" t="s">
        <v>165</v>
      </c>
      <c r="C44" s="39"/>
      <c r="D44" s="120" t="s">
        <v>1</v>
      </c>
      <c r="E44" s="120" t="s">
        <v>1</v>
      </c>
      <c r="F44" s="81" t="s">
        <v>1</v>
      </c>
      <c r="G44" s="81" t="s">
        <v>1</v>
      </c>
      <c r="H44" s="81" t="s">
        <v>1</v>
      </c>
      <c r="I44" s="83" t="s">
        <v>1</v>
      </c>
      <c r="J44" s="83" t="s">
        <v>1</v>
      </c>
      <c r="K44" s="83" t="s">
        <v>1</v>
      </c>
      <c r="L44" s="83" t="s">
        <v>1</v>
      </c>
      <c r="M44" s="83" t="s">
        <v>1</v>
      </c>
      <c r="N44" s="83" t="s">
        <v>1</v>
      </c>
      <c r="O44" s="83" t="s">
        <v>1</v>
      </c>
      <c r="P44" s="83" t="s">
        <v>1</v>
      </c>
      <c r="Q44" s="83" t="s">
        <v>1</v>
      </c>
      <c r="R44" s="83" t="s">
        <v>1</v>
      </c>
      <c r="S44" s="83" t="s">
        <v>1</v>
      </c>
      <c r="T44" s="83" t="s">
        <v>1</v>
      </c>
      <c r="U44" s="83" t="s">
        <v>1</v>
      </c>
      <c r="V44" s="83" t="s">
        <v>1</v>
      </c>
      <c r="W44" s="83" t="s">
        <v>1</v>
      </c>
      <c r="X44" s="83" t="s">
        <v>1</v>
      </c>
      <c r="Y44" s="83" t="s">
        <v>1</v>
      </c>
      <c r="Z44" s="83" t="s">
        <v>1</v>
      </c>
      <c r="AA44" s="83" t="s">
        <v>1</v>
      </c>
      <c r="AB44" s="83" t="s">
        <v>1</v>
      </c>
      <c r="AC44" s="83">
        <v>220</v>
      </c>
      <c r="AD44" s="83">
        <v>220</v>
      </c>
      <c r="AE44" s="83" t="s">
        <v>1</v>
      </c>
      <c r="AF44" s="83" t="s">
        <v>1</v>
      </c>
      <c r="AG44" s="83">
        <v>-724</v>
      </c>
      <c r="AH44" s="83" t="s">
        <v>1</v>
      </c>
      <c r="AI44" s="83" t="s">
        <v>1</v>
      </c>
      <c r="AJ44" s="83" t="s">
        <v>1</v>
      </c>
      <c r="AK44" s="83">
        <v>120</v>
      </c>
      <c r="AL44" s="83">
        <v>84</v>
      </c>
      <c r="AM44" s="83" t="s">
        <v>1</v>
      </c>
      <c r="AN44" s="83" t="s">
        <v>1</v>
      </c>
      <c r="AO44" s="83" t="s">
        <v>1</v>
      </c>
      <c r="AP44" s="83" t="s">
        <v>1</v>
      </c>
      <c r="AQ44" s="83" t="s">
        <v>1</v>
      </c>
      <c r="AR44" s="83" t="s">
        <v>1</v>
      </c>
      <c r="AS44" s="83" t="s">
        <v>1</v>
      </c>
      <c r="AT44" s="83" t="s">
        <v>1</v>
      </c>
      <c r="AU44" s="83" t="s">
        <v>1</v>
      </c>
      <c r="AV44" s="83" t="s">
        <v>1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</row>
    <row r="45" spans="1:92" s="38" customFormat="1" ht="16.5" customHeight="1" x14ac:dyDescent="0.2">
      <c r="A45" s="34"/>
      <c r="B45" s="68" t="s">
        <v>166</v>
      </c>
      <c r="C45" s="68"/>
      <c r="D45" s="100">
        <f t="shared" ref="D45" si="19">SUM(D37:D44)</f>
        <v>-4</v>
      </c>
      <c r="E45" s="100">
        <f t="shared" ref="E45" si="20">SUM(E37:E44)</f>
        <v>1133</v>
      </c>
      <c r="F45" s="100">
        <v>-24350</v>
      </c>
      <c r="G45" s="100">
        <f t="shared" ref="G45:AV45" si="21">SUM(G37:G44)</f>
        <v>-23426</v>
      </c>
      <c r="H45" s="100">
        <f t="shared" si="21"/>
        <v>-4296</v>
      </c>
      <c r="I45" s="100">
        <f t="shared" si="21"/>
        <v>-13675</v>
      </c>
      <c r="J45" s="100">
        <f t="shared" si="21"/>
        <v>-12573</v>
      </c>
      <c r="K45" s="100">
        <f t="shared" si="21"/>
        <v>-15232</v>
      </c>
      <c r="L45" s="100">
        <f t="shared" si="21"/>
        <v>-7430</v>
      </c>
      <c r="M45" s="100">
        <f t="shared" si="21"/>
        <v>-6289</v>
      </c>
      <c r="N45" s="100">
        <f t="shared" si="21"/>
        <v>-5478</v>
      </c>
      <c r="O45" s="100">
        <f t="shared" si="21"/>
        <v>-5431</v>
      </c>
      <c r="P45" s="100">
        <f t="shared" si="21"/>
        <v>-735</v>
      </c>
      <c r="Q45" s="100">
        <f t="shared" si="21"/>
        <v>-17189</v>
      </c>
      <c r="R45" s="100">
        <f t="shared" si="21"/>
        <v>-11111</v>
      </c>
      <c r="S45" s="100">
        <f t="shared" si="21"/>
        <v>-1614</v>
      </c>
      <c r="T45" s="100">
        <f t="shared" si="21"/>
        <v>-3594</v>
      </c>
      <c r="U45" s="100">
        <f t="shared" si="21"/>
        <v>-14413</v>
      </c>
      <c r="V45" s="100">
        <f t="shared" si="21"/>
        <v>-7341</v>
      </c>
      <c r="W45" s="100">
        <f t="shared" si="21"/>
        <v>-6841</v>
      </c>
      <c r="X45" s="100">
        <f t="shared" si="21"/>
        <v>-1414</v>
      </c>
      <c r="Y45" s="100">
        <f t="shared" si="21"/>
        <v>-6852</v>
      </c>
      <c r="Z45" s="100">
        <f t="shared" si="21"/>
        <v>-5089</v>
      </c>
      <c r="AA45" s="100">
        <f t="shared" si="21"/>
        <v>-7430</v>
      </c>
      <c r="AB45" s="100">
        <f t="shared" si="21"/>
        <v>322</v>
      </c>
      <c r="AC45" s="100">
        <f t="shared" si="21"/>
        <v>-2035</v>
      </c>
      <c r="AD45" s="100">
        <f t="shared" si="21"/>
        <v>-3229</v>
      </c>
      <c r="AE45" s="100">
        <f t="shared" si="21"/>
        <v>2101</v>
      </c>
      <c r="AF45" s="100">
        <f t="shared" si="21"/>
        <v>-3109</v>
      </c>
      <c r="AG45" s="100">
        <f t="shared" si="21"/>
        <v>7963</v>
      </c>
      <c r="AH45" s="100">
        <f t="shared" si="21"/>
        <v>-2586</v>
      </c>
      <c r="AI45" s="100">
        <f t="shared" si="21"/>
        <v>-2426</v>
      </c>
      <c r="AJ45" s="100">
        <f t="shared" si="21"/>
        <v>2881</v>
      </c>
      <c r="AK45" s="100">
        <f t="shared" si="21"/>
        <v>-3829</v>
      </c>
      <c r="AL45" s="100">
        <f t="shared" si="21"/>
        <v>-2867</v>
      </c>
      <c r="AM45" s="100">
        <f t="shared" si="21"/>
        <v>-107</v>
      </c>
      <c r="AN45" s="100">
        <f t="shared" si="21"/>
        <v>-20</v>
      </c>
      <c r="AO45" s="100">
        <f t="shared" si="21"/>
        <v>80</v>
      </c>
      <c r="AP45" s="100">
        <f t="shared" si="21"/>
        <v>-539</v>
      </c>
      <c r="AQ45" s="100">
        <f t="shared" si="21"/>
        <v>-404</v>
      </c>
      <c r="AR45" s="100">
        <f t="shared" si="21"/>
        <v>-1083</v>
      </c>
      <c r="AS45" s="100">
        <f t="shared" si="21"/>
        <v>-8050</v>
      </c>
      <c r="AT45" s="100">
        <f t="shared" si="21"/>
        <v>5591</v>
      </c>
      <c r="AU45" s="100">
        <f t="shared" si="21"/>
        <v>6512</v>
      </c>
      <c r="AV45" s="100">
        <f t="shared" si="21"/>
        <v>8163</v>
      </c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</row>
    <row r="46" spans="1:92" s="38" customFormat="1" ht="19.5" customHeight="1" x14ac:dyDescent="0.2">
      <c r="A46" s="34"/>
      <c r="B46" s="45" t="s">
        <v>167</v>
      </c>
      <c r="C46" s="45"/>
      <c r="D46" s="121"/>
      <c r="E46" s="121"/>
      <c r="F46" s="88"/>
      <c r="G46" s="88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</row>
    <row r="47" spans="1:92" ht="18" customHeight="1" x14ac:dyDescent="0.2">
      <c r="A47" s="19"/>
      <c r="B47" s="42" t="s">
        <v>172</v>
      </c>
      <c r="C47" s="42"/>
      <c r="D47" s="116" t="s">
        <v>1</v>
      </c>
      <c r="E47" s="116" t="s">
        <v>1</v>
      </c>
      <c r="F47" s="84" t="s">
        <v>1</v>
      </c>
      <c r="G47" s="84" t="s">
        <v>1</v>
      </c>
      <c r="H47" s="84" t="s">
        <v>1</v>
      </c>
      <c r="I47" s="84" t="s">
        <v>1</v>
      </c>
      <c r="J47" s="84">
        <v>405000</v>
      </c>
      <c r="K47" s="84" t="s">
        <v>1</v>
      </c>
      <c r="L47" s="84" t="s">
        <v>1</v>
      </c>
      <c r="M47" s="84" t="s">
        <v>1</v>
      </c>
      <c r="N47" s="84" t="s">
        <v>1</v>
      </c>
      <c r="O47" s="84" t="s">
        <v>1</v>
      </c>
      <c r="P47" s="84" t="s">
        <v>1</v>
      </c>
      <c r="Q47" s="84" t="s">
        <v>1</v>
      </c>
      <c r="R47" s="84" t="s">
        <v>1</v>
      </c>
      <c r="S47" s="84" t="s">
        <v>1</v>
      </c>
      <c r="T47" s="84" t="s">
        <v>1</v>
      </c>
      <c r="U47" s="84" t="s">
        <v>1</v>
      </c>
      <c r="V47" s="84" t="s">
        <v>1</v>
      </c>
      <c r="W47" s="84" t="s">
        <v>1</v>
      </c>
      <c r="X47" s="84" t="s">
        <v>1</v>
      </c>
      <c r="Y47" s="84" t="s">
        <v>1</v>
      </c>
      <c r="Z47" s="84" t="s">
        <v>1</v>
      </c>
      <c r="AA47" s="84" t="s">
        <v>1</v>
      </c>
      <c r="AB47" s="84" t="s">
        <v>1</v>
      </c>
      <c r="AC47" s="84" t="s">
        <v>1</v>
      </c>
      <c r="AD47" s="84" t="s">
        <v>1</v>
      </c>
      <c r="AE47" s="84" t="s">
        <v>1</v>
      </c>
      <c r="AF47" s="84" t="s">
        <v>1</v>
      </c>
      <c r="AG47" s="84" t="s">
        <v>1</v>
      </c>
      <c r="AH47" s="84" t="s">
        <v>1</v>
      </c>
      <c r="AI47" s="84" t="s">
        <v>1</v>
      </c>
      <c r="AJ47" s="84" t="s">
        <v>1</v>
      </c>
      <c r="AK47" s="84" t="s">
        <v>1</v>
      </c>
      <c r="AL47" s="84" t="s">
        <v>1</v>
      </c>
      <c r="AM47" s="84" t="s">
        <v>1</v>
      </c>
      <c r="AN47" s="84" t="s">
        <v>1</v>
      </c>
      <c r="AO47" s="84" t="s">
        <v>1</v>
      </c>
      <c r="AP47" s="84" t="s">
        <v>1</v>
      </c>
      <c r="AQ47" s="84" t="s">
        <v>1</v>
      </c>
      <c r="AR47" s="84" t="s">
        <v>1</v>
      </c>
      <c r="AS47" s="84" t="s">
        <v>1</v>
      </c>
      <c r="AT47" s="84" t="s">
        <v>1</v>
      </c>
      <c r="AU47" s="84" t="s">
        <v>1</v>
      </c>
      <c r="AV47" s="84" t="s">
        <v>1</v>
      </c>
    </row>
    <row r="48" spans="1:92" s="30" customFormat="1" ht="19.5" customHeight="1" x14ac:dyDescent="0.2">
      <c r="A48" s="27"/>
      <c r="B48" s="39" t="s">
        <v>171</v>
      </c>
      <c r="C48" s="39"/>
      <c r="D48" s="120" t="s">
        <v>1</v>
      </c>
      <c r="E48" s="120" t="s">
        <v>1</v>
      </c>
      <c r="F48" s="81" t="s">
        <v>1</v>
      </c>
      <c r="G48" s="81" t="s">
        <v>1</v>
      </c>
      <c r="H48" s="81" t="s">
        <v>1</v>
      </c>
      <c r="I48" s="83">
        <v>-1435</v>
      </c>
      <c r="J48" s="83">
        <v>-23150</v>
      </c>
      <c r="K48" s="83" t="s">
        <v>1</v>
      </c>
      <c r="L48" s="83" t="s">
        <v>1</v>
      </c>
      <c r="M48" s="83" t="s">
        <v>1</v>
      </c>
      <c r="N48" s="83" t="s">
        <v>1</v>
      </c>
      <c r="O48" s="83" t="s">
        <v>1</v>
      </c>
      <c r="P48" s="83" t="s">
        <v>1</v>
      </c>
      <c r="Q48" s="83" t="s">
        <v>1</v>
      </c>
      <c r="R48" s="83" t="s">
        <v>1</v>
      </c>
      <c r="S48" s="83" t="s">
        <v>1</v>
      </c>
      <c r="T48" s="83" t="s">
        <v>1</v>
      </c>
      <c r="U48" s="83" t="s">
        <v>1</v>
      </c>
      <c r="V48" s="83" t="s">
        <v>1</v>
      </c>
      <c r="W48" s="83" t="s">
        <v>1</v>
      </c>
      <c r="X48" s="83" t="s">
        <v>1</v>
      </c>
      <c r="Y48" s="83" t="s">
        <v>1</v>
      </c>
      <c r="Z48" s="83" t="s">
        <v>1</v>
      </c>
      <c r="AA48" s="83" t="s">
        <v>1</v>
      </c>
      <c r="AB48" s="83" t="s">
        <v>1</v>
      </c>
      <c r="AC48" s="83" t="s">
        <v>1</v>
      </c>
      <c r="AD48" s="83" t="s">
        <v>1</v>
      </c>
      <c r="AE48" s="83" t="s">
        <v>1</v>
      </c>
      <c r="AF48" s="83" t="s">
        <v>1</v>
      </c>
      <c r="AG48" s="83" t="s">
        <v>1</v>
      </c>
      <c r="AH48" s="83" t="s">
        <v>1</v>
      </c>
      <c r="AI48" s="83" t="s">
        <v>1</v>
      </c>
      <c r="AJ48" s="83" t="s">
        <v>1</v>
      </c>
      <c r="AK48" s="83" t="s">
        <v>1</v>
      </c>
      <c r="AL48" s="83" t="s">
        <v>1</v>
      </c>
      <c r="AM48" s="83" t="s">
        <v>1</v>
      </c>
      <c r="AN48" s="83" t="s">
        <v>1</v>
      </c>
      <c r="AO48" s="83" t="s">
        <v>1</v>
      </c>
      <c r="AP48" s="83" t="s">
        <v>1</v>
      </c>
      <c r="AQ48" s="83" t="s">
        <v>1</v>
      </c>
      <c r="AR48" s="83" t="s">
        <v>1</v>
      </c>
      <c r="AS48" s="83" t="s">
        <v>1</v>
      </c>
      <c r="AT48" s="83" t="s">
        <v>1</v>
      </c>
      <c r="AU48" s="83" t="s">
        <v>1</v>
      </c>
      <c r="AV48" s="83" t="s">
        <v>1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</row>
    <row r="49" spans="1:92 16371:16377" ht="18" customHeight="1" x14ac:dyDescent="0.2">
      <c r="A49" s="19"/>
      <c r="B49" s="42" t="s">
        <v>170</v>
      </c>
      <c r="C49" s="42"/>
      <c r="D49" s="116" t="s">
        <v>1</v>
      </c>
      <c r="E49" s="116" t="s">
        <v>1</v>
      </c>
      <c r="F49" s="84" t="s">
        <v>1</v>
      </c>
      <c r="G49" s="84" t="s">
        <v>1</v>
      </c>
      <c r="H49" s="84" t="s">
        <v>1</v>
      </c>
      <c r="I49" s="84"/>
      <c r="J49" s="84" t="s">
        <v>1</v>
      </c>
      <c r="K49" s="84" t="s">
        <v>1</v>
      </c>
      <c r="L49" s="84" t="s">
        <v>1</v>
      </c>
      <c r="M49" s="84" t="s">
        <v>1</v>
      </c>
      <c r="N49" s="84" t="s">
        <v>1</v>
      </c>
      <c r="O49" s="84" t="s">
        <v>1</v>
      </c>
      <c r="P49" s="84" t="s">
        <v>1</v>
      </c>
      <c r="Q49" s="84" t="s">
        <v>1</v>
      </c>
      <c r="R49" s="84" t="s">
        <v>1</v>
      </c>
      <c r="S49" s="84" t="s">
        <v>1</v>
      </c>
      <c r="T49" s="84" t="s">
        <v>1</v>
      </c>
      <c r="U49" s="84" t="s">
        <v>1</v>
      </c>
      <c r="V49" s="84" t="s">
        <v>1</v>
      </c>
      <c r="W49" s="84" t="s">
        <v>1</v>
      </c>
      <c r="X49" s="84" t="s">
        <v>1</v>
      </c>
      <c r="Y49" s="84" t="s">
        <v>1</v>
      </c>
      <c r="Z49" s="84" t="s">
        <v>1</v>
      </c>
      <c r="AA49" s="84" t="s">
        <v>1</v>
      </c>
      <c r="AB49" s="84" t="s">
        <v>1</v>
      </c>
      <c r="AC49" s="84" t="s">
        <v>1</v>
      </c>
      <c r="AD49" s="84" t="s">
        <v>1</v>
      </c>
      <c r="AE49" s="84" t="s">
        <v>1</v>
      </c>
      <c r="AF49" s="84" t="s">
        <v>1</v>
      </c>
      <c r="AG49" s="84">
        <v>8</v>
      </c>
      <c r="AH49" s="84" t="s">
        <v>1</v>
      </c>
      <c r="AI49" s="84" t="s">
        <v>1</v>
      </c>
      <c r="AJ49" s="84">
        <v>8</v>
      </c>
      <c r="AK49" s="84">
        <v>108</v>
      </c>
      <c r="AL49" s="84">
        <v>83</v>
      </c>
      <c r="AM49" s="84">
        <v>58</v>
      </c>
      <c r="AN49" s="84">
        <v>34</v>
      </c>
      <c r="AO49" s="84">
        <v>95</v>
      </c>
      <c r="AP49" s="84">
        <v>94</v>
      </c>
      <c r="AQ49" s="84">
        <v>96</v>
      </c>
      <c r="AR49" s="84">
        <v>114</v>
      </c>
      <c r="AS49" s="84">
        <v>633</v>
      </c>
      <c r="AT49" s="84">
        <v>481</v>
      </c>
      <c r="AU49" s="84">
        <v>328</v>
      </c>
      <c r="AV49" s="84">
        <v>175</v>
      </c>
    </row>
    <row r="50" spans="1:92 16371:16377" s="30" customFormat="1" ht="19.5" customHeight="1" x14ac:dyDescent="0.2">
      <c r="A50" s="27"/>
      <c r="B50" s="39" t="s">
        <v>92</v>
      </c>
      <c r="C50" s="39"/>
      <c r="D50" s="120">
        <v>-1656</v>
      </c>
      <c r="E50" s="120">
        <v>-1001</v>
      </c>
      <c r="F50" s="81">
        <v>-4004</v>
      </c>
      <c r="G50" s="81">
        <v>-4996</v>
      </c>
      <c r="H50" s="81">
        <v>264</v>
      </c>
      <c r="I50" s="83">
        <v>-9672</v>
      </c>
      <c r="J50" s="83">
        <v>-3683</v>
      </c>
      <c r="K50" s="83">
        <v>6180</v>
      </c>
      <c r="L50" s="83">
        <v>4560</v>
      </c>
      <c r="M50" s="83">
        <v>5775</v>
      </c>
      <c r="N50" s="83">
        <v>-1089</v>
      </c>
      <c r="O50" s="83">
        <v>3821</v>
      </c>
      <c r="P50" s="83">
        <v>274</v>
      </c>
      <c r="Q50" s="83">
        <v>5623</v>
      </c>
      <c r="R50" s="83">
        <v>-516</v>
      </c>
      <c r="S50" s="83">
        <v>7597</v>
      </c>
      <c r="T50" s="83">
        <v>-4700</v>
      </c>
      <c r="U50" s="83">
        <v>-16765</v>
      </c>
      <c r="V50" s="83">
        <v>-16466</v>
      </c>
      <c r="W50" s="83">
        <v>-12341</v>
      </c>
      <c r="X50" s="83">
        <v>-1902</v>
      </c>
      <c r="Y50" s="83">
        <v>-27095</v>
      </c>
      <c r="Z50" s="83">
        <v>-18916</v>
      </c>
      <c r="AA50" s="83">
        <v>-1033</v>
      </c>
      <c r="AB50" s="83">
        <v>-3800</v>
      </c>
      <c r="AC50" s="83">
        <v>-50402</v>
      </c>
      <c r="AD50" s="83">
        <v>-16276</v>
      </c>
      <c r="AE50" s="83">
        <v>-11535</v>
      </c>
      <c r="AF50" s="83">
        <v>-19459</v>
      </c>
      <c r="AG50" s="83">
        <v>-39460</v>
      </c>
      <c r="AH50" s="83">
        <v>-6549</v>
      </c>
      <c r="AI50" s="83">
        <v>-6208</v>
      </c>
      <c r="AJ50" s="83">
        <v>-7694</v>
      </c>
      <c r="AK50" s="83">
        <v>-3596</v>
      </c>
      <c r="AL50" s="83">
        <v>365</v>
      </c>
      <c r="AM50" s="83">
        <v>772</v>
      </c>
      <c r="AN50" s="83">
        <v>-251</v>
      </c>
      <c r="AO50" s="83">
        <v>-1129</v>
      </c>
      <c r="AP50" s="83">
        <v>-8</v>
      </c>
      <c r="AQ50" s="83">
        <v>141</v>
      </c>
      <c r="AR50" s="83">
        <v>-1180</v>
      </c>
      <c r="AS50" s="83">
        <v>3914</v>
      </c>
      <c r="AT50" s="83" t="s">
        <v>1</v>
      </c>
      <c r="AU50" s="83" t="s">
        <v>1</v>
      </c>
      <c r="AV50" s="83" t="s">
        <v>1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</row>
    <row r="51" spans="1:92 16371:16377" ht="18" customHeight="1" x14ac:dyDescent="0.2">
      <c r="A51" s="19"/>
      <c r="B51" s="42" t="s">
        <v>169</v>
      </c>
      <c r="C51" s="42"/>
      <c r="D51" s="116" t="s">
        <v>1</v>
      </c>
      <c r="E51" s="116" t="s">
        <v>1</v>
      </c>
      <c r="F51" s="84" t="s">
        <v>1</v>
      </c>
      <c r="G51" s="84" t="s">
        <v>1</v>
      </c>
      <c r="H51" s="84" t="s">
        <v>1</v>
      </c>
      <c r="I51" s="84" t="s">
        <v>1</v>
      </c>
      <c r="J51" s="84" t="s">
        <v>1</v>
      </c>
      <c r="K51" s="84" t="s">
        <v>1</v>
      </c>
      <c r="L51" s="84" t="s">
        <v>1</v>
      </c>
      <c r="M51" s="84" t="s">
        <v>1</v>
      </c>
      <c r="N51" s="84" t="s">
        <v>1</v>
      </c>
      <c r="O51" s="84" t="s">
        <v>1</v>
      </c>
      <c r="P51" s="84" t="s">
        <v>1</v>
      </c>
      <c r="Q51" s="84" t="s">
        <v>1</v>
      </c>
      <c r="R51" s="84" t="s">
        <v>1</v>
      </c>
      <c r="S51" s="84" t="s">
        <v>1</v>
      </c>
      <c r="T51" s="84" t="s">
        <v>1</v>
      </c>
      <c r="U51" s="84" t="s">
        <v>1</v>
      </c>
      <c r="V51" s="84" t="s">
        <v>1</v>
      </c>
      <c r="W51" s="84" t="s">
        <v>1</v>
      </c>
      <c r="X51" s="84" t="s">
        <v>1</v>
      </c>
      <c r="Y51" s="84" t="s">
        <v>1</v>
      </c>
      <c r="Z51" s="84" t="s">
        <v>1</v>
      </c>
      <c r="AA51" s="84" t="s">
        <v>1</v>
      </c>
      <c r="AB51" s="84" t="s">
        <v>1</v>
      </c>
      <c r="AC51" s="84" t="s">
        <v>1</v>
      </c>
      <c r="AD51" s="84" t="s">
        <v>1</v>
      </c>
      <c r="AE51" s="84" t="s">
        <v>1</v>
      </c>
      <c r="AF51" s="84" t="s">
        <v>1</v>
      </c>
      <c r="AG51" s="84" t="s">
        <v>1</v>
      </c>
      <c r="AH51" s="84" t="s">
        <v>1</v>
      </c>
      <c r="AI51" s="84"/>
      <c r="AJ51" s="84"/>
      <c r="AK51" s="84" t="s">
        <v>1</v>
      </c>
      <c r="AL51" s="84" t="s">
        <v>1</v>
      </c>
      <c r="AM51" s="84" t="s">
        <v>1</v>
      </c>
      <c r="AN51" s="84" t="s">
        <v>1</v>
      </c>
      <c r="AO51" s="84" t="s">
        <v>1</v>
      </c>
      <c r="AP51" s="84" t="s">
        <v>1</v>
      </c>
      <c r="AQ51" s="84" t="s">
        <v>1</v>
      </c>
      <c r="AR51" s="84" t="s">
        <v>1</v>
      </c>
      <c r="AS51" s="84">
        <v>10153</v>
      </c>
      <c r="AT51" s="84" t="s">
        <v>1</v>
      </c>
      <c r="AU51" s="84" t="s">
        <v>1</v>
      </c>
      <c r="AV51" s="84" t="s">
        <v>1</v>
      </c>
    </row>
    <row r="52" spans="1:92 16371:16377" s="30" customFormat="1" ht="19.5" customHeight="1" x14ac:dyDescent="0.2">
      <c r="A52" s="27"/>
      <c r="B52" s="39" t="s">
        <v>126</v>
      </c>
      <c r="C52" s="39"/>
      <c r="D52" s="120" t="s">
        <v>1</v>
      </c>
      <c r="E52" s="120" t="s">
        <v>1</v>
      </c>
      <c r="F52" s="81" t="s">
        <v>1</v>
      </c>
      <c r="G52" s="81" t="s">
        <v>1</v>
      </c>
      <c r="H52" s="81" t="s">
        <v>1</v>
      </c>
      <c r="I52" s="83" t="s">
        <v>1</v>
      </c>
      <c r="J52" s="83" t="s">
        <v>1</v>
      </c>
      <c r="K52" s="83" t="s">
        <v>1</v>
      </c>
      <c r="L52" s="83" t="s">
        <v>1</v>
      </c>
      <c r="M52" s="83" t="s">
        <v>1</v>
      </c>
      <c r="N52" s="83" t="s">
        <v>1</v>
      </c>
      <c r="O52" s="83" t="s">
        <v>1</v>
      </c>
      <c r="P52" s="83" t="s">
        <v>1</v>
      </c>
      <c r="Q52" s="83" t="s">
        <v>1</v>
      </c>
      <c r="R52" s="83" t="s">
        <v>1</v>
      </c>
      <c r="S52" s="83" t="s">
        <v>1</v>
      </c>
      <c r="T52" s="83" t="s">
        <v>1</v>
      </c>
      <c r="U52" s="83" t="s">
        <v>1</v>
      </c>
      <c r="V52" s="83" t="s">
        <v>1</v>
      </c>
      <c r="W52" s="83" t="s">
        <v>1</v>
      </c>
      <c r="X52" s="83" t="s">
        <v>1</v>
      </c>
      <c r="Y52" s="83">
        <v>-62927</v>
      </c>
      <c r="Z52" s="83" t="s">
        <v>1</v>
      </c>
      <c r="AA52" s="83" t="s">
        <v>1</v>
      </c>
      <c r="AB52" s="83">
        <v>-62927</v>
      </c>
      <c r="AC52" s="83">
        <v>-144350</v>
      </c>
      <c r="AD52" s="83">
        <v>-65411</v>
      </c>
      <c r="AE52" s="83">
        <v>-2541</v>
      </c>
      <c r="AF52" s="83">
        <v>-76398</v>
      </c>
      <c r="AG52" s="83">
        <v>-213400</v>
      </c>
      <c r="AH52" s="83">
        <v>-151770</v>
      </c>
      <c r="AI52" s="83">
        <v>-10459</v>
      </c>
      <c r="AJ52" s="83">
        <v>-75220</v>
      </c>
      <c r="AK52" s="83">
        <v>-126030</v>
      </c>
      <c r="AL52" s="83">
        <v>-108617</v>
      </c>
      <c r="AM52" s="83">
        <v>-16449</v>
      </c>
      <c r="AN52" s="83">
        <v>-28347</v>
      </c>
      <c r="AO52" s="83">
        <v>-3533</v>
      </c>
      <c r="AP52" s="83">
        <v>-95439</v>
      </c>
      <c r="AQ52" s="83">
        <v>-8833</v>
      </c>
      <c r="AR52" s="83">
        <v>-22499</v>
      </c>
      <c r="AS52" s="83">
        <v>280710</v>
      </c>
      <c r="AT52" s="83">
        <v>289684</v>
      </c>
      <c r="AU52" s="83">
        <v>309997</v>
      </c>
      <c r="AV52" s="83">
        <v>285737</v>
      </c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</row>
    <row r="53" spans="1:92 16371:16377" ht="18" customHeight="1" x14ac:dyDescent="0.2">
      <c r="A53" s="19"/>
      <c r="B53" s="42" t="s">
        <v>168</v>
      </c>
      <c r="C53" s="42"/>
      <c r="D53" s="116">
        <v>-71747</v>
      </c>
      <c r="E53" s="116">
        <v>182560</v>
      </c>
      <c r="F53" s="84">
        <v>-28092</v>
      </c>
      <c r="G53" s="84">
        <v>87498</v>
      </c>
      <c r="H53" s="84">
        <v>-4083</v>
      </c>
      <c r="I53" s="84">
        <v>-52920</v>
      </c>
      <c r="J53" s="84">
        <v>15884</v>
      </c>
      <c r="K53" s="84">
        <v>61884</v>
      </c>
      <c r="L53" s="84">
        <v>-9576</v>
      </c>
      <c r="M53" s="84">
        <v>3032</v>
      </c>
      <c r="N53" s="84">
        <v>20897</v>
      </c>
      <c r="O53" s="84">
        <v>316</v>
      </c>
      <c r="P53" s="84">
        <v>17075</v>
      </c>
      <c r="Q53" s="84">
        <v>15157</v>
      </c>
      <c r="R53" s="84">
        <v>42217</v>
      </c>
      <c r="S53" s="84">
        <v>-13316</v>
      </c>
      <c r="T53" s="84">
        <v>-13156</v>
      </c>
      <c r="U53" s="84">
        <v>-134116</v>
      </c>
      <c r="V53" s="84">
        <v>-115815</v>
      </c>
      <c r="W53" s="84">
        <v>-95122</v>
      </c>
      <c r="X53" s="84">
        <v>-42130</v>
      </c>
      <c r="Y53" s="84">
        <v>-41485</v>
      </c>
      <c r="Z53" s="84">
        <v>24653</v>
      </c>
      <c r="AA53" s="84">
        <v>-13241</v>
      </c>
      <c r="AB53" s="84">
        <v>-46365</v>
      </c>
      <c r="AC53" s="84">
        <v>21411</v>
      </c>
      <c r="AD53" s="84">
        <v>-14119</v>
      </c>
      <c r="AE53" s="84">
        <v>7877</v>
      </c>
      <c r="AF53" s="84">
        <v>-30590</v>
      </c>
      <c r="AG53" s="84">
        <v>-178067</v>
      </c>
      <c r="AH53" s="84">
        <v>-90190</v>
      </c>
      <c r="AI53" s="84">
        <v>-9360</v>
      </c>
      <c r="AJ53" s="84">
        <v>-22587</v>
      </c>
      <c r="AK53" s="84">
        <f>-144271+64506</f>
        <v>-79765</v>
      </c>
      <c r="AL53" s="84">
        <f>-132284+64506</f>
        <v>-67778</v>
      </c>
      <c r="AM53" s="84">
        <f>-102580+43733</f>
        <v>-58847</v>
      </c>
      <c r="AN53" s="84">
        <f>17290-59045</f>
        <v>-41755</v>
      </c>
      <c r="AO53" s="84">
        <f>22891+6299</f>
        <v>29190</v>
      </c>
      <c r="AP53" s="84">
        <v>-53069</v>
      </c>
      <c r="AQ53" s="84">
        <v>11940</v>
      </c>
      <c r="AR53" s="84">
        <v>19493</v>
      </c>
      <c r="AS53" s="84">
        <v>303077</v>
      </c>
      <c r="AT53" s="84">
        <v>148708</v>
      </c>
      <c r="AU53" s="84">
        <v>85364</v>
      </c>
      <c r="AV53" s="84">
        <v>31049</v>
      </c>
    </row>
    <row r="54" spans="1:92 16371:16377" s="30" customFormat="1" ht="19.5" customHeight="1" x14ac:dyDescent="0.2">
      <c r="A54" s="27"/>
      <c r="B54" s="39" t="s">
        <v>161</v>
      </c>
      <c r="C54" s="39"/>
      <c r="D54" s="120" t="s">
        <v>1</v>
      </c>
      <c r="E54" s="120" t="s">
        <v>1</v>
      </c>
      <c r="F54" s="81" t="s">
        <v>1</v>
      </c>
      <c r="G54" s="81" t="s">
        <v>1</v>
      </c>
      <c r="H54" s="81" t="s">
        <v>1</v>
      </c>
      <c r="I54" s="83" t="s">
        <v>1</v>
      </c>
      <c r="J54" s="83" t="s">
        <v>1</v>
      </c>
      <c r="K54" s="83" t="s">
        <v>1</v>
      </c>
      <c r="L54" s="83" t="s">
        <v>1</v>
      </c>
      <c r="M54" s="83" t="s">
        <v>1</v>
      </c>
      <c r="N54" s="83" t="s">
        <v>1</v>
      </c>
      <c r="O54" s="83" t="s">
        <v>1</v>
      </c>
      <c r="P54" s="83" t="s">
        <v>1</v>
      </c>
      <c r="Q54" s="83" t="s">
        <v>1</v>
      </c>
      <c r="R54" s="83" t="s">
        <v>1</v>
      </c>
      <c r="S54" s="83" t="s">
        <v>1</v>
      </c>
      <c r="T54" s="83" t="s">
        <v>1</v>
      </c>
      <c r="U54" s="83" t="s">
        <v>1</v>
      </c>
      <c r="V54" s="83" t="s">
        <v>1</v>
      </c>
      <c r="W54" s="83" t="s">
        <v>1</v>
      </c>
      <c r="X54" s="83" t="s">
        <v>1</v>
      </c>
      <c r="Y54" s="83" t="s">
        <v>1</v>
      </c>
      <c r="Z54" s="83" t="s">
        <v>1</v>
      </c>
      <c r="AA54" s="83" t="s">
        <v>1</v>
      </c>
      <c r="AB54" s="83" t="s">
        <v>1</v>
      </c>
      <c r="AC54" s="83" t="s">
        <v>1</v>
      </c>
      <c r="AD54" s="83" t="s">
        <v>1</v>
      </c>
      <c r="AE54" s="83" t="s">
        <v>1</v>
      </c>
      <c r="AF54" s="83" t="s">
        <v>1</v>
      </c>
      <c r="AG54" s="83" t="s">
        <v>1</v>
      </c>
      <c r="AH54" s="83" t="s">
        <v>1</v>
      </c>
      <c r="AI54" s="83" t="s">
        <v>1</v>
      </c>
      <c r="AJ54" s="83" t="s">
        <v>1</v>
      </c>
      <c r="AK54" s="83" t="s">
        <v>1</v>
      </c>
      <c r="AL54" s="83" t="s">
        <v>1</v>
      </c>
      <c r="AM54" s="83" t="s">
        <v>1</v>
      </c>
      <c r="AN54" s="83" t="s">
        <v>1</v>
      </c>
      <c r="AO54" s="83">
        <v>-9300</v>
      </c>
      <c r="AP54" s="83" t="s">
        <v>1</v>
      </c>
      <c r="AQ54" s="83" t="s">
        <v>1</v>
      </c>
      <c r="AR54" s="83" t="s">
        <v>1</v>
      </c>
      <c r="AS54" s="83">
        <v>-10767</v>
      </c>
      <c r="AT54" s="83" t="s">
        <v>1</v>
      </c>
      <c r="AU54" s="83" t="s">
        <v>1</v>
      </c>
      <c r="AV54" s="83" t="s">
        <v>1</v>
      </c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</row>
    <row r="55" spans="1:92 16371:16377" s="38" customFormat="1" ht="16.5" customHeight="1" x14ac:dyDescent="0.2">
      <c r="A55" s="34"/>
      <c r="B55" s="68" t="s">
        <v>173</v>
      </c>
      <c r="C55" s="68"/>
      <c r="D55" s="100">
        <f t="shared" ref="D55" si="22">SUM(D47:D54)</f>
        <v>-73403</v>
      </c>
      <c r="E55" s="100">
        <f t="shared" ref="E55" si="23">SUM(E47:E54)</f>
        <v>181559</v>
      </c>
      <c r="F55" s="100">
        <v>-32096</v>
      </c>
      <c r="G55" s="100">
        <f t="shared" ref="G55:AV55" si="24">SUM(G47:G54)</f>
        <v>82502</v>
      </c>
      <c r="H55" s="100">
        <f t="shared" si="24"/>
        <v>-3819</v>
      </c>
      <c r="I55" s="100">
        <f t="shared" si="24"/>
        <v>-64027</v>
      </c>
      <c r="J55" s="100">
        <f t="shared" si="24"/>
        <v>394051</v>
      </c>
      <c r="K55" s="100">
        <f t="shared" si="24"/>
        <v>68064</v>
      </c>
      <c r="L55" s="100">
        <f t="shared" si="24"/>
        <v>-5016</v>
      </c>
      <c r="M55" s="100">
        <f t="shared" si="24"/>
        <v>8807</v>
      </c>
      <c r="N55" s="100">
        <f t="shared" si="24"/>
        <v>19808</v>
      </c>
      <c r="O55" s="100">
        <f t="shared" si="24"/>
        <v>4137</v>
      </c>
      <c r="P55" s="100">
        <f t="shared" si="24"/>
        <v>17349</v>
      </c>
      <c r="Q55" s="100">
        <f t="shared" si="24"/>
        <v>20780</v>
      </c>
      <c r="R55" s="100">
        <f t="shared" si="24"/>
        <v>41701</v>
      </c>
      <c r="S55" s="100">
        <f t="shared" si="24"/>
        <v>-5719</v>
      </c>
      <c r="T55" s="100">
        <f t="shared" si="24"/>
        <v>-17856</v>
      </c>
      <c r="U55" s="100">
        <f t="shared" si="24"/>
        <v>-150881</v>
      </c>
      <c r="V55" s="100">
        <f t="shared" si="24"/>
        <v>-132281</v>
      </c>
      <c r="W55" s="100">
        <f t="shared" si="24"/>
        <v>-107463</v>
      </c>
      <c r="X55" s="100">
        <f t="shared" si="24"/>
        <v>-44032</v>
      </c>
      <c r="Y55" s="100">
        <f t="shared" si="24"/>
        <v>-131507</v>
      </c>
      <c r="Z55" s="100">
        <f t="shared" si="24"/>
        <v>5737</v>
      </c>
      <c r="AA55" s="100">
        <f t="shared" si="24"/>
        <v>-14274</v>
      </c>
      <c r="AB55" s="100">
        <f t="shared" si="24"/>
        <v>-113092</v>
      </c>
      <c r="AC55" s="100">
        <f t="shared" si="24"/>
        <v>-173341</v>
      </c>
      <c r="AD55" s="100">
        <f t="shared" si="24"/>
        <v>-95806</v>
      </c>
      <c r="AE55" s="100">
        <f t="shared" si="24"/>
        <v>-6199</v>
      </c>
      <c r="AF55" s="100">
        <f t="shared" si="24"/>
        <v>-126447</v>
      </c>
      <c r="AG55" s="100">
        <f t="shared" si="24"/>
        <v>-430919</v>
      </c>
      <c r="AH55" s="100">
        <f t="shared" si="24"/>
        <v>-248509</v>
      </c>
      <c r="AI55" s="100">
        <f t="shared" si="24"/>
        <v>-26027</v>
      </c>
      <c r="AJ55" s="100">
        <f t="shared" si="24"/>
        <v>-105493</v>
      </c>
      <c r="AK55" s="100">
        <f t="shared" si="24"/>
        <v>-209283</v>
      </c>
      <c r="AL55" s="100">
        <f t="shared" si="24"/>
        <v>-175947</v>
      </c>
      <c r="AM55" s="100">
        <f t="shared" si="24"/>
        <v>-74466</v>
      </c>
      <c r="AN55" s="100">
        <f t="shared" si="24"/>
        <v>-70319</v>
      </c>
      <c r="AO55" s="100">
        <f t="shared" si="24"/>
        <v>15323</v>
      </c>
      <c r="AP55" s="100">
        <f t="shared" si="24"/>
        <v>-148422</v>
      </c>
      <c r="AQ55" s="100">
        <f t="shared" si="24"/>
        <v>3344</v>
      </c>
      <c r="AR55" s="100">
        <f t="shared" si="24"/>
        <v>-4072</v>
      </c>
      <c r="AS55" s="100">
        <f t="shared" si="24"/>
        <v>587720</v>
      </c>
      <c r="AT55" s="100">
        <f t="shared" si="24"/>
        <v>438873</v>
      </c>
      <c r="AU55" s="100">
        <f t="shared" si="24"/>
        <v>395689</v>
      </c>
      <c r="AV55" s="100">
        <f t="shared" si="24"/>
        <v>316961</v>
      </c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</row>
    <row r="56" spans="1:92 16371:16377" s="38" customFormat="1" ht="19.5" customHeight="1" x14ac:dyDescent="0.2">
      <c r="A56" s="34"/>
      <c r="B56" s="45" t="s">
        <v>174</v>
      </c>
      <c r="C56" s="45"/>
      <c r="D56" s="119">
        <f t="shared" ref="D56" si="25">D55+D45+D35</f>
        <v>-91816</v>
      </c>
      <c r="E56" s="119">
        <f t="shared" ref="E56" si="26">E55+E45+E35</f>
        <v>174088</v>
      </c>
      <c r="F56" s="89">
        <v>-62932</v>
      </c>
      <c r="G56" s="89">
        <f t="shared" ref="G56:Y56" si="27">G55+G45+G35</f>
        <v>-37488</v>
      </c>
      <c r="H56" s="89">
        <f t="shared" si="27"/>
        <v>-83006</v>
      </c>
      <c r="I56" s="89">
        <f t="shared" si="27"/>
        <v>-43869</v>
      </c>
      <c r="J56" s="89">
        <f t="shared" si="27"/>
        <v>389213</v>
      </c>
      <c r="K56" s="89">
        <f t="shared" si="27"/>
        <v>27782</v>
      </c>
      <c r="L56" s="89">
        <f t="shared" si="27"/>
        <v>15496</v>
      </c>
      <c r="M56" s="89">
        <f t="shared" si="27"/>
        <v>9198</v>
      </c>
      <c r="N56" s="89">
        <f t="shared" si="27"/>
        <v>15847</v>
      </c>
      <c r="O56" s="89">
        <f t="shared" si="27"/>
        <v>-24416</v>
      </c>
      <c r="P56" s="89">
        <f t="shared" si="27"/>
        <v>9099</v>
      </c>
      <c r="Q56" s="89">
        <f t="shared" si="27"/>
        <v>65951</v>
      </c>
      <c r="R56" s="89">
        <f t="shared" si="27"/>
        <v>43536</v>
      </c>
      <c r="S56" s="89">
        <f t="shared" si="27"/>
        <v>707</v>
      </c>
      <c r="T56" s="89">
        <f t="shared" si="27"/>
        <v>3185</v>
      </c>
      <c r="U56" s="89">
        <f t="shared" si="27"/>
        <v>-18857</v>
      </c>
      <c r="V56" s="89">
        <f t="shared" si="27"/>
        <v>-14102</v>
      </c>
      <c r="W56" s="89">
        <f t="shared" si="27"/>
        <v>-20940</v>
      </c>
      <c r="X56" s="89">
        <f t="shared" si="27"/>
        <v>-1092</v>
      </c>
      <c r="Y56" s="89">
        <f t="shared" si="27"/>
        <v>-91527</v>
      </c>
      <c r="Z56" s="89">
        <v>8821</v>
      </c>
      <c r="AA56" s="89">
        <f t="shared" ref="AA56:AU56" si="28">AA55+AA45+AA35</f>
        <v>-14036</v>
      </c>
      <c r="AB56" s="89">
        <f t="shared" si="28"/>
        <v>-79798</v>
      </c>
      <c r="AC56" s="89">
        <f t="shared" si="28"/>
        <v>-1664</v>
      </c>
      <c r="AD56" s="89">
        <f t="shared" si="28"/>
        <v>-60842</v>
      </c>
      <c r="AE56" s="89">
        <f t="shared" si="28"/>
        <v>51823</v>
      </c>
      <c r="AF56" s="89">
        <f t="shared" si="28"/>
        <v>-70599</v>
      </c>
      <c r="AG56" s="89">
        <f t="shared" si="28"/>
        <v>-19204</v>
      </c>
      <c r="AH56" s="89">
        <f t="shared" si="28"/>
        <v>-115388</v>
      </c>
      <c r="AI56" s="89">
        <f t="shared" si="28"/>
        <v>109305</v>
      </c>
      <c r="AJ56" s="89">
        <f t="shared" si="28"/>
        <v>-53045</v>
      </c>
      <c r="AK56" s="89">
        <f t="shared" si="28"/>
        <v>4795</v>
      </c>
      <c r="AL56" s="89">
        <f t="shared" si="28"/>
        <v>-7593</v>
      </c>
      <c r="AM56" s="89">
        <f t="shared" si="28"/>
        <v>17570</v>
      </c>
      <c r="AN56" s="89">
        <f t="shared" si="28"/>
        <v>6570</v>
      </c>
      <c r="AO56" s="89">
        <f t="shared" si="28"/>
        <v>41281</v>
      </c>
      <c r="AP56" s="89">
        <f t="shared" si="28"/>
        <v>-85813</v>
      </c>
      <c r="AQ56" s="89">
        <f t="shared" si="28"/>
        <v>-649</v>
      </c>
      <c r="AR56" s="89">
        <f t="shared" si="28"/>
        <v>-58858</v>
      </c>
      <c r="AS56" s="89">
        <f t="shared" si="28"/>
        <v>110083</v>
      </c>
      <c r="AT56" s="89">
        <f t="shared" si="28"/>
        <v>235527</v>
      </c>
      <c r="AU56" s="89">
        <f t="shared" si="28"/>
        <v>283226</v>
      </c>
      <c r="AV56" s="89">
        <f>AV55+AV45+AV35</f>
        <v>264653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</row>
    <row r="57" spans="1:92 16371:16377" s="38" customFormat="1" ht="16.5" customHeight="1" x14ac:dyDescent="0.2">
      <c r="A57" s="34"/>
      <c r="B57" s="68" t="s">
        <v>175</v>
      </c>
      <c r="C57" s="68"/>
      <c r="D57" s="100">
        <f t="shared" ref="D57" si="29">D56</f>
        <v>-91816</v>
      </c>
      <c r="E57" s="100">
        <f t="shared" ref="E57" si="30">E56</f>
        <v>174088</v>
      </c>
      <c r="F57" s="100">
        <v>-62932</v>
      </c>
      <c r="G57" s="100">
        <f t="shared" ref="G57:Y57" si="31">G56</f>
        <v>-37488</v>
      </c>
      <c r="H57" s="100">
        <f t="shared" si="31"/>
        <v>-83006</v>
      </c>
      <c r="I57" s="100">
        <f t="shared" si="31"/>
        <v>-43869</v>
      </c>
      <c r="J57" s="100">
        <f t="shared" si="31"/>
        <v>389213</v>
      </c>
      <c r="K57" s="100">
        <f t="shared" si="31"/>
        <v>27782</v>
      </c>
      <c r="L57" s="100">
        <f t="shared" si="31"/>
        <v>15496</v>
      </c>
      <c r="M57" s="100">
        <f t="shared" si="31"/>
        <v>9198</v>
      </c>
      <c r="N57" s="100">
        <f t="shared" si="31"/>
        <v>15847</v>
      </c>
      <c r="O57" s="100">
        <f t="shared" si="31"/>
        <v>-24416</v>
      </c>
      <c r="P57" s="100">
        <f t="shared" si="31"/>
        <v>9099</v>
      </c>
      <c r="Q57" s="100">
        <f t="shared" si="31"/>
        <v>65951</v>
      </c>
      <c r="R57" s="100">
        <f t="shared" si="31"/>
        <v>43536</v>
      </c>
      <c r="S57" s="100">
        <f t="shared" si="31"/>
        <v>707</v>
      </c>
      <c r="T57" s="100">
        <f t="shared" si="31"/>
        <v>3185</v>
      </c>
      <c r="U57" s="100">
        <f t="shared" si="31"/>
        <v>-18857</v>
      </c>
      <c r="V57" s="100">
        <f t="shared" si="31"/>
        <v>-14102</v>
      </c>
      <c r="W57" s="100">
        <f t="shared" si="31"/>
        <v>-20940</v>
      </c>
      <c r="X57" s="100">
        <f t="shared" si="31"/>
        <v>-1092</v>
      </c>
      <c r="Y57" s="100">
        <f t="shared" si="31"/>
        <v>-91527</v>
      </c>
      <c r="Z57" s="100">
        <v>8821</v>
      </c>
      <c r="AA57" s="100">
        <f t="shared" ref="AA57:AV57" si="32">AA56</f>
        <v>-14036</v>
      </c>
      <c r="AB57" s="100">
        <f t="shared" si="32"/>
        <v>-79798</v>
      </c>
      <c r="AC57" s="100">
        <f t="shared" si="32"/>
        <v>-1664</v>
      </c>
      <c r="AD57" s="100">
        <f t="shared" si="32"/>
        <v>-60842</v>
      </c>
      <c r="AE57" s="100">
        <f t="shared" si="32"/>
        <v>51823</v>
      </c>
      <c r="AF57" s="100">
        <f t="shared" si="32"/>
        <v>-70599</v>
      </c>
      <c r="AG57" s="100">
        <f t="shared" si="32"/>
        <v>-19204</v>
      </c>
      <c r="AH57" s="100">
        <f t="shared" si="32"/>
        <v>-115388</v>
      </c>
      <c r="AI57" s="100">
        <f t="shared" si="32"/>
        <v>109305</v>
      </c>
      <c r="AJ57" s="100">
        <f t="shared" si="32"/>
        <v>-53045</v>
      </c>
      <c r="AK57" s="100">
        <f t="shared" si="32"/>
        <v>4795</v>
      </c>
      <c r="AL57" s="100">
        <f t="shared" si="32"/>
        <v>-7593</v>
      </c>
      <c r="AM57" s="100">
        <f t="shared" si="32"/>
        <v>17570</v>
      </c>
      <c r="AN57" s="100">
        <f t="shared" si="32"/>
        <v>6570</v>
      </c>
      <c r="AO57" s="100">
        <f t="shared" si="32"/>
        <v>41281</v>
      </c>
      <c r="AP57" s="100">
        <f t="shared" si="32"/>
        <v>-85813</v>
      </c>
      <c r="AQ57" s="100">
        <f t="shared" si="32"/>
        <v>-649</v>
      </c>
      <c r="AR57" s="100">
        <f t="shared" si="32"/>
        <v>-58858</v>
      </c>
      <c r="AS57" s="100">
        <f t="shared" si="32"/>
        <v>110083</v>
      </c>
      <c r="AT57" s="100">
        <f t="shared" si="32"/>
        <v>235527</v>
      </c>
      <c r="AU57" s="100">
        <f t="shared" si="32"/>
        <v>283226</v>
      </c>
      <c r="AV57" s="100">
        <f t="shared" si="32"/>
        <v>264653</v>
      </c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1:92 16371:16377" s="30" customFormat="1" ht="19.5" customHeight="1" x14ac:dyDescent="0.2">
      <c r="A58" s="27"/>
      <c r="B58" s="39" t="s">
        <v>176</v>
      </c>
      <c r="C58" s="39"/>
      <c r="D58" s="115">
        <f t="shared" ref="D58" si="33">E59</f>
        <v>478720</v>
      </c>
      <c r="E58" s="115">
        <f t="shared" ref="E58" si="34">F59</f>
        <v>304632</v>
      </c>
      <c r="F58" s="83">
        <v>367564</v>
      </c>
      <c r="G58" s="83">
        <f t="shared" ref="G58:AQ58" si="35">H59</f>
        <v>405052</v>
      </c>
      <c r="H58" s="83">
        <f t="shared" si="35"/>
        <v>488058</v>
      </c>
      <c r="I58" s="83">
        <f t="shared" si="35"/>
        <v>531927</v>
      </c>
      <c r="J58" s="83">
        <f t="shared" si="35"/>
        <v>142714</v>
      </c>
      <c r="K58" s="83">
        <f t="shared" si="35"/>
        <v>114932</v>
      </c>
      <c r="L58" s="83">
        <f t="shared" si="35"/>
        <v>99436</v>
      </c>
      <c r="M58" s="83">
        <f t="shared" si="35"/>
        <v>90238</v>
      </c>
      <c r="N58" s="83">
        <f t="shared" si="35"/>
        <v>74391</v>
      </c>
      <c r="O58" s="83">
        <f t="shared" si="35"/>
        <v>98807</v>
      </c>
      <c r="P58" s="83">
        <f t="shared" si="35"/>
        <v>89708</v>
      </c>
      <c r="Q58" s="83">
        <v>23757</v>
      </c>
      <c r="R58" s="83">
        <f t="shared" si="35"/>
        <v>27649</v>
      </c>
      <c r="S58" s="83">
        <f t="shared" si="35"/>
        <v>26942</v>
      </c>
      <c r="T58" s="83">
        <f t="shared" si="35"/>
        <v>23757</v>
      </c>
      <c r="U58" s="83">
        <v>42614</v>
      </c>
      <c r="V58" s="83">
        <v>42614</v>
      </c>
      <c r="W58" s="83">
        <v>42614</v>
      </c>
      <c r="X58" s="83">
        <f t="shared" si="35"/>
        <v>42614</v>
      </c>
      <c r="Y58" s="83">
        <f>AB58</f>
        <v>134141</v>
      </c>
      <c r="Z58" s="83">
        <f t="shared" si="35"/>
        <v>40307</v>
      </c>
      <c r="AA58" s="83">
        <f t="shared" si="35"/>
        <v>54343</v>
      </c>
      <c r="AB58" s="83">
        <f t="shared" si="35"/>
        <v>134141</v>
      </c>
      <c r="AC58" s="83">
        <f>AF58</f>
        <v>135805</v>
      </c>
      <c r="AD58" s="83">
        <f t="shared" si="35"/>
        <v>117029</v>
      </c>
      <c r="AE58" s="83">
        <f t="shared" si="35"/>
        <v>65206</v>
      </c>
      <c r="AF58" s="83">
        <f t="shared" si="35"/>
        <v>135805</v>
      </c>
      <c r="AG58" s="83">
        <f>AJ58</f>
        <v>155009</v>
      </c>
      <c r="AH58" s="83">
        <f t="shared" si="35"/>
        <v>211269</v>
      </c>
      <c r="AI58" s="83">
        <f t="shared" si="35"/>
        <v>101964</v>
      </c>
      <c r="AJ58" s="83">
        <v>155009</v>
      </c>
      <c r="AK58" s="83">
        <f>AL58</f>
        <v>143844</v>
      </c>
      <c r="AL58" s="83">
        <f>AM58</f>
        <v>143844</v>
      </c>
      <c r="AM58" s="83">
        <f>AN58</f>
        <v>143844</v>
      </c>
      <c r="AN58" s="83">
        <f t="shared" si="35"/>
        <v>143844</v>
      </c>
      <c r="AO58" s="83">
        <f t="shared" si="35"/>
        <v>102563</v>
      </c>
      <c r="AP58" s="83">
        <f t="shared" si="35"/>
        <v>188376</v>
      </c>
      <c r="AQ58" s="83">
        <f t="shared" si="35"/>
        <v>189025</v>
      </c>
      <c r="AR58" s="83">
        <f>AS59</f>
        <v>247883</v>
      </c>
      <c r="AS58" s="83">
        <f>AT58</f>
        <v>137800</v>
      </c>
      <c r="AT58" s="83">
        <f>AU58</f>
        <v>137800</v>
      </c>
      <c r="AU58" s="83">
        <f>AV58</f>
        <v>137800</v>
      </c>
      <c r="AV58" s="83">
        <v>137800</v>
      </c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</row>
    <row r="59" spans="1:92 16371:16377" ht="18" customHeight="1" x14ac:dyDescent="0.2">
      <c r="A59" s="19"/>
      <c r="B59" s="42" t="s">
        <v>177</v>
      </c>
      <c r="C59" s="42"/>
      <c r="D59" s="116">
        <f t="shared" ref="D59" si="36">D58+D57</f>
        <v>386904</v>
      </c>
      <c r="E59" s="116">
        <f t="shared" ref="E59" si="37">E58+E57</f>
        <v>478720</v>
      </c>
      <c r="F59" s="84">
        <v>304632</v>
      </c>
      <c r="G59" s="84">
        <f t="shared" ref="G59:AT59" si="38">G58+G57</f>
        <v>367564</v>
      </c>
      <c r="H59" s="84">
        <f t="shared" si="38"/>
        <v>405052</v>
      </c>
      <c r="I59" s="84">
        <f t="shared" si="38"/>
        <v>488058</v>
      </c>
      <c r="J59" s="84">
        <f t="shared" si="38"/>
        <v>531927</v>
      </c>
      <c r="K59" s="84">
        <f t="shared" si="38"/>
        <v>142714</v>
      </c>
      <c r="L59" s="84">
        <f t="shared" si="38"/>
        <v>114932</v>
      </c>
      <c r="M59" s="84">
        <f t="shared" si="38"/>
        <v>99436</v>
      </c>
      <c r="N59" s="84">
        <f t="shared" si="38"/>
        <v>90238</v>
      </c>
      <c r="O59" s="84">
        <f t="shared" si="38"/>
        <v>74391</v>
      </c>
      <c r="P59" s="84">
        <f t="shared" si="38"/>
        <v>98807</v>
      </c>
      <c r="Q59" s="84">
        <f t="shared" si="38"/>
        <v>89708</v>
      </c>
      <c r="R59" s="84">
        <f t="shared" si="38"/>
        <v>71185</v>
      </c>
      <c r="S59" s="84">
        <f t="shared" si="38"/>
        <v>27649</v>
      </c>
      <c r="T59" s="84">
        <f t="shared" si="38"/>
        <v>26942</v>
      </c>
      <c r="U59" s="84">
        <f t="shared" si="38"/>
        <v>23757</v>
      </c>
      <c r="V59" s="84">
        <f t="shared" si="38"/>
        <v>28512</v>
      </c>
      <c r="W59" s="84">
        <f t="shared" si="38"/>
        <v>21674</v>
      </c>
      <c r="X59" s="84">
        <f t="shared" si="38"/>
        <v>41522</v>
      </c>
      <c r="Y59" s="84">
        <f t="shared" si="38"/>
        <v>42614</v>
      </c>
      <c r="Z59" s="84">
        <f t="shared" si="38"/>
        <v>49128</v>
      </c>
      <c r="AA59" s="84">
        <f t="shared" si="38"/>
        <v>40307</v>
      </c>
      <c r="AB59" s="84">
        <f t="shared" si="38"/>
        <v>54343</v>
      </c>
      <c r="AC59" s="84">
        <f t="shared" si="38"/>
        <v>134141</v>
      </c>
      <c r="AD59" s="84">
        <f t="shared" si="38"/>
        <v>56187</v>
      </c>
      <c r="AE59" s="84">
        <f t="shared" si="38"/>
        <v>117029</v>
      </c>
      <c r="AF59" s="84">
        <f t="shared" si="38"/>
        <v>65206</v>
      </c>
      <c r="AG59" s="84">
        <f t="shared" si="38"/>
        <v>135805</v>
      </c>
      <c r="AH59" s="84">
        <f t="shared" si="38"/>
        <v>95881</v>
      </c>
      <c r="AI59" s="84">
        <f t="shared" si="38"/>
        <v>211269</v>
      </c>
      <c r="AJ59" s="84">
        <f t="shared" si="38"/>
        <v>101964</v>
      </c>
      <c r="AK59" s="84">
        <f>AK58+AK57</f>
        <v>148639</v>
      </c>
      <c r="AL59" s="84">
        <f t="shared" si="38"/>
        <v>136251</v>
      </c>
      <c r="AM59" s="84">
        <f t="shared" si="38"/>
        <v>161414</v>
      </c>
      <c r="AN59" s="84">
        <f t="shared" si="38"/>
        <v>150414</v>
      </c>
      <c r="AO59" s="84">
        <f t="shared" si="38"/>
        <v>143844</v>
      </c>
      <c r="AP59" s="84">
        <f t="shared" si="38"/>
        <v>102563</v>
      </c>
      <c r="AQ59" s="84">
        <f t="shared" si="38"/>
        <v>188376</v>
      </c>
      <c r="AR59" s="84">
        <f t="shared" si="38"/>
        <v>189025</v>
      </c>
      <c r="AS59" s="84">
        <f t="shared" si="38"/>
        <v>247883</v>
      </c>
      <c r="AT59" s="84">
        <f t="shared" si="38"/>
        <v>373327</v>
      </c>
      <c r="AU59" s="84">
        <f>AU58+AU57</f>
        <v>421026</v>
      </c>
      <c r="AV59" s="84">
        <f>AV58+AV57</f>
        <v>402453</v>
      </c>
    </row>
    <row r="60" spans="1:92 16371:16377" s="38" customFormat="1" ht="19.5" customHeight="1" x14ac:dyDescent="0.2">
      <c r="A60" s="34"/>
      <c r="B60" s="45" t="s">
        <v>174</v>
      </c>
      <c r="C60" s="45"/>
      <c r="D60" s="119">
        <f t="shared" ref="D60" si="39">+D59-D58</f>
        <v>-91816</v>
      </c>
      <c r="E60" s="119">
        <f t="shared" ref="E60" si="40">+E59-E58</f>
        <v>174088</v>
      </c>
      <c r="F60" s="89">
        <v>-62932</v>
      </c>
      <c r="G60" s="89">
        <f t="shared" ref="G60:AT60" si="41">+G59-G58</f>
        <v>-37488</v>
      </c>
      <c r="H60" s="89">
        <f t="shared" si="41"/>
        <v>-83006</v>
      </c>
      <c r="I60" s="89">
        <f t="shared" si="41"/>
        <v>-43869</v>
      </c>
      <c r="J60" s="89">
        <f t="shared" si="41"/>
        <v>389213</v>
      </c>
      <c r="K60" s="89">
        <f t="shared" si="41"/>
        <v>27782</v>
      </c>
      <c r="L60" s="89">
        <f t="shared" si="41"/>
        <v>15496</v>
      </c>
      <c r="M60" s="89">
        <f t="shared" si="41"/>
        <v>9198</v>
      </c>
      <c r="N60" s="89">
        <f t="shared" si="41"/>
        <v>15847</v>
      </c>
      <c r="O60" s="89">
        <f t="shared" si="41"/>
        <v>-24416</v>
      </c>
      <c r="P60" s="89">
        <f t="shared" si="41"/>
        <v>9099</v>
      </c>
      <c r="Q60" s="89">
        <f t="shared" si="41"/>
        <v>65951</v>
      </c>
      <c r="R60" s="89">
        <f t="shared" si="41"/>
        <v>43536</v>
      </c>
      <c r="S60" s="89">
        <f t="shared" si="41"/>
        <v>707</v>
      </c>
      <c r="T60" s="89">
        <f t="shared" si="41"/>
        <v>3185</v>
      </c>
      <c r="U60" s="89">
        <f t="shared" si="41"/>
        <v>-18857</v>
      </c>
      <c r="V60" s="89">
        <f t="shared" si="41"/>
        <v>-14102</v>
      </c>
      <c r="W60" s="89">
        <f t="shared" si="41"/>
        <v>-20940</v>
      </c>
      <c r="X60" s="89">
        <f t="shared" si="41"/>
        <v>-1092</v>
      </c>
      <c r="Y60" s="89">
        <f t="shared" si="41"/>
        <v>-91527</v>
      </c>
      <c r="Z60" s="89">
        <f t="shared" si="41"/>
        <v>8821</v>
      </c>
      <c r="AA60" s="89">
        <f t="shared" si="41"/>
        <v>-14036</v>
      </c>
      <c r="AB60" s="89">
        <f t="shared" si="41"/>
        <v>-79798</v>
      </c>
      <c r="AC60" s="89">
        <f t="shared" si="41"/>
        <v>-1664</v>
      </c>
      <c r="AD60" s="89">
        <f t="shared" si="41"/>
        <v>-60842</v>
      </c>
      <c r="AE60" s="89">
        <f t="shared" si="41"/>
        <v>51823</v>
      </c>
      <c r="AF60" s="89">
        <f t="shared" si="41"/>
        <v>-70599</v>
      </c>
      <c r="AG60" s="89">
        <f t="shared" si="41"/>
        <v>-19204</v>
      </c>
      <c r="AH60" s="89">
        <f t="shared" si="41"/>
        <v>-115388</v>
      </c>
      <c r="AI60" s="89">
        <f t="shared" si="41"/>
        <v>109305</v>
      </c>
      <c r="AJ60" s="89">
        <f t="shared" si="41"/>
        <v>-53045</v>
      </c>
      <c r="AK60" s="89">
        <f t="shared" si="41"/>
        <v>4795</v>
      </c>
      <c r="AL60" s="89">
        <f t="shared" si="41"/>
        <v>-7593</v>
      </c>
      <c r="AM60" s="89">
        <f t="shared" si="41"/>
        <v>17570</v>
      </c>
      <c r="AN60" s="89">
        <f t="shared" si="41"/>
        <v>6570</v>
      </c>
      <c r="AO60" s="89">
        <f t="shared" si="41"/>
        <v>41281</v>
      </c>
      <c r="AP60" s="89">
        <f t="shared" si="41"/>
        <v>-85813</v>
      </c>
      <c r="AQ60" s="89">
        <f t="shared" si="41"/>
        <v>-649</v>
      </c>
      <c r="AR60" s="89">
        <f t="shared" si="41"/>
        <v>-58858</v>
      </c>
      <c r="AS60" s="89">
        <f t="shared" si="41"/>
        <v>110083</v>
      </c>
      <c r="AT60" s="89">
        <f t="shared" si="41"/>
        <v>235527</v>
      </c>
      <c r="AU60" s="89">
        <f>+AU59-AU58</f>
        <v>283226</v>
      </c>
      <c r="AV60" s="89">
        <f>+AV59-AV58</f>
        <v>264653</v>
      </c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</row>
    <row r="61" spans="1:92 16371:16377" ht="6.6" customHeight="1" x14ac:dyDescent="0.2">
      <c r="A61" s="19"/>
      <c r="B61" s="51"/>
      <c r="C61" s="19"/>
      <c r="D61" s="59"/>
      <c r="E61" s="59"/>
      <c r="F61" s="59"/>
      <c r="G61" s="59"/>
      <c r="H61" s="59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92 16371:16377" s="30" customFormat="1" ht="16.5" customHeight="1" x14ac:dyDescent="0.2">
      <c r="B62" s="47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XEQ62" s="55"/>
      <c r="XER62" s="55"/>
      <c r="XES62" s="55"/>
      <c r="XET62" s="55"/>
      <c r="XEU62" s="55"/>
      <c r="XEV62" s="55"/>
      <c r="XEW62" s="55"/>
    </row>
    <row r="63" spans="1:92 16371:16377" s="30" customFormat="1" ht="16.5" customHeight="1" x14ac:dyDescent="0.2">
      <c r="B63" s="47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XEQ63" s="55"/>
      <c r="XER63" s="55"/>
      <c r="XES63" s="55"/>
      <c r="XET63" s="55"/>
      <c r="XEU63" s="55"/>
      <c r="XEV63" s="55"/>
      <c r="XEW63" s="55"/>
    </row>
    <row r="64" spans="1:92 16371:16377" s="30" customFormat="1" ht="16.5" customHeight="1" x14ac:dyDescent="0.2">
      <c r="B64" s="47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XEQ64" s="55"/>
      <c r="XER64" s="55"/>
      <c r="XES64" s="55"/>
      <c r="XET64" s="55"/>
      <c r="XEU64" s="55"/>
      <c r="XEV64" s="55"/>
      <c r="XEW64" s="55"/>
    </row>
    <row r="65" spans="2:92 16371:16377" ht="12.75" customHeight="1" x14ac:dyDescent="0.2"/>
    <row r="66" spans="2:92 16371:16377" s="30" customFormat="1" ht="16.5" customHeight="1" x14ac:dyDescent="0.2">
      <c r="B66" s="47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XEQ66" s="55"/>
      <c r="XER66" s="55"/>
      <c r="XES66" s="55"/>
      <c r="XET66" s="55"/>
      <c r="XEU66" s="55"/>
      <c r="XEV66" s="55"/>
      <c r="XEW66" s="55"/>
    </row>
    <row r="67" spans="2:92 16371:16377" s="30" customFormat="1" ht="16.5" customHeight="1" x14ac:dyDescent="0.2">
      <c r="B67" s="47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XEQ67" s="55"/>
      <c r="XER67" s="55"/>
      <c r="XES67" s="55"/>
      <c r="XET67" s="55"/>
      <c r="XEU67" s="55"/>
      <c r="XEV67" s="55"/>
      <c r="XEW67" s="55"/>
    </row>
    <row r="68" spans="2:92 16371:16377" s="30" customFormat="1" ht="16.5" customHeight="1" x14ac:dyDescent="0.2">
      <c r="B68" s="47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XEQ68" s="55"/>
      <c r="XER68" s="55"/>
      <c r="XES68" s="55"/>
      <c r="XET68" s="55"/>
      <c r="XEU68" s="55"/>
      <c r="XEV68" s="55"/>
      <c r="XEW68" s="55"/>
    </row>
    <row r="69" spans="2:92 16371:16377" ht="12.75" customHeight="1" x14ac:dyDescent="0.2"/>
    <row r="70" spans="2:92 16371:16377" s="30" customFormat="1" ht="16.5" customHeight="1" x14ac:dyDescent="0.2">
      <c r="B70" s="47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XEQ70" s="55"/>
      <c r="XER70" s="55"/>
      <c r="XES70" s="55"/>
      <c r="XET70" s="55"/>
      <c r="XEU70" s="55"/>
      <c r="XEV70" s="55"/>
      <c r="XEW70" s="55"/>
    </row>
    <row r="71" spans="2:92 16371:16377" s="30" customFormat="1" ht="16.5" customHeight="1" x14ac:dyDescent="0.2">
      <c r="B71" s="47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XEQ71" s="55"/>
      <c r="XER71" s="55"/>
      <c r="XES71" s="55"/>
      <c r="XET71" s="55"/>
      <c r="XEU71" s="55"/>
      <c r="XEV71" s="55"/>
      <c r="XEW71" s="55"/>
    </row>
    <row r="72" spans="2:92 16371:16377" s="30" customFormat="1" ht="16.5" customHeight="1" x14ac:dyDescent="0.2">
      <c r="B72" s="47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XEQ72" s="55"/>
      <c r="XER72" s="55"/>
      <c r="XES72" s="55"/>
      <c r="XET72" s="55"/>
      <c r="XEU72" s="55"/>
      <c r="XEV72" s="55"/>
      <c r="XEW72" s="55"/>
    </row>
    <row r="73" spans="2:92 16371:16377" s="30" customFormat="1" ht="16.5" customHeight="1" x14ac:dyDescent="0.2">
      <c r="B73" s="47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XEQ73" s="55"/>
      <c r="XER73" s="55"/>
      <c r="XES73" s="55"/>
      <c r="XET73" s="55"/>
      <c r="XEU73" s="55"/>
      <c r="XEV73" s="55"/>
      <c r="XEW73" s="55"/>
    </row>
    <row r="74" spans="2:92 16371:16377" s="30" customFormat="1" ht="16.5" customHeight="1" x14ac:dyDescent="0.2">
      <c r="B74" s="47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</row>
    <row r="75" spans="2:92 16371:16377" s="30" customFormat="1" ht="16.5" customHeight="1" x14ac:dyDescent="0.2">
      <c r="B75" s="47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</row>
    <row r="76" spans="2:92 16371:16377" ht="12.75" customHeight="1" x14ac:dyDescent="0.2"/>
    <row r="77" spans="2:92 16371:16377" s="30" customFormat="1" ht="27.95" customHeight="1" x14ac:dyDescent="0.2">
      <c r="B77" s="47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</row>
    <row r="78" spans="2:92 16371:16377" s="30" customFormat="1" ht="16.5" customHeight="1" x14ac:dyDescent="0.2">
      <c r="B78" s="47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</row>
    <row r="79" spans="2:92 16371:16377" s="30" customFormat="1" ht="16.5" customHeight="1" x14ac:dyDescent="0.2">
      <c r="B79" s="47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</row>
    <row r="80" spans="2:92 16371:16377" s="30" customFormat="1" ht="16.5" customHeight="1" x14ac:dyDescent="0.2">
      <c r="B80" s="47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</row>
    <row r="81" spans="1:92" s="30" customFormat="1" ht="16.5" customHeight="1" x14ac:dyDescent="0.2">
      <c r="B81" s="47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</row>
    <row r="82" spans="1:92" s="30" customFormat="1" ht="16.5" customHeight="1" x14ac:dyDescent="0.2">
      <c r="B82" s="47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</row>
    <row r="83" spans="1:92" s="30" customFormat="1" ht="16.5" customHeight="1" x14ac:dyDescent="0.2">
      <c r="B83" s="47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</row>
    <row r="84" spans="1:92" s="30" customFormat="1" ht="16.5" customHeight="1" x14ac:dyDescent="0.2">
      <c r="A84" s="55"/>
      <c r="B84" s="47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</row>
    <row r="85" spans="1:92" ht="12.75" customHeight="1" x14ac:dyDescent="0.2"/>
    <row r="86" spans="1:92" ht="15" customHeight="1" x14ac:dyDescent="0.2"/>
    <row r="87" spans="1:92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35 AM58 AG58 AC58 Y58" formula="1"/>
    <ignoredError sqref="AP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Operational Performance</vt:lpstr>
      <vt:lpstr>IS</vt:lpstr>
      <vt:lpstr>Balance Sheet</vt:lpstr>
      <vt:lpstr>Cash Flow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2021-05-17T11:58:29Z</dcterms:modified>
</cp:coreProperties>
</file>