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P:\RI\Releases de Resultados\2026\Release 2T26\Planilha Interativa\"/>
    </mc:Choice>
  </mc:AlternateContent>
  <xr:revisionPtr revIDLastSave="0" documentId="13_ncr:1_{1D2F587A-BEE9-4553-80C0-C6ED7E191E11}" xr6:coauthVersionLast="47" xr6:coauthVersionMax="47" xr10:uidLastSave="{00000000-0000-0000-0000-000000000000}"/>
  <bookViews>
    <workbookView xWindow="-20610" yWindow="1545" windowWidth="20730" windowHeight="11040" xr2:uid="{00000000-000D-0000-FFFF-FFFF00000000}"/>
  </bookViews>
  <sheets>
    <sheet name="Cover" sheetId="6" r:id="rId1"/>
    <sheet name="Informações Operacionais " sheetId="5" r:id="rId2"/>
    <sheet name="DRE " sheetId="4" r:id="rId3"/>
    <sheet name="Balanço Patrimonial " sheetId="8" r:id="rId4"/>
    <sheet name="Fluxo de Caixa " sheetId="1" r:id="rId5"/>
  </sheets>
  <definedNames>
    <definedName name="_xlnm._FilterDatabase" localSheetId="1" hidden="1">'Informações Operacionais '!$F$1:$J$26</definedName>
    <definedName name="_xlnm.Print_Area" localSheetId="0">Cover!$A$1:$U$38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60" i="1"/>
  <c r="D59" i="1"/>
  <c r="D58" i="1"/>
  <c r="D47" i="1"/>
  <c r="D36" i="1"/>
  <c r="D33" i="1"/>
  <c r="D26" i="1"/>
  <c r="D20" i="1"/>
  <c r="D18" i="1"/>
  <c r="D6" i="1"/>
  <c r="E49" i="8"/>
  <c r="E37" i="8"/>
  <c r="E25" i="8"/>
  <c r="E19" i="8"/>
  <c r="E12" i="8"/>
  <c r="E57" i="8" l="1"/>
  <c r="E24" i="8"/>
  <c r="D22" i="4"/>
  <c r="D12" i="4"/>
  <c r="D34" i="4"/>
  <c r="D9" i="4"/>
  <c r="D11" i="4" s="1"/>
  <c r="D21" i="4" l="1"/>
  <c r="D25" i="4" s="1"/>
  <c r="E63" i="1" l="1"/>
  <c r="E58" i="1"/>
  <c r="E47" i="1"/>
  <c r="E33" i="1"/>
  <c r="E36" i="1" s="1"/>
  <c r="E59" i="1" s="1"/>
  <c r="E60" i="1" s="1"/>
  <c r="E26" i="1"/>
  <c r="E20" i="1"/>
  <c r="E18" i="1"/>
  <c r="E6" i="1"/>
  <c r="F49" i="8"/>
  <c r="F37" i="8"/>
  <c r="F25" i="8"/>
  <c r="F24" i="8"/>
  <c r="F19" i="8"/>
  <c r="G19" i="8"/>
  <c r="F12" i="8"/>
  <c r="E34" i="4"/>
  <c r="E22" i="4"/>
  <c r="E12" i="4"/>
  <c r="E11" i="4"/>
  <c r="E21" i="4" s="1"/>
  <c r="E25" i="4" s="1"/>
  <c r="E9" i="4"/>
  <c r="F57" i="8" l="1"/>
  <c r="F63" i="1"/>
  <c r="F47" i="1"/>
  <c r="F58" i="1"/>
  <c r="F26" i="1" l="1"/>
  <c r="F20" i="1"/>
  <c r="F18" i="1"/>
  <c r="F6" i="1" s="1"/>
  <c r="F33" i="1" s="1"/>
  <c r="F36" i="1" s="1"/>
  <c r="F59" i="1" s="1"/>
  <c r="F60" i="1" s="1"/>
  <c r="G49" i="8"/>
  <c r="G37" i="8"/>
  <c r="G25" i="8"/>
  <c r="G24" i="8"/>
  <c r="G12" i="8"/>
  <c r="F34" i="4"/>
  <c r="G34" i="4"/>
  <c r="F22" i="4"/>
  <c r="G22" i="4"/>
  <c r="F12" i="4"/>
  <c r="G12" i="4"/>
  <c r="G57" i="8" l="1"/>
  <c r="F9" i="4"/>
  <c r="F11" i="4" s="1"/>
  <c r="F21" i="4" s="1"/>
  <c r="F25" i="4" s="1"/>
  <c r="G9" i="4"/>
  <c r="G11" i="4" s="1"/>
  <c r="G21" i="4" s="1"/>
  <c r="G25" i="4" s="1"/>
  <c r="G63" i="1" l="1"/>
  <c r="G58" i="1"/>
  <c r="G47" i="1"/>
  <c r="G26" i="1"/>
  <c r="G20" i="1"/>
  <c r="G18" i="1"/>
  <c r="G6" i="1" s="1"/>
  <c r="G33" i="1" s="1"/>
  <c r="G36" i="1" s="1"/>
  <c r="G59" i="1" l="1"/>
  <c r="G60" i="1" s="1"/>
  <c r="H49" i="8"/>
  <c r="H25" i="8"/>
  <c r="H37" i="8"/>
  <c r="H24" i="8"/>
  <c r="H19" i="8"/>
  <c r="H12" i="8"/>
  <c r="H32" i="4"/>
  <c r="H34" i="4" s="1"/>
  <c r="H22" i="4"/>
  <c r="H12" i="4"/>
  <c r="H9" i="4"/>
  <c r="H11" i="4" s="1"/>
  <c r="H57" i="8" l="1"/>
  <c r="H21" i="4"/>
  <c r="H25" i="4" s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K58" i="1"/>
  <c r="BL58" i="1"/>
  <c r="BM58" i="1"/>
  <c r="BN58" i="1"/>
  <c r="BO58" i="1"/>
  <c r="BP58" i="1"/>
  <c r="BQ58" i="1"/>
  <c r="H63" i="1"/>
  <c r="H58" i="1"/>
  <c r="H20" i="1"/>
  <c r="I20" i="1"/>
  <c r="T63" i="1" l="1"/>
  <c r="S63" i="1"/>
  <c r="R63" i="1"/>
  <c r="Q63" i="1"/>
  <c r="P63" i="1"/>
  <c r="O63" i="1"/>
  <c r="N63" i="1"/>
  <c r="M63" i="1"/>
  <c r="L63" i="1"/>
  <c r="K63" i="1"/>
  <c r="J63" i="1"/>
  <c r="I63" i="1"/>
  <c r="BP61" i="1"/>
  <c r="BO61" i="1" s="1"/>
  <c r="BB61" i="1"/>
  <c r="BJ55" i="1"/>
  <c r="BJ58" i="1" s="1"/>
  <c r="BI55" i="1"/>
  <c r="BI58" i="1" s="1"/>
  <c r="BH55" i="1"/>
  <c r="BH58" i="1" s="1"/>
  <c r="BG55" i="1"/>
  <c r="BG58" i="1" s="1"/>
  <c r="BF55" i="1"/>
  <c r="BF58" i="1" s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AX36" i="1"/>
  <c r="AU36" i="1"/>
  <c r="AT3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Z18" i="1"/>
  <c r="Z6" i="1" s="1"/>
  <c r="Y18" i="1"/>
  <c r="Y6" i="1" s="1"/>
  <c r="X18" i="1"/>
  <c r="X6" i="1" s="1"/>
  <c r="W18" i="1"/>
  <c r="W6" i="1" s="1"/>
  <c r="V18" i="1"/>
  <c r="V6" i="1" s="1"/>
  <c r="U18" i="1"/>
  <c r="U6" i="1" s="1"/>
  <c r="S18" i="1"/>
  <c r="S6" i="1" s="1"/>
  <c r="R18" i="1"/>
  <c r="R6" i="1" s="1"/>
  <c r="Q18" i="1"/>
  <c r="Q6" i="1" s="1"/>
  <c r="P18" i="1"/>
  <c r="P6" i="1" s="1"/>
  <c r="O18" i="1"/>
  <c r="O6" i="1" s="1"/>
  <c r="N18" i="1"/>
  <c r="M18" i="1"/>
  <c r="M6" i="1" s="1"/>
  <c r="L18" i="1"/>
  <c r="L6" i="1" s="1"/>
  <c r="K18" i="1"/>
  <c r="K6" i="1" s="1"/>
  <c r="J18" i="1"/>
  <c r="J6" i="1" s="1"/>
  <c r="I18" i="1"/>
  <c r="I6" i="1" s="1"/>
  <c r="I33" i="1" s="1"/>
  <c r="I36" i="1" s="1"/>
  <c r="H18" i="1"/>
  <c r="H6" i="1" s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T6" i="1"/>
  <c r="N6" i="1"/>
  <c r="S5" i="1"/>
  <c r="R5" i="1"/>
  <c r="Q5" i="1"/>
  <c r="M5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Q57" i="8"/>
  <c r="BR49" i="8"/>
  <c r="BQ49" i="8"/>
  <c r="BP49" i="8"/>
  <c r="BO49" i="8"/>
  <c r="BN49" i="8"/>
  <c r="BM49" i="8"/>
  <c r="BL49" i="8"/>
  <c r="BK49" i="8"/>
  <c r="BJ49" i="8"/>
  <c r="BI49" i="8"/>
  <c r="BH49" i="8"/>
  <c r="BG49" i="8"/>
  <c r="BF49" i="8"/>
  <c r="BE49" i="8"/>
  <c r="BD49" i="8"/>
  <c r="BC49" i="8"/>
  <c r="BB49" i="8"/>
  <c r="BA49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P49" i="8"/>
  <c r="O49" i="8"/>
  <c r="N49" i="8"/>
  <c r="M49" i="8"/>
  <c r="L49" i="8"/>
  <c r="K49" i="8"/>
  <c r="J49" i="8"/>
  <c r="I49" i="8"/>
  <c r="BR37" i="8"/>
  <c r="BQ37" i="8"/>
  <c r="BP37" i="8"/>
  <c r="BO37" i="8"/>
  <c r="BN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BA37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O37" i="8"/>
  <c r="N37" i="8"/>
  <c r="M37" i="8"/>
  <c r="L37" i="8"/>
  <c r="K37" i="8"/>
  <c r="J37" i="8"/>
  <c r="I37" i="8"/>
  <c r="BR25" i="8"/>
  <c r="BR57" i="8" s="1"/>
  <c r="BQ25" i="8"/>
  <c r="BP25" i="8"/>
  <c r="BO25" i="8"/>
  <c r="BN25" i="8"/>
  <c r="BM25" i="8"/>
  <c r="BL25" i="8"/>
  <c r="BK25" i="8"/>
  <c r="BJ25" i="8"/>
  <c r="BI25" i="8"/>
  <c r="BH25" i="8"/>
  <c r="BG25" i="8"/>
  <c r="BF25" i="8"/>
  <c r="BF57" i="8" s="1"/>
  <c r="BE25" i="8"/>
  <c r="BD25" i="8"/>
  <c r="BC25" i="8"/>
  <c r="BB25" i="8"/>
  <c r="BA25" i="8"/>
  <c r="AZ25" i="8"/>
  <c r="AZ57" i="8" s="1"/>
  <c r="AY25" i="8"/>
  <c r="AX25" i="8"/>
  <c r="AW25" i="8"/>
  <c r="AV25" i="8"/>
  <c r="AU25" i="8"/>
  <c r="AT25" i="8"/>
  <c r="AT57" i="8" s="1"/>
  <c r="AS25" i="8"/>
  <c r="AR25" i="8"/>
  <c r="AQ25" i="8"/>
  <c r="AP25" i="8"/>
  <c r="AO25" i="8"/>
  <c r="AN25" i="8"/>
  <c r="AN57" i="8" s="1"/>
  <c r="AM25" i="8"/>
  <c r="AM57" i="8" s="1"/>
  <c r="AL25" i="8"/>
  <c r="AK25" i="8"/>
  <c r="AJ25" i="8"/>
  <c r="AI25" i="8"/>
  <c r="AH25" i="8"/>
  <c r="AH57" i="8" s="1"/>
  <c r="AG25" i="8"/>
  <c r="AF25" i="8"/>
  <c r="AE25" i="8"/>
  <c r="AD25" i="8"/>
  <c r="AC25" i="8"/>
  <c r="AB25" i="8"/>
  <c r="AB57" i="8" s="1"/>
  <c r="AA25" i="8"/>
  <c r="Z25" i="8"/>
  <c r="Y25" i="8"/>
  <c r="X25" i="8"/>
  <c r="W25" i="8"/>
  <c r="V25" i="8"/>
  <c r="U25" i="8"/>
  <c r="T25" i="8"/>
  <c r="S25" i="8"/>
  <c r="R25" i="8"/>
  <c r="P25" i="8"/>
  <c r="O25" i="8"/>
  <c r="N25" i="8"/>
  <c r="N57" i="8" s="1"/>
  <c r="M25" i="8"/>
  <c r="L25" i="8"/>
  <c r="K25" i="8"/>
  <c r="J25" i="8"/>
  <c r="I25" i="8"/>
  <c r="I57" i="8" s="1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BR19" i="8"/>
  <c r="BQ19" i="8"/>
  <c r="BP19" i="8"/>
  <c r="BO19" i="8"/>
  <c r="BN19" i="8"/>
  <c r="BM19" i="8"/>
  <c r="BL19" i="8"/>
  <c r="BK19" i="8"/>
  <c r="BJ19" i="8"/>
  <c r="BJ11" i="8" s="1"/>
  <c r="BI19" i="8"/>
  <c r="BH19" i="8"/>
  <c r="BG19" i="8"/>
  <c r="BF19" i="8"/>
  <c r="BE19" i="8"/>
  <c r="BD19" i="8"/>
  <c r="BC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BR12" i="8"/>
  <c r="BQ12" i="8"/>
  <c r="BQ11" i="8" s="1"/>
  <c r="BP12" i="8"/>
  <c r="BP11" i="8" s="1"/>
  <c r="BN12" i="8"/>
  <c r="BN11" i="8" s="1"/>
  <c r="BM12" i="8"/>
  <c r="BL12" i="8"/>
  <c r="BK12" i="8"/>
  <c r="BJ12" i="8"/>
  <c r="BI12" i="8"/>
  <c r="BH12" i="8"/>
  <c r="BG12" i="8"/>
  <c r="BF12" i="8"/>
  <c r="BE12" i="8"/>
  <c r="BD12" i="8"/>
  <c r="BD11" i="8" s="1"/>
  <c r="BC12" i="8"/>
  <c r="BC11" i="8" s="1"/>
  <c r="BB12" i="8"/>
  <c r="BB11" i="8" s="1"/>
  <c r="BA12" i="8"/>
  <c r="AZ12" i="8"/>
  <c r="AY12" i="8"/>
  <c r="AX12" i="8"/>
  <c r="AW12" i="8"/>
  <c r="AV12" i="8"/>
  <c r="AU12" i="8"/>
  <c r="AT12" i="8"/>
  <c r="AS12" i="8"/>
  <c r="AR12" i="8"/>
  <c r="AR11" i="8" s="1"/>
  <c r="AQ12" i="8"/>
  <c r="AQ11" i="8" s="1"/>
  <c r="AP12" i="8"/>
  <c r="AP11" i="8" s="1"/>
  <c r="AO12" i="8"/>
  <c r="AN12" i="8"/>
  <c r="AM12" i="8"/>
  <c r="AL12" i="8"/>
  <c r="AK12" i="8"/>
  <c r="AJ12" i="8"/>
  <c r="AI12" i="8"/>
  <c r="AH12" i="8"/>
  <c r="AG12" i="8"/>
  <c r="AF12" i="8"/>
  <c r="AF11" i="8" s="1"/>
  <c r="AE12" i="8"/>
  <c r="AE11" i="8" s="1"/>
  <c r="AD12" i="8"/>
  <c r="AD11" i="8" s="1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BO11" i="8"/>
  <c r="BI11" i="8"/>
  <c r="BN5" i="8"/>
  <c r="BN4" i="8" s="1"/>
  <c r="BM5" i="8"/>
  <c r="BM4" i="8" s="1"/>
  <c r="BL5" i="8"/>
  <c r="BL4" i="8" s="1"/>
  <c r="BK5" i="8"/>
  <c r="BK4" i="8" s="1"/>
  <c r="BJ5" i="8"/>
  <c r="BJ4" i="8" s="1"/>
  <c r="BI5" i="8"/>
  <c r="BI4" i="8" s="1"/>
  <c r="BR4" i="8"/>
  <c r="BQ4" i="8"/>
  <c r="BP4" i="8"/>
  <c r="BO4" i="8"/>
  <c r="BH4" i="8"/>
  <c r="BG4" i="8"/>
  <c r="BF4" i="8"/>
  <c r="BE4" i="8"/>
  <c r="BD4" i="8"/>
  <c r="BC4" i="8"/>
  <c r="BB4" i="8"/>
  <c r="BA4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W34" i="4"/>
  <c r="W35" i="4" s="1"/>
  <c r="V34" i="4"/>
  <c r="V35" i="4" s="1"/>
  <c r="CC33" i="4"/>
  <c r="BX33" i="4"/>
  <c r="BS33" i="4"/>
  <c r="BN33" i="4"/>
  <c r="BI33" i="4"/>
  <c r="BD33" i="4"/>
  <c r="AZ33" i="4"/>
  <c r="AY33" i="4" s="1"/>
  <c r="AT33" i="4"/>
  <c r="AO33" i="4"/>
  <c r="AJ33" i="4"/>
  <c r="AE33" i="4"/>
  <c r="Z33" i="4"/>
  <c r="U33" i="4"/>
  <c r="P33" i="4"/>
  <c r="S32" i="4"/>
  <c r="S34" i="4" s="1"/>
  <c r="R32" i="4"/>
  <c r="R34" i="4" s="1"/>
  <c r="Q32" i="4"/>
  <c r="Q34" i="4" s="1"/>
  <c r="O32" i="4"/>
  <c r="O34" i="4" s="1"/>
  <c r="N32" i="4"/>
  <c r="N34" i="4" s="1"/>
  <c r="M32" i="4"/>
  <c r="M34" i="4" s="1"/>
  <c r="L32" i="4"/>
  <c r="L34" i="4" s="1"/>
  <c r="K32" i="4"/>
  <c r="K34" i="4" s="1"/>
  <c r="J32" i="4"/>
  <c r="J34" i="4" s="1"/>
  <c r="I32" i="4"/>
  <c r="I34" i="4" s="1"/>
  <c r="CC31" i="4"/>
  <c r="BX31" i="4"/>
  <c r="BS31" i="4"/>
  <c r="BN31" i="4"/>
  <c r="BI31" i="4"/>
  <c r="BD31" i="4"/>
  <c r="AY31" i="4"/>
  <c r="AT31" i="4"/>
  <c r="CC30" i="4"/>
  <c r="BX30" i="4"/>
  <c r="BS30" i="4"/>
  <c r="BN30" i="4"/>
  <c r="BI30" i="4"/>
  <c r="BD30" i="4"/>
  <c r="AY30" i="4"/>
  <c r="AT30" i="4"/>
  <c r="CC29" i="4"/>
  <c r="BX29" i="4"/>
  <c r="BS29" i="4"/>
  <c r="BN29" i="4"/>
  <c r="BI29" i="4"/>
  <c r="BD29" i="4"/>
  <c r="BC29" i="4"/>
  <c r="BB29" i="4"/>
  <c r="BA29" i="4"/>
  <c r="AX29" i="4"/>
  <c r="AW29" i="4"/>
  <c r="AV29" i="4"/>
  <c r="AO29" i="4"/>
  <c r="AJ29" i="4"/>
  <c r="AE29" i="4"/>
  <c r="Z29" i="4"/>
  <c r="U29" i="4"/>
  <c r="P29" i="4"/>
  <c r="W28" i="4"/>
  <c r="V28" i="4"/>
  <c r="CC24" i="4"/>
  <c r="BX24" i="4"/>
  <c r="BS24" i="4"/>
  <c r="BN24" i="4"/>
  <c r="BI24" i="4"/>
  <c r="BD24" i="4"/>
  <c r="AZ24" i="4"/>
  <c r="AY24" i="4" s="1"/>
  <c r="AT24" i="4"/>
  <c r="AO24" i="4"/>
  <c r="AJ24" i="4"/>
  <c r="AE24" i="4"/>
  <c r="Z24" i="4"/>
  <c r="U24" i="4"/>
  <c r="P24" i="4"/>
  <c r="CC23" i="4"/>
  <c r="BX23" i="4"/>
  <c r="BS23" i="4"/>
  <c r="BN23" i="4"/>
  <c r="BI23" i="4"/>
  <c r="BD23" i="4"/>
  <c r="AZ23" i="4"/>
  <c r="AZ22" i="4" s="1"/>
  <c r="AT23" i="4"/>
  <c r="AO23" i="4"/>
  <c r="AJ23" i="4"/>
  <c r="AE23" i="4"/>
  <c r="Z23" i="4"/>
  <c r="U23" i="4"/>
  <c r="P23" i="4"/>
  <c r="CG22" i="4"/>
  <c r="CF22" i="4"/>
  <c r="CE22" i="4"/>
  <c r="CD22" i="4"/>
  <c r="CB22" i="4"/>
  <c r="CA22" i="4"/>
  <c r="BZ22" i="4"/>
  <c r="BY22" i="4"/>
  <c r="BW22" i="4"/>
  <c r="BV22" i="4"/>
  <c r="BU22" i="4"/>
  <c r="BT22" i="4"/>
  <c r="BR22" i="4"/>
  <c r="BQ22" i="4"/>
  <c r="BP22" i="4"/>
  <c r="BO22" i="4"/>
  <c r="BI22" i="4"/>
  <c r="BD22" i="4"/>
  <c r="BC22" i="4"/>
  <c r="BB22" i="4"/>
  <c r="BA22" i="4"/>
  <c r="AX22" i="4"/>
  <c r="AW22" i="4"/>
  <c r="AV22" i="4"/>
  <c r="AU22" i="4"/>
  <c r="AS22" i="4"/>
  <c r="AR22" i="4"/>
  <c r="AQ22" i="4"/>
  <c r="AP22" i="4"/>
  <c r="AN22" i="4"/>
  <c r="AM22" i="4"/>
  <c r="AL22" i="4"/>
  <c r="AK22" i="4"/>
  <c r="AI22" i="4"/>
  <c r="AH22" i="4"/>
  <c r="AG22" i="4"/>
  <c r="AF22" i="4"/>
  <c r="AD22" i="4"/>
  <c r="AC22" i="4"/>
  <c r="AB22" i="4"/>
  <c r="AA22" i="4"/>
  <c r="Y22" i="4"/>
  <c r="X22" i="4"/>
  <c r="W22" i="4"/>
  <c r="V22" i="4"/>
  <c r="T22" i="4"/>
  <c r="S22" i="4"/>
  <c r="R22" i="4"/>
  <c r="Q22" i="4"/>
  <c r="O22" i="4"/>
  <c r="N22" i="4"/>
  <c r="M22" i="4"/>
  <c r="L22" i="4"/>
  <c r="K22" i="4"/>
  <c r="J22" i="4"/>
  <c r="I22" i="4"/>
  <c r="L21" i="4"/>
  <c r="K21" i="4"/>
  <c r="J21" i="4"/>
  <c r="I21" i="4"/>
  <c r="CC20" i="4"/>
  <c r="BX20" i="4"/>
  <c r="BS20" i="4"/>
  <c r="BR20" i="4"/>
  <c r="BR12" i="4" s="1"/>
  <c r="BN20" i="4"/>
  <c r="BJ20" i="4"/>
  <c r="BI20" i="4" s="1"/>
  <c r="BE20" i="4"/>
  <c r="BD20" i="4" s="1"/>
  <c r="AZ20" i="4"/>
  <c r="AY20" i="4" s="1"/>
  <c r="AT20" i="4"/>
  <c r="AO20" i="4"/>
  <c r="AJ20" i="4"/>
  <c r="AE20" i="4"/>
  <c r="Z20" i="4"/>
  <c r="U20" i="4"/>
  <c r="P20" i="4"/>
  <c r="BN19" i="4"/>
  <c r="BJ19" i="4"/>
  <c r="BI19" i="4" s="1"/>
  <c r="BE19" i="4"/>
  <c r="AZ19" i="4"/>
  <c r="AY19" i="4" s="1"/>
  <c r="AT19" i="4"/>
  <c r="AO19" i="4"/>
  <c r="AJ19" i="4"/>
  <c r="AE19" i="4"/>
  <c r="Z19" i="4"/>
  <c r="U19" i="4"/>
  <c r="P19" i="4"/>
  <c r="CC18" i="4"/>
  <c r="BX18" i="4"/>
  <c r="BS18" i="4"/>
  <c r="BN18" i="4"/>
  <c r="CC17" i="4"/>
  <c r="BX17" i="4"/>
  <c r="BS17" i="4"/>
  <c r="BN17" i="4"/>
  <c r="BI17" i="4"/>
  <c r="BD17" i="4"/>
  <c r="AZ17" i="4"/>
  <c r="AY17" i="4" s="1"/>
  <c r="AT17" i="4"/>
  <c r="AO17" i="4"/>
  <c r="AJ17" i="4"/>
  <c r="AE17" i="4"/>
  <c r="Z17" i="4"/>
  <c r="U17" i="4"/>
  <c r="P17" i="4"/>
  <c r="CC16" i="4"/>
  <c r="BX16" i="4"/>
  <c r="BS16" i="4"/>
  <c r="BN16" i="4"/>
  <c r="BI16" i="4"/>
  <c r="BD16" i="4"/>
  <c r="AZ16" i="4"/>
  <c r="AY16" i="4" s="1"/>
  <c r="AT16" i="4"/>
  <c r="AO16" i="4"/>
  <c r="AJ16" i="4"/>
  <c r="AE16" i="4"/>
  <c r="Z16" i="4"/>
  <c r="U16" i="4"/>
  <c r="P16" i="4"/>
  <c r="CC15" i="4"/>
  <c r="BX15" i="4"/>
  <c r="BS15" i="4"/>
  <c r="BN15" i="4"/>
  <c r="BI15" i="4"/>
  <c r="BD15" i="4"/>
  <c r="AZ15" i="4"/>
  <c r="AY15" i="4" s="1"/>
  <c r="AT15" i="4"/>
  <c r="AO15" i="4"/>
  <c r="AJ15" i="4"/>
  <c r="AE15" i="4"/>
  <c r="Z15" i="4"/>
  <c r="U15" i="4"/>
  <c r="P15" i="4"/>
  <c r="CC14" i="4"/>
  <c r="BX14" i="4"/>
  <c r="BS14" i="4"/>
  <c r="BN14" i="4"/>
  <c r="BI14" i="4"/>
  <c r="BD14" i="4"/>
  <c r="AZ14" i="4"/>
  <c r="AY14" i="4" s="1"/>
  <c r="AT14" i="4"/>
  <c r="AO14" i="4"/>
  <c r="AJ14" i="4"/>
  <c r="AE14" i="4"/>
  <c r="Z14" i="4"/>
  <c r="U14" i="4"/>
  <c r="P14" i="4"/>
  <c r="CC13" i="4"/>
  <c r="BX13" i="4"/>
  <c r="BS13" i="4"/>
  <c r="BN13" i="4"/>
  <c r="BI13" i="4"/>
  <c r="BD13" i="4"/>
  <c r="AZ13" i="4"/>
  <c r="AY13" i="4" s="1"/>
  <c r="AT13" i="4"/>
  <c r="AO13" i="4"/>
  <c r="AJ13" i="4"/>
  <c r="AE13" i="4"/>
  <c r="Z13" i="4"/>
  <c r="U13" i="4"/>
  <c r="P13" i="4"/>
  <c r="CG12" i="4"/>
  <c r="CF12" i="4"/>
  <c r="CE12" i="4"/>
  <c r="CD12" i="4"/>
  <c r="CB12" i="4"/>
  <c r="CA12" i="4"/>
  <c r="BZ12" i="4"/>
  <c r="BY12" i="4"/>
  <c r="BW12" i="4"/>
  <c r="BV12" i="4"/>
  <c r="BU12" i="4"/>
  <c r="BT12" i="4"/>
  <c r="BQ12" i="4"/>
  <c r="BP12" i="4"/>
  <c r="BO12" i="4"/>
  <c r="BM12" i="4"/>
  <c r="BL12" i="4"/>
  <c r="BK12" i="4"/>
  <c r="BH12" i="4"/>
  <c r="BG12" i="4"/>
  <c r="BF12" i="4"/>
  <c r="BC12" i="4"/>
  <c r="BB12" i="4"/>
  <c r="BA12" i="4"/>
  <c r="AX12" i="4"/>
  <c r="AW12" i="4"/>
  <c r="AV12" i="4"/>
  <c r="AU12" i="4"/>
  <c r="AS12" i="4"/>
  <c r="AR12" i="4"/>
  <c r="AQ12" i="4"/>
  <c r="AP12" i="4"/>
  <c r="AN12" i="4"/>
  <c r="AM12" i="4"/>
  <c r="AL12" i="4"/>
  <c r="AK12" i="4"/>
  <c r="AI12" i="4"/>
  <c r="AH12" i="4"/>
  <c r="AG12" i="4"/>
  <c r="AF12" i="4"/>
  <c r="AD12" i="4"/>
  <c r="AC12" i="4"/>
  <c r="AB12" i="4"/>
  <c r="AA12" i="4"/>
  <c r="Y12" i="4"/>
  <c r="X12" i="4"/>
  <c r="X21" i="4" s="1"/>
  <c r="T12" i="4"/>
  <c r="S12" i="4"/>
  <c r="R12" i="4"/>
  <c r="Q12" i="4"/>
  <c r="O12" i="4"/>
  <c r="O21" i="4" s="1"/>
  <c r="N12" i="4"/>
  <c r="N21" i="4" s="1"/>
  <c r="M12" i="4"/>
  <c r="M21" i="4" s="1"/>
  <c r="CC10" i="4"/>
  <c r="BX10" i="4"/>
  <c r="BS10" i="4"/>
  <c r="BN10" i="4"/>
  <c r="BI10" i="4"/>
  <c r="BD10" i="4"/>
  <c r="AZ10" i="4"/>
  <c r="AY10" i="4" s="1"/>
  <c r="AT10" i="4"/>
  <c r="AO10" i="4"/>
  <c r="AJ10" i="4"/>
  <c r="AE10" i="4"/>
  <c r="Z10" i="4"/>
  <c r="U10" i="4"/>
  <c r="P10" i="4"/>
  <c r="CG9" i="4"/>
  <c r="CG11" i="4" s="1"/>
  <c r="CF9" i="4"/>
  <c r="CF11" i="4" s="1"/>
  <c r="CE9" i="4"/>
  <c r="CE11" i="4" s="1"/>
  <c r="CD9" i="4"/>
  <c r="CD11" i="4" s="1"/>
  <c r="CB9" i="4"/>
  <c r="CB11" i="4" s="1"/>
  <c r="CA9" i="4"/>
  <c r="CA11" i="4" s="1"/>
  <c r="BZ9" i="4"/>
  <c r="BZ11" i="4" s="1"/>
  <c r="BY9" i="4"/>
  <c r="BY11" i="4" s="1"/>
  <c r="BW9" i="4"/>
  <c r="BW11" i="4" s="1"/>
  <c r="BV9" i="4"/>
  <c r="BV11" i="4" s="1"/>
  <c r="BU9" i="4"/>
  <c r="BU11" i="4" s="1"/>
  <c r="BT9" i="4"/>
  <c r="BR9" i="4"/>
  <c r="BR11" i="4" s="1"/>
  <c r="BQ9" i="4"/>
  <c r="BQ11" i="4" s="1"/>
  <c r="BP9" i="4"/>
  <c r="BP11" i="4" s="1"/>
  <c r="BO9" i="4"/>
  <c r="BO11" i="4" s="1"/>
  <c r="BM9" i="4"/>
  <c r="BM11" i="4" s="1"/>
  <c r="BL9" i="4"/>
  <c r="BL11" i="4" s="1"/>
  <c r="BK9" i="4"/>
  <c r="BK11" i="4" s="1"/>
  <c r="BJ9" i="4"/>
  <c r="BJ11" i="4" s="1"/>
  <c r="BH9" i="4"/>
  <c r="BH11" i="4" s="1"/>
  <c r="BH21" i="4" s="1"/>
  <c r="BH25" i="4" s="1"/>
  <c r="BH28" i="4" s="1"/>
  <c r="BH32" i="4" s="1"/>
  <c r="BH34" i="4" s="1"/>
  <c r="BH35" i="4" s="1"/>
  <c r="BG9" i="4"/>
  <c r="BG11" i="4" s="1"/>
  <c r="BG21" i="4" s="1"/>
  <c r="BG25" i="4" s="1"/>
  <c r="BG28" i="4" s="1"/>
  <c r="BG32" i="4" s="1"/>
  <c r="BG34" i="4" s="1"/>
  <c r="BG35" i="4" s="1"/>
  <c r="BF9" i="4"/>
  <c r="BF11" i="4" s="1"/>
  <c r="BF21" i="4" s="1"/>
  <c r="BF25" i="4" s="1"/>
  <c r="BF28" i="4" s="1"/>
  <c r="BF32" i="4" s="1"/>
  <c r="BF34" i="4" s="1"/>
  <c r="BF35" i="4" s="1"/>
  <c r="BE9" i="4"/>
  <c r="BE11" i="4" s="1"/>
  <c r="BC9" i="4"/>
  <c r="BC11" i="4" s="1"/>
  <c r="BB9" i="4"/>
  <c r="BB11" i="4" s="1"/>
  <c r="BA9" i="4"/>
  <c r="BA11" i="4" s="1"/>
  <c r="AX9" i="4"/>
  <c r="AX11" i="4" s="1"/>
  <c r="AW9" i="4"/>
  <c r="AV9" i="4"/>
  <c r="AV11" i="4" s="1"/>
  <c r="AU9" i="4"/>
  <c r="AU11" i="4" s="1"/>
  <c r="AS9" i="4"/>
  <c r="AS11" i="4" s="1"/>
  <c r="AR9" i="4"/>
  <c r="AR11" i="4" s="1"/>
  <c r="AQ9" i="4"/>
  <c r="AQ11" i="4" s="1"/>
  <c r="AP9" i="4"/>
  <c r="Q9" i="4"/>
  <c r="Q11" i="4" s="1"/>
  <c r="I9" i="4"/>
  <c r="CC8" i="4"/>
  <c r="BX8" i="4"/>
  <c r="BS8" i="4"/>
  <c r="BN8" i="4"/>
  <c r="BI8" i="4"/>
  <c r="BD8" i="4"/>
  <c r="AZ8" i="4"/>
  <c r="AY8" i="4" s="1"/>
  <c r="AT8" i="4"/>
  <c r="AO8" i="4"/>
  <c r="AN8" i="4"/>
  <c r="AN9" i="4" s="1"/>
  <c r="AN11" i="4" s="1"/>
  <c r="AM8" i="4"/>
  <c r="AM9" i="4" s="1"/>
  <c r="AM11" i="4" s="1"/>
  <c r="AL8" i="4"/>
  <c r="AL9" i="4" s="1"/>
  <c r="AL11" i="4" s="1"/>
  <c r="AL21" i="4" s="1"/>
  <c r="AK8" i="4"/>
  <c r="AI8" i="4"/>
  <c r="AI9" i="4" s="1"/>
  <c r="AI11" i="4" s="1"/>
  <c r="AH8" i="4"/>
  <c r="AH9" i="4" s="1"/>
  <c r="AH11" i="4" s="1"/>
  <c r="AG8" i="4"/>
  <c r="AG9" i="4" s="1"/>
  <c r="AG11" i="4" s="1"/>
  <c r="AF8" i="4"/>
  <c r="AD8" i="4"/>
  <c r="AD9" i="4" s="1"/>
  <c r="AD11" i="4" s="1"/>
  <c r="AC8" i="4"/>
  <c r="AC9" i="4" s="1"/>
  <c r="AC11" i="4" s="1"/>
  <c r="AB8" i="4"/>
  <c r="AB9" i="4" s="1"/>
  <c r="AB11" i="4" s="1"/>
  <c r="AB21" i="4" s="1"/>
  <c r="AA8" i="4"/>
  <c r="Y8" i="4"/>
  <c r="Y9" i="4" s="1"/>
  <c r="X8" i="4"/>
  <c r="W8" i="4"/>
  <c r="T8" i="4"/>
  <c r="T9" i="4" s="1"/>
  <c r="T11" i="4" s="1"/>
  <c r="S8" i="4"/>
  <c r="S9" i="4" s="1"/>
  <c r="S11" i="4" s="1"/>
  <c r="R8" i="4"/>
  <c r="R9" i="4" s="1"/>
  <c r="R11" i="4" s="1"/>
  <c r="CC7" i="4"/>
  <c r="BX7" i="4"/>
  <c r="BS7" i="4"/>
  <c r="BN7" i="4"/>
  <c r="BI7" i="4"/>
  <c r="BD7" i="4"/>
  <c r="AZ7" i="4"/>
  <c r="AY7" i="4" s="1"/>
  <c r="AT7" i="4"/>
  <c r="AO7" i="4"/>
  <c r="AJ7" i="4"/>
  <c r="AE7" i="4"/>
  <c r="Z7" i="4"/>
  <c r="U7" i="4"/>
  <c r="P7" i="4"/>
  <c r="CC6" i="4"/>
  <c r="BX6" i="4"/>
  <c r="BS6" i="4"/>
  <c r="BN6" i="4"/>
  <c r="BI6" i="4"/>
  <c r="BD6" i="4"/>
  <c r="AZ6" i="4"/>
  <c r="AY6" i="4" s="1"/>
  <c r="AO6" i="4"/>
  <c r="AJ6" i="4"/>
  <c r="AE6" i="4"/>
  <c r="Z6" i="4"/>
  <c r="U6" i="4"/>
  <c r="P6" i="4"/>
  <c r="CC5" i="4"/>
  <c r="BX5" i="4"/>
  <c r="BS5" i="4"/>
  <c r="BN5" i="4"/>
  <c r="BI5" i="4"/>
  <c r="BD5" i="4"/>
  <c r="AZ5" i="4"/>
  <c r="AT5" i="4"/>
  <c r="AO5" i="4"/>
  <c r="AJ5" i="4"/>
  <c r="AE5" i="4"/>
  <c r="Z5" i="4"/>
  <c r="U5" i="4"/>
  <c r="P5" i="4"/>
  <c r="CC4" i="4"/>
  <c r="BX4" i="4"/>
  <c r="BS4" i="4"/>
  <c r="BN4" i="4"/>
  <c r="BI4" i="4"/>
  <c r="BD4" i="4"/>
  <c r="BC4" i="4"/>
  <c r="BB4" i="4"/>
  <c r="BA4" i="4"/>
  <c r="AX4" i="4"/>
  <c r="AW4" i="4"/>
  <c r="AV4" i="4"/>
  <c r="AU4" i="4"/>
  <c r="AS4" i="4"/>
  <c r="AR4" i="4"/>
  <c r="AQ4" i="4"/>
  <c r="AP4" i="4"/>
  <c r="AN4" i="4"/>
  <c r="AM4" i="4"/>
  <c r="AL4" i="4"/>
  <c r="AK4" i="4"/>
  <c r="AI4" i="4"/>
  <c r="AE4" i="4" s="1"/>
  <c r="Z4" i="4"/>
  <c r="U4" i="4"/>
  <c r="P4" i="4"/>
  <c r="CC21" i="5"/>
  <c r="BS21" i="5"/>
  <c r="BN21" i="5"/>
  <c r="BI21" i="5"/>
  <c r="BD21" i="5"/>
  <c r="AY21" i="5"/>
  <c r="AT21" i="5"/>
  <c r="AE21" i="5"/>
  <c r="Z21" i="5"/>
  <c r="AE20" i="5"/>
  <c r="Z20" i="5"/>
  <c r="AP19" i="5"/>
  <c r="AE19" i="5"/>
  <c r="Z19" i="5"/>
  <c r="AE18" i="5"/>
  <c r="Z18" i="5"/>
  <c r="CC15" i="5"/>
  <c r="BX15" i="5"/>
  <c r="BS15" i="5"/>
  <c r="BN15" i="5"/>
  <c r="BI15" i="5"/>
  <c r="BD15" i="5"/>
  <c r="AY15" i="5"/>
  <c r="AT15" i="5"/>
  <c r="AO15" i="5"/>
  <c r="AJ15" i="5"/>
  <c r="AE15" i="5"/>
  <c r="Z15" i="5"/>
  <c r="CC14" i="5"/>
  <c r="BX14" i="5"/>
  <c r="BS14" i="5"/>
  <c r="BN14" i="5"/>
  <c r="BI14" i="5"/>
  <c r="BD14" i="5"/>
  <c r="AY14" i="5"/>
  <c r="AT14" i="5"/>
  <c r="AO14" i="5"/>
  <c r="AJ14" i="5"/>
  <c r="AE14" i="5"/>
  <c r="Z14" i="5"/>
  <c r="CC12" i="5"/>
  <c r="BX12" i="5"/>
  <c r="BS12" i="5"/>
  <c r="BN12" i="5"/>
  <c r="BI12" i="5"/>
  <c r="BD12" i="5"/>
  <c r="AY12" i="5"/>
  <c r="AT12" i="5"/>
  <c r="AJ12" i="5"/>
  <c r="AE12" i="5"/>
  <c r="Z12" i="5"/>
  <c r="CC11" i="5"/>
  <c r="BX11" i="5"/>
  <c r="BS11" i="5"/>
  <c r="BN11" i="5"/>
  <c r="BI11" i="5"/>
  <c r="BD11" i="5"/>
  <c r="AY11" i="5"/>
  <c r="AT11" i="5"/>
  <c r="AO11" i="5"/>
  <c r="AJ11" i="5"/>
  <c r="AE11" i="5"/>
  <c r="Z11" i="5"/>
  <c r="CC10" i="5"/>
  <c r="BX10" i="5"/>
  <c r="BS10" i="5"/>
  <c r="BN10" i="5"/>
  <c r="BI10" i="5"/>
  <c r="BD10" i="5"/>
  <c r="AY10" i="5"/>
  <c r="AT10" i="5"/>
  <c r="AO10" i="5"/>
  <c r="AJ10" i="5"/>
  <c r="AE10" i="5"/>
  <c r="Z10" i="5"/>
  <c r="CC9" i="5"/>
  <c r="BX9" i="5"/>
  <c r="BS9" i="5"/>
  <c r="BN9" i="5"/>
  <c r="BI9" i="5"/>
  <c r="BD9" i="5"/>
  <c r="AY9" i="5"/>
  <c r="AT9" i="5"/>
  <c r="AJ9" i="5"/>
  <c r="AE9" i="5"/>
  <c r="Z9" i="5"/>
  <c r="CC7" i="5"/>
  <c r="BX7" i="5"/>
  <c r="BS7" i="5"/>
  <c r="BN7" i="5"/>
  <c r="BD7" i="5"/>
  <c r="AY7" i="5"/>
  <c r="AT7" i="5"/>
  <c r="AO7" i="5"/>
  <c r="AJ7" i="5"/>
  <c r="AE7" i="5"/>
  <c r="Z7" i="5"/>
  <c r="CC6" i="5"/>
  <c r="BX6" i="5"/>
  <c r="BS6" i="5"/>
  <c r="BN6" i="5"/>
  <c r="BD6" i="5"/>
  <c r="AY6" i="5"/>
  <c r="AT6" i="5"/>
  <c r="AO6" i="5"/>
  <c r="AJ6" i="5"/>
  <c r="AE6" i="5"/>
  <c r="Z6" i="5"/>
  <c r="CC5" i="5"/>
  <c r="BX5" i="5"/>
  <c r="BS5" i="5"/>
  <c r="BN5" i="5"/>
  <c r="BD5" i="5"/>
  <c r="AY5" i="5"/>
  <c r="AT5" i="5"/>
  <c r="AO5" i="5"/>
  <c r="AJ5" i="5"/>
  <c r="AE5" i="5"/>
  <c r="Z5" i="5"/>
  <c r="V11" i="8" l="1"/>
  <c r="V24" i="8" s="1"/>
  <c r="AH11" i="8"/>
  <c r="AT11" i="8"/>
  <c r="BF11" i="8"/>
  <c r="S57" i="8"/>
  <c r="AE57" i="8"/>
  <c r="AQ57" i="8"/>
  <c r="BC57" i="8"/>
  <c r="BO57" i="8"/>
  <c r="BL57" i="8"/>
  <c r="AY57" i="8"/>
  <c r="AA57" i="8"/>
  <c r="BK57" i="8"/>
  <c r="BO24" i="8"/>
  <c r="AD21" i="4"/>
  <c r="Y11" i="8"/>
  <c r="Y24" i="8" s="1"/>
  <c r="AK11" i="8"/>
  <c r="AK24" i="8" s="1"/>
  <c r="AW11" i="8"/>
  <c r="AW24" i="8" s="1"/>
  <c r="AW58" i="8" s="1"/>
  <c r="Z11" i="8"/>
  <c r="Z24" i="8" s="1"/>
  <c r="W57" i="8"/>
  <c r="AI57" i="8"/>
  <c r="AU57" i="8"/>
  <c r="BG57" i="8"/>
  <c r="AU21" i="4"/>
  <c r="AV21" i="4"/>
  <c r="AG21" i="4"/>
  <c r="S21" i="4"/>
  <c r="S25" i="4" s="1"/>
  <c r="AI21" i="4"/>
  <c r="AI25" i="4" s="1"/>
  <c r="AI28" i="4" s="1"/>
  <c r="AI32" i="4" s="1"/>
  <c r="AI34" i="4" s="1"/>
  <c r="AI35" i="4" s="1"/>
  <c r="BA21" i="4"/>
  <c r="BA25" i="4" s="1"/>
  <c r="BA28" i="4" s="1"/>
  <c r="BA32" i="4" s="1"/>
  <c r="BA34" i="4" s="1"/>
  <c r="BA35" i="4" s="1"/>
  <c r="CC22" i="4"/>
  <c r="AL25" i="4"/>
  <c r="AL28" i="4" s="1"/>
  <c r="AL32" i="4" s="1"/>
  <c r="AL34" i="4" s="1"/>
  <c r="AL35" i="4" s="1"/>
  <c r="I25" i="4"/>
  <c r="AH21" i="4"/>
  <c r="BJ24" i="8"/>
  <c r="X11" i="8"/>
  <c r="X24" i="8" s="1"/>
  <c r="V57" i="8"/>
  <c r="AL11" i="8"/>
  <c r="AL24" i="8" s="1"/>
  <c r="AX11" i="8"/>
  <c r="AX24" i="8" s="1"/>
  <c r="J57" i="8"/>
  <c r="AJ11" i="8"/>
  <c r="AJ24" i="8" s="1"/>
  <c r="R57" i="8"/>
  <c r="AD57" i="8"/>
  <c r="AP57" i="8"/>
  <c r="BB57" i="8"/>
  <c r="BN57" i="8"/>
  <c r="BQ21" i="4"/>
  <c r="BQ25" i="4" s="1"/>
  <c r="BQ28" i="4" s="1"/>
  <c r="BQ32" i="4" s="1"/>
  <c r="BQ34" i="4" s="1"/>
  <c r="BQ35" i="4" s="1"/>
  <c r="BU21" i="4"/>
  <c r="BU25" i="4" s="1"/>
  <c r="BU28" i="4" s="1"/>
  <c r="BU32" i="4" s="1"/>
  <c r="BU34" i="4" s="1"/>
  <c r="BU35" i="4" s="1"/>
  <c r="Q33" i="1"/>
  <c r="Q36" i="1" s="1"/>
  <c r="Q59" i="1" s="1"/>
  <c r="Q60" i="1" s="1"/>
  <c r="AT4" i="4"/>
  <c r="AR21" i="4"/>
  <c r="AR25" i="4" s="1"/>
  <c r="AR28" i="4" s="1"/>
  <c r="AR32" i="4" s="1"/>
  <c r="AR34" i="4" s="1"/>
  <c r="AR35" i="4" s="1"/>
  <c r="BV21" i="4"/>
  <c r="BV25" i="4" s="1"/>
  <c r="BV28" i="4" s="1"/>
  <c r="BV32" i="4" s="1"/>
  <c r="BV34" i="4" s="1"/>
  <c r="BV35" i="4" s="1"/>
  <c r="P22" i="4"/>
  <c r="AV11" i="8"/>
  <c r="AV24" i="8" s="1"/>
  <c r="BH11" i="8"/>
  <c r="BH24" i="8" s="1"/>
  <c r="U57" i="8"/>
  <c r="AG57" i="8"/>
  <c r="AS57" i="8"/>
  <c r="BE57" i="8"/>
  <c r="BQ57" i="8"/>
  <c r="AT12" i="4"/>
  <c r="O25" i="4"/>
  <c r="AB11" i="8"/>
  <c r="AB24" i="8" s="1"/>
  <c r="AB58" i="8" s="1"/>
  <c r="AN11" i="8"/>
  <c r="AN24" i="8" s="1"/>
  <c r="AN58" i="8" s="1"/>
  <c r="AZ11" i="8"/>
  <c r="AZ24" i="8" s="1"/>
  <c r="AZ58" i="8" s="1"/>
  <c r="BL11" i="8"/>
  <c r="AA11" i="8"/>
  <c r="AA24" i="8" s="1"/>
  <c r="AM11" i="8"/>
  <c r="AM24" i="8" s="1"/>
  <c r="AM58" i="8" s="1"/>
  <c r="AY11" i="8"/>
  <c r="AY24" i="8" s="1"/>
  <c r="BK11" i="8"/>
  <c r="BK24" i="8" s="1"/>
  <c r="BK58" i="8" s="1"/>
  <c r="L57" i="8"/>
  <c r="Y57" i="8"/>
  <c r="AK57" i="8"/>
  <c r="AW57" i="8"/>
  <c r="BI57" i="8"/>
  <c r="J25" i="4"/>
  <c r="AE8" i="4"/>
  <c r="AV25" i="4"/>
  <c r="AV28" i="4" s="1"/>
  <c r="AV32" i="4" s="1"/>
  <c r="AV34" i="4" s="1"/>
  <c r="AV35" i="4" s="1"/>
  <c r="R21" i="4"/>
  <c r="R25" i="4" s="1"/>
  <c r="AX21" i="4"/>
  <c r="AX25" i="4" s="1"/>
  <c r="AX28" i="4" s="1"/>
  <c r="AX32" i="4" s="1"/>
  <c r="AX34" i="4" s="1"/>
  <c r="AX35" i="4" s="1"/>
  <c r="BN9" i="4"/>
  <c r="AJ22" i="4"/>
  <c r="BN22" i="4"/>
  <c r="AD25" i="4"/>
  <c r="AD28" i="4" s="1"/>
  <c r="AD32" i="4" s="1"/>
  <c r="AD34" i="4" s="1"/>
  <c r="AD35" i="4" s="1"/>
  <c r="M25" i="4"/>
  <c r="Z12" i="4"/>
  <c r="AJ4" i="4"/>
  <c r="BZ21" i="4"/>
  <c r="BZ25" i="4" s="1"/>
  <c r="BZ28" i="4" s="1"/>
  <c r="BZ32" i="4" s="1"/>
  <c r="BZ34" i="4" s="1"/>
  <c r="BZ35" i="4" s="1"/>
  <c r="AH25" i="4"/>
  <c r="AH28" i="4" s="1"/>
  <c r="AH32" i="4" s="1"/>
  <c r="AH34" i="4" s="1"/>
  <c r="AH35" i="4" s="1"/>
  <c r="CB21" i="4"/>
  <c r="CB25" i="4" s="1"/>
  <c r="CB28" i="4" s="1"/>
  <c r="CB32" i="4" s="1"/>
  <c r="CB34" i="4" s="1"/>
  <c r="CB35" i="4" s="1"/>
  <c r="BS22" i="4"/>
  <c r="U22" i="4"/>
  <c r="T21" i="4"/>
  <c r="T25" i="4" s="1"/>
  <c r="T28" i="4" s="1"/>
  <c r="P28" i="4" s="1"/>
  <c r="AJ8" i="4"/>
  <c r="BB21" i="4"/>
  <c r="BB25" i="4" s="1"/>
  <c r="BB28" i="4" s="1"/>
  <c r="BB32" i="4" s="1"/>
  <c r="BB34" i="4" s="1"/>
  <c r="BB35" i="4" s="1"/>
  <c r="BP21" i="4"/>
  <c r="BP25" i="4" s="1"/>
  <c r="BP28" i="4" s="1"/>
  <c r="BP32" i="4" s="1"/>
  <c r="BP34" i="4" s="1"/>
  <c r="BP35" i="4" s="1"/>
  <c r="CE21" i="4"/>
  <c r="CE25" i="4" s="1"/>
  <c r="CE28" i="4" s="1"/>
  <c r="CE32" i="4" s="1"/>
  <c r="CE34" i="4" s="1"/>
  <c r="CE35" i="4" s="1"/>
  <c r="AJ12" i="4"/>
  <c r="BM21" i="4"/>
  <c r="BM25" i="4" s="1"/>
  <c r="BM28" i="4" s="1"/>
  <c r="BM32" i="4" s="1"/>
  <c r="BM34" i="4" s="1"/>
  <c r="BM35" i="4" s="1"/>
  <c r="CF21" i="4"/>
  <c r="CF25" i="4" s="1"/>
  <c r="CF28" i="4" s="1"/>
  <c r="CF32" i="4" s="1"/>
  <c r="CF34" i="4" s="1"/>
  <c r="CF35" i="4" s="1"/>
  <c r="CG21" i="4"/>
  <c r="CG25" i="4" s="1"/>
  <c r="CG28" i="4" s="1"/>
  <c r="CG32" i="4" s="1"/>
  <c r="CG34" i="4" s="1"/>
  <c r="CG35" i="4" s="1"/>
  <c r="AB25" i="4"/>
  <c r="AB28" i="4" s="1"/>
  <c r="AB32" i="4" s="1"/>
  <c r="AB34" i="4" s="1"/>
  <c r="AB35" i="4" s="1"/>
  <c r="BL21" i="4"/>
  <c r="BL25" i="4" s="1"/>
  <c r="BL28" i="4" s="1"/>
  <c r="BL32" i="4" s="1"/>
  <c r="BL34" i="4" s="1"/>
  <c r="BL35" i="4" s="1"/>
  <c r="N25" i="4"/>
  <c r="AG25" i="4"/>
  <c r="AG28" i="4" s="1"/>
  <c r="AG32" i="4" s="1"/>
  <c r="AG34" i="4" s="1"/>
  <c r="AG35" i="4" s="1"/>
  <c r="CA21" i="4"/>
  <c r="CA25" i="4" s="1"/>
  <c r="CA28" i="4" s="1"/>
  <c r="CA32" i="4" s="1"/>
  <c r="CA34" i="4" s="1"/>
  <c r="CA35" i="4" s="1"/>
  <c r="BS9" i="4"/>
  <c r="BS12" i="4"/>
  <c r="CC9" i="4"/>
  <c r="AT29" i="4"/>
  <c r="CC11" i="4"/>
  <c r="AO12" i="4"/>
  <c r="Z22" i="4"/>
  <c r="BX22" i="4"/>
  <c r="BD9" i="4"/>
  <c r="AO9" i="4"/>
  <c r="AZ29" i="4"/>
  <c r="AY29" i="4" s="1"/>
  <c r="AY23" i="4"/>
  <c r="AY22" i="4"/>
  <c r="AZ9" i="4"/>
  <c r="AZ11" i="4" s="1"/>
  <c r="P8" i="4"/>
  <c r="P12" i="4"/>
  <c r="K25" i="4"/>
  <c r="W11" i="8"/>
  <c r="W24" i="8" s="1"/>
  <c r="AI11" i="8"/>
  <c r="AI24" i="8" s="1"/>
  <c r="AU11" i="8"/>
  <c r="AU24" i="8" s="1"/>
  <c r="BG11" i="8"/>
  <c r="BG24" i="8" s="1"/>
  <c r="T57" i="8"/>
  <c r="AF57" i="8"/>
  <c r="AR57" i="8"/>
  <c r="BD57" i="8"/>
  <c r="BP57" i="8"/>
  <c r="BI24" i="8"/>
  <c r="O57" i="8"/>
  <c r="K57" i="8"/>
  <c r="BN24" i="8"/>
  <c r="AC11" i="8"/>
  <c r="AC24" i="8" s="1"/>
  <c r="AO11" i="8"/>
  <c r="AO24" i="8" s="1"/>
  <c r="BA11" i="8"/>
  <c r="BA24" i="8" s="1"/>
  <c r="BM11" i="8"/>
  <c r="BM24" i="8" s="1"/>
  <c r="M57" i="8"/>
  <c r="Z57" i="8"/>
  <c r="AL57" i="8"/>
  <c r="AX57" i="8"/>
  <c r="BJ57" i="8"/>
  <c r="BX11" i="4"/>
  <c r="BY21" i="4"/>
  <c r="BY25" i="4" s="1"/>
  <c r="BB24" i="8"/>
  <c r="AC57" i="8"/>
  <c r="AM21" i="4"/>
  <c r="AM25" i="4" s="1"/>
  <c r="AM28" i="4" s="1"/>
  <c r="AM32" i="4" s="1"/>
  <c r="AM34" i="4" s="1"/>
  <c r="AM35" i="4" s="1"/>
  <c r="BT11" i="4"/>
  <c r="BT21" i="4" s="1"/>
  <c r="BT25" i="4" s="1"/>
  <c r="AE24" i="8"/>
  <c r="AE58" i="8" s="1"/>
  <c r="AQ24" i="8"/>
  <c r="AQ58" i="8" s="1"/>
  <c r="BC24" i="8"/>
  <c r="BC58" i="8" s="1"/>
  <c r="AG11" i="8"/>
  <c r="AG24" i="8" s="1"/>
  <c r="AS11" i="8"/>
  <c r="AS24" i="8" s="1"/>
  <c r="BE11" i="8"/>
  <c r="BE24" i="8" s="1"/>
  <c r="AF9" i="4"/>
  <c r="AE22" i="4"/>
  <c r="AT22" i="4"/>
  <c r="AN21" i="4"/>
  <c r="AN25" i="4" s="1"/>
  <c r="AN28" i="4" s="1"/>
  <c r="AN32" i="4" s="1"/>
  <c r="AN34" i="4" s="1"/>
  <c r="AN35" i="4" s="1"/>
  <c r="P57" i="8"/>
  <c r="Z8" i="4"/>
  <c r="P9" i="4"/>
  <c r="AQ21" i="4"/>
  <c r="AQ25" i="4" s="1"/>
  <c r="AQ28" i="4" s="1"/>
  <c r="AQ32" i="4" s="1"/>
  <c r="AQ34" i="4" s="1"/>
  <c r="AQ35" i="4" s="1"/>
  <c r="BN12" i="4"/>
  <c r="L25" i="4"/>
  <c r="AF24" i="8"/>
  <c r="AR24" i="8"/>
  <c r="BD24" i="8"/>
  <c r="BR11" i="8"/>
  <c r="BR24" i="8" s="1"/>
  <c r="BR58" i="8" s="1"/>
  <c r="BE12" i="4"/>
  <c r="BD12" i="4" s="1"/>
  <c r="BC21" i="4"/>
  <c r="BC25" i="4" s="1"/>
  <c r="BC28" i="4" s="1"/>
  <c r="BC32" i="4" s="1"/>
  <c r="BC34" i="4" s="1"/>
  <c r="BC35" i="4" s="1"/>
  <c r="BR21" i="4"/>
  <c r="BR25" i="4" s="1"/>
  <c r="BR28" i="4" s="1"/>
  <c r="BR32" i="4" s="1"/>
  <c r="BR34" i="4" s="1"/>
  <c r="BR35" i="4" s="1"/>
  <c r="AP24" i="8"/>
  <c r="AE12" i="4"/>
  <c r="CC12" i="4"/>
  <c r="BQ24" i="8"/>
  <c r="AO57" i="8"/>
  <c r="AC21" i="4"/>
  <c r="AC25" i="4" s="1"/>
  <c r="AC28" i="4" s="1"/>
  <c r="AC32" i="4" s="1"/>
  <c r="AC34" i="4" s="1"/>
  <c r="AC35" i="4" s="1"/>
  <c r="AS21" i="4"/>
  <c r="AS25" i="4" s="1"/>
  <c r="AS28" i="4" s="1"/>
  <c r="AS32" i="4" s="1"/>
  <c r="AS34" i="4" s="1"/>
  <c r="AS35" i="4" s="1"/>
  <c r="U12" i="4"/>
  <c r="BX12" i="4"/>
  <c r="BA57" i="8"/>
  <c r="AZ12" i="4"/>
  <c r="AY12" i="4" s="1"/>
  <c r="BL24" i="8"/>
  <c r="BP24" i="8"/>
  <c r="AD24" i="8"/>
  <c r="BM57" i="8"/>
  <c r="AO4" i="4"/>
  <c r="AY5" i="4"/>
  <c r="AO22" i="4"/>
  <c r="X57" i="8"/>
  <c r="AJ57" i="8"/>
  <c r="AV57" i="8"/>
  <c r="BH57" i="8"/>
  <c r="Y33" i="1"/>
  <c r="Y36" i="1" s="1"/>
  <c r="Y59" i="1" s="1"/>
  <c r="Y60" i="1" s="1"/>
  <c r="M33" i="1"/>
  <c r="M36" i="1" s="1"/>
  <c r="M59" i="1" s="1"/>
  <c r="M60" i="1" s="1"/>
  <c r="BF24" i="8"/>
  <c r="BF58" i="8" s="1"/>
  <c r="AH24" i="8"/>
  <c r="AH58" i="8" s="1"/>
  <c r="AT24" i="8"/>
  <c r="AT58" i="8" s="1"/>
  <c r="P11" i="4"/>
  <c r="AU25" i="4"/>
  <c r="X25" i="4"/>
  <c r="T32" i="4"/>
  <c r="T34" i="4" s="1"/>
  <c r="AY9" i="4"/>
  <c r="AW11" i="4"/>
  <c r="AT9" i="4"/>
  <c r="BK21" i="4"/>
  <c r="BK25" i="4" s="1"/>
  <c r="BK28" i="4" s="1"/>
  <c r="BK32" i="4" s="1"/>
  <c r="BK34" i="4" s="1"/>
  <c r="BK35" i="4" s="1"/>
  <c r="BI11" i="4"/>
  <c r="BW21" i="4"/>
  <c r="BW25" i="4" s="1"/>
  <c r="BW28" i="4" s="1"/>
  <c r="BW32" i="4" s="1"/>
  <c r="BW34" i="4" s="1"/>
  <c r="BW35" i="4" s="1"/>
  <c r="BN11" i="4"/>
  <c r="BO21" i="4"/>
  <c r="U9" i="4"/>
  <c r="Y11" i="4"/>
  <c r="BD11" i="4"/>
  <c r="Q21" i="4"/>
  <c r="BJ12" i="4"/>
  <c r="BI12" i="4" s="1"/>
  <c r="BI9" i="4"/>
  <c r="CD21" i="4"/>
  <c r="U8" i="4"/>
  <c r="AK9" i="4"/>
  <c r="AZ4" i="4"/>
  <c r="AY4" i="4" s="1"/>
  <c r="AA9" i="4"/>
  <c r="BD19" i="4"/>
  <c r="BX9" i="4"/>
  <c r="AP11" i="4"/>
  <c r="J33" i="1"/>
  <c r="J36" i="1" s="1"/>
  <c r="J59" i="1" s="1"/>
  <c r="J60" i="1" s="1"/>
  <c r="N33" i="1"/>
  <c r="N36" i="1" s="1"/>
  <c r="N59" i="1" s="1"/>
  <c r="N60" i="1" s="1"/>
  <c r="R33" i="1"/>
  <c r="R36" i="1" s="1"/>
  <c r="R59" i="1" s="1"/>
  <c r="R60" i="1" s="1"/>
  <c r="V33" i="1"/>
  <c r="V36" i="1" s="1"/>
  <c r="V59" i="1" s="1"/>
  <c r="V60" i="1" s="1"/>
  <c r="Z33" i="1"/>
  <c r="Z36" i="1" s="1"/>
  <c r="Z59" i="1" s="1"/>
  <c r="Z60" i="1" s="1"/>
  <c r="AD33" i="1"/>
  <c r="AD36" i="1" s="1"/>
  <c r="AD59" i="1" s="1"/>
  <c r="AD60" i="1" s="1"/>
  <c r="AH33" i="1"/>
  <c r="AH36" i="1" s="1"/>
  <c r="AH59" i="1" s="1"/>
  <c r="AH60" i="1" s="1"/>
  <c r="AL33" i="1"/>
  <c r="AL36" i="1" s="1"/>
  <c r="AL59" i="1" s="1"/>
  <c r="AL60" i="1" s="1"/>
  <c r="AL62" i="1" s="1"/>
  <c r="AP33" i="1"/>
  <c r="AP36" i="1" s="1"/>
  <c r="AP59" i="1" s="1"/>
  <c r="AP60" i="1" s="1"/>
  <c r="AP62" i="1" s="1"/>
  <c r="AC33" i="1"/>
  <c r="AC36" i="1" s="1"/>
  <c r="AC59" i="1" s="1"/>
  <c r="AC60" i="1" s="1"/>
  <c r="AG33" i="1"/>
  <c r="AG36" i="1" s="1"/>
  <c r="AG59" i="1" s="1"/>
  <c r="AG60" i="1" s="1"/>
  <c r="AK33" i="1"/>
  <c r="AK36" i="1" s="1"/>
  <c r="AK59" i="1" s="1"/>
  <c r="AK60" i="1" s="1"/>
  <c r="AO33" i="1"/>
  <c r="AO36" i="1" s="1"/>
  <c r="AO59" i="1" s="1"/>
  <c r="AO60" i="1" s="1"/>
  <c r="AS33" i="1"/>
  <c r="AS36" i="1" s="1"/>
  <c r="AS59" i="1" s="1"/>
  <c r="AS60" i="1" s="1"/>
  <c r="AW33" i="1"/>
  <c r="AW36" i="1" s="1"/>
  <c r="AW59" i="1" s="1"/>
  <c r="AW60" i="1" s="1"/>
  <c r="BA33" i="1"/>
  <c r="BA36" i="1" s="1"/>
  <c r="BA59" i="1" s="1"/>
  <c r="BA60" i="1" s="1"/>
  <c r="BE33" i="1"/>
  <c r="BE36" i="1" s="1"/>
  <c r="BE59" i="1" s="1"/>
  <c r="BE60" i="1" s="1"/>
  <c r="BE62" i="1" s="1"/>
  <c r="BI33" i="1"/>
  <c r="BI36" i="1" s="1"/>
  <c r="BI59" i="1" s="1"/>
  <c r="BI60" i="1" s="1"/>
  <c r="BM33" i="1"/>
  <c r="BM36" i="1" s="1"/>
  <c r="BM59" i="1" s="1"/>
  <c r="BM60" i="1" s="1"/>
  <c r="BQ33" i="1"/>
  <c r="BQ36" i="1" s="1"/>
  <c r="BQ59" i="1" s="1"/>
  <c r="BQ60" i="1" s="1"/>
  <c r="BQ62" i="1" s="1"/>
  <c r="BQ63" i="1" s="1"/>
  <c r="K33" i="1"/>
  <c r="K36" i="1" s="1"/>
  <c r="K59" i="1" s="1"/>
  <c r="K60" i="1" s="1"/>
  <c r="O33" i="1"/>
  <c r="O36" i="1" s="1"/>
  <c r="O59" i="1" s="1"/>
  <c r="O60" i="1" s="1"/>
  <c r="S33" i="1"/>
  <c r="S36" i="1" s="1"/>
  <c r="S59" i="1" s="1"/>
  <c r="S60" i="1" s="1"/>
  <c r="T33" i="1"/>
  <c r="T36" i="1" s="1"/>
  <c r="T59" i="1" s="1"/>
  <c r="T60" i="1" s="1"/>
  <c r="U33" i="1"/>
  <c r="U36" i="1" s="1"/>
  <c r="U59" i="1" s="1"/>
  <c r="U60" i="1" s="1"/>
  <c r="BB33" i="1"/>
  <c r="BB36" i="1" s="1"/>
  <c r="BB59" i="1" s="1"/>
  <c r="BB60" i="1" s="1"/>
  <c r="BB62" i="1" s="1"/>
  <c r="H33" i="1"/>
  <c r="H36" i="1" s="1"/>
  <c r="H59" i="1" s="1"/>
  <c r="H60" i="1" s="1"/>
  <c r="L33" i="1"/>
  <c r="L36" i="1" s="1"/>
  <c r="L59" i="1" s="1"/>
  <c r="L60" i="1" s="1"/>
  <c r="P33" i="1"/>
  <c r="P36" i="1" s="1"/>
  <c r="P59" i="1" s="1"/>
  <c r="P60" i="1" s="1"/>
  <c r="W33" i="1"/>
  <c r="W36" i="1" s="1"/>
  <c r="W59" i="1" s="1"/>
  <c r="W60" i="1" s="1"/>
  <c r="AA33" i="1"/>
  <c r="AA36" i="1" s="1"/>
  <c r="AA59" i="1" s="1"/>
  <c r="AA60" i="1" s="1"/>
  <c r="AE33" i="1"/>
  <c r="AE36" i="1" s="1"/>
  <c r="AE59" i="1" s="1"/>
  <c r="AE60" i="1" s="1"/>
  <c r="AI33" i="1"/>
  <c r="AI36" i="1" s="1"/>
  <c r="AI59" i="1" s="1"/>
  <c r="AI60" i="1" s="1"/>
  <c r="AM33" i="1"/>
  <c r="AM36" i="1" s="1"/>
  <c r="AM59" i="1" s="1"/>
  <c r="AM60" i="1" s="1"/>
  <c r="AQ33" i="1"/>
  <c r="AQ36" i="1" s="1"/>
  <c r="AQ59" i="1" s="1"/>
  <c r="AQ60" i="1" s="1"/>
  <c r="AQ62" i="1" s="1"/>
  <c r="AQ63" i="1" s="1"/>
  <c r="BH33" i="1"/>
  <c r="BH36" i="1" s="1"/>
  <c r="BH59" i="1" s="1"/>
  <c r="BH60" i="1" s="1"/>
  <c r="AY33" i="1"/>
  <c r="AY36" i="1" s="1"/>
  <c r="AY59" i="1" s="1"/>
  <c r="AY60" i="1" s="1"/>
  <c r="X33" i="1"/>
  <c r="X36" i="1" s="1"/>
  <c r="X59" i="1" s="1"/>
  <c r="X60" i="1" s="1"/>
  <c r="AV33" i="1"/>
  <c r="AV36" i="1" s="1"/>
  <c r="AV59" i="1" s="1"/>
  <c r="AV60" i="1" s="1"/>
  <c r="BP33" i="1"/>
  <c r="BP36" i="1" s="1"/>
  <c r="BP59" i="1" s="1"/>
  <c r="BP60" i="1" s="1"/>
  <c r="BP62" i="1" s="1"/>
  <c r="BP63" i="1" s="1"/>
  <c r="AB33" i="1"/>
  <c r="AB36" i="1" s="1"/>
  <c r="AB59" i="1" s="1"/>
  <c r="AB60" i="1" s="1"/>
  <c r="AF33" i="1"/>
  <c r="AF36" i="1" s="1"/>
  <c r="AF59" i="1" s="1"/>
  <c r="AF60" i="1" s="1"/>
  <c r="AJ33" i="1"/>
  <c r="AJ36" i="1" s="1"/>
  <c r="AJ59" i="1" s="1"/>
  <c r="AJ60" i="1" s="1"/>
  <c r="AN33" i="1"/>
  <c r="AN36" i="1" s="1"/>
  <c r="AN59" i="1" s="1"/>
  <c r="AN60" i="1" s="1"/>
  <c r="AR33" i="1"/>
  <c r="AR36" i="1" s="1"/>
  <c r="AR59" i="1" s="1"/>
  <c r="AR60" i="1" s="1"/>
  <c r="AR62" i="1" s="1"/>
  <c r="AR63" i="1" s="1"/>
  <c r="AZ33" i="1"/>
  <c r="AZ36" i="1" s="1"/>
  <c r="AZ59" i="1" s="1"/>
  <c r="AZ60" i="1" s="1"/>
  <c r="BD33" i="1"/>
  <c r="BD36" i="1" s="1"/>
  <c r="BD59" i="1" s="1"/>
  <c r="BD60" i="1" s="1"/>
  <c r="BL33" i="1"/>
  <c r="BL36" i="1" s="1"/>
  <c r="BL59" i="1" s="1"/>
  <c r="BL60" i="1" s="1"/>
  <c r="AT59" i="1"/>
  <c r="AT60" i="1" s="1"/>
  <c r="BN61" i="1"/>
  <c r="BN33" i="1"/>
  <c r="BN36" i="1" s="1"/>
  <c r="BN59" i="1" s="1"/>
  <c r="BN60" i="1" s="1"/>
  <c r="BC33" i="1"/>
  <c r="BC36" i="1" s="1"/>
  <c r="BC59" i="1" s="1"/>
  <c r="BC60" i="1" s="1"/>
  <c r="BG33" i="1"/>
  <c r="BG36" i="1" s="1"/>
  <c r="BG59" i="1" s="1"/>
  <c r="BG60" i="1" s="1"/>
  <c r="BK33" i="1"/>
  <c r="BK36" i="1" s="1"/>
  <c r="BK59" i="1" s="1"/>
  <c r="BK60" i="1" s="1"/>
  <c r="BO33" i="1"/>
  <c r="BO36" i="1" s="1"/>
  <c r="BO59" i="1" s="1"/>
  <c r="BO60" i="1" s="1"/>
  <c r="BO62" i="1" s="1"/>
  <c r="BO63" i="1" s="1"/>
  <c r="AX59" i="1"/>
  <c r="AX60" i="1" s="1"/>
  <c r="BF33" i="1"/>
  <c r="BF36" i="1" s="1"/>
  <c r="BF59" i="1" s="1"/>
  <c r="BF60" i="1" s="1"/>
  <c r="BJ33" i="1"/>
  <c r="BJ36" i="1" s="1"/>
  <c r="BJ59" i="1" s="1"/>
  <c r="BJ60" i="1" s="1"/>
  <c r="I59" i="1"/>
  <c r="I60" i="1" s="1"/>
  <c r="AP58" i="8" l="1"/>
  <c r="AK58" i="8"/>
  <c r="Z58" i="8"/>
  <c r="AA58" i="8"/>
  <c r="BL58" i="8"/>
  <c r="AI58" i="8"/>
  <c r="BO58" i="8"/>
  <c r="AY58" i="8"/>
  <c r="AU58" i="8"/>
  <c r="BI58" i="8"/>
  <c r="BG58" i="8"/>
  <c r="BN58" i="8"/>
  <c r="BJ58" i="8"/>
  <c r="AR58" i="8"/>
  <c r="AL58" i="8"/>
  <c r="BE58" i="8"/>
  <c r="BD58" i="8"/>
  <c r="BB58" i="8"/>
  <c r="AD58" i="8"/>
  <c r="BP58" i="8"/>
  <c r="AS58" i="8"/>
  <c r="AJ58" i="8"/>
  <c r="BH58" i="8"/>
  <c r="BQ58" i="8"/>
  <c r="AF58" i="8"/>
  <c r="AG58" i="8"/>
  <c r="AX58" i="8"/>
  <c r="BE21" i="4"/>
  <c r="BE25" i="4" s="1"/>
  <c r="BX21" i="4"/>
  <c r="BA58" i="8"/>
  <c r="AC58" i="8"/>
  <c r="AV58" i="8"/>
  <c r="BM58" i="8"/>
  <c r="BJ21" i="4"/>
  <c r="BI21" i="4" s="1"/>
  <c r="AO58" i="8"/>
  <c r="AE9" i="4"/>
  <c r="AF11" i="4"/>
  <c r="BS11" i="4"/>
  <c r="P32" i="4"/>
  <c r="AO11" i="4"/>
  <c r="AP21" i="4"/>
  <c r="Q25" i="4"/>
  <c r="P25" i="4" s="1"/>
  <c r="P21" i="4"/>
  <c r="X28" i="4"/>
  <c r="AW21" i="4"/>
  <c r="AT11" i="4"/>
  <c r="Y21" i="4"/>
  <c r="U11" i="4"/>
  <c r="AJ9" i="4"/>
  <c r="AK11" i="4"/>
  <c r="BO25" i="4"/>
  <c r="BN21" i="4"/>
  <c r="BX25" i="4"/>
  <c r="BY28" i="4"/>
  <c r="CD25" i="4"/>
  <c r="CC21" i="4"/>
  <c r="T35" i="4"/>
  <c r="P35" i="4" s="1"/>
  <c r="P34" i="4"/>
  <c r="BT28" i="4"/>
  <c r="BS25" i="4"/>
  <c r="BS21" i="4"/>
  <c r="AZ21" i="4"/>
  <c r="AY11" i="4"/>
  <c r="AU28" i="4"/>
  <c r="Z9" i="4"/>
  <c r="AA11" i="4"/>
  <c r="BA61" i="1"/>
  <c r="BB63" i="1"/>
  <c r="BE63" i="1"/>
  <c r="BD61" i="1"/>
  <c r="BD62" i="1" s="1"/>
  <c r="AK61" i="1"/>
  <c r="AK62" i="1" s="1"/>
  <c r="AL63" i="1"/>
  <c r="AO61" i="1"/>
  <c r="AO62" i="1" s="1"/>
  <c r="AP63" i="1"/>
  <c r="BN62" i="1"/>
  <c r="BD21" i="4" l="1"/>
  <c r="BJ25" i="4"/>
  <c r="AE11" i="4"/>
  <c r="AF21" i="4"/>
  <c r="BD25" i="4"/>
  <c r="BE28" i="4"/>
  <c r="AA21" i="4"/>
  <c r="Z11" i="4"/>
  <c r="AW25" i="4"/>
  <c r="AT21" i="4"/>
  <c r="BJ28" i="4"/>
  <c r="BI25" i="4"/>
  <c r="AU32" i="4"/>
  <c r="AY21" i="4"/>
  <c r="AZ25" i="4"/>
  <c r="BO28" i="4"/>
  <c r="BN25" i="4"/>
  <c r="AP25" i="4"/>
  <c r="AO21" i="4"/>
  <c r="BS28" i="4"/>
  <c r="BT32" i="4"/>
  <c r="Y25" i="4"/>
  <c r="U21" i="4"/>
  <c r="CC25" i="4"/>
  <c r="CD28" i="4"/>
  <c r="BY32" i="4"/>
  <c r="BX28" i="4"/>
  <c r="X32" i="4"/>
  <c r="AK21" i="4"/>
  <c r="AJ11" i="4"/>
  <c r="AO63" i="1"/>
  <c r="AN61" i="1"/>
  <c r="AN62" i="1" s="1"/>
  <c r="BD63" i="1"/>
  <c r="BC61" i="1"/>
  <c r="BC62" i="1" s="1"/>
  <c r="BC63" i="1" s="1"/>
  <c r="BM61" i="1"/>
  <c r="BM62" i="1" s="1"/>
  <c r="BN63" i="1"/>
  <c r="AK63" i="1"/>
  <c r="AJ61" i="1"/>
  <c r="AJ62" i="1" s="1"/>
  <c r="BA62" i="1"/>
  <c r="AX61" i="1"/>
  <c r="AX62" i="1" s="1"/>
  <c r="AF25" i="4" l="1"/>
  <c r="AE21" i="4"/>
  <c r="CD32" i="4"/>
  <c r="CC28" i="4"/>
  <c r="Y28" i="4"/>
  <c r="U25" i="4"/>
  <c r="BS32" i="4"/>
  <c r="BT34" i="4"/>
  <c r="AW28" i="4"/>
  <c r="AT25" i="4"/>
  <c r="AK25" i="4"/>
  <c r="AJ21" i="4"/>
  <c r="AO25" i="4"/>
  <c r="AP28" i="4"/>
  <c r="Z21" i="4"/>
  <c r="AA25" i="4"/>
  <c r="X34" i="4"/>
  <c r="AY25" i="4"/>
  <c r="AZ28" i="4"/>
  <c r="AU34" i="4"/>
  <c r="BI28" i="4"/>
  <c r="BJ32" i="4"/>
  <c r="BE32" i="4"/>
  <c r="BD28" i="4"/>
  <c r="BN28" i="4"/>
  <c r="BO32" i="4"/>
  <c r="BX32" i="4"/>
  <c r="BY34" i="4"/>
  <c r="AJ63" i="1"/>
  <c r="AI61" i="1"/>
  <c r="AI62" i="1" s="1"/>
  <c r="AW61" i="1"/>
  <c r="AX63" i="1"/>
  <c r="AN63" i="1"/>
  <c r="AM61" i="1"/>
  <c r="AM62" i="1" s="1"/>
  <c r="AM63" i="1" s="1"/>
  <c r="BA63" i="1"/>
  <c r="AZ61" i="1"/>
  <c r="AZ62" i="1" s="1"/>
  <c r="BM63" i="1"/>
  <c r="BL61" i="1"/>
  <c r="BL62" i="1" s="1"/>
  <c r="AE25" i="4" l="1"/>
  <c r="AF28" i="4"/>
  <c r="BJ34" i="4"/>
  <c r="BI32" i="4"/>
  <c r="AU35" i="4"/>
  <c r="AW32" i="4"/>
  <c r="AT28" i="4"/>
  <c r="BY35" i="4"/>
  <c r="BX35" i="4" s="1"/>
  <c r="BX34" i="4"/>
  <c r="AY28" i="4"/>
  <c r="AZ32" i="4"/>
  <c r="X35" i="4"/>
  <c r="AA28" i="4"/>
  <c r="Z25" i="4"/>
  <c r="AP32" i="4"/>
  <c r="AO28" i="4"/>
  <c r="AK28" i="4"/>
  <c r="AJ25" i="4"/>
  <c r="BT35" i="4"/>
  <c r="BS35" i="4" s="1"/>
  <c r="BS34" i="4"/>
  <c r="BO34" i="4"/>
  <c r="BN32" i="4"/>
  <c r="Y32" i="4"/>
  <c r="U28" i="4"/>
  <c r="BD32" i="4"/>
  <c r="BE34" i="4"/>
  <c r="CC32" i="4"/>
  <c r="CD34" i="4"/>
  <c r="AZ63" i="1"/>
  <c r="AY61" i="1"/>
  <c r="AY62" i="1" s="1"/>
  <c r="AY63" i="1" s="1"/>
  <c r="AW62" i="1"/>
  <c r="AT61" i="1"/>
  <c r="AT62" i="1" s="1"/>
  <c r="BL63" i="1"/>
  <c r="BK61" i="1"/>
  <c r="BK62" i="1" s="1"/>
  <c r="AH61" i="1"/>
  <c r="AH62" i="1" s="1"/>
  <c r="AI63" i="1"/>
  <c r="AF32" i="4" l="1"/>
  <c r="AE28" i="4"/>
  <c r="Y34" i="4"/>
  <c r="U32" i="4"/>
  <c r="BI34" i="4"/>
  <c r="BJ35" i="4"/>
  <c r="BI35" i="4" s="1"/>
  <c r="AY32" i="4"/>
  <c r="AZ34" i="4"/>
  <c r="BO35" i="4"/>
  <c r="BN35" i="4" s="1"/>
  <c r="BN34" i="4"/>
  <c r="AJ28" i="4"/>
  <c r="AK32" i="4"/>
  <c r="AW34" i="4"/>
  <c r="AT32" i="4"/>
  <c r="CC34" i="4"/>
  <c r="CD35" i="4"/>
  <c r="CC35" i="4" s="1"/>
  <c r="AP34" i="4"/>
  <c r="AO32" i="4"/>
  <c r="BD34" i="4"/>
  <c r="BE35" i="4"/>
  <c r="BD35" i="4" s="1"/>
  <c r="Z28" i="4"/>
  <c r="AA32" i="4"/>
  <c r="AS61" i="1"/>
  <c r="AS62" i="1" s="1"/>
  <c r="AS63" i="1" s="1"/>
  <c r="AT63" i="1"/>
  <c r="AG61" i="1"/>
  <c r="AG62" i="1" s="1"/>
  <c r="AH63" i="1"/>
  <c r="AW63" i="1"/>
  <c r="AV61" i="1"/>
  <c r="AV62" i="1" s="1"/>
  <c r="BJ61" i="1"/>
  <c r="BJ62" i="1" s="1"/>
  <c r="BK63" i="1"/>
  <c r="AE32" i="4" l="1"/>
  <c r="AF34" i="4"/>
  <c r="AA34" i="4"/>
  <c r="Z32" i="4"/>
  <c r="AP35" i="4"/>
  <c r="AO35" i="4" s="1"/>
  <c r="AO34" i="4"/>
  <c r="AK34" i="4"/>
  <c r="AJ32" i="4"/>
  <c r="AW35" i="4"/>
  <c r="AT35" i="4" s="1"/>
  <c r="AT34" i="4"/>
  <c r="AY34" i="4"/>
  <c r="AZ35" i="4"/>
  <c r="AY35" i="4" s="1"/>
  <c r="Y35" i="4"/>
  <c r="U35" i="4" s="1"/>
  <c r="U34" i="4"/>
  <c r="BI61" i="1"/>
  <c r="BJ63" i="1"/>
  <c r="AG63" i="1"/>
  <c r="AF61" i="1"/>
  <c r="AF62" i="1" s="1"/>
  <c r="AV63" i="1"/>
  <c r="AU61" i="1"/>
  <c r="AU62" i="1" s="1"/>
  <c r="AU63" i="1" s="1"/>
  <c r="AF35" i="4" l="1"/>
  <c r="AE35" i="4" s="1"/>
  <c r="AE34" i="4"/>
  <c r="AJ34" i="4"/>
  <c r="AK35" i="4"/>
  <c r="AJ35" i="4" s="1"/>
  <c r="Z34" i="4"/>
  <c r="AA35" i="4"/>
  <c r="Z35" i="4" s="1"/>
  <c r="AF63" i="1"/>
  <c r="AE61" i="1"/>
  <c r="AE62" i="1" s="1"/>
  <c r="BI62" i="1"/>
  <c r="BI63" i="1" s="1"/>
  <c r="BH61" i="1"/>
  <c r="BG61" i="1" l="1"/>
  <c r="BH62" i="1"/>
  <c r="BH63" i="1" s="1"/>
  <c r="AD61" i="1"/>
  <c r="AD62" i="1" s="1"/>
  <c r="AE63" i="1"/>
  <c r="AC61" i="1" l="1"/>
  <c r="AC62" i="1" s="1"/>
  <c r="AD63" i="1"/>
  <c r="BF61" i="1"/>
  <c r="BF62" i="1" s="1"/>
  <c r="BF63" i="1" s="1"/>
  <c r="BG62" i="1"/>
  <c r="BG63" i="1" s="1"/>
  <c r="AC63" i="1" l="1"/>
  <c r="AB61" i="1"/>
  <c r="AB62" i="1" s="1"/>
  <c r="AB63" i="1" l="1"/>
  <c r="AA61" i="1"/>
  <c r="AA62" i="1" s="1"/>
  <c r="AA63" i="1" l="1"/>
  <c r="Z61" i="1"/>
  <c r="Z62" i="1" s="1"/>
  <c r="Y61" i="1" l="1"/>
  <c r="Y62" i="1" s="1"/>
  <c r="Z63" i="1"/>
  <c r="Y63" i="1" l="1"/>
  <c r="X61" i="1"/>
  <c r="X62" i="1" s="1"/>
  <c r="X63" i="1" l="1"/>
  <c r="W61" i="1"/>
  <c r="W62" i="1" s="1"/>
  <c r="V61" i="1" l="1"/>
  <c r="V62" i="1" s="1"/>
  <c r="W63" i="1"/>
  <c r="U61" i="1" l="1"/>
  <c r="U62" i="1" s="1"/>
  <c r="U63" i="1" s="1"/>
  <c r="V63" i="1"/>
</calcChain>
</file>

<file path=xl/sharedStrings.xml><?xml version="1.0" encoding="utf-8"?>
<sst xmlns="http://schemas.openxmlformats.org/spreadsheetml/2006/main" count="2383" uniqueCount="213">
  <si>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</si>
  <si>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</si>
  <si>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</si>
  <si>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</si>
  <si>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</si>
  <si>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</si>
  <si>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</si>
  <si>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</si>
  <si>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</si>
  <si>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</si>
  <si>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</si>
  <si>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</si>
  <si>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/>
  </si>
  <si>
    <t>1T17</t>
  </si>
  <si>
    <t>2T17</t>
  </si>
  <si>
    <t>3T17</t>
  </si>
  <si>
    <t>4T17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</si>
  <si>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</si>
  <si>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</si>
  <si>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</si>
  <si>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</si>
  <si>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</si>
  <si>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</si>
  <si>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</si>
  <si>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</si>
  <si>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</si>
  <si>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</si>
  <si>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</si>
  <si>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</si>
  <si>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</si>
  <si>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</si>
  <si>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</si>
  <si>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</si>
  <si>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1T18</t>
  </si>
  <si>
    <t>-</t>
  </si>
  <si>
    <t>2T18</t>
  </si>
  <si>
    <t>3T18</t>
  </si>
  <si>
    <t xml:space="preserve">Número de Unidades </t>
  </si>
  <si>
    <t>Vendas Totais Contratadas (milhões de R$)</t>
  </si>
  <si>
    <t>Vendas Contratadas da Trisul (milhões de R$)</t>
  </si>
  <si>
    <t xml:space="preserve">Número de Empreendimentos </t>
  </si>
  <si>
    <t>VGV Lançado Total (milhões de R$)</t>
  </si>
  <si>
    <t>Receita Operacional Líquida (milhões de R$)</t>
  </si>
  <si>
    <t>Lucro Líquido (milhões de R$)</t>
  </si>
  <si>
    <t>Patrimônio Líquido (milhões de R$)</t>
  </si>
  <si>
    <t>Empréstimos e Financiamentos (curto e longo prazo) (milhões de R$)</t>
  </si>
  <si>
    <t>Contas a Receber (milhões de R$)</t>
  </si>
  <si>
    <t xml:space="preserve">ATIVO CIRCULANTE </t>
  </si>
  <si>
    <t xml:space="preserve">ATIVO NÃO CIRCULANTE </t>
  </si>
  <si>
    <t xml:space="preserve">Aplicações Financeiras </t>
  </si>
  <si>
    <t xml:space="preserve">Outros Créditos </t>
  </si>
  <si>
    <t>Investimentos</t>
  </si>
  <si>
    <t xml:space="preserve">Imobilizado </t>
  </si>
  <si>
    <t xml:space="preserve">Intangível </t>
  </si>
  <si>
    <t xml:space="preserve">TOTAL DO ATIVO </t>
  </si>
  <si>
    <t xml:space="preserve">PASSIVO CIRCULANTE </t>
  </si>
  <si>
    <t xml:space="preserve">Fornecedores </t>
  </si>
  <si>
    <t xml:space="preserve">PASSIVO NÃO CIRCULANTE </t>
  </si>
  <si>
    <t xml:space="preserve">Deságio na Aquisição de Investimentos </t>
  </si>
  <si>
    <t xml:space="preserve">PATRIMÔNIO LÍQUIDO: </t>
  </si>
  <si>
    <t xml:space="preserve">Ações em Tesouraria </t>
  </si>
  <si>
    <t xml:space="preserve">TOTAL DO PASSIVO E PATRIMÔNIO LÍQUIDO </t>
  </si>
  <si>
    <t xml:space="preserve">RECEITA OPERACIONAL LÍQUIDA </t>
  </si>
  <si>
    <t xml:space="preserve">LUCRO BRUTO </t>
  </si>
  <si>
    <t xml:space="preserve">Comerciais </t>
  </si>
  <si>
    <t xml:space="preserve">Despesas com Depreciação e Amortização </t>
  </si>
  <si>
    <t xml:space="preserve">LUCRO OPERACIONAL </t>
  </si>
  <si>
    <t xml:space="preserve">LUCRO OPERACIONAL DEPOIS DO RESULTADO FINANCEIRO </t>
  </si>
  <si>
    <t xml:space="preserve">RESULTADO NÃO OPERACIONAL </t>
  </si>
  <si>
    <t xml:space="preserve">Total de Impostos </t>
  </si>
  <si>
    <t>4T18</t>
  </si>
  <si>
    <t>1T19</t>
  </si>
  <si>
    <t xml:space="preserve">Balanço Patrimonial </t>
  </si>
  <si>
    <t>Informações Operacionais</t>
  </si>
  <si>
    <t>2T19</t>
  </si>
  <si>
    <t xml:space="preserve">Das Atividades Operacionais </t>
  </si>
  <si>
    <t>Fornecedores</t>
  </si>
  <si>
    <t>Debêntures</t>
  </si>
  <si>
    <t xml:space="preserve">Custos de Imóveis e Serviços Vendidos </t>
  </si>
  <si>
    <t xml:space="preserve">RECEITAS/(DESPESAS) OPERACIONAIS </t>
  </si>
  <si>
    <t xml:space="preserve">RECEITAS/(DESPESAS) FINANCEIRAS </t>
  </si>
  <si>
    <t>3T19</t>
  </si>
  <si>
    <t>Aumento de Capital</t>
  </si>
  <si>
    <t>4T19</t>
  </si>
  <si>
    <t>Fluxo de Caixa (milhares de R$)</t>
  </si>
  <si>
    <t>1T20</t>
  </si>
  <si>
    <t>Adiantamento de Clientes</t>
  </si>
  <si>
    <t>Ativo Permanente</t>
  </si>
  <si>
    <t>Participação de Minoritários</t>
  </si>
  <si>
    <t>Participação de Não-Controladores</t>
  </si>
  <si>
    <t>Caixa e Equivalentes de Caixa</t>
  </si>
  <si>
    <t xml:space="preserve">Contas a Receber </t>
  </si>
  <si>
    <t xml:space="preserve">Imóveis a Comercializar </t>
  </si>
  <si>
    <t xml:space="preserve">Créditos Diversos </t>
  </si>
  <si>
    <t xml:space="preserve">Impostos e Contribuições a Recuperar </t>
  </si>
  <si>
    <t>Realizável a Longo Prazo</t>
  </si>
  <si>
    <t xml:space="preserve">Partes Relacionadas </t>
  </si>
  <si>
    <t>Impostos e Contribuições a Recuperar</t>
  </si>
  <si>
    <t xml:space="preserve">Empréstimos e Financiamentos </t>
  </si>
  <si>
    <t xml:space="preserve">Obrigações Trabalhistas e Tributárias </t>
  </si>
  <si>
    <t xml:space="preserve">Impostos e Contribuições Diferidos </t>
  </si>
  <si>
    <t xml:space="preserve">Credores por Imóveis Compromissados </t>
  </si>
  <si>
    <t xml:space="preserve">Adiantamento de Clientes </t>
  </si>
  <si>
    <t xml:space="preserve">Contas a Pagar </t>
  </si>
  <si>
    <t xml:space="preserve">Dividendos a Pagar </t>
  </si>
  <si>
    <t xml:space="preserve">Debêntures a Pagar </t>
  </si>
  <si>
    <t xml:space="preserve">Adiantamento de Clientes (Permutas Físicas) </t>
  </si>
  <si>
    <t xml:space="preserve">Provisão para Contingências </t>
  </si>
  <si>
    <t>Obrigações Trabalhistas e Tributárias (R$)</t>
  </si>
  <si>
    <t xml:space="preserve">Capital Social </t>
  </si>
  <si>
    <t>(-) Despesas com Emissão de Ações</t>
  </si>
  <si>
    <t xml:space="preserve">Reservas de Capital </t>
  </si>
  <si>
    <t xml:space="preserve">Reserva de Lucros </t>
  </si>
  <si>
    <t xml:space="preserve">Lucros Acumulados </t>
  </si>
  <si>
    <t xml:space="preserve">Ajuste a Valor Presente </t>
  </si>
  <si>
    <t xml:space="preserve">Gerais e Administrativas </t>
  </si>
  <si>
    <t xml:space="preserve">Despesas Tributárias </t>
  </si>
  <si>
    <t xml:space="preserve">Amortização de Ágio/Perdas de Valor Recuperável </t>
  </si>
  <si>
    <t xml:space="preserve">Outras Receitas/(Despesas) Operacionais </t>
  </si>
  <si>
    <t xml:space="preserve">Despesas Financeiras </t>
  </si>
  <si>
    <t xml:space="preserve">Receitas Financeiras </t>
  </si>
  <si>
    <t xml:space="preserve">Outras Receitas e (Despesas) Não Operacionais </t>
  </si>
  <si>
    <t xml:space="preserve">Resultado Antes do Imposto de Renda e Contribuição Social Sobre o Lucro </t>
  </si>
  <si>
    <t xml:space="preserve">Imposto de Renda e Contribuição Social - Correntes </t>
  </si>
  <si>
    <t xml:space="preserve">Imposto de Renda e Contribuição Social - Diferidos </t>
  </si>
  <si>
    <t xml:space="preserve">Participação de Minoritários em Controladas </t>
  </si>
  <si>
    <t>Resultado com Equivalência Patrimonial</t>
  </si>
  <si>
    <t xml:space="preserve">Resultado Operacional Líquido </t>
  </si>
  <si>
    <t xml:space="preserve">Ajustes para Reconciliar o Llucro (Prejuízo) Líquido do Período com o Caixa </t>
  </si>
  <si>
    <t xml:space="preserve">Provisão para Devedores Duvidosos </t>
  </si>
  <si>
    <t>Depreciação/Amortização</t>
  </si>
  <si>
    <t>Ajuste ao Valor Presente</t>
  </si>
  <si>
    <t>Valor Residual de Ativo Imobilizado Alienado</t>
  </si>
  <si>
    <t>Depreciação de Direito de Uso</t>
  </si>
  <si>
    <t xml:space="preserve">Amortização de Ágio </t>
  </si>
  <si>
    <t xml:space="preserve">Depreciação de Estandes de Venda </t>
  </si>
  <si>
    <t>Juros sobre Empréstimos e Debêntures</t>
  </si>
  <si>
    <t>Tributos Diferidos</t>
  </si>
  <si>
    <t xml:space="preserve">Provisão para Demandas Judiciais e Administrativas </t>
  </si>
  <si>
    <t xml:space="preserve">(Aumento)/Redução nos Ativos Operacionais: </t>
  </si>
  <si>
    <t>Imóveis a Comercializar</t>
  </si>
  <si>
    <t xml:space="preserve">Impostos e Contribuição a Recuperar </t>
  </si>
  <si>
    <t xml:space="preserve">Aumento/(Redução) nos Passivos Operacionais: </t>
  </si>
  <si>
    <t>Contas a Pagar</t>
  </si>
  <si>
    <t>Provisão para Demandas Judiciais e Administrativas</t>
  </si>
  <si>
    <t xml:space="preserve">Caixa Proveniente das Operações </t>
  </si>
  <si>
    <t>Imposto de Renda e Contribuição Social Pagos</t>
  </si>
  <si>
    <t xml:space="preserve">Caixa Líquido Gerado (Aplicado nas) Atividades Operacionais </t>
  </si>
  <si>
    <t>Das Atividades de Investimentos</t>
  </si>
  <si>
    <t>Aumento / Redução de Investimento</t>
  </si>
  <si>
    <t>Aquisição de Imobilizado</t>
  </si>
  <si>
    <t>Aquisição de Intangível</t>
  </si>
  <si>
    <t>Aquisição de Ações de Emissão Própria</t>
  </si>
  <si>
    <t>Dividendos Pagos</t>
  </si>
  <si>
    <t xml:space="preserve">  Alienação de Investimento</t>
  </si>
  <si>
    <t xml:space="preserve">  Alienação de Imobilizado</t>
  </si>
  <si>
    <t xml:space="preserve">  Alienação de Intangível</t>
  </si>
  <si>
    <t>Caixa Líquido Aplicado nas Atividades de Investimentos</t>
  </si>
  <si>
    <t>Das Atividades de Financiamentos</t>
  </si>
  <si>
    <t xml:space="preserve">Reserva de Capital - Plano de Opção de Ações </t>
  </si>
  <si>
    <t>Participação de Não Controladores</t>
  </si>
  <si>
    <t>Variação Líquida de Empréstimos e Financiamentos</t>
  </si>
  <si>
    <t>Caixa Líquido Gerado nas Atividades de Financiamentos</t>
  </si>
  <si>
    <t>Aumento/(Redução) de Caixa e Equivalentes de Caixa</t>
  </si>
  <si>
    <t>Saldo de Caixa e Equivalentes de Caixa</t>
  </si>
  <si>
    <t>No Início do Exercício</t>
  </si>
  <si>
    <t>No Final do Exercício</t>
  </si>
  <si>
    <t>Outros</t>
  </si>
  <si>
    <t>Outras Informações Financeiras</t>
  </si>
  <si>
    <t xml:space="preserve">Informações Financeiras </t>
  </si>
  <si>
    <t>Lançamentos</t>
  </si>
  <si>
    <t xml:space="preserve">Vendas Contratadas </t>
  </si>
  <si>
    <t>VGV Lançado da Trisul (milhões de R$) </t>
  </si>
  <si>
    <t>Margem Líquida (%)</t>
  </si>
  <si>
    <t xml:space="preserve">EBITDA Ajustado </t>
  </si>
  <si>
    <t>Margem EBITDA Ajustado (%)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</si>
  <si>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</si>
  <si>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</si>
  <si>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</si>
  <si>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</si>
  <si>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</si>
  <si>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</si>
  <si>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</si>
  <si>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</si>
  <si>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</si>
  <si>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</si>
  <si>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</si>
  <si>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</si>
  <si>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LUCRO LÍQUIDO AJUSTADO</t>
  </si>
  <si>
    <t>RECEITA OPERACIONAL BRUTA</t>
  </si>
  <si>
    <t>Demonstração de Resultados  (milhares de R$)</t>
  </si>
  <si>
    <t>Com Venda de Imóveis</t>
  </si>
  <si>
    <t>Com Prestação de Serviços</t>
  </si>
  <si>
    <t>(-) Deduções da Receita</t>
  </si>
  <si>
    <t>Propriedades para Investimento</t>
  </si>
  <si>
    <t>Provisão para Distrato - Estoque</t>
  </si>
  <si>
    <t>2T23</t>
  </si>
  <si>
    <t>3T23</t>
  </si>
  <si>
    <t>4T23</t>
  </si>
  <si>
    <t>Ajuste Propriedades para Investimento a Valor de Mercado</t>
  </si>
  <si>
    <t>1T24</t>
  </si>
  <si>
    <t>2T24</t>
  </si>
  <si>
    <t>Lucro Líquido Atribuível aos Controladores</t>
  </si>
  <si>
    <t xml:space="preserve">Lucro Líquido Antes da Participação de Minoritários em Controladas </t>
  </si>
  <si>
    <t>3T24</t>
  </si>
  <si>
    <t>4T24</t>
  </si>
  <si>
    <t>Títulos e Valores Mobiliários</t>
  </si>
  <si>
    <t>1T25</t>
  </si>
  <si>
    <t>2T25</t>
  </si>
  <si>
    <t>3T25</t>
  </si>
  <si>
    <t>4T25</t>
  </si>
  <si>
    <t>1T26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</si>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</sst>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#,##0;\(#,##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Nexa Black"/>
    </font>
    <font>
      <sz val="9"/>
      <color rgb="FF0C2340"/>
      <name val="Nexa Black"/>
    </font>
    <font>
      <sz val="9"/>
      <color rgb="FF0C2340"/>
      <name val="Nexa Book"/>
    </font>
    <font>
      <sz val="8"/>
      <color rgb="FF0C2340"/>
      <name val="Nexa Book"/>
    </font>
    <font>
      <b/>
      <sz val="9"/>
      <color rgb="FF0C2340"/>
      <name val="Nexa Black"/>
    </font>
    <font>
      <sz val="11"/>
      <color theme="1"/>
      <name val="Nexa Black"/>
    </font>
    <font>
      <sz val="8"/>
      <color rgb="FF0C2340"/>
      <name val="Nexa Black"/>
    </font>
    <font>
      <sz val="10"/>
      <color theme="1"/>
      <name val="Nexa Black"/>
    </font>
    <font>
      <sz val="9"/>
      <color theme="1"/>
      <name val="Nexa Black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33B"/>
        <bgColor indexed="64"/>
      </patternFill>
    </fill>
    <fill>
      <patternFill patternType="solid">
        <fgColor rgb="FF50555A"/>
        <bgColor indexed="64"/>
      </patternFill>
    </fill>
    <fill>
      <patternFill patternType="solid">
        <fgColor rgb="FF0C234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EBE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C72C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rgb="FFFFC72C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4" fillId="4" borderId="0" xfId="0" applyFont="1" applyFill="1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right"/>
    </xf>
    <xf numFmtId="0" fontId="5" fillId="3" borderId="0" xfId="0" applyFont="1" applyFill="1"/>
    <xf numFmtId="0" fontId="5" fillId="0" borderId="0" xfId="0" applyFont="1"/>
    <xf numFmtId="0" fontId="5" fillId="3" borderId="0" xfId="0" quotePrefix="1" applyFont="1" applyFill="1"/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right"/>
    </xf>
    <xf numFmtId="0" fontId="7" fillId="4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3" fontId="6" fillId="2" borderId="3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7" borderId="6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3" fontId="11" fillId="2" borderId="7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3" fontId="11" fillId="2" borderId="8" xfId="0" applyNumberFormat="1" applyFont="1" applyFill="1" applyBorder="1" applyAlignment="1">
      <alignment horizontal="center" vertical="center"/>
    </xf>
    <xf numFmtId="166" fontId="11" fillId="2" borderId="5" xfId="0" applyNumberFormat="1" applyFont="1" applyFill="1" applyBorder="1" applyAlignment="1">
      <alignment horizontal="center" vertical="center"/>
    </xf>
    <xf numFmtId="166" fontId="11" fillId="7" borderId="6" xfId="0" applyNumberFormat="1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167" fontId="12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3" fontId="14" fillId="2" borderId="8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right" vertical="center"/>
    </xf>
    <xf numFmtId="167" fontId="9" fillId="0" borderId="4" xfId="0" applyNumberFormat="1" applyFont="1" applyBorder="1" applyAlignment="1">
      <alignment horizontal="center" vertical="center"/>
    </xf>
    <xf numFmtId="167" fontId="11" fillId="2" borderId="5" xfId="0" applyNumberFormat="1" applyFont="1" applyFill="1" applyBorder="1" applyAlignment="1">
      <alignment horizontal="center" vertical="center"/>
    </xf>
    <xf numFmtId="167" fontId="11" fillId="7" borderId="6" xfId="0" applyNumberFormat="1" applyFont="1" applyFill="1" applyBorder="1" applyAlignment="1">
      <alignment horizontal="center" vertical="center"/>
    </xf>
    <xf numFmtId="167" fontId="14" fillId="2" borderId="5" xfId="0" applyNumberFormat="1" applyFont="1" applyFill="1" applyBorder="1" applyAlignment="1">
      <alignment horizontal="center" vertical="center"/>
    </xf>
    <xf numFmtId="167" fontId="14" fillId="7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4" borderId="0" xfId="0" applyFont="1" applyFill="1" applyAlignment="1">
      <alignment horizontal="right" vertical="center"/>
    </xf>
    <xf numFmtId="167" fontId="11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7" fontId="11" fillId="2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3" fontId="9" fillId="2" borderId="8" xfId="0" applyNumberFormat="1" applyFont="1" applyFill="1" applyBorder="1" applyAlignment="1">
      <alignment horizontal="center" vertical="center"/>
    </xf>
    <xf numFmtId="167" fontId="9" fillId="2" borderId="5" xfId="0" applyNumberFormat="1" applyFont="1" applyFill="1" applyBorder="1" applyAlignment="1">
      <alignment horizontal="center" vertical="center"/>
    </xf>
    <xf numFmtId="167" fontId="9" fillId="7" borderId="6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right" vertical="center"/>
    </xf>
  </cellXfs>
  <cellStyles count="10">
    <cellStyle name="Moeda 2" xfId="6" xr:uid="{00000000-0005-0000-0000-000000000000}"/>
    <cellStyle name="Normal" xfId="0" builtinId="0"/>
    <cellStyle name="Normal 2" xfId="1" xr:uid="{00000000-0005-0000-0000-000002000000}"/>
    <cellStyle name="Normal 2 2" xfId="7" xr:uid="{00000000-0005-0000-0000-000003000000}"/>
    <cellStyle name="Normal 3" xfId="2" xr:uid="{00000000-0005-0000-0000-000004000000}"/>
    <cellStyle name="Normal 5" xfId="3" xr:uid="{00000000-0005-0000-0000-000005000000}"/>
    <cellStyle name="Separador de milhares 2 4" xfId="8" xr:uid="{00000000-0005-0000-0000-000006000000}"/>
    <cellStyle name="Separador de milhares 9" xfId="9" xr:uid="{9CA74011-BBDA-4585-8489-60AFF90CAF75}"/>
    <cellStyle name="Vírgula 2" xfId="5" xr:uid="{00000000-0005-0000-0000-000008000000}"/>
    <cellStyle name="Vírgula 3" xfId="4" xr:uid="{00000000-0005-0000-0000-000009000000}"/>
  </cellStyles>
  <dxfs count="0"/>
  <tableStyles count="0" defaultTableStyle="TableStyleMedium2" defaultPivotStyle="PivotStyleLight16"/>
  <colors>
    <mruColors>
      <color rgb="FF50555A"/>
      <color rgb="FF0D233B"/>
      <color rgb="FFBCBCBC"/>
      <color rgb="FF00AEEF"/>
      <color rgb="FFDFE21A"/>
      <color rgb="FF068FB2"/>
      <color rgb="FF203764"/>
      <color rgb="FFFF9100"/>
      <color rgb="FF0F6EB4"/>
      <color rgb="FF00A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luxo de Caixa '!A1"/><Relationship Id="rId2" Type="http://schemas.openxmlformats.org/officeDocument/2006/relationships/hyperlink" Target="#'Balan&#231;o Patrimonial '!A1"/><Relationship Id="rId1" Type="http://schemas.openxmlformats.org/officeDocument/2006/relationships/hyperlink" Target="#'Informa&#231;&#245;es Operacionais '!A1"/><Relationship Id="rId5" Type="http://schemas.openxmlformats.org/officeDocument/2006/relationships/image" Target="../media/image1.jpeg"/><Relationship Id="rId4" Type="http://schemas.openxmlformats.org/officeDocument/2006/relationships/hyperlink" Target="#'DRE 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228601</xdr:colOff>
      <xdr:row>7</xdr:row>
      <xdr:rowOff>5239</xdr:rowOff>
    </xdr:from>
    <xdr:to>
      <xdr:col>25</xdr:col>
      <xdr:colOff>111131</xdr:colOff>
      <xdr:row>11</xdr:row>
      <xdr:rowOff>91831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01401" y="1309106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1900"/>
            </a:lnSpc>
          </a:pPr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>
    <xdr:from>
      <xdr:col>18</xdr:col>
      <xdr:colOff>239184</xdr:colOff>
      <xdr:row>12</xdr:row>
      <xdr:rowOff>113154</xdr:rowOff>
    </xdr:from>
    <xdr:to>
      <xdr:col>25</xdr:col>
      <xdr:colOff>121714</xdr:colOff>
      <xdr:row>17</xdr:row>
      <xdr:rowOff>13479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11984" y="2348354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>
    <xdr:from>
      <xdr:col>18</xdr:col>
      <xdr:colOff>267074</xdr:colOff>
      <xdr:row>23</xdr:row>
      <xdr:rowOff>183142</xdr:rowOff>
    </xdr:from>
    <xdr:to>
      <xdr:col>25</xdr:col>
      <xdr:colOff>149604</xdr:colOff>
      <xdr:row>28</xdr:row>
      <xdr:rowOff>79233</xdr:rowOff>
    </xdr:to>
    <xdr:sp macro="" textlink="">
      <xdr:nvSpPr>
        <xdr:cNvPr id="8" name="Retângulo de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39874" y="446727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9525</xdr:colOff>
      <xdr:row>0</xdr:row>
      <xdr:rowOff>1</xdr:rowOff>
    </xdr:from>
    <xdr:to>
      <xdr:col>11</xdr:col>
      <xdr:colOff>118533</xdr:colOff>
      <xdr:row>38</xdr:row>
      <xdr:rowOff>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525" y="1"/>
          <a:ext cx="6814608" cy="7078133"/>
        </a:xfrm>
        <a:prstGeom prst="rect">
          <a:avLst/>
        </a:prstGeom>
        <a:solidFill>
          <a:schemeClr val="bg1"/>
        </a:solidFill>
        <a:ln>
          <a:solidFill>
            <a:srgbClr val="50555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209550</xdr:colOff>
      <xdr:row>20</xdr:row>
      <xdr:rowOff>75687</xdr:rowOff>
    </xdr:from>
    <xdr:ext cx="5450413" cy="372859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09550" y="3885687"/>
          <a:ext cx="5450413" cy="37285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pt-BR" sz="1800" b="0">
              <a:ln>
                <a:noFill/>
              </a:ln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Relações com Investidores</a:t>
          </a:r>
          <a:endParaRPr lang="pt-BR" sz="1800" b="0" baseline="0">
            <a:ln>
              <a:noFill/>
            </a:ln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18</xdr:col>
      <xdr:colOff>248710</xdr:colOff>
      <xdr:row>18</xdr:row>
      <xdr:rowOff>53905</xdr:rowOff>
    </xdr:from>
    <xdr:to>
      <xdr:col>25</xdr:col>
      <xdr:colOff>131240</xdr:colOff>
      <xdr:row>22</xdr:row>
      <xdr:rowOff>136263</xdr:rowOff>
    </xdr:to>
    <xdr:sp macro="" textlink="">
      <xdr:nvSpPr>
        <xdr:cNvPr id="11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21510" y="340670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2700"/>
            </a:lnSpc>
          </a:pPr>
          <a:r>
            <a:rPr lang="pt-BR" sz="1600" b="1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Demonstração</a:t>
          </a:r>
          <a:r>
            <a:rPr lang="pt-BR" sz="1600" b="1" baseline="0">
              <a:solidFill>
                <a:schemeClr val="bg1"/>
              </a:solidFill>
              <a:latin typeface="Nexa Black" panose="02000000000000000000" pitchFamily="2" charset="0"/>
              <a:ea typeface="Nexa Black" panose="02000000000000000000" pitchFamily="2" charset="0"/>
              <a:cs typeface="Verdana" panose="020B0604030504040204" pitchFamily="34" charset="0"/>
            </a:rPr>
            <a:t> de Resultados</a:t>
          </a:r>
          <a:endParaRPr lang="pt-BR" sz="1600" b="1" i="1">
            <a:solidFill>
              <a:schemeClr val="bg1"/>
            </a:solidFill>
            <a:latin typeface="Nexa Black" panose="02000000000000000000" pitchFamily="2" charset="0"/>
            <a:ea typeface="Nexa Black" panose="02000000000000000000" pitchFamily="2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380997</xdr:colOff>
      <xdr:row>12</xdr:row>
      <xdr:rowOff>76200</xdr:rowOff>
    </xdr:from>
    <xdr:to>
      <xdr:col>8</xdr:col>
      <xdr:colOff>533254</xdr:colOff>
      <xdr:row>24</xdr:row>
      <xdr:rowOff>165401</xdr:rowOff>
    </xdr:to>
    <xdr:pic>
      <xdr:nvPicPr>
        <xdr:cNvPr id="14" name="Imagem 13" descr="Resultado de imagem para trisul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7" y="2311400"/>
          <a:ext cx="4419457" cy="2161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1223431</xdr:colOff>
      <xdr:row>0</xdr:row>
      <xdr:rowOff>61891</xdr:rowOff>
    </xdr:from>
    <xdr:to>
      <xdr:col>2</xdr:col>
      <xdr:colOff>66675</xdr:colOff>
      <xdr:row>0</xdr:row>
      <xdr:rowOff>652484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18681" y="61891"/>
          <a:ext cx="2815169" cy="59059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 editAs="oneCell">
    <xdr:from>
      <xdr:col>1</xdr:col>
      <xdr:colOff>95251</xdr:colOff>
      <xdr:row>0</xdr:row>
      <xdr:rowOff>201083</xdr:rowOff>
    </xdr:from>
    <xdr:to>
      <xdr:col>1</xdr:col>
      <xdr:colOff>1245871</xdr:colOff>
      <xdr:row>0</xdr:row>
      <xdr:rowOff>497416</xdr:rowOff>
    </xdr:to>
    <xdr:pic>
      <xdr:nvPicPr>
        <xdr:cNvPr id="9" name="Imagem 8" descr="Resultado de imagem para trisul log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1" y="201083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3849156</xdr:colOff>
      <xdr:row>0</xdr:row>
      <xdr:rowOff>75643</xdr:rowOff>
    </xdr:from>
    <xdr:to>
      <xdr:col>2</xdr:col>
      <xdr:colOff>475571</xdr:colOff>
      <xdr:row>0</xdr:row>
      <xdr:rowOff>632444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3944406" y="75643"/>
          <a:ext cx="598340" cy="556801"/>
          <a:chOff x="11605780" y="215217"/>
          <a:chExt cx="467591" cy="469878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3778360</xdr:colOff>
      <xdr:row>0</xdr:row>
      <xdr:rowOff>89540</xdr:rowOff>
    </xdr:from>
    <xdr:to>
      <xdr:col>1</xdr:col>
      <xdr:colOff>4374318</xdr:colOff>
      <xdr:row>0</xdr:row>
      <xdr:rowOff>650574</xdr:rowOff>
    </xdr:to>
    <xdr:grpSp>
      <xdr:nvGrpSpPr>
        <xdr:cNvPr id="14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3873610" y="89540"/>
          <a:ext cx="595958" cy="561034"/>
          <a:chOff x="11605780" y="215217"/>
          <a:chExt cx="467591" cy="469878"/>
        </a:xfrm>
      </xdr:grpSpPr>
      <xdr:pic>
        <xdr:nvPicPr>
          <xdr:cNvPr id="19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76200</xdr:colOff>
      <xdr:row>0</xdr:row>
      <xdr:rowOff>219075</xdr:rowOff>
    </xdr:from>
    <xdr:to>
      <xdr:col>1</xdr:col>
      <xdr:colOff>1226820</xdr:colOff>
      <xdr:row>0</xdr:row>
      <xdr:rowOff>515408</xdr:rowOff>
    </xdr:to>
    <xdr:pic>
      <xdr:nvPicPr>
        <xdr:cNvPr id="2" name="Imagem 1" descr="Resultado de imagem para trisul logo">
          <a:extLst>
            <a:ext uri="{FF2B5EF4-FFF2-40B4-BE49-F238E27FC236}">
              <a16:creationId xmlns:a16="http://schemas.microsoft.com/office/drawing/2014/main" id="{FBB46C1C-04DE-441B-8B57-09B0E36C70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71450" y="219075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58184</xdr:colOff>
      <xdr:row>0</xdr:row>
      <xdr:rowOff>72285</xdr:rowOff>
    </xdr:from>
    <xdr:to>
      <xdr:col>3</xdr:col>
      <xdr:colOff>654142</xdr:colOff>
      <xdr:row>0</xdr:row>
      <xdr:rowOff>633319</xdr:rowOff>
    </xdr:to>
    <xdr:grpSp>
      <xdr:nvGrpSpPr>
        <xdr:cNvPr id="10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3896759" y="72285"/>
          <a:ext cx="595958" cy="561034"/>
          <a:chOff x="11605780" y="215217"/>
          <a:chExt cx="467591" cy="469878"/>
        </a:xfrm>
      </xdr:grpSpPr>
      <xdr:pic>
        <xdr:nvPicPr>
          <xdr:cNvPr id="11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95250</xdr:colOff>
      <xdr:row>0</xdr:row>
      <xdr:rowOff>238125</xdr:rowOff>
    </xdr:from>
    <xdr:to>
      <xdr:col>1</xdr:col>
      <xdr:colOff>1245870</xdr:colOff>
      <xdr:row>0</xdr:row>
      <xdr:rowOff>534458</xdr:rowOff>
    </xdr:to>
    <xdr:pic>
      <xdr:nvPicPr>
        <xdr:cNvPr id="2" name="Imagem 1" descr="Resultado de imagem para trisul logo">
          <a:extLst>
            <a:ext uri="{FF2B5EF4-FFF2-40B4-BE49-F238E27FC236}">
              <a16:creationId xmlns:a16="http://schemas.microsoft.com/office/drawing/2014/main" id="{71D262E3-07F1-447E-92B4-66B584C78C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0" y="238125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188260</xdr:rowOff>
    </xdr:from>
    <xdr:to>
      <xdr:col>1</xdr:col>
      <xdr:colOff>1283969</xdr:colOff>
      <xdr:row>0</xdr:row>
      <xdr:rowOff>484593</xdr:rowOff>
    </xdr:to>
    <xdr:pic>
      <xdr:nvPicPr>
        <xdr:cNvPr id="10" name="Imagem 9" descr="Resultado de imagem para trisul 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231961" y="188260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530000</xdr:colOff>
      <xdr:row>0</xdr:row>
      <xdr:rowOff>63947</xdr:rowOff>
    </xdr:from>
    <xdr:to>
      <xdr:col>2</xdr:col>
      <xdr:colOff>1125958</xdr:colOff>
      <xdr:row>0</xdr:row>
      <xdr:rowOff>624981</xdr:rowOff>
    </xdr:to>
    <xdr:grpSp>
      <xdr:nvGrpSpPr>
        <xdr:cNvPr id="12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>
          <a:grpSpLocks/>
        </xdr:cNvGrpSpPr>
      </xdr:nvGrpSpPr>
      <xdr:grpSpPr bwMode="auto">
        <a:xfrm>
          <a:off x="5492525" y="63947"/>
          <a:ext cx="595958" cy="561034"/>
          <a:chOff x="11605780" y="215217"/>
          <a:chExt cx="467591" cy="469878"/>
        </a:xfrm>
      </xdr:grpSpPr>
      <xdr:pic>
        <xdr:nvPicPr>
          <xdr:cNvPr id="13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38</xdr:col>
      <xdr:colOff>444927</xdr:colOff>
      <xdr:row>0</xdr:row>
      <xdr:rowOff>55982</xdr:rowOff>
    </xdr:from>
    <xdr:to>
      <xdr:col>39</xdr:col>
      <xdr:colOff>373109</xdr:colOff>
      <xdr:row>0</xdr:row>
      <xdr:rowOff>617016</xdr:rowOff>
    </xdr:to>
    <xdr:grpSp>
      <xdr:nvGrpSpPr>
        <xdr:cNvPr id="15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30610602" y="55982"/>
          <a:ext cx="575882" cy="561034"/>
          <a:chOff x="11002696" y="215217"/>
          <a:chExt cx="467591" cy="469878"/>
        </a:xfrm>
      </xdr:grpSpPr>
      <xdr:pic>
        <xdr:nvPicPr>
          <xdr:cNvPr id="16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088898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11002696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AA38"/>
  <sheetViews>
    <sheetView showGridLines="0" showRowColHeaders="0" tabSelected="1" zoomScale="70" zoomScaleNormal="70" workbookViewId="0">
      <selection activeCell="AD11" sqref="AD11"/>
    </sheetView>
  </sheetViews>
  <sheetFormatPr defaultRowHeight="14.25"/>
  <cols>
    <col min="1" max="16384" width="9.140625" style="16"/>
  </cols>
  <sheetData>
    <row r="1" spans="10:27"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0:27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0:27"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0:27"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0:27"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0:27"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0:27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0:27"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0:27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0:27"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0:27">
      <c r="J11" s="15"/>
      <c r="K11" s="15"/>
      <c r="L11" s="15"/>
      <c r="M11" s="15"/>
      <c r="N11" s="15"/>
      <c r="O11" s="15"/>
      <c r="P11" s="15"/>
      <c r="Q11" s="15"/>
      <c r="R11" s="15"/>
      <c r="S11" s="17" t="s">
        <v>12</v>
      </c>
      <c r="T11" s="15"/>
      <c r="U11" s="15"/>
      <c r="V11" s="15"/>
      <c r="W11" s="15"/>
      <c r="X11" s="15"/>
      <c r="Y11" s="15"/>
      <c r="Z11" s="15"/>
      <c r="AA11" s="15"/>
    </row>
    <row r="12" spans="10:27"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0:27"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0:27"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0:27"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0:27"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0:27"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0:27"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0:27"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0:27"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0:27"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0:27"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0:27"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0:27"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0:27"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0:27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0:27"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0:27"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0:27"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0:27"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0:27"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0:27"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0:27"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0:27"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0:27"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0:27"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0:27"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0:27"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26"/>
  <sheetViews>
    <sheetView showGridLines="0" zoomScaleNormal="100" workbookViewId="0">
      <pane xSplit="3" ySplit="3" topLeftCell="D4" activePane="bottomRight" state="frozen"/>
      <selection pane="topRight"/>
      <selection pane="bottomLeft"/>
      <selection pane="bottomRight" activeCell="D1" sqref="D1"/>
    </sheetView>
  </sheetViews>
  <sheetFormatPr defaultColWidth="9.140625" defaultRowHeight="15" outlineLevelCol="2"/>
  <cols>
    <col min="1" max="1" width="1.42578125" style="2" customWidth="1"/>
    <col min="2" max="2" width="59.5703125" style="9" bestFit="1" customWidth="1"/>
    <col min="3" max="3" width="7.28515625" style="2" customWidth="1"/>
    <col min="4" max="5" width="11.140625" style="2" customWidth="1" outlineLevel="2"/>
    <col min="6" max="6" width="8.140625" style="13" customWidth="1"/>
    <col min="7" max="10" width="11.140625" style="2" customWidth="1" outlineLevel="2"/>
    <col min="11" max="11" width="8.140625" style="13" customWidth="1"/>
    <col min="12" max="15" width="11.140625" style="2" customWidth="1" outlineLevel="1"/>
    <col min="16" max="16" width="8.140625" style="13" customWidth="1"/>
    <col min="17" max="20" width="11.140625" style="2" customWidth="1" outlineLevel="1"/>
    <col min="21" max="21" width="8.140625" style="13" customWidth="1"/>
    <col min="22" max="23" width="11.140625" style="2" hidden="1" customWidth="1" outlineLevel="1"/>
    <col min="24" max="24" width="11.28515625" style="2" hidden="1" customWidth="1" outlineLevel="1"/>
    <col min="25" max="25" width="10.140625" style="13" hidden="1" customWidth="1" outlineLevel="1"/>
    <col min="26" max="26" width="8.140625" style="13" customWidth="1" collapsed="1"/>
    <col min="27" max="30" width="10" style="13" hidden="1" customWidth="1" outlineLevel="1"/>
    <col min="31" max="31" width="8.140625" style="13" customWidth="1" collapsed="1"/>
    <col min="32" max="35" width="10" style="13" hidden="1" customWidth="1" outlineLevel="1"/>
    <col min="36" max="36" width="8.140625" style="13" customWidth="1" collapsed="1"/>
    <col min="37" max="40" width="10" style="13" hidden="1" customWidth="1" outlineLevel="1"/>
    <col min="41" max="41" width="8.140625" style="13" bestFit="1" customWidth="1" collapsed="1"/>
    <col min="42" max="45" width="10" style="13" hidden="1" customWidth="1" outlineLevel="1"/>
    <col min="46" max="46" width="8.140625" style="13" bestFit="1" customWidth="1" collapsed="1"/>
    <col min="47" max="50" width="10" style="13" hidden="1" customWidth="1" outlineLevel="1"/>
    <col min="51" max="51" width="8.140625" style="13" bestFit="1" customWidth="1" collapsed="1"/>
    <col min="52" max="55" width="10" style="13" hidden="1" customWidth="1" outlineLevel="1"/>
    <col min="56" max="56" width="8.140625" style="13" bestFit="1" customWidth="1" collapsed="1"/>
    <col min="57" max="60" width="10" style="13" hidden="1" customWidth="1" outlineLevel="1"/>
    <col min="61" max="61" width="8.140625" style="13" bestFit="1" customWidth="1" collapsed="1"/>
    <col min="62" max="65" width="10" style="13" hidden="1" customWidth="1" outlineLevel="1"/>
    <col min="66" max="66" width="8.140625" style="13" bestFit="1" customWidth="1" collapsed="1"/>
    <col min="67" max="70" width="10" style="13" hidden="1" customWidth="1" outlineLevel="1"/>
    <col min="71" max="71" width="8.140625" style="13" bestFit="1" customWidth="1" collapsed="1"/>
    <col min="72" max="75" width="10" style="13" hidden="1" customWidth="1" outlineLevel="1"/>
    <col min="76" max="76" width="8.140625" style="13" bestFit="1" customWidth="1" collapsed="1"/>
    <col min="77" max="80" width="10" style="13" hidden="1" customWidth="1" outlineLevel="1"/>
    <col min="81" max="81" width="8.140625" style="13" bestFit="1" customWidth="1" collapsed="1"/>
    <col min="82" max="85" width="10" style="13" hidden="1" customWidth="1" outlineLevel="1"/>
    <col min="86" max="86" width="9.140625" style="2" collapsed="1"/>
    <col min="87" max="16384" width="9.140625" style="2"/>
  </cols>
  <sheetData>
    <row r="1" spans="1:85" ht="54.75" customHeight="1" thickBot="1">
      <c r="A1" s="3"/>
      <c r="B1" s="7"/>
      <c r="C1" s="4"/>
      <c r="D1" s="4"/>
      <c r="E1" s="4"/>
      <c r="F1" s="11"/>
      <c r="G1" s="4"/>
      <c r="H1" s="4"/>
      <c r="I1" s="4"/>
      <c r="J1" s="4"/>
      <c r="K1" s="11"/>
      <c r="L1" s="4"/>
      <c r="M1" s="4"/>
      <c r="N1" s="4"/>
      <c r="O1" s="4"/>
      <c r="P1" s="11"/>
      <c r="Q1" s="4"/>
      <c r="R1" s="4"/>
      <c r="S1" s="4"/>
      <c r="T1" s="4"/>
      <c r="U1" s="11"/>
      <c r="V1" s="4"/>
      <c r="W1" s="4"/>
      <c r="X1" s="4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</row>
    <row r="2" spans="1:85" ht="8.25" customHeight="1">
      <c r="A2" s="3"/>
      <c r="B2" s="8"/>
      <c r="C2" s="3"/>
      <c r="D2" s="3"/>
      <c r="E2" s="3"/>
      <c r="F2" s="12"/>
      <c r="G2" s="3"/>
      <c r="H2" s="3"/>
      <c r="I2" s="3"/>
      <c r="J2" s="3"/>
      <c r="K2" s="12"/>
      <c r="L2" s="3"/>
      <c r="M2" s="3"/>
      <c r="N2" s="3"/>
      <c r="O2" s="3"/>
      <c r="P2" s="12"/>
      <c r="Q2" s="3"/>
      <c r="R2" s="3"/>
      <c r="S2" s="3"/>
      <c r="T2" s="3"/>
      <c r="U2" s="12"/>
      <c r="V2" s="3"/>
      <c r="W2" s="3"/>
      <c r="X2" s="3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</row>
    <row r="3" spans="1:85" s="1" customFormat="1" ht="21.6" customHeight="1">
      <c r="A3" s="6"/>
      <c r="B3" s="44" t="s">
        <v>73</v>
      </c>
      <c r="C3" s="44"/>
      <c r="D3" s="45" t="s">
        <v>212</v>
      </c>
      <c r="E3" s="45" t="s">
        <v>211</v>
      </c>
      <c r="F3" s="46">
        <v>2025</v>
      </c>
      <c r="G3" s="45" t="s">
        <v>210</v>
      </c>
      <c r="H3" s="45" t="s">
        <v>209</v>
      </c>
      <c r="I3" s="45" t="s">
        <v>208</v>
      </c>
      <c r="J3" s="45" t="s">
        <v>207</v>
      </c>
      <c r="K3" s="46">
        <v>2024</v>
      </c>
      <c r="L3" s="45" t="s">
        <v>205</v>
      </c>
      <c r="M3" s="45" t="s">
        <v>204</v>
      </c>
      <c r="N3" s="45" t="s">
        <v>201</v>
      </c>
      <c r="O3" s="45" t="s">
        <v>200</v>
      </c>
      <c r="P3" s="46">
        <v>2023</v>
      </c>
      <c r="Q3" s="45" t="s">
        <v>198</v>
      </c>
      <c r="R3" s="45" t="s">
        <v>197</v>
      </c>
      <c r="S3" s="45" t="s">
        <v>196</v>
      </c>
      <c r="T3" s="45" t="s">
        <v>187</v>
      </c>
      <c r="U3" s="46">
        <v>2022</v>
      </c>
      <c r="V3" s="45" t="s">
        <v>186</v>
      </c>
      <c r="W3" s="45" t="s">
        <v>185</v>
      </c>
      <c r="X3" s="45" t="s">
        <v>184</v>
      </c>
      <c r="Y3" s="45" t="s">
        <v>183</v>
      </c>
      <c r="Z3" s="46">
        <v>2021</v>
      </c>
      <c r="AA3" s="45" t="s">
        <v>182</v>
      </c>
      <c r="AB3" s="45" t="s">
        <v>181</v>
      </c>
      <c r="AC3" s="45" t="s">
        <v>180</v>
      </c>
      <c r="AD3" s="45" t="s">
        <v>179</v>
      </c>
      <c r="AE3" s="46">
        <v>2020</v>
      </c>
      <c r="AF3" s="45" t="s">
        <v>178</v>
      </c>
      <c r="AG3" s="45" t="s">
        <v>177</v>
      </c>
      <c r="AH3" s="45" t="s">
        <v>176</v>
      </c>
      <c r="AI3" s="45" t="s">
        <v>85</v>
      </c>
      <c r="AJ3" s="46">
        <v>2019</v>
      </c>
      <c r="AK3" s="45" t="s">
        <v>83</v>
      </c>
      <c r="AL3" s="45" t="s">
        <v>81</v>
      </c>
      <c r="AM3" s="45" t="s">
        <v>74</v>
      </c>
      <c r="AN3" s="45" t="s">
        <v>71</v>
      </c>
      <c r="AO3" s="46">
        <v>2018</v>
      </c>
      <c r="AP3" s="45" t="s">
        <v>70</v>
      </c>
      <c r="AQ3" s="45" t="s">
        <v>36</v>
      </c>
      <c r="AR3" s="45" t="s">
        <v>35</v>
      </c>
      <c r="AS3" s="45" t="s">
        <v>33</v>
      </c>
      <c r="AT3" s="46">
        <v>2017</v>
      </c>
      <c r="AU3" s="45" t="s">
        <v>16</v>
      </c>
      <c r="AV3" s="45" t="s">
        <v>15</v>
      </c>
      <c r="AW3" s="45" t="s">
        <v>14</v>
      </c>
      <c r="AX3" s="45" t="s">
        <v>13</v>
      </c>
      <c r="AY3" s="46">
        <v>2016</v>
      </c>
      <c r="AZ3" s="45" t="s">
        <v>11</v>
      </c>
      <c r="BA3" s="45" t="s">
        <v>10</v>
      </c>
      <c r="BB3" s="45" t="s">
        <v>9</v>
      </c>
      <c r="BC3" s="45" t="s">
        <v>8</v>
      </c>
      <c r="BD3" s="46">
        <v>2015</v>
      </c>
      <c r="BE3" s="45" t="s">
        <v>7</v>
      </c>
      <c r="BF3" s="45" t="s">
        <v>6</v>
      </c>
      <c r="BG3" s="45" t="s">
        <v>5</v>
      </c>
      <c r="BH3" s="45" t="s">
        <v>4</v>
      </c>
      <c r="BI3" s="46">
        <v>2014</v>
      </c>
      <c r="BJ3" s="45" t="s">
        <v>3</v>
      </c>
      <c r="BK3" s="45" t="s">
        <v>2</v>
      </c>
      <c r="BL3" s="45" t="s">
        <v>1</v>
      </c>
      <c r="BM3" s="45" t="s">
        <v>0</v>
      </c>
      <c r="BN3" s="46">
        <v>2013</v>
      </c>
      <c r="BO3" s="45" t="s">
        <v>17</v>
      </c>
      <c r="BP3" s="45" t="s">
        <v>18</v>
      </c>
      <c r="BQ3" s="45" t="s">
        <v>19</v>
      </c>
      <c r="BR3" s="45" t="s">
        <v>20</v>
      </c>
      <c r="BS3" s="46">
        <v>2012</v>
      </c>
      <c r="BT3" s="45" t="s">
        <v>21</v>
      </c>
      <c r="BU3" s="45" t="s">
        <v>22</v>
      </c>
      <c r="BV3" s="45" t="s">
        <v>23</v>
      </c>
      <c r="BW3" s="45" t="s">
        <v>24</v>
      </c>
      <c r="BX3" s="46">
        <v>2011</v>
      </c>
      <c r="BY3" s="45" t="s">
        <v>25</v>
      </c>
      <c r="BZ3" s="45" t="s">
        <v>26</v>
      </c>
      <c r="CA3" s="45" t="s">
        <v>27</v>
      </c>
      <c r="CB3" s="45" t="s">
        <v>28</v>
      </c>
      <c r="CC3" s="46">
        <v>2010</v>
      </c>
      <c r="CD3" s="45" t="s">
        <v>29</v>
      </c>
      <c r="CE3" s="45" t="s">
        <v>30</v>
      </c>
      <c r="CF3" s="45" t="s">
        <v>31</v>
      </c>
      <c r="CG3" s="45" t="s">
        <v>32</v>
      </c>
    </row>
    <row r="4" spans="1:85" s="5" customFormat="1" ht="15.75" customHeight="1">
      <c r="A4" s="10"/>
      <c r="B4" s="47" t="s">
        <v>171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</row>
    <row r="5" spans="1:85" s="1" customFormat="1" ht="19.5" customHeight="1">
      <c r="A5" s="6"/>
      <c r="B5" s="50" t="s">
        <v>37</v>
      </c>
      <c r="C5" s="51"/>
      <c r="D5" s="48">
        <v>806</v>
      </c>
      <c r="E5" s="48">
        <v>759</v>
      </c>
      <c r="F5" s="49">
        <v>2689</v>
      </c>
      <c r="G5" s="48">
        <v>949</v>
      </c>
      <c r="H5" s="48">
        <v>612</v>
      </c>
      <c r="I5" s="48">
        <v>507</v>
      </c>
      <c r="J5" s="48">
        <v>627</v>
      </c>
      <c r="K5" s="49">
        <v>2594</v>
      </c>
      <c r="L5" s="48">
        <v>958</v>
      </c>
      <c r="M5" s="48">
        <v>598</v>
      </c>
      <c r="N5" s="48">
        <v>573</v>
      </c>
      <c r="O5" s="48">
        <v>465</v>
      </c>
      <c r="P5" s="49">
        <v>1942</v>
      </c>
      <c r="Q5" s="48">
        <v>563</v>
      </c>
      <c r="R5" s="48">
        <v>432</v>
      </c>
      <c r="S5" s="48">
        <v>557</v>
      </c>
      <c r="T5" s="48">
        <v>390</v>
      </c>
      <c r="U5" s="49">
        <v>1180</v>
      </c>
      <c r="V5" s="48">
        <v>429</v>
      </c>
      <c r="W5" s="48">
        <v>272</v>
      </c>
      <c r="X5" s="48">
        <v>303</v>
      </c>
      <c r="Y5" s="48">
        <v>176</v>
      </c>
      <c r="Z5" s="49">
        <f>SUM(AA5:AD5)</f>
        <v>1513</v>
      </c>
      <c r="AA5" s="48">
        <v>262</v>
      </c>
      <c r="AB5" s="48">
        <v>362</v>
      </c>
      <c r="AC5" s="48">
        <v>448</v>
      </c>
      <c r="AD5" s="48">
        <v>441</v>
      </c>
      <c r="AE5" s="49">
        <f>SUM(AF5:AI5)</f>
        <v>1904</v>
      </c>
      <c r="AF5" s="48">
        <v>524</v>
      </c>
      <c r="AG5" s="48">
        <v>611</v>
      </c>
      <c r="AH5" s="48">
        <v>491</v>
      </c>
      <c r="AI5" s="48">
        <v>278</v>
      </c>
      <c r="AJ5" s="49">
        <f>SUM(AK5:AN5)</f>
        <v>2087</v>
      </c>
      <c r="AK5" s="48">
        <v>493</v>
      </c>
      <c r="AL5" s="48">
        <v>377</v>
      </c>
      <c r="AM5" s="48">
        <v>663</v>
      </c>
      <c r="AN5" s="48">
        <v>554</v>
      </c>
      <c r="AO5" s="49">
        <f>SUM(AP5:AS5)</f>
        <v>1643</v>
      </c>
      <c r="AP5" s="48">
        <v>445</v>
      </c>
      <c r="AQ5" s="48">
        <v>253</v>
      </c>
      <c r="AR5" s="48">
        <v>480</v>
      </c>
      <c r="AS5" s="48">
        <v>465</v>
      </c>
      <c r="AT5" s="49">
        <f>SUM(AU5:AX5)</f>
        <v>1385</v>
      </c>
      <c r="AU5" s="48">
        <v>527</v>
      </c>
      <c r="AV5" s="48">
        <v>292</v>
      </c>
      <c r="AW5" s="48">
        <v>322</v>
      </c>
      <c r="AX5" s="48">
        <v>244</v>
      </c>
      <c r="AY5" s="49">
        <f>SUM(AZ5:BC5)</f>
        <v>749</v>
      </c>
      <c r="AZ5" s="48">
        <v>206</v>
      </c>
      <c r="BA5" s="48">
        <v>175</v>
      </c>
      <c r="BB5" s="48">
        <v>221</v>
      </c>
      <c r="BC5" s="48">
        <v>147</v>
      </c>
      <c r="BD5" s="49">
        <f>SUM(BE5:BH5)</f>
        <v>701</v>
      </c>
      <c r="BE5" s="48">
        <v>139</v>
      </c>
      <c r="BF5" s="48">
        <v>183</v>
      </c>
      <c r="BG5" s="48">
        <v>244</v>
      </c>
      <c r="BH5" s="48">
        <v>135</v>
      </c>
      <c r="BI5" s="49">
        <v>525</v>
      </c>
      <c r="BJ5" s="48">
        <v>59</v>
      </c>
      <c r="BK5" s="48">
        <v>134</v>
      </c>
      <c r="BL5" s="48">
        <v>192</v>
      </c>
      <c r="BM5" s="48">
        <v>141</v>
      </c>
      <c r="BN5" s="49">
        <f>SUM(BO5:BR5)</f>
        <v>1260</v>
      </c>
      <c r="BO5" s="48">
        <v>299</v>
      </c>
      <c r="BP5" s="48">
        <v>236</v>
      </c>
      <c r="BQ5" s="48">
        <v>478</v>
      </c>
      <c r="BR5" s="48">
        <v>247</v>
      </c>
      <c r="BS5" s="49">
        <f>SUM(BT5:BW5)</f>
        <v>930</v>
      </c>
      <c r="BT5" s="48">
        <v>297</v>
      </c>
      <c r="BU5" s="48">
        <v>89</v>
      </c>
      <c r="BV5" s="48">
        <v>272</v>
      </c>
      <c r="BW5" s="48">
        <v>272</v>
      </c>
      <c r="BX5" s="49">
        <f>SUM(BY5:CB5)</f>
        <v>1578</v>
      </c>
      <c r="BY5" s="48">
        <v>212</v>
      </c>
      <c r="BZ5" s="48">
        <v>418</v>
      </c>
      <c r="CA5" s="48">
        <v>392</v>
      </c>
      <c r="CB5" s="48">
        <v>556</v>
      </c>
      <c r="CC5" s="49">
        <f>SUM(CD5:CG5)</f>
        <v>4779</v>
      </c>
      <c r="CD5" s="54">
        <v>931</v>
      </c>
      <c r="CE5" s="54">
        <v>1005</v>
      </c>
      <c r="CF5" s="54">
        <v>1371</v>
      </c>
      <c r="CG5" s="54">
        <v>1472</v>
      </c>
    </row>
    <row r="6" spans="1:85" s="1" customFormat="1" ht="19.5" customHeight="1">
      <c r="A6" s="6"/>
      <c r="B6" s="52" t="s">
        <v>38</v>
      </c>
      <c r="C6" s="53"/>
      <c r="D6" s="48">
        <v>494.55525616</v>
      </c>
      <c r="E6" s="48">
        <v>409.70272569000002</v>
      </c>
      <c r="F6" s="55">
        <v>1706.7568546299999</v>
      </c>
      <c r="G6" s="48">
        <v>687.55166399999996</v>
      </c>
      <c r="H6" s="48">
        <v>434.66424499999999</v>
      </c>
      <c r="I6" s="48">
        <v>292.18599999999998</v>
      </c>
      <c r="J6" s="48">
        <v>294.06799999999998</v>
      </c>
      <c r="K6" s="55">
        <v>1712.049</v>
      </c>
      <c r="L6" s="48">
        <v>749.14099999999996</v>
      </c>
      <c r="M6" s="48">
        <v>320.41800000000001</v>
      </c>
      <c r="N6" s="48">
        <v>322.04500000000002</v>
      </c>
      <c r="O6" s="48">
        <v>320.44600000000003</v>
      </c>
      <c r="P6" s="55">
        <v>1288.8040000000001</v>
      </c>
      <c r="Q6" s="54">
        <v>341.983</v>
      </c>
      <c r="R6" s="54">
        <v>284.39800000000002</v>
      </c>
      <c r="S6" s="54">
        <v>331.13799999999998</v>
      </c>
      <c r="T6" s="54">
        <v>331.28500000000003</v>
      </c>
      <c r="U6" s="55">
        <v>776.77300000000002</v>
      </c>
      <c r="V6" s="54">
        <v>264.27699999999999</v>
      </c>
      <c r="W6" s="54">
        <v>155.29900000000001</v>
      </c>
      <c r="X6" s="54">
        <v>211.71799999999999</v>
      </c>
      <c r="Y6" s="54">
        <v>145.47900000000001</v>
      </c>
      <c r="Z6" s="55">
        <f>SUM(AA6:AD6)</f>
        <v>828.19399999999996</v>
      </c>
      <c r="AA6" s="54">
        <v>185.65199999999999</v>
      </c>
      <c r="AB6" s="54">
        <v>190.602</v>
      </c>
      <c r="AC6" s="54">
        <v>263.43900000000002</v>
      </c>
      <c r="AD6" s="54">
        <v>188.501</v>
      </c>
      <c r="AE6" s="55">
        <f>SUM(AF6:AI6)</f>
        <v>867.01099999999997</v>
      </c>
      <c r="AF6" s="54">
        <v>250.05</v>
      </c>
      <c r="AG6" s="54">
        <v>266.161</v>
      </c>
      <c r="AH6" s="54">
        <v>194.9</v>
      </c>
      <c r="AI6" s="54">
        <v>155.9</v>
      </c>
      <c r="AJ6" s="55">
        <f>SUM(AK6:AN6)</f>
        <v>1116.3</v>
      </c>
      <c r="AK6" s="54">
        <v>268.5</v>
      </c>
      <c r="AL6" s="54">
        <v>311.8</v>
      </c>
      <c r="AM6" s="54">
        <v>280</v>
      </c>
      <c r="AN6" s="54">
        <v>256</v>
      </c>
      <c r="AO6" s="55">
        <f>SUM(AP6:AS6)</f>
        <v>630</v>
      </c>
      <c r="AP6" s="54">
        <v>168</v>
      </c>
      <c r="AQ6" s="54">
        <v>135.1</v>
      </c>
      <c r="AR6" s="54">
        <v>172.2</v>
      </c>
      <c r="AS6" s="54">
        <v>154.69999999999999</v>
      </c>
      <c r="AT6" s="55">
        <f>SUM(AU6:AX6)</f>
        <v>604.80000000000007</v>
      </c>
      <c r="AU6" s="54">
        <v>189.3</v>
      </c>
      <c r="AV6" s="54">
        <v>150.5</v>
      </c>
      <c r="AW6" s="54">
        <v>138.30000000000001</v>
      </c>
      <c r="AX6" s="54">
        <v>126.7</v>
      </c>
      <c r="AY6" s="55">
        <f>SUM(AZ6:BC6)</f>
        <v>362.25</v>
      </c>
      <c r="AZ6" s="54">
        <v>78.78</v>
      </c>
      <c r="BA6" s="54">
        <v>112.84</v>
      </c>
      <c r="BB6" s="54">
        <v>89.67</v>
      </c>
      <c r="BC6" s="54">
        <v>80.959999999999994</v>
      </c>
      <c r="BD6" s="55">
        <f>SUM(BE6:BH6)</f>
        <v>327.10000000000002</v>
      </c>
      <c r="BE6" s="54">
        <v>95.8</v>
      </c>
      <c r="BF6" s="54">
        <v>74.099999999999994</v>
      </c>
      <c r="BG6" s="54">
        <v>86.6</v>
      </c>
      <c r="BH6" s="54">
        <v>70.599999999999994</v>
      </c>
      <c r="BI6" s="55">
        <v>279.39999999999998</v>
      </c>
      <c r="BJ6" s="54">
        <v>62.2</v>
      </c>
      <c r="BK6" s="54">
        <v>66.400000000000006</v>
      </c>
      <c r="BL6" s="54">
        <v>87.8</v>
      </c>
      <c r="BM6" s="54">
        <v>62</v>
      </c>
      <c r="BN6" s="55">
        <f>SUM(BO6:BR6)</f>
        <v>521.5</v>
      </c>
      <c r="BO6" s="54">
        <v>121.6</v>
      </c>
      <c r="BP6" s="54">
        <v>97.2</v>
      </c>
      <c r="BQ6" s="54">
        <v>200.1</v>
      </c>
      <c r="BR6" s="54">
        <v>102.6</v>
      </c>
      <c r="BS6" s="55">
        <f>SUM(BT6:BW6)</f>
        <v>352.59968974181004</v>
      </c>
      <c r="BT6" s="54">
        <v>121.81368974181008</v>
      </c>
      <c r="BU6" s="54">
        <v>56.857999999999997</v>
      </c>
      <c r="BV6" s="54">
        <v>93.938999999999993</v>
      </c>
      <c r="BW6" s="54">
        <v>79.989000000000004</v>
      </c>
      <c r="BX6" s="55">
        <f>SUM(BY6:CB6)</f>
        <v>476.56000000000006</v>
      </c>
      <c r="BY6" s="54">
        <v>78.260000000000005</v>
      </c>
      <c r="BZ6" s="54">
        <v>128.9</v>
      </c>
      <c r="CA6" s="54">
        <v>123.5</v>
      </c>
      <c r="CB6" s="54">
        <v>145.9</v>
      </c>
      <c r="CC6" s="55">
        <f>SUM(CD6:CG6)</f>
        <v>1050.3</v>
      </c>
      <c r="CD6" s="54">
        <v>207.3</v>
      </c>
      <c r="CE6" s="54">
        <v>190.4</v>
      </c>
      <c r="CF6" s="54">
        <v>335.8</v>
      </c>
      <c r="CG6" s="54">
        <v>316.8</v>
      </c>
    </row>
    <row r="7" spans="1:85" s="1" customFormat="1" ht="19.5" customHeight="1">
      <c r="A7" s="6"/>
      <c r="B7" s="52" t="s">
        <v>39</v>
      </c>
      <c r="C7" s="53"/>
      <c r="D7" s="48">
        <v>465.208665645</v>
      </c>
      <c r="E7" s="48">
        <v>392.64349939800002</v>
      </c>
      <c r="F7" s="55">
        <v>1658.839272658</v>
      </c>
      <c r="G7" s="48">
        <v>673.59849850000001</v>
      </c>
      <c r="H7" s="48">
        <v>409.29368905000001</v>
      </c>
      <c r="I7" s="48">
        <v>284.67</v>
      </c>
      <c r="J7" s="48">
        <v>292.13400000000001</v>
      </c>
      <c r="K7" s="55">
        <v>1683.231</v>
      </c>
      <c r="L7" s="48">
        <v>746.25800000000004</v>
      </c>
      <c r="M7" s="48">
        <v>314.774</v>
      </c>
      <c r="N7" s="48">
        <v>315.43599999999998</v>
      </c>
      <c r="O7" s="48">
        <v>306.76299999999998</v>
      </c>
      <c r="P7" s="55">
        <v>1167.1489999999999</v>
      </c>
      <c r="Q7" s="54">
        <v>325.66699999999997</v>
      </c>
      <c r="R7" s="54">
        <v>263.69499999999999</v>
      </c>
      <c r="S7" s="54">
        <v>301.35700000000003</v>
      </c>
      <c r="T7" s="54">
        <v>276.43</v>
      </c>
      <c r="U7" s="55">
        <v>675.32500000000005</v>
      </c>
      <c r="V7" s="54">
        <v>234.45500000000001</v>
      </c>
      <c r="W7" s="54">
        <v>128.006</v>
      </c>
      <c r="X7" s="54">
        <v>193.09700000000001</v>
      </c>
      <c r="Y7" s="54">
        <v>119.76600000000001</v>
      </c>
      <c r="Z7" s="55">
        <f>SUM(AA7:AD7)</f>
        <v>752.33100000000002</v>
      </c>
      <c r="AA7" s="54">
        <v>163.87</v>
      </c>
      <c r="AB7" s="54">
        <v>164.816</v>
      </c>
      <c r="AC7" s="54">
        <v>246.43199999999999</v>
      </c>
      <c r="AD7" s="54">
        <v>177.21299999999999</v>
      </c>
      <c r="AE7" s="55">
        <f>SUM(AF7:AI7)</f>
        <v>783.79200000000003</v>
      </c>
      <c r="AF7" s="54">
        <v>230.18100000000001</v>
      </c>
      <c r="AG7" s="54">
        <v>246.911</v>
      </c>
      <c r="AH7" s="54">
        <v>173.8</v>
      </c>
      <c r="AI7" s="54">
        <v>132.9</v>
      </c>
      <c r="AJ7" s="55">
        <f>SUM(AK7:AN7)</f>
        <v>1035.2</v>
      </c>
      <c r="AK7" s="54">
        <v>249.6</v>
      </c>
      <c r="AL7" s="54">
        <v>289.60000000000002</v>
      </c>
      <c r="AM7" s="54">
        <v>256</v>
      </c>
      <c r="AN7" s="54">
        <v>240</v>
      </c>
      <c r="AO7" s="55">
        <f>SUM(AP7:AS7)</f>
        <v>575.9</v>
      </c>
      <c r="AP7" s="54">
        <v>153</v>
      </c>
      <c r="AQ7" s="54">
        <v>120</v>
      </c>
      <c r="AR7" s="54">
        <v>157.4</v>
      </c>
      <c r="AS7" s="54">
        <v>145.5</v>
      </c>
      <c r="AT7" s="55">
        <f>SUM(AU7:AX7)</f>
        <v>552.80000000000007</v>
      </c>
      <c r="AU7" s="54">
        <v>172.7</v>
      </c>
      <c r="AV7" s="54">
        <v>140.80000000000001</v>
      </c>
      <c r="AW7" s="54">
        <v>121.1</v>
      </c>
      <c r="AX7" s="54">
        <v>118.2</v>
      </c>
      <c r="AY7" s="55">
        <f>SUM(AZ7:BC7)</f>
        <v>347.05799999999999</v>
      </c>
      <c r="AZ7" s="54">
        <v>68.2</v>
      </c>
      <c r="BA7" s="54">
        <v>108.268</v>
      </c>
      <c r="BB7" s="54">
        <v>89.63</v>
      </c>
      <c r="BC7" s="54">
        <v>80.959999999999994</v>
      </c>
      <c r="BD7" s="55">
        <f>SUM(BE7:BH7)</f>
        <v>305.60000000000002</v>
      </c>
      <c r="BE7" s="54">
        <v>91</v>
      </c>
      <c r="BF7" s="54">
        <v>68.3</v>
      </c>
      <c r="BG7" s="54">
        <v>78</v>
      </c>
      <c r="BH7" s="54">
        <v>68.3</v>
      </c>
      <c r="BI7" s="55">
        <v>226.8</v>
      </c>
      <c r="BJ7" s="54">
        <v>54.2</v>
      </c>
      <c r="BK7" s="54">
        <v>52.8</v>
      </c>
      <c r="BL7" s="54">
        <v>73</v>
      </c>
      <c r="BM7" s="54">
        <v>46.4</v>
      </c>
      <c r="BN7" s="55">
        <f>SUM(BO7:BR7)</f>
        <v>453.20000000000005</v>
      </c>
      <c r="BO7" s="54">
        <v>106.9</v>
      </c>
      <c r="BP7" s="54">
        <v>94.2</v>
      </c>
      <c r="BQ7" s="54">
        <v>161.30000000000001</v>
      </c>
      <c r="BR7" s="54">
        <v>90.8</v>
      </c>
      <c r="BS7" s="55">
        <f>SUM(BT7:BW7)</f>
        <v>278.11761242636396</v>
      </c>
      <c r="BT7" s="54">
        <v>112.12161242636394</v>
      </c>
      <c r="BU7" s="54">
        <v>38.003</v>
      </c>
      <c r="BV7" s="54">
        <v>63.055999999999997</v>
      </c>
      <c r="BW7" s="54">
        <v>64.936999999999998</v>
      </c>
      <c r="BX7" s="55">
        <f>SUM(BY7:CB7)</f>
        <v>346.8</v>
      </c>
      <c r="BY7" s="54">
        <v>61.2</v>
      </c>
      <c r="BZ7" s="54">
        <v>84.1</v>
      </c>
      <c r="CA7" s="54">
        <v>94.1</v>
      </c>
      <c r="CB7" s="54">
        <v>107.4</v>
      </c>
      <c r="CC7" s="55">
        <f>SUM(CD7:CG7)</f>
        <v>801.3</v>
      </c>
      <c r="CD7" s="54">
        <v>161.80000000000001</v>
      </c>
      <c r="CE7" s="54">
        <v>170.1</v>
      </c>
      <c r="CF7" s="54">
        <v>236.2</v>
      </c>
      <c r="CG7" s="54">
        <v>233.2</v>
      </c>
    </row>
    <row r="8" spans="1:85" s="5" customFormat="1" ht="15.75" customHeight="1">
      <c r="A8" s="10"/>
      <c r="B8" s="47" t="s">
        <v>170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</row>
    <row r="9" spans="1:85" s="1" customFormat="1" ht="19.5" customHeight="1">
      <c r="A9" s="6"/>
      <c r="B9" s="52" t="s">
        <v>40</v>
      </c>
      <c r="C9" s="53"/>
      <c r="D9" s="48">
        <v>3</v>
      </c>
      <c r="E9" s="48">
        <v>3</v>
      </c>
      <c r="F9" s="49">
        <v>7</v>
      </c>
      <c r="G9" s="48">
        <v>2</v>
      </c>
      <c r="H9" s="48">
        <v>3</v>
      </c>
      <c r="I9" s="48">
        <v>1</v>
      </c>
      <c r="J9" s="48">
        <v>2</v>
      </c>
      <c r="K9" s="49">
        <v>5</v>
      </c>
      <c r="L9" s="48">
        <v>2</v>
      </c>
      <c r="M9" s="48">
        <v>1</v>
      </c>
      <c r="N9" s="48">
        <v>2</v>
      </c>
      <c r="O9" s="48">
        <v>0</v>
      </c>
      <c r="P9" s="49">
        <v>5</v>
      </c>
      <c r="Q9" s="48">
        <v>2</v>
      </c>
      <c r="R9" s="48">
        <v>1</v>
      </c>
      <c r="S9" s="48">
        <v>1</v>
      </c>
      <c r="T9" s="48">
        <v>1</v>
      </c>
      <c r="U9" s="49">
        <v>4</v>
      </c>
      <c r="V9" s="48">
        <v>3</v>
      </c>
      <c r="W9" s="48" t="s">
        <v>34</v>
      </c>
      <c r="X9" s="48">
        <v>1</v>
      </c>
      <c r="Y9" s="48" t="s">
        <v>34</v>
      </c>
      <c r="Z9" s="49">
        <f>SUM(AA9:AD9)</f>
        <v>9</v>
      </c>
      <c r="AA9" s="48">
        <v>3</v>
      </c>
      <c r="AB9" s="48">
        <v>2</v>
      </c>
      <c r="AC9" s="48">
        <v>2</v>
      </c>
      <c r="AD9" s="48">
        <v>2</v>
      </c>
      <c r="AE9" s="49">
        <f>SUM(AF9:AI9)</f>
        <v>8</v>
      </c>
      <c r="AF9" s="48">
        <v>3</v>
      </c>
      <c r="AG9" s="48">
        <v>2</v>
      </c>
      <c r="AH9" s="48">
        <v>3</v>
      </c>
      <c r="AI9" s="48" t="s">
        <v>34</v>
      </c>
      <c r="AJ9" s="49">
        <f>SUM(AK9:AN9)</f>
        <v>11</v>
      </c>
      <c r="AK9" s="48">
        <v>5</v>
      </c>
      <c r="AL9" s="48">
        <v>1</v>
      </c>
      <c r="AM9" s="48">
        <v>3</v>
      </c>
      <c r="AN9" s="48">
        <v>2</v>
      </c>
      <c r="AO9" s="49">
        <v>11</v>
      </c>
      <c r="AP9" s="48">
        <v>4</v>
      </c>
      <c r="AQ9" s="48">
        <v>1</v>
      </c>
      <c r="AR9" s="48">
        <v>4</v>
      </c>
      <c r="AS9" s="48">
        <v>1</v>
      </c>
      <c r="AT9" s="49">
        <f>SUM(AU9:AX9)</f>
        <v>11</v>
      </c>
      <c r="AU9" s="48">
        <v>4</v>
      </c>
      <c r="AV9" s="48">
        <v>1</v>
      </c>
      <c r="AW9" s="48">
        <v>4</v>
      </c>
      <c r="AX9" s="48">
        <v>2</v>
      </c>
      <c r="AY9" s="49">
        <f>SUM(AZ9:BC9)</f>
        <v>6</v>
      </c>
      <c r="AZ9" s="48">
        <v>2</v>
      </c>
      <c r="BA9" s="48">
        <v>1</v>
      </c>
      <c r="BB9" s="48">
        <v>2</v>
      </c>
      <c r="BC9" s="48">
        <v>1</v>
      </c>
      <c r="BD9" s="49">
        <f>SUM(BE9:BH9)</f>
        <v>4</v>
      </c>
      <c r="BE9" s="48">
        <v>2</v>
      </c>
      <c r="BF9" s="48" t="s">
        <v>34</v>
      </c>
      <c r="BG9" s="48">
        <v>2</v>
      </c>
      <c r="BH9" s="48" t="s">
        <v>34</v>
      </c>
      <c r="BI9" s="49">
        <f>SUM(BJ9:BM9)</f>
        <v>4</v>
      </c>
      <c r="BJ9" s="48">
        <v>3</v>
      </c>
      <c r="BK9" s="48" t="s">
        <v>34</v>
      </c>
      <c r="BL9" s="48">
        <v>1</v>
      </c>
      <c r="BM9" s="48" t="s">
        <v>34</v>
      </c>
      <c r="BN9" s="49">
        <f>SUM(BO9:BR9)</f>
        <v>7</v>
      </c>
      <c r="BO9" s="48">
        <v>3</v>
      </c>
      <c r="BP9" s="48">
        <v>2</v>
      </c>
      <c r="BQ9" s="48">
        <v>2</v>
      </c>
      <c r="BR9" s="48" t="s">
        <v>34</v>
      </c>
      <c r="BS9" s="49">
        <f>SUM(BT9:BW9)</f>
        <v>4</v>
      </c>
      <c r="BT9" s="48">
        <v>2</v>
      </c>
      <c r="BU9" s="48" t="s">
        <v>34</v>
      </c>
      <c r="BV9" s="48">
        <v>2</v>
      </c>
      <c r="BW9" s="48" t="s">
        <v>34</v>
      </c>
      <c r="BX9" s="49">
        <f>SUM(BY9:CB9)</f>
        <v>8</v>
      </c>
      <c r="BY9" s="48">
        <v>2</v>
      </c>
      <c r="BZ9" s="48">
        <v>2</v>
      </c>
      <c r="CA9" s="48">
        <v>2</v>
      </c>
      <c r="CB9" s="48">
        <v>2</v>
      </c>
      <c r="CC9" s="49">
        <f>SUM(CD9:CG9)</f>
        <v>23</v>
      </c>
      <c r="CD9" s="48">
        <v>4</v>
      </c>
      <c r="CE9" s="48">
        <v>5</v>
      </c>
      <c r="CF9" s="48">
        <v>8</v>
      </c>
      <c r="CG9" s="48">
        <v>6</v>
      </c>
    </row>
    <row r="10" spans="1:85" s="1" customFormat="1" ht="19.5" customHeight="1">
      <c r="A10" s="6"/>
      <c r="B10" s="52" t="s">
        <v>41</v>
      </c>
      <c r="C10" s="53"/>
      <c r="D10" s="54">
        <v>602.93123700000001</v>
      </c>
      <c r="E10" s="54">
        <v>542.58882300000005</v>
      </c>
      <c r="F10" s="55">
        <v>2977.6947054774801</v>
      </c>
      <c r="G10" s="54">
        <v>930</v>
      </c>
      <c r="H10" s="54">
        <v>1489.3070630740699</v>
      </c>
      <c r="I10" s="48">
        <v>102.20699999999999</v>
      </c>
      <c r="J10" s="48">
        <v>456.18099999999998</v>
      </c>
      <c r="K10" s="55">
        <v>1341</v>
      </c>
      <c r="L10" s="48">
        <v>924</v>
      </c>
      <c r="M10" s="48">
        <v>115</v>
      </c>
      <c r="N10" s="48">
        <v>302</v>
      </c>
      <c r="O10" s="48">
        <v>0</v>
      </c>
      <c r="P10" s="55">
        <v>982.83299999999997</v>
      </c>
      <c r="Q10" s="54">
        <v>420.26</v>
      </c>
      <c r="R10" s="54">
        <v>173.143</v>
      </c>
      <c r="S10" s="54">
        <v>217.11</v>
      </c>
      <c r="T10" s="54">
        <v>172.31899999999999</v>
      </c>
      <c r="U10" s="55">
        <v>1000</v>
      </c>
      <c r="V10" s="54">
        <v>617.06799999999998</v>
      </c>
      <c r="W10" s="54" t="s">
        <v>34</v>
      </c>
      <c r="X10" s="54">
        <v>382.93200000000002</v>
      </c>
      <c r="Y10" s="54" t="s">
        <v>34</v>
      </c>
      <c r="Z10" s="55">
        <f>SUM(AA10:AD10)</f>
        <v>1779.5170000000001</v>
      </c>
      <c r="AA10" s="54">
        <v>660.23599999999999</v>
      </c>
      <c r="AB10" s="54">
        <v>355.30099999999999</v>
      </c>
      <c r="AC10" s="54">
        <v>413.55799999999999</v>
      </c>
      <c r="AD10" s="54">
        <v>350.42200000000003</v>
      </c>
      <c r="AE10" s="55">
        <f>SUM(AF10:AI10)</f>
        <v>1097.569129</v>
      </c>
      <c r="AF10" s="54">
        <v>423.53</v>
      </c>
      <c r="AG10" s="54">
        <v>312.55900000000003</v>
      </c>
      <c r="AH10" s="54">
        <v>361.48012899999998</v>
      </c>
      <c r="AI10" s="54" t="s">
        <v>34</v>
      </c>
      <c r="AJ10" s="55">
        <f>SUM(AK10:AN10)</f>
        <v>1152.9000000000001</v>
      </c>
      <c r="AK10" s="54">
        <v>287.89999999999998</v>
      </c>
      <c r="AL10" s="54">
        <v>338</v>
      </c>
      <c r="AM10" s="54">
        <v>255</v>
      </c>
      <c r="AN10" s="54">
        <v>272</v>
      </c>
      <c r="AO10" s="55">
        <f>SUM(AP10:AS10)</f>
        <v>718</v>
      </c>
      <c r="AP10" s="54">
        <v>299</v>
      </c>
      <c r="AQ10" s="54">
        <v>94</v>
      </c>
      <c r="AR10" s="54">
        <v>283</v>
      </c>
      <c r="AS10" s="54">
        <v>42</v>
      </c>
      <c r="AT10" s="55">
        <f>SUM(AU10:AX10)</f>
        <v>771</v>
      </c>
      <c r="AU10" s="54">
        <v>288</v>
      </c>
      <c r="AV10" s="54">
        <v>83</v>
      </c>
      <c r="AW10" s="54">
        <v>251</v>
      </c>
      <c r="AX10" s="54">
        <v>149</v>
      </c>
      <c r="AY10" s="55">
        <f>SUM(AZ10:BC10)</f>
        <v>432</v>
      </c>
      <c r="AZ10" s="54">
        <v>142</v>
      </c>
      <c r="BA10" s="54">
        <v>95</v>
      </c>
      <c r="BB10" s="54">
        <v>114</v>
      </c>
      <c r="BC10" s="54">
        <v>81</v>
      </c>
      <c r="BD10" s="55">
        <f>SUM(BE10:BH10)</f>
        <v>241</v>
      </c>
      <c r="BE10" s="54">
        <v>197</v>
      </c>
      <c r="BF10" s="54" t="s">
        <v>34</v>
      </c>
      <c r="BG10" s="54">
        <v>44</v>
      </c>
      <c r="BH10" s="54" t="s">
        <v>34</v>
      </c>
      <c r="BI10" s="55">
        <f>SUM(BJ10:BM10)</f>
        <v>237</v>
      </c>
      <c r="BJ10" s="54">
        <v>186</v>
      </c>
      <c r="BK10" s="54" t="s">
        <v>34</v>
      </c>
      <c r="BL10" s="54">
        <v>51</v>
      </c>
      <c r="BM10" s="54" t="s">
        <v>34</v>
      </c>
      <c r="BN10" s="55">
        <f>SUM(BO10:BR10)</f>
        <v>405</v>
      </c>
      <c r="BO10" s="54">
        <v>162</v>
      </c>
      <c r="BP10" s="54">
        <v>133</v>
      </c>
      <c r="BQ10" s="54">
        <v>110</v>
      </c>
      <c r="BR10" s="54" t="s">
        <v>34</v>
      </c>
      <c r="BS10" s="55">
        <f>SUM(BT10:BW10)</f>
        <v>331.43</v>
      </c>
      <c r="BT10" s="54">
        <v>186.43</v>
      </c>
      <c r="BU10" s="54" t="s">
        <v>34</v>
      </c>
      <c r="BV10" s="54">
        <v>145</v>
      </c>
      <c r="BW10" s="54" t="s">
        <v>34</v>
      </c>
      <c r="BX10" s="55">
        <f>SUM(BY10:CB10)</f>
        <v>455.5</v>
      </c>
      <c r="BY10" s="54">
        <v>64</v>
      </c>
      <c r="BZ10" s="54">
        <v>98.9</v>
      </c>
      <c r="CA10" s="54">
        <v>148.4</v>
      </c>
      <c r="CB10" s="54">
        <v>144.19999999999999</v>
      </c>
      <c r="CC10" s="55">
        <f>SUM(CD10:CG10)</f>
        <v>1090.9000000000001</v>
      </c>
      <c r="CD10" s="54">
        <v>225.4</v>
      </c>
      <c r="CE10" s="54">
        <v>224.6</v>
      </c>
      <c r="CF10" s="54">
        <v>314.10000000000002</v>
      </c>
      <c r="CG10" s="54">
        <v>326.8</v>
      </c>
    </row>
    <row r="11" spans="1:85" s="1" customFormat="1" ht="19.5" customHeight="1">
      <c r="A11" s="6"/>
      <c r="B11" s="52" t="s">
        <v>172</v>
      </c>
      <c r="C11" s="53"/>
      <c r="D11" s="54">
        <v>602.93123700000001</v>
      </c>
      <c r="E11" s="54">
        <v>436.14882299999999</v>
      </c>
      <c r="F11" s="55">
        <v>2871.40006023874</v>
      </c>
      <c r="G11" s="54">
        <v>930</v>
      </c>
      <c r="H11" s="54">
        <v>1434.11582803704</v>
      </c>
      <c r="I11" s="48">
        <v>51.103000000000002</v>
      </c>
      <c r="J11" s="48">
        <v>456.18099999999998</v>
      </c>
      <c r="K11" s="55">
        <v>1341</v>
      </c>
      <c r="L11" s="48">
        <v>924</v>
      </c>
      <c r="M11" s="48">
        <v>115</v>
      </c>
      <c r="N11" s="48">
        <v>302</v>
      </c>
      <c r="O11" s="48">
        <v>0</v>
      </c>
      <c r="P11" s="55">
        <v>905.28899999999999</v>
      </c>
      <c r="Q11" s="54">
        <v>420.26</v>
      </c>
      <c r="R11" s="54">
        <v>173.143</v>
      </c>
      <c r="S11" s="54">
        <v>217.11</v>
      </c>
      <c r="T11" s="54">
        <v>94.775000000000006</v>
      </c>
      <c r="U11" s="55">
        <v>1000</v>
      </c>
      <c r="V11" s="54">
        <v>617.06799999999998</v>
      </c>
      <c r="W11" s="54" t="s">
        <v>34</v>
      </c>
      <c r="X11" s="54">
        <v>382.93200000000002</v>
      </c>
      <c r="Y11" s="54" t="s">
        <v>34</v>
      </c>
      <c r="Z11" s="55">
        <f>SUM(AA11:AD11)</f>
        <v>1727.732</v>
      </c>
      <c r="AA11" s="54">
        <v>660.23599999999999</v>
      </c>
      <c r="AB11" s="54">
        <v>303.51600000000002</v>
      </c>
      <c r="AC11" s="54">
        <v>413.55799999999999</v>
      </c>
      <c r="AD11" s="54">
        <v>350.42200000000003</v>
      </c>
      <c r="AE11" s="55">
        <f>SUM(AF11:AI11)</f>
        <v>1009.021129</v>
      </c>
      <c r="AF11" s="54">
        <v>423.53</v>
      </c>
      <c r="AG11" s="54">
        <v>224.011</v>
      </c>
      <c r="AH11" s="54">
        <v>361.48012899999998</v>
      </c>
      <c r="AI11" s="54" t="s">
        <v>34</v>
      </c>
      <c r="AJ11" s="55">
        <f>SUM(AK11:AN11)</f>
        <v>1152.9000000000001</v>
      </c>
      <c r="AK11" s="54">
        <v>287.89999999999998</v>
      </c>
      <c r="AL11" s="54">
        <v>338</v>
      </c>
      <c r="AM11" s="54">
        <v>255</v>
      </c>
      <c r="AN11" s="54">
        <v>272</v>
      </c>
      <c r="AO11" s="55">
        <f>SUM(AP11:AS11)</f>
        <v>644</v>
      </c>
      <c r="AP11" s="54">
        <v>245</v>
      </c>
      <c r="AQ11" s="54">
        <v>94</v>
      </c>
      <c r="AR11" s="54">
        <v>263</v>
      </c>
      <c r="AS11" s="54">
        <v>42</v>
      </c>
      <c r="AT11" s="55">
        <f>SUM(AU11:AX11)</f>
        <v>683</v>
      </c>
      <c r="AU11" s="54">
        <v>222</v>
      </c>
      <c r="AV11" s="54">
        <v>83</v>
      </c>
      <c r="AW11" s="54">
        <v>229</v>
      </c>
      <c r="AX11" s="54">
        <v>149</v>
      </c>
      <c r="AY11" s="55">
        <f>SUM(AZ11:BC11)</f>
        <v>411</v>
      </c>
      <c r="AZ11" s="54">
        <v>121</v>
      </c>
      <c r="BA11" s="54">
        <v>95</v>
      </c>
      <c r="BB11" s="54">
        <v>114</v>
      </c>
      <c r="BC11" s="54">
        <v>81</v>
      </c>
      <c r="BD11" s="55">
        <f>SUM(BE11:BH11)</f>
        <v>241</v>
      </c>
      <c r="BE11" s="54">
        <v>197</v>
      </c>
      <c r="BF11" s="54" t="s">
        <v>34</v>
      </c>
      <c r="BG11" s="54">
        <v>44</v>
      </c>
      <c r="BH11" s="54" t="s">
        <v>34</v>
      </c>
      <c r="BI11" s="55">
        <f>SUM(BJ11:BM11)</f>
        <v>237</v>
      </c>
      <c r="BJ11" s="54">
        <v>186</v>
      </c>
      <c r="BK11" s="54" t="s">
        <v>34</v>
      </c>
      <c r="BL11" s="54">
        <v>51</v>
      </c>
      <c r="BM11" s="54" t="s">
        <v>34</v>
      </c>
      <c r="BN11" s="55">
        <f>SUM(BO11:BR11)</f>
        <v>405</v>
      </c>
      <c r="BO11" s="54">
        <v>162</v>
      </c>
      <c r="BP11" s="54">
        <v>133</v>
      </c>
      <c r="BQ11" s="54">
        <v>110</v>
      </c>
      <c r="BR11" s="54" t="s">
        <v>34</v>
      </c>
      <c r="BS11" s="55">
        <f>SUM(BT11:BW11)</f>
        <v>289.34000000000003</v>
      </c>
      <c r="BT11" s="54">
        <v>186.34</v>
      </c>
      <c r="BU11" s="54" t="s">
        <v>34</v>
      </c>
      <c r="BV11" s="54">
        <v>103</v>
      </c>
      <c r="BW11" s="54" t="s">
        <v>34</v>
      </c>
      <c r="BX11" s="55">
        <f>SUM(BY11:CB11)</f>
        <v>323.8</v>
      </c>
      <c r="BY11" s="54">
        <v>48.5</v>
      </c>
      <c r="BZ11" s="54">
        <v>65</v>
      </c>
      <c r="CA11" s="54">
        <v>107.6</v>
      </c>
      <c r="CB11" s="54">
        <v>102.7</v>
      </c>
      <c r="CC11" s="55">
        <f>SUM(CD11:CG11)</f>
        <v>807.90000000000009</v>
      </c>
      <c r="CD11" s="54">
        <v>173.4</v>
      </c>
      <c r="CE11" s="54">
        <v>195.9</v>
      </c>
      <c r="CF11" s="54">
        <v>217.9</v>
      </c>
      <c r="CG11" s="54">
        <v>220.7</v>
      </c>
    </row>
    <row r="12" spans="1:85" s="1" customFormat="1" ht="19.5" customHeight="1">
      <c r="A12" s="6"/>
      <c r="B12" s="52" t="s">
        <v>37</v>
      </c>
      <c r="C12" s="53"/>
      <c r="D12" s="48">
        <v>729</v>
      </c>
      <c r="E12" s="48">
        <v>1591</v>
      </c>
      <c r="F12" s="49">
        <v>3640</v>
      </c>
      <c r="G12" s="48">
        <v>927</v>
      </c>
      <c r="H12" s="48">
        <v>1052</v>
      </c>
      <c r="I12" s="48">
        <v>338</v>
      </c>
      <c r="J12" s="48">
        <v>1323</v>
      </c>
      <c r="K12" s="49">
        <v>1931</v>
      </c>
      <c r="L12" s="48">
        <v>714</v>
      </c>
      <c r="M12" s="48">
        <v>429</v>
      </c>
      <c r="N12" s="48">
        <v>788</v>
      </c>
      <c r="O12" s="48">
        <v>0</v>
      </c>
      <c r="P12" s="49">
        <v>1956</v>
      </c>
      <c r="Q12" s="48">
        <v>961</v>
      </c>
      <c r="R12" s="48">
        <v>338</v>
      </c>
      <c r="S12" s="48">
        <v>604</v>
      </c>
      <c r="T12" s="48">
        <v>53</v>
      </c>
      <c r="U12" s="49">
        <v>1241</v>
      </c>
      <c r="V12" s="48">
        <v>917</v>
      </c>
      <c r="W12" s="48" t="s">
        <v>34</v>
      </c>
      <c r="X12" s="48">
        <v>324</v>
      </c>
      <c r="Y12" s="48" t="s">
        <v>34</v>
      </c>
      <c r="Z12" s="49">
        <f>SUM(AA12:AD12)</f>
        <v>2207</v>
      </c>
      <c r="AA12" s="48">
        <v>814</v>
      </c>
      <c r="AB12" s="48">
        <v>429</v>
      </c>
      <c r="AC12" s="48">
        <v>794</v>
      </c>
      <c r="AD12" s="48">
        <v>170</v>
      </c>
      <c r="AE12" s="49">
        <f>SUM(AF12:AI12)</f>
        <v>1053</v>
      </c>
      <c r="AF12" s="48">
        <v>527</v>
      </c>
      <c r="AG12" s="48">
        <v>368</v>
      </c>
      <c r="AH12" s="48">
        <v>158</v>
      </c>
      <c r="AI12" s="48" t="s">
        <v>34</v>
      </c>
      <c r="AJ12" s="49">
        <f>SUM(AK12:AN12)</f>
        <v>3078</v>
      </c>
      <c r="AK12" s="48">
        <v>1522</v>
      </c>
      <c r="AL12" s="48">
        <v>56</v>
      </c>
      <c r="AM12" s="48">
        <v>1145</v>
      </c>
      <c r="AN12" s="48">
        <v>355</v>
      </c>
      <c r="AO12" s="49">
        <v>2559</v>
      </c>
      <c r="AP12" s="48">
        <v>1223</v>
      </c>
      <c r="AQ12" s="48">
        <v>116</v>
      </c>
      <c r="AR12" s="48">
        <v>804</v>
      </c>
      <c r="AS12" s="48">
        <v>236</v>
      </c>
      <c r="AT12" s="49">
        <f>SUM(AU12:AX12)</f>
        <v>1805</v>
      </c>
      <c r="AU12" s="48">
        <v>917</v>
      </c>
      <c r="AV12" s="48">
        <v>80</v>
      </c>
      <c r="AW12" s="48">
        <v>608</v>
      </c>
      <c r="AX12" s="48">
        <v>200</v>
      </c>
      <c r="AY12" s="49">
        <f>SUM(AZ12:BC12)</f>
        <v>803</v>
      </c>
      <c r="AZ12" s="48">
        <v>304</v>
      </c>
      <c r="BA12" s="48">
        <v>92</v>
      </c>
      <c r="BB12" s="48">
        <v>272</v>
      </c>
      <c r="BC12" s="48">
        <v>135</v>
      </c>
      <c r="BD12" s="49">
        <f>SUM(BE12:BH12)</f>
        <v>476</v>
      </c>
      <c r="BE12" s="48">
        <v>222</v>
      </c>
      <c r="BF12" s="48" t="s">
        <v>34</v>
      </c>
      <c r="BG12" s="48">
        <v>254</v>
      </c>
      <c r="BH12" s="48" t="s">
        <v>34</v>
      </c>
      <c r="BI12" s="49">
        <f>SUM(BJ12:BM12)</f>
        <v>297</v>
      </c>
      <c r="BJ12" s="48">
        <v>183</v>
      </c>
      <c r="BK12" s="48" t="s">
        <v>34</v>
      </c>
      <c r="BL12" s="48">
        <v>114</v>
      </c>
      <c r="BM12" s="48" t="s">
        <v>34</v>
      </c>
      <c r="BN12" s="49">
        <f>SUM(BO12:BR12)</f>
        <v>988</v>
      </c>
      <c r="BO12" s="48">
        <v>392</v>
      </c>
      <c r="BP12" s="48">
        <v>380</v>
      </c>
      <c r="BQ12" s="48">
        <v>216</v>
      </c>
      <c r="BR12" s="48" t="s">
        <v>34</v>
      </c>
      <c r="BS12" s="49">
        <f>SUM(BT12:BW12)</f>
        <v>640</v>
      </c>
      <c r="BT12" s="48">
        <v>464</v>
      </c>
      <c r="BU12" s="48" t="s">
        <v>34</v>
      </c>
      <c r="BV12" s="48">
        <v>176</v>
      </c>
      <c r="BW12" s="48" t="s">
        <v>34</v>
      </c>
      <c r="BX12" s="49">
        <f>SUM(BY12:CB12)</f>
        <v>1306</v>
      </c>
      <c r="BY12" s="48">
        <v>128</v>
      </c>
      <c r="BZ12" s="48">
        <v>514</v>
      </c>
      <c r="CA12" s="48">
        <v>100</v>
      </c>
      <c r="CB12" s="48">
        <v>564</v>
      </c>
      <c r="CC12" s="49">
        <f>SUM(CD12:CG12)</f>
        <v>4824</v>
      </c>
      <c r="CD12" s="48">
        <v>858</v>
      </c>
      <c r="CE12" s="48">
        <v>1428</v>
      </c>
      <c r="CF12" s="48">
        <v>1249</v>
      </c>
      <c r="CG12" s="48">
        <v>1289</v>
      </c>
    </row>
    <row r="13" spans="1:85" s="5" customFormat="1" ht="15.75" customHeight="1">
      <c r="A13" s="10"/>
      <c r="B13" s="47" t="s">
        <v>169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</row>
    <row r="14" spans="1:85" s="1" customFormat="1" ht="19.5" customHeight="1">
      <c r="A14" s="6"/>
      <c r="B14" s="52" t="s">
        <v>42</v>
      </c>
      <c r="C14" s="53"/>
      <c r="D14" s="54">
        <v>370.23200000000003</v>
      </c>
      <c r="E14" s="54">
        <v>343.17099999999999</v>
      </c>
      <c r="F14" s="55">
        <v>1378.596</v>
      </c>
      <c r="G14" s="54">
        <v>440.34300000000002</v>
      </c>
      <c r="H14" s="54">
        <v>372.60300000000001</v>
      </c>
      <c r="I14" s="54">
        <v>293.66699999999997</v>
      </c>
      <c r="J14" s="54">
        <v>271.983</v>
      </c>
      <c r="K14" s="55">
        <v>1346.694</v>
      </c>
      <c r="L14" s="54">
        <v>418.91899999999998</v>
      </c>
      <c r="M14" s="54">
        <v>306.52100000000002</v>
      </c>
      <c r="N14" s="54">
        <v>318.50900000000001</v>
      </c>
      <c r="O14" s="54">
        <v>302.745</v>
      </c>
      <c r="P14" s="55">
        <v>1046.69</v>
      </c>
      <c r="Q14" s="54">
        <v>283.22399999999999</v>
      </c>
      <c r="R14" s="54">
        <v>253.179</v>
      </c>
      <c r="S14" s="54">
        <v>267.07900000000001</v>
      </c>
      <c r="T14" s="54">
        <v>243.208</v>
      </c>
      <c r="U14" s="55">
        <v>760.27</v>
      </c>
      <c r="V14" s="54">
        <v>203.94300000000001</v>
      </c>
      <c r="W14" s="54">
        <v>182.28100000000001</v>
      </c>
      <c r="X14" s="54">
        <v>209.84899999999999</v>
      </c>
      <c r="Y14" s="54">
        <v>164.197</v>
      </c>
      <c r="Z14" s="55">
        <f>SUM(AA14:AD14)</f>
        <v>774.16100000000006</v>
      </c>
      <c r="AA14" s="54">
        <v>170.82400000000001</v>
      </c>
      <c r="AB14" s="54">
        <v>190.23</v>
      </c>
      <c r="AC14" s="54">
        <v>210.89699999999999</v>
      </c>
      <c r="AD14" s="54">
        <v>202.21</v>
      </c>
      <c r="AE14" s="55">
        <f>SUM(AF14:AI14)</f>
        <v>878.89100000000008</v>
      </c>
      <c r="AF14" s="54">
        <v>252.79</v>
      </c>
      <c r="AG14" s="54">
        <v>254.70099999999999</v>
      </c>
      <c r="AH14" s="54">
        <v>200.1</v>
      </c>
      <c r="AI14" s="54">
        <v>171.3</v>
      </c>
      <c r="AJ14" s="55">
        <f>SUM(AK14:AN14)</f>
        <v>798.3</v>
      </c>
      <c r="AK14" s="54">
        <v>214.9</v>
      </c>
      <c r="AL14" s="54">
        <v>218.4</v>
      </c>
      <c r="AM14" s="54">
        <v>184</v>
      </c>
      <c r="AN14" s="54">
        <v>181</v>
      </c>
      <c r="AO14" s="55">
        <f>SUM(AP14:AS14)</f>
        <v>544.70000000000005</v>
      </c>
      <c r="AP14" s="54">
        <v>148</v>
      </c>
      <c r="AQ14" s="54">
        <v>153</v>
      </c>
      <c r="AR14" s="54">
        <v>122.8</v>
      </c>
      <c r="AS14" s="54">
        <v>120.9</v>
      </c>
      <c r="AT14" s="55">
        <f>SUM(AU14:AX14)</f>
        <v>441.59999999999997</v>
      </c>
      <c r="AU14" s="54">
        <v>124.8</v>
      </c>
      <c r="AV14" s="54">
        <v>121.6</v>
      </c>
      <c r="AW14" s="54">
        <v>98.7</v>
      </c>
      <c r="AX14" s="54">
        <v>96.5</v>
      </c>
      <c r="AY14" s="55">
        <f>SUM(AZ14:BC14)</f>
        <v>302.43899999999996</v>
      </c>
      <c r="AZ14" s="54">
        <v>71.498999999999995</v>
      </c>
      <c r="BA14" s="54">
        <v>93.68</v>
      </c>
      <c r="BB14" s="54">
        <v>59.16</v>
      </c>
      <c r="BC14" s="54">
        <v>78.099999999999994</v>
      </c>
      <c r="BD14" s="55">
        <f>SUM(BE14:BH14)</f>
        <v>379.52100000000002</v>
      </c>
      <c r="BE14" s="54">
        <v>88</v>
      </c>
      <c r="BF14" s="54">
        <v>120.1</v>
      </c>
      <c r="BG14" s="54">
        <v>87.7</v>
      </c>
      <c r="BH14" s="54">
        <v>83.721000000000004</v>
      </c>
      <c r="BI14" s="55">
        <f>SUM(BJ14:BM14)</f>
        <v>369.9</v>
      </c>
      <c r="BJ14" s="54">
        <v>93.7</v>
      </c>
      <c r="BK14" s="54">
        <v>88.5</v>
      </c>
      <c r="BL14" s="54">
        <v>87.8</v>
      </c>
      <c r="BM14" s="54">
        <v>99.9</v>
      </c>
      <c r="BN14" s="55">
        <f>SUM(BO14:BR14)</f>
        <v>520</v>
      </c>
      <c r="BO14" s="54">
        <v>112.5</v>
      </c>
      <c r="BP14" s="54">
        <v>106.3</v>
      </c>
      <c r="BQ14" s="54">
        <v>142.30000000000001</v>
      </c>
      <c r="BR14" s="54">
        <v>158.9</v>
      </c>
      <c r="BS14" s="55">
        <f>SUM(BT14:BW14)</f>
        <v>626.99900000000002</v>
      </c>
      <c r="BT14" s="54">
        <v>146.29900000000001</v>
      </c>
      <c r="BU14" s="54">
        <v>142</v>
      </c>
      <c r="BV14" s="54">
        <v>162.4</v>
      </c>
      <c r="BW14" s="54">
        <v>176.3</v>
      </c>
      <c r="BX14" s="55">
        <f>SUM(BY14:CB14)</f>
        <v>782.19999999999993</v>
      </c>
      <c r="BY14" s="54">
        <v>182.6</v>
      </c>
      <c r="BZ14" s="54">
        <v>206.2</v>
      </c>
      <c r="CA14" s="54">
        <v>192.9</v>
      </c>
      <c r="CB14" s="54">
        <v>200.5</v>
      </c>
      <c r="CC14" s="55">
        <f>SUM(CD14:CG14)</f>
        <v>785.9</v>
      </c>
      <c r="CD14" s="54">
        <v>180.4</v>
      </c>
      <c r="CE14" s="54">
        <v>220.5</v>
      </c>
      <c r="CF14" s="54">
        <v>209</v>
      </c>
      <c r="CG14" s="54">
        <v>176</v>
      </c>
    </row>
    <row r="15" spans="1:85" s="1" customFormat="1" ht="19.5" customHeight="1">
      <c r="A15" s="6"/>
      <c r="B15" s="52" t="s">
        <v>43</v>
      </c>
      <c r="C15" s="53"/>
      <c r="D15" s="54">
        <v>44.936999999999998</v>
      </c>
      <c r="E15" s="54">
        <v>28.263000000000002</v>
      </c>
      <c r="F15" s="55">
        <v>213.095</v>
      </c>
      <c r="G15" s="54">
        <v>65.257000000000005</v>
      </c>
      <c r="H15" s="54">
        <v>54.908999999999999</v>
      </c>
      <c r="I15" s="54">
        <v>49.948999999999998</v>
      </c>
      <c r="J15" s="54">
        <v>42.98</v>
      </c>
      <c r="K15" s="55">
        <v>174.84399999999999</v>
      </c>
      <c r="L15" s="54">
        <v>73.292000000000002</v>
      </c>
      <c r="M15" s="54">
        <v>39.450000000000003</v>
      </c>
      <c r="N15" s="54">
        <v>31.018999999999998</v>
      </c>
      <c r="O15" s="54">
        <v>31.082999999999998</v>
      </c>
      <c r="P15" s="55">
        <v>130.19499999999999</v>
      </c>
      <c r="Q15" s="54">
        <v>45.677</v>
      </c>
      <c r="R15" s="54">
        <v>22.968</v>
      </c>
      <c r="S15" s="54">
        <v>29.45</v>
      </c>
      <c r="T15" s="54">
        <v>31.021999999999998</v>
      </c>
      <c r="U15" s="55">
        <v>69.748999999999995</v>
      </c>
      <c r="V15" s="54">
        <v>27.271000000000001</v>
      </c>
      <c r="W15" s="54">
        <v>10.103999999999999</v>
      </c>
      <c r="X15" s="54">
        <v>20.47</v>
      </c>
      <c r="Y15" s="54">
        <v>10.068</v>
      </c>
      <c r="Z15" s="55">
        <f>SUM(AA15:AD15)</f>
        <v>120.55200000000001</v>
      </c>
      <c r="AA15" s="54">
        <v>16.882000000000001</v>
      </c>
      <c r="AB15" s="54">
        <v>33.1</v>
      </c>
      <c r="AC15" s="54">
        <v>35.472000000000001</v>
      </c>
      <c r="AD15" s="54">
        <v>35.097999999999999</v>
      </c>
      <c r="AE15" s="55">
        <f>SUM(AF15:AI15)</f>
        <v>170.011</v>
      </c>
      <c r="AF15" s="54">
        <v>55.417999999999999</v>
      </c>
      <c r="AG15" s="54">
        <v>48.033000000000001</v>
      </c>
      <c r="AH15" s="54">
        <v>35.5</v>
      </c>
      <c r="AI15" s="54">
        <v>31.06</v>
      </c>
      <c r="AJ15" s="55">
        <f>SUM(AK15:AN15)</f>
        <v>140.01999999999998</v>
      </c>
      <c r="AK15" s="54">
        <v>43.73</v>
      </c>
      <c r="AL15" s="54">
        <v>42.576999999999998</v>
      </c>
      <c r="AM15" s="54">
        <v>27.213000000000001</v>
      </c>
      <c r="AN15" s="54">
        <v>26.5</v>
      </c>
      <c r="AO15" s="55">
        <f>SUM(AP15:AS15)</f>
        <v>71.8</v>
      </c>
      <c r="AP15" s="54">
        <v>20.5</v>
      </c>
      <c r="AQ15" s="54">
        <v>21</v>
      </c>
      <c r="AR15" s="54">
        <v>17.399999999999999</v>
      </c>
      <c r="AS15" s="54">
        <v>12.9</v>
      </c>
      <c r="AT15" s="55">
        <f>SUM(AU15:AX15)</f>
        <v>35</v>
      </c>
      <c r="AU15" s="54">
        <v>20.399999999999999</v>
      </c>
      <c r="AV15" s="54">
        <v>9.5</v>
      </c>
      <c r="AW15" s="54">
        <v>2.9</v>
      </c>
      <c r="AX15" s="54">
        <v>2.2000000000000002</v>
      </c>
      <c r="AY15" s="55">
        <f>SUM(AZ15:BC15)</f>
        <v>2.5309999999999997</v>
      </c>
      <c r="AZ15" s="54">
        <v>1.9710000000000001</v>
      </c>
      <c r="BA15" s="54">
        <v>1.9</v>
      </c>
      <c r="BB15" s="54">
        <v>-2.14</v>
      </c>
      <c r="BC15" s="54">
        <v>0.8</v>
      </c>
      <c r="BD15" s="55">
        <f>SUM(BE15:BH15)</f>
        <v>19.085000000000001</v>
      </c>
      <c r="BE15" s="54">
        <v>6.2850000000000001</v>
      </c>
      <c r="BF15" s="54">
        <v>6.8</v>
      </c>
      <c r="BG15" s="54">
        <v>3.7</v>
      </c>
      <c r="BH15" s="54">
        <v>2.2999999999999998</v>
      </c>
      <c r="BI15" s="55">
        <f>SUM(BJ15:BM15)</f>
        <v>20.100000000000001</v>
      </c>
      <c r="BJ15" s="54">
        <v>3.4</v>
      </c>
      <c r="BK15" s="54">
        <v>4.4000000000000004</v>
      </c>
      <c r="BL15" s="54">
        <v>6.2</v>
      </c>
      <c r="BM15" s="54">
        <v>6.1</v>
      </c>
      <c r="BN15" s="55">
        <f>SUM(BO15:BR15)</f>
        <v>30.6</v>
      </c>
      <c r="BO15" s="54">
        <v>8.1999999999999993</v>
      </c>
      <c r="BP15" s="54">
        <v>6.9</v>
      </c>
      <c r="BQ15" s="54">
        <v>7.5</v>
      </c>
      <c r="BR15" s="54">
        <v>8</v>
      </c>
      <c r="BS15" s="55">
        <f>SUM(BT15:BW15)</f>
        <v>27.265000000000001</v>
      </c>
      <c r="BT15" s="54">
        <v>11.726000000000001</v>
      </c>
      <c r="BU15" s="54">
        <v>8.5129999999999999</v>
      </c>
      <c r="BV15" s="54">
        <v>4.0110000000000001</v>
      </c>
      <c r="BW15" s="54">
        <v>3.0150000000000001</v>
      </c>
      <c r="BX15" s="55">
        <f>SUM(BY15:CB15)</f>
        <v>-40.5</v>
      </c>
      <c r="BY15" s="54">
        <v>2.7</v>
      </c>
      <c r="BZ15" s="54">
        <v>4</v>
      </c>
      <c r="CA15" s="54">
        <v>-33.6</v>
      </c>
      <c r="CB15" s="54">
        <v>-13.6</v>
      </c>
      <c r="CC15" s="55">
        <f>SUM(CD15:CG15)</f>
        <v>39.200000000000003</v>
      </c>
      <c r="CD15" s="54">
        <v>-18</v>
      </c>
      <c r="CE15" s="54">
        <v>20.100000000000001</v>
      </c>
      <c r="CF15" s="54">
        <v>16.8</v>
      </c>
      <c r="CG15" s="54">
        <v>20.3</v>
      </c>
    </row>
    <row r="16" spans="1:85" s="1" customFormat="1" ht="19.5" customHeight="1">
      <c r="A16" s="6"/>
      <c r="B16" s="52" t="s">
        <v>173</v>
      </c>
      <c r="C16" s="53"/>
      <c r="D16" s="54">
        <v>12.1</v>
      </c>
      <c r="E16" s="54">
        <v>8.1999999999999993</v>
      </c>
      <c r="F16" s="55">
        <v>15.5</v>
      </c>
      <c r="G16" s="54">
        <v>14.8</v>
      </c>
      <c r="H16" s="54">
        <v>14.7</v>
      </c>
      <c r="I16" s="54">
        <v>17</v>
      </c>
      <c r="J16" s="54">
        <v>15.8</v>
      </c>
      <c r="K16" s="55">
        <v>13</v>
      </c>
      <c r="L16" s="54">
        <v>17.5</v>
      </c>
      <c r="M16" s="54">
        <v>12.9</v>
      </c>
      <c r="N16" s="54">
        <v>9.6999999999999993</v>
      </c>
      <c r="O16" s="54">
        <v>10.3</v>
      </c>
      <c r="P16" s="55">
        <v>11.8</v>
      </c>
      <c r="Q16" s="54">
        <v>16.100000000000001</v>
      </c>
      <c r="R16" s="54">
        <v>9.1</v>
      </c>
      <c r="S16" s="54">
        <v>10.8</v>
      </c>
      <c r="T16" s="54">
        <v>11.4</v>
      </c>
      <c r="U16" s="55">
        <v>8.9</v>
      </c>
      <c r="V16" s="54">
        <v>13.4</v>
      </c>
      <c r="W16" s="54">
        <v>5.5</v>
      </c>
      <c r="X16" s="54">
        <v>9.8000000000000007</v>
      </c>
      <c r="Y16" s="54">
        <v>6.1</v>
      </c>
      <c r="Z16" s="55">
        <v>15.6</v>
      </c>
      <c r="AA16" s="54">
        <v>9.9</v>
      </c>
      <c r="AB16" s="54">
        <v>17.399999999999999</v>
      </c>
      <c r="AC16" s="54">
        <v>16.8</v>
      </c>
      <c r="AD16" s="54">
        <v>17.399999999999999</v>
      </c>
      <c r="AE16" s="55">
        <v>19.399999999999999</v>
      </c>
      <c r="AF16" s="54">
        <v>21.9</v>
      </c>
      <c r="AG16" s="54">
        <v>18.899999999999999</v>
      </c>
      <c r="AH16" s="54">
        <v>17.8</v>
      </c>
      <c r="AI16" s="54">
        <v>18.100000000000001</v>
      </c>
      <c r="AJ16" s="55">
        <v>17.5</v>
      </c>
      <c r="AK16" s="54">
        <v>20.3</v>
      </c>
      <c r="AL16" s="54">
        <v>19.5</v>
      </c>
      <c r="AM16" s="54">
        <v>14.8</v>
      </c>
      <c r="AN16" s="54">
        <v>14.7</v>
      </c>
      <c r="AO16" s="55">
        <v>13.2</v>
      </c>
      <c r="AP16" s="54">
        <v>13.9</v>
      </c>
      <c r="AQ16" s="54">
        <v>13.8</v>
      </c>
      <c r="AR16" s="54">
        <v>14.2</v>
      </c>
      <c r="AS16" s="54">
        <v>10.7</v>
      </c>
      <c r="AT16" s="55">
        <v>7.9</v>
      </c>
      <c r="AU16" s="54">
        <v>16.3</v>
      </c>
      <c r="AV16" s="54">
        <v>7.8</v>
      </c>
      <c r="AW16" s="54">
        <v>2.9</v>
      </c>
      <c r="AX16" s="54">
        <v>2.2999999999999998</v>
      </c>
      <c r="AY16" s="55">
        <v>0.9</v>
      </c>
      <c r="AZ16" s="54">
        <v>2.8</v>
      </c>
      <c r="BA16" s="54">
        <v>2</v>
      </c>
      <c r="BB16" s="54">
        <v>-3.6</v>
      </c>
      <c r="BC16" s="54">
        <v>1.1000000000000001</v>
      </c>
      <c r="BD16" s="55">
        <v>5</v>
      </c>
      <c r="BE16" s="54">
        <v>7.1</v>
      </c>
      <c r="BF16" s="54">
        <v>5.7</v>
      </c>
      <c r="BG16" s="54">
        <v>4.2</v>
      </c>
      <c r="BH16" s="54">
        <v>2.7</v>
      </c>
      <c r="BI16" s="55">
        <v>5.5</v>
      </c>
      <c r="BJ16" s="54">
        <v>3.6</v>
      </c>
      <c r="BK16" s="54">
        <v>5</v>
      </c>
      <c r="BL16" s="54">
        <v>7.1</v>
      </c>
      <c r="BM16" s="54">
        <v>6.1</v>
      </c>
      <c r="BN16" s="55">
        <v>5.9</v>
      </c>
      <c r="BO16" s="54">
        <v>7.3</v>
      </c>
      <c r="BP16" s="54">
        <v>6.5</v>
      </c>
      <c r="BQ16" s="54">
        <v>5.3</v>
      </c>
      <c r="BR16" s="54">
        <v>5.0999999999999996</v>
      </c>
      <c r="BS16" s="55">
        <v>4.3</v>
      </c>
      <c r="BT16" s="54">
        <v>8</v>
      </c>
      <c r="BU16" s="54">
        <v>6</v>
      </c>
      <c r="BV16" s="54">
        <v>2.5</v>
      </c>
      <c r="BW16" s="54">
        <v>1.7</v>
      </c>
      <c r="BX16" s="55">
        <v>-5.2</v>
      </c>
      <c r="BY16" s="54">
        <v>1.5</v>
      </c>
      <c r="BZ16" s="54">
        <v>2</v>
      </c>
      <c r="CA16" s="54">
        <v>-17.399999999999999</v>
      </c>
      <c r="CB16" s="54">
        <v>-6.8</v>
      </c>
      <c r="CC16" s="55">
        <v>5</v>
      </c>
      <c r="CD16" s="54">
        <v>-10</v>
      </c>
      <c r="CE16" s="54">
        <v>9.1</v>
      </c>
      <c r="CF16" s="54">
        <v>8</v>
      </c>
      <c r="CG16" s="54">
        <v>11.5</v>
      </c>
    </row>
    <row r="17" spans="1:85" s="5" customFormat="1" ht="15.75" customHeight="1">
      <c r="A17" s="10"/>
      <c r="B17" s="47" t="s">
        <v>168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</row>
    <row r="18" spans="1:85" s="1" customFormat="1" ht="19.5" customHeight="1">
      <c r="A18" s="6"/>
      <c r="B18" s="52" t="s">
        <v>44</v>
      </c>
      <c r="C18" s="53"/>
      <c r="D18" s="54">
        <v>1530.3130000000001</v>
      </c>
      <c r="E18" s="54">
        <v>1483.981</v>
      </c>
      <c r="F18" s="55">
        <v>1478.2049999999999</v>
      </c>
      <c r="G18" s="54">
        <v>1478.2049999999999</v>
      </c>
      <c r="H18" s="54">
        <v>1615.943</v>
      </c>
      <c r="I18" s="54">
        <v>1561.854</v>
      </c>
      <c r="J18" s="54">
        <v>1526.896</v>
      </c>
      <c r="K18" s="55">
        <v>1488.057</v>
      </c>
      <c r="L18" s="54">
        <v>1488.057</v>
      </c>
      <c r="M18" s="54">
        <v>1466.6120000000001</v>
      </c>
      <c r="N18" s="54">
        <v>1431.672</v>
      </c>
      <c r="O18" s="54">
        <v>1419.6969999999999</v>
      </c>
      <c r="P18" s="55">
        <v>1391.058</v>
      </c>
      <c r="Q18" s="54">
        <v>1391.058</v>
      </c>
      <c r="R18" s="54">
        <v>1374.43</v>
      </c>
      <c r="S18" s="54">
        <v>1361.556</v>
      </c>
      <c r="T18" s="54">
        <v>1341.0889999999999</v>
      </c>
      <c r="U18" s="55">
        <v>1308.4760000000001</v>
      </c>
      <c r="V18" s="54">
        <v>1308.4760000000001</v>
      </c>
      <c r="W18" s="54">
        <v>1305.627</v>
      </c>
      <c r="X18" s="54">
        <v>1291.45</v>
      </c>
      <c r="Y18" s="54">
        <v>1282.9359999999999</v>
      </c>
      <c r="Z18" s="55">
        <f>+AA18</f>
        <v>1271.1769999999999</v>
      </c>
      <c r="AA18" s="54">
        <v>1271.1769999999999</v>
      </c>
      <c r="AB18" s="54">
        <v>1300.0730000000001</v>
      </c>
      <c r="AC18" s="54">
        <v>1294.3530000000001</v>
      </c>
      <c r="AD18" s="54">
        <v>1250.4469999999999</v>
      </c>
      <c r="AE18" s="55">
        <f>+AF18</f>
        <v>1212.9000000000001</v>
      </c>
      <c r="AF18" s="54">
        <v>1212.9000000000001</v>
      </c>
      <c r="AG18" s="54">
        <v>1193.7249999999999</v>
      </c>
      <c r="AH18" s="54">
        <v>1153.287</v>
      </c>
      <c r="AI18" s="54">
        <v>1126.9690000000001</v>
      </c>
      <c r="AJ18" s="55">
        <v>1093.1320000000001</v>
      </c>
      <c r="AK18" s="54">
        <v>1093.1320000000001</v>
      </c>
      <c r="AL18" s="54">
        <v>1089.5519999999999</v>
      </c>
      <c r="AM18" s="54">
        <v>666.2</v>
      </c>
      <c r="AN18" s="54">
        <v>634</v>
      </c>
      <c r="AO18" s="55">
        <v>600</v>
      </c>
      <c r="AP18" s="54">
        <v>600</v>
      </c>
      <c r="AQ18" s="54">
        <v>600</v>
      </c>
      <c r="AR18" s="54">
        <v>579.29999999999995</v>
      </c>
      <c r="AS18" s="54">
        <v>561.70000000000005</v>
      </c>
      <c r="AT18" s="55">
        <v>547.9</v>
      </c>
      <c r="AU18" s="54">
        <v>547.9</v>
      </c>
      <c r="AV18" s="54">
        <v>531.5</v>
      </c>
      <c r="AW18" s="54">
        <v>522.9</v>
      </c>
      <c r="AX18" s="54">
        <v>521.6</v>
      </c>
      <c r="AY18" s="55">
        <v>523</v>
      </c>
      <c r="AZ18" s="54">
        <v>523.99099999999999</v>
      </c>
      <c r="BA18" s="54">
        <v>522.9</v>
      </c>
      <c r="BB18" s="54">
        <v>524.15599999999995</v>
      </c>
      <c r="BC18" s="54">
        <v>543.21</v>
      </c>
      <c r="BD18" s="55">
        <v>546.36500000000001</v>
      </c>
      <c r="BE18" s="54">
        <v>546.36500000000001</v>
      </c>
      <c r="BF18" s="54">
        <v>553.4</v>
      </c>
      <c r="BG18" s="54">
        <v>564.6</v>
      </c>
      <c r="BH18" s="54">
        <v>569.5</v>
      </c>
      <c r="BI18" s="55">
        <v>570.20000000000005</v>
      </c>
      <c r="BJ18" s="54">
        <v>570.20000000000005</v>
      </c>
      <c r="BK18" s="54">
        <v>575.38099999999997</v>
      </c>
      <c r="BL18" s="54">
        <v>515.28700000000003</v>
      </c>
      <c r="BM18" s="54">
        <v>512</v>
      </c>
      <c r="BN18" s="55">
        <v>511</v>
      </c>
      <c r="BO18" s="54">
        <v>511</v>
      </c>
      <c r="BP18" s="54">
        <v>511</v>
      </c>
      <c r="BQ18" s="54">
        <v>504</v>
      </c>
      <c r="BR18" s="54">
        <v>496</v>
      </c>
      <c r="BS18" s="55">
        <v>488.27100000000002</v>
      </c>
      <c r="BT18" s="54">
        <v>488.27100000000002</v>
      </c>
      <c r="BU18" s="54">
        <v>483.3</v>
      </c>
      <c r="BV18" s="54">
        <v>475.3</v>
      </c>
      <c r="BW18" s="54">
        <v>471.2</v>
      </c>
      <c r="BX18" s="55">
        <v>468</v>
      </c>
      <c r="BY18" s="54">
        <v>468</v>
      </c>
      <c r="BZ18" s="54">
        <v>466</v>
      </c>
      <c r="CA18" s="54">
        <v>461.2</v>
      </c>
      <c r="CB18" s="54">
        <v>494.2</v>
      </c>
      <c r="CC18" s="55">
        <v>502.9</v>
      </c>
      <c r="CD18" s="54">
        <v>502.9</v>
      </c>
      <c r="CE18" s="54">
        <v>530.1</v>
      </c>
      <c r="CF18" s="54">
        <v>509.8</v>
      </c>
      <c r="CG18" s="54">
        <v>492.9</v>
      </c>
    </row>
    <row r="19" spans="1:85" s="1" customFormat="1" ht="19.5" customHeight="1">
      <c r="A19" s="6"/>
      <c r="B19" s="52" t="s">
        <v>45</v>
      </c>
      <c r="C19" s="53"/>
      <c r="D19" s="54">
        <v>854.21812592000003</v>
      </c>
      <c r="E19" s="54">
        <v>965.89849994999997</v>
      </c>
      <c r="F19" s="55">
        <v>1060.72935321</v>
      </c>
      <c r="G19" s="54">
        <v>1060.72935321</v>
      </c>
      <c r="H19" s="54">
        <v>1057.5561533299999</v>
      </c>
      <c r="I19" s="54">
        <v>965.42700000000002</v>
      </c>
      <c r="J19" s="54">
        <v>878.40300000000002</v>
      </c>
      <c r="K19" s="55">
        <v>821.71900000000005</v>
      </c>
      <c r="L19" s="54">
        <v>821.71900000000005</v>
      </c>
      <c r="M19" s="54">
        <v>929.93200000000002</v>
      </c>
      <c r="N19" s="54">
        <v>948.202</v>
      </c>
      <c r="O19" s="54">
        <v>987.62099999999998</v>
      </c>
      <c r="P19" s="55">
        <v>1040.7809999999999</v>
      </c>
      <c r="Q19" s="54">
        <v>1040.7809999999999</v>
      </c>
      <c r="R19" s="54">
        <v>1014.456</v>
      </c>
      <c r="S19" s="54">
        <v>992.01099999999997</v>
      </c>
      <c r="T19" s="54">
        <v>937.779</v>
      </c>
      <c r="U19" s="55">
        <v>904.11599999999999</v>
      </c>
      <c r="V19" s="54">
        <v>904.11599999999999</v>
      </c>
      <c r="W19" s="54">
        <v>680.72400000000005</v>
      </c>
      <c r="X19" s="54">
        <v>657.01099999999997</v>
      </c>
      <c r="Y19" s="54">
        <v>616.20000000000005</v>
      </c>
      <c r="Z19" s="55">
        <f>+AA19</f>
        <v>642.54899999999998</v>
      </c>
      <c r="AA19" s="54">
        <v>642.54899999999998</v>
      </c>
      <c r="AB19" s="54">
        <v>597.678</v>
      </c>
      <c r="AC19" s="54">
        <v>474.98399999999998</v>
      </c>
      <c r="AD19" s="54">
        <v>471.32</v>
      </c>
      <c r="AE19" s="55">
        <f>+AF19</f>
        <v>541.24900000000002</v>
      </c>
      <c r="AF19" s="54">
        <v>541.24900000000002</v>
      </c>
      <c r="AG19" s="54">
        <v>369.41199999999998</v>
      </c>
      <c r="AH19" s="54">
        <v>394.74099999999999</v>
      </c>
      <c r="AI19" s="54">
        <v>304.28699999999998</v>
      </c>
      <c r="AJ19" s="55">
        <v>305.3</v>
      </c>
      <c r="AK19" s="54">
        <v>305.3</v>
      </c>
      <c r="AL19" s="54">
        <v>354.6</v>
      </c>
      <c r="AM19" s="54">
        <v>335</v>
      </c>
      <c r="AN19" s="54">
        <v>269</v>
      </c>
      <c r="AO19" s="55">
        <v>276.99700000000001</v>
      </c>
      <c r="AP19" s="54">
        <f>130.52+146.477</f>
        <v>276.99700000000001</v>
      </c>
      <c r="AQ19" s="54">
        <v>271</v>
      </c>
      <c r="AR19" s="54">
        <v>247.2</v>
      </c>
      <c r="AS19" s="54">
        <v>243.7</v>
      </c>
      <c r="AT19" s="55">
        <v>223.9</v>
      </c>
      <c r="AU19" s="54">
        <v>223.9</v>
      </c>
      <c r="AV19" s="54">
        <v>222.3</v>
      </c>
      <c r="AW19" s="54">
        <v>177.4</v>
      </c>
      <c r="AX19" s="54">
        <v>187.6</v>
      </c>
      <c r="AY19" s="55">
        <v>197</v>
      </c>
      <c r="AZ19" s="54">
        <v>197.011</v>
      </c>
      <c r="BA19" s="54">
        <v>212.42699999999999</v>
      </c>
      <c r="BB19" s="54">
        <v>230.02099999999999</v>
      </c>
      <c r="BC19" s="54">
        <v>279.82</v>
      </c>
      <c r="BD19" s="55">
        <v>319.26</v>
      </c>
      <c r="BE19" s="54">
        <v>319.26</v>
      </c>
      <c r="BF19" s="54">
        <v>322.8</v>
      </c>
      <c r="BG19" s="54">
        <v>294.89999999999998</v>
      </c>
      <c r="BH19" s="54">
        <v>304.55900000000003</v>
      </c>
      <c r="BI19" s="55">
        <v>410.5</v>
      </c>
      <c r="BJ19" s="54">
        <v>410.5</v>
      </c>
      <c r="BK19" s="54">
        <v>347.6</v>
      </c>
      <c r="BL19" s="54">
        <v>418.83300000000003</v>
      </c>
      <c r="BM19" s="54">
        <v>409</v>
      </c>
      <c r="BN19" s="55">
        <v>507</v>
      </c>
      <c r="BO19" s="54">
        <v>507</v>
      </c>
      <c r="BP19" s="54">
        <v>526</v>
      </c>
      <c r="BQ19" s="54">
        <v>734</v>
      </c>
      <c r="BR19" s="54">
        <v>731</v>
      </c>
      <c r="BS19" s="55">
        <v>813.58299999999997</v>
      </c>
      <c r="BT19" s="54">
        <v>813.58299999999997</v>
      </c>
      <c r="BU19" s="54">
        <v>826.38800000000003</v>
      </c>
      <c r="BV19" s="54">
        <v>934.60799999999995</v>
      </c>
      <c r="BW19" s="54">
        <v>951.15599999999995</v>
      </c>
      <c r="BX19" s="55">
        <v>1021.8920000000001</v>
      </c>
      <c r="BY19" s="54">
        <v>1021.8920000000001</v>
      </c>
      <c r="BZ19" s="54">
        <v>1013.97</v>
      </c>
      <c r="CA19" s="54">
        <v>1140.857</v>
      </c>
      <c r="CB19" s="54">
        <v>1116.114</v>
      </c>
      <c r="CC19" s="55">
        <v>1098.941</v>
      </c>
      <c r="CD19" s="54">
        <v>1098.941</v>
      </c>
      <c r="CE19" s="54">
        <v>935.9</v>
      </c>
      <c r="CF19" s="54">
        <v>875.9</v>
      </c>
      <c r="CG19" s="54">
        <v>783.1</v>
      </c>
    </row>
    <row r="20" spans="1:85" s="1" customFormat="1" ht="19.5" customHeight="1">
      <c r="A20" s="6"/>
      <c r="B20" s="52" t="s">
        <v>46</v>
      </c>
      <c r="C20" s="53"/>
      <c r="D20" s="54">
        <v>2448.6410000000001</v>
      </c>
      <c r="E20" s="54">
        <v>2379.9279999999999</v>
      </c>
      <c r="F20" s="55">
        <v>2317.4369999999999</v>
      </c>
      <c r="G20" s="54">
        <v>2317.4369999999999</v>
      </c>
      <c r="H20" s="54">
        <v>2139.2179999999998</v>
      </c>
      <c r="I20" s="54">
        <v>2012.0329999999999</v>
      </c>
      <c r="J20" s="54">
        <v>1903.288</v>
      </c>
      <c r="K20" s="55">
        <v>1840.229</v>
      </c>
      <c r="L20" s="54">
        <v>1840.229</v>
      </c>
      <c r="M20" s="54">
        <v>1505.82</v>
      </c>
      <c r="N20" s="54">
        <v>1551.684</v>
      </c>
      <c r="O20" s="54">
        <v>1482.367</v>
      </c>
      <c r="P20" s="55">
        <v>1313.33</v>
      </c>
      <c r="Q20" s="54">
        <v>1313.33</v>
      </c>
      <c r="R20" s="54">
        <v>1296.6969999999999</v>
      </c>
      <c r="S20" s="54">
        <v>1233.1189999999999</v>
      </c>
      <c r="T20" s="54">
        <v>1090.6179999999999</v>
      </c>
      <c r="U20" s="55">
        <v>902.41099999999994</v>
      </c>
      <c r="V20" s="54">
        <v>902.44100000000003</v>
      </c>
      <c r="W20" s="54">
        <v>845.48400000000004</v>
      </c>
      <c r="X20" s="54">
        <v>822.53499999999997</v>
      </c>
      <c r="Y20" s="54">
        <v>836.40800000000002</v>
      </c>
      <c r="Z20" s="55">
        <f>+AA20</f>
        <v>881.5</v>
      </c>
      <c r="AA20" s="54">
        <v>881.5</v>
      </c>
      <c r="AB20" s="54">
        <v>949.53399999999999</v>
      </c>
      <c r="AC20" s="54">
        <v>972.91600000000005</v>
      </c>
      <c r="AD20" s="54">
        <v>993.91800000000001</v>
      </c>
      <c r="AE20" s="55">
        <f>+AF20</f>
        <v>1049.0419999999999</v>
      </c>
      <c r="AF20" s="54">
        <v>1049.0419999999999</v>
      </c>
      <c r="AG20" s="54">
        <v>1036.308</v>
      </c>
      <c r="AH20" s="54">
        <v>1033.7380000000001</v>
      </c>
      <c r="AI20" s="54">
        <v>1017.5</v>
      </c>
      <c r="AJ20" s="55">
        <v>1051.943</v>
      </c>
      <c r="AK20" s="54">
        <v>1051.943</v>
      </c>
      <c r="AL20" s="54">
        <v>1010.526</v>
      </c>
      <c r="AM20" s="54">
        <v>874.7</v>
      </c>
      <c r="AN20" s="54">
        <v>801</v>
      </c>
      <c r="AO20" s="55">
        <v>719</v>
      </c>
      <c r="AP20" s="54">
        <v>719</v>
      </c>
      <c r="AQ20" s="54">
        <v>726</v>
      </c>
      <c r="AR20" s="54">
        <v>745.1</v>
      </c>
      <c r="AS20" s="54">
        <v>689.2</v>
      </c>
      <c r="AT20" s="55">
        <v>625.20000000000005</v>
      </c>
      <c r="AU20" s="54">
        <v>625.20000000000005</v>
      </c>
      <c r="AV20" s="54">
        <v>345.3</v>
      </c>
      <c r="AW20" s="54">
        <v>513</v>
      </c>
      <c r="AX20" s="54">
        <v>508</v>
      </c>
      <c r="AY20" s="55">
        <v>477</v>
      </c>
      <c r="AZ20" s="54">
        <v>477.05700000000002</v>
      </c>
      <c r="BA20" s="54">
        <v>503.01600000000002</v>
      </c>
      <c r="BB20" s="54">
        <v>495.40800000000002</v>
      </c>
      <c r="BC20" s="54">
        <v>507.755</v>
      </c>
      <c r="BD20" s="55">
        <v>539.375</v>
      </c>
      <c r="BE20" s="54">
        <v>539.375</v>
      </c>
      <c r="BF20" s="54">
        <v>547.79999999999995</v>
      </c>
      <c r="BG20" s="54">
        <v>528.1</v>
      </c>
      <c r="BH20" s="54">
        <v>548.27700000000004</v>
      </c>
      <c r="BI20" s="55">
        <v>588.46799999999996</v>
      </c>
      <c r="BJ20" s="54">
        <v>588.46799999999996</v>
      </c>
      <c r="BK20" s="54">
        <v>654.34500000000003</v>
      </c>
      <c r="BL20" s="54">
        <v>708.07500000000005</v>
      </c>
      <c r="BM20" s="54">
        <v>768.14200000000005</v>
      </c>
      <c r="BN20" s="55">
        <v>823.12599999999998</v>
      </c>
      <c r="BO20" s="54">
        <v>823.12599999999998</v>
      </c>
      <c r="BP20" s="54">
        <v>919.62199999999996</v>
      </c>
      <c r="BQ20" s="54">
        <v>961.5</v>
      </c>
      <c r="BR20" s="54">
        <v>823.12599999999998</v>
      </c>
      <c r="BS20" s="55">
        <v>1078.654</v>
      </c>
      <c r="BT20" s="54">
        <v>1078.654</v>
      </c>
      <c r="BU20" s="54">
        <v>1135.4739999999999</v>
      </c>
      <c r="BV20" s="54">
        <v>1230.2249999999999</v>
      </c>
      <c r="BW20" s="54">
        <v>1321.7349999999999</v>
      </c>
      <c r="BX20" s="55">
        <v>1469.3130000000001</v>
      </c>
      <c r="BY20" s="54">
        <v>1469.3130000000001</v>
      </c>
      <c r="BZ20" s="54">
        <v>1633.0350000000001</v>
      </c>
      <c r="CA20" s="54">
        <v>1744.0139999999999</v>
      </c>
      <c r="CB20" s="54">
        <v>1789.549</v>
      </c>
      <c r="CC20" s="55">
        <v>1773.894</v>
      </c>
      <c r="CD20" s="54">
        <v>1773.894</v>
      </c>
      <c r="CE20" s="54">
        <v>1762.55</v>
      </c>
      <c r="CF20" s="54">
        <v>1638.7</v>
      </c>
      <c r="CG20" s="54">
        <v>1476.3</v>
      </c>
    </row>
    <row r="21" spans="1:85" s="1" customFormat="1" ht="19.5" customHeight="1">
      <c r="A21" s="6"/>
      <c r="B21" s="52" t="s">
        <v>174</v>
      </c>
      <c r="C21" s="53"/>
      <c r="D21" s="54">
        <v>73.891000000000005</v>
      </c>
      <c r="E21" s="54">
        <v>55.575000000000003</v>
      </c>
      <c r="F21" s="55">
        <v>289.20299999999997</v>
      </c>
      <c r="G21" s="54">
        <v>90.3142</v>
      </c>
      <c r="H21" s="54">
        <v>76.116</v>
      </c>
      <c r="I21" s="54">
        <v>69.644000000000005</v>
      </c>
      <c r="J21" s="54">
        <v>53.13</v>
      </c>
      <c r="K21" s="55">
        <v>279.67</v>
      </c>
      <c r="L21" s="54">
        <v>93.6</v>
      </c>
      <c r="M21" s="54">
        <v>66.465999999999994</v>
      </c>
      <c r="N21" s="54">
        <v>61.381999999999998</v>
      </c>
      <c r="O21" s="54">
        <v>58.222000000000001</v>
      </c>
      <c r="P21" s="55">
        <v>233.84899999999999</v>
      </c>
      <c r="Q21" s="54">
        <v>72.754000000000005</v>
      </c>
      <c r="R21" s="54">
        <v>52.689</v>
      </c>
      <c r="S21" s="54">
        <v>54.887</v>
      </c>
      <c r="T21" s="54">
        <v>53.518999999999998</v>
      </c>
      <c r="U21" s="55">
        <v>135.78299999999999</v>
      </c>
      <c r="V21" s="54">
        <v>46.323</v>
      </c>
      <c r="W21" s="54">
        <v>27.271999999999998</v>
      </c>
      <c r="X21" s="54">
        <v>37.590000000000003</v>
      </c>
      <c r="Y21" s="54">
        <v>24.597000000000001</v>
      </c>
      <c r="Z21" s="55">
        <f>SUM(AA21:AD21)</f>
        <v>172.22300000000001</v>
      </c>
      <c r="AA21" s="54">
        <v>29.373000000000001</v>
      </c>
      <c r="AB21" s="54">
        <v>45.430999999999997</v>
      </c>
      <c r="AC21" s="54">
        <v>48.131999999999998</v>
      </c>
      <c r="AD21" s="54">
        <v>49.286999999999999</v>
      </c>
      <c r="AE21" s="55">
        <f>SUM(AF21:AI21)</f>
        <v>214.291</v>
      </c>
      <c r="AF21" s="54">
        <v>68.593999999999994</v>
      </c>
      <c r="AG21" s="54">
        <v>61.164999999999999</v>
      </c>
      <c r="AH21" s="54">
        <v>45.496000000000002</v>
      </c>
      <c r="AI21" s="54">
        <v>39.036000000000001</v>
      </c>
      <c r="AJ21" s="55">
        <v>185.923</v>
      </c>
      <c r="AK21" s="54">
        <v>54.152000000000001</v>
      </c>
      <c r="AL21" s="54">
        <v>56</v>
      </c>
      <c r="AM21" s="54">
        <v>35.700000000000003</v>
      </c>
      <c r="AN21" s="54">
        <v>35.700000000000003</v>
      </c>
      <c r="AO21" s="55">
        <v>104.075</v>
      </c>
      <c r="AP21" s="54">
        <v>27.2</v>
      </c>
      <c r="AQ21" s="54">
        <v>30.5</v>
      </c>
      <c r="AR21" s="54">
        <v>27.4</v>
      </c>
      <c r="AS21" s="54">
        <v>22.9</v>
      </c>
      <c r="AT21" s="55">
        <f>SUM(AU21:AX21)</f>
        <v>71.8</v>
      </c>
      <c r="AU21" s="54">
        <v>29.2</v>
      </c>
      <c r="AV21" s="54">
        <v>18.899999999999999</v>
      </c>
      <c r="AW21" s="54">
        <v>11.7</v>
      </c>
      <c r="AX21" s="54">
        <v>12</v>
      </c>
      <c r="AY21" s="55">
        <f>SUM(AZ21:BC21)</f>
        <v>34.579000000000001</v>
      </c>
      <c r="AZ21" s="54">
        <v>7.7670000000000003</v>
      </c>
      <c r="BA21" s="54">
        <v>12.26</v>
      </c>
      <c r="BB21" s="54">
        <v>7.4539999999999997</v>
      </c>
      <c r="BC21" s="54">
        <v>7.0979999999999999</v>
      </c>
      <c r="BD21" s="55">
        <f>SUM(BE21:BH21)</f>
        <v>48.7</v>
      </c>
      <c r="BE21" s="54">
        <v>13.2</v>
      </c>
      <c r="BF21" s="54">
        <v>15.7</v>
      </c>
      <c r="BG21" s="54">
        <v>11.8</v>
      </c>
      <c r="BH21" s="54">
        <v>8</v>
      </c>
      <c r="BI21" s="55">
        <f>SUM(BJ21:BM21)</f>
        <v>45.2</v>
      </c>
      <c r="BJ21" s="54">
        <v>10.4</v>
      </c>
      <c r="BK21" s="54">
        <v>9.9</v>
      </c>
      <c r="BL21" s="54">
        <v>11.3</v>
      </c>
      <c r="BM21" s="54">
        <v>13.6</v>
      </c>
      <c r="BN21" s="55">
        <f>SUM(BO21:BR21)</f>
        <v>69.599999999999994</v>
      </c>
      <c r="BO21" s="54">
        <v>13.5</v>
      </c>
      <c r="BP21" s="54">
        <v>14.5</v>
      </c>
      <c r="BQ21" s="54">
        <v>19.600000000000001</v>
      </c>
      <c r="BR21" s="54">
        <v>22</v>
      </c>
      <c r="BS21" s="55">
        <f>SUM(BT21:BW21)</f>
        <v>108.69056379</v>
      </c>
      <c r="BT21" s="54">
        <v>27.190563789999999</v>
      </c>
      <c r="BU21" s="54">
        <v>27</v>
      </c>
      <c r="BV21" s="54">
        <v>26.7</v>
      </c>
      <c r="BW21" s="54">
        <v>27.8</v>
      </c>
      <c r="BX21" s="55">
        <v>75.599999999999994</v>
      </c>
      <c r="BY21" s="54">
        <v>31</v>
      </c>
      <c r="BZ21" s="54">
        <v>36</v>
      </c>
      <c r="CA21" s="54">
        <v>-5.0999999999999996</v>
      </c>
      <c r="CB21" s="54">
        <v>13.7</v>
      </c>
      <c r="CC21" s="55">
        <f>SUM(CD21:CG21)</f>
        <v>119.6</v>
      </c>
      <c r="CD21" s="54">
        <v>4.8</v>
      </c>
      <c r="CE21" s="54">
        <v>41.8</v>
      </c>
      <c r="CF21" s="54">
        <v>36.200000000000003</v>
      </c>
      <c r="CG21" s="54">
        <v>36.799999999999997</v>
      </c>
    </row>
    <row r="22" spans="1:85" s="1" customFormat="1" ht="19.5" customHeight="1">
      <c r="A22" s="6"/>
      <c r="B22" s="52" t="s">
        <v>175</v>
      </c>
      <c r="C22" s="53"/>
      <c r="D22" s="54">
        <v>20</v>
      </c>
      <c r="E22" s="54">
        <v>16.2</v>
      </c>
      <c r="F22" s="55">
        <v>21</v>
      </c>
      <c r="G22" s="54">
        <v>20.5</v>
      </c>
      <c r="H22" s="54">
        <v>20.399999999999999</v>
      </c>
      <c r="I22" s="54">
        <v>23.7</v>
      </c>
      <c r="J22" s="54">
        <v>19.5</v>
      </c>
      <c r="K22" s="55">
        <v>20.8</v>
      </c>
      <c r="L22" s="54">
        <v>22.3</v>
      </c>
      <c r="M22" s="54">
        <v>21.7</v>
      </c>
      <c r="N22" s="54">
        <v>19.3</v>
      </c>
      <c r="O22" s="54">
        <v>19.2</v>
      </c>
      <c r="P22" s="55">
        <v>22.3</v>
      </c>
      <c r="Q22" s="54">
        <v>25.7</v>
      </c>
      <c r="R22" s="54">
        <v>20.8</v>
      </c>
      <c r="S22" s="54">
        <v>20.6</v>
      </c>
      <c r="T22" s="54">
        <v>22</v>
      </c>
      <c r="U22" s="55">
        <v>17.899999999999999</v>
      </c>
      <c r="V22" s="54">
        <v>22.7</v>
      </c>
      <c r="W22" s="54">
        <v>15</v>
      </c>
      <c r="X22" s="54">
        <v>17.899999999999999</v>
      </c>
      <c r="Y22" s="54">
        <v>15</v>
      </c>
      <c r="Z22" s="55">
        <v>22.2</v>
      </c>
      <c r="AA22" s="54">
        <v>17.2</v>
      </c>
      <c r="AB22" s="54">
        <v>23.9</v>
      </c>
      <c r="AC22" s="54">
        <v>22.8</v>
      </c>
      <c r="AD22" s="54">
        <v>24.4</v>
      </c>
      <c r="AE22" s="55">
        <v>24.4</v>
      </c>
      <c r="AF22" s="54">
        <v>27.1</v>
      </c>
      <c r="AG22" s="54">
        <v>24</v>
      </c>
      <c r="AH22" s="54">
        <v>22.7</v>
      </c>
      <c r="AI22" s="54">
        <v>22.8</v>
      </c>
      <c r="AJ22" s="55">
        <v>23.3</v>
      </c>
      <c r="AK22" s="54">
        <v>25.2</v>
      </c>
      <c r="AL22" s="54">
        <v>25.5</v>
      </c>
      <c r="AM22" s="54">
        <v>19.399999999999999</v>
      </c>
      <c r="AN22" s="54">
        <v>19.7</v>
      </c>
      <c r="AO22" s="55">
        <v>19.100000000000001</v>
      </c>
      <c r="AP22" s="54">
        <v>18.399999999999999</v>
      </c>
      <c r="AQ22" s="54">
        <v>19.899999999999999</v>
      </c>
      <c r="AR22" s="54">
        <v>22.4</v>
      </c>
      <c r="AS22" s="54">
        <v>19</v>
      </c>
      <c r="AT22" s="55">
        <v>16.3</v>
      </c>
      <c r="AU22" s="54">
        <v>23.4</v>
      </c>
      <c r="AV22" s="54">
        <v>15.6</v>
      </c>
      <c r="AW22" s="54">
        <v>11.9</v>
      </c>
      <c r="AX22" s="54">
        <v>12.5</v>
      </c>
      <c r="AY22" s="55">
        <v>11.4</v>
      </c>
      <c r="AZ22" s="54">
        <v>10.9</v>
      </c>
      <c r="BA22" s="54">
        <v>13.1</v>
      </c>
      <c r="BB22" s="54">
        <v>12.6</v>
      </c>
      <c r="BC22" s="54">
        <v>9.1</v>
      </c>
      <c r="BD22" s="55">
        <v>12.9</v>
      </c>
      <c r="BE22" s="54">
        <v>15</v>
      </c>
      <c r="BF22" s="54">
        <v>13.1</v>
      </c>
      <c r="BG22" s="54">
        <v>13.4</v>
      </c>
      <c r="BH22" s="54">
        <v>9.6999999999999993</v>
      </c>
      <c r="BI22" s="55">
        <v>12.3</v>
      </c>
      <c r="BJ22" s="54">
        <v>11.1</v>
      </c>
      <c r="BK22" s="54">
        <v>11.3</v>
      </c>
      <c r="BL22" s="54">
        <v>12.9</v>
      </c>
      <c r="BM22" s="54">
        <v>13.7</v>
      </c>
      <c r="BN22" s="55">
        <v>13.4</v>
      </c>
      <c r="BO22" s="54">
        <v>12.1</v>
      </c>
      <c r="BP22" s="54">
        <v>13.7</v>
      </c>
      <c r="BQ22" s="54">
        <v>13.8</v>
      </c>
      <c r="BR22" s="54">
        <v>13.9</v>
      </c>
      <c r="BS22" s="55">
        <v>17.399999999999999</v>
      </c>
      <c r="BT22" s="54">
        <v>18.600000000000001</v>
      </c>
      <c r="BU22" s="54">
        <v>19.2</v>
      </c>
      <c r="BV22" s="54">
        <v>16.5</v>
      </c>
      <c r="BW22" s="54">
        <v>15.8</v>
      </c>
      <c r="BX22" s="55">
        <v>9.6999999999999993</v>
      </c>
      <c r="BY22" s="54">
        <v>17</v>
      </c>
      <c r="BZ22" s="54">
        <v>17.5</v>
      </c>
      <c r="CA22" s="54">
        <v>-2.6</v>
      </c>
      <c r="CB22" s="54">
        <v>6.8</v>
      </c>
      <c r="CC22" s="55">
        <v>15.2</v>
      </c>
      <c r="CD22" s="54">
        <v>2.7</v>
      </c>
      <c r="CE22" s="54">
        <v>18.899999999999999</v>
      </c>
      <c r="CF22" s="54">
        <v>17.3</v>
      </c>
      <c r="CG22" s="54">
        <v>20.9</v>
      </c>
    </row>
    <row r="26" spans="1:85" ht="34.5" customHeight="1"/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BS21 BD5:BD7 AJ9:AJ11 AJ12 AE2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35"/>
  <sheetViews>
    <sheetView showGridLines="0" zoomScaleNormal="100" workbookViewId="0">
      <pane xSplit="3" ySplit="3" topLeftCell="D4" activePane="bottomRight" state="frozen"/>
      <selection pane="topRight"/>
      <selection pane="bottomLeft"/>
      <selection pane="bottomRight" activeCell="D1" sqref="D1"/>
    </sheetView>
  </sheetViews>
  <sheetFormatPr defaultColWidth="8.85546875" defaultRowHeight="12.75" outlineLevelCol="1"/>
  <cols>
    <col min="1" max="1" width="1.42578125" style="31" customWidth="1"/>
    <col min="2" max="2" width="66.5703125" style="32" bestFit="1" customWidth="1"/>
    <col min="3" max="3" width="7.140625" style="31" hidden="1" customWidth="1"/>
    <col min="4" max="5" width="11.5703125" style="43" customWidth="1"/>
    <col min="6" max="6" width="10" style="37" customWidth="1"/>
    <col min="7" max="10" width="11.5703125" style="43" customWidth="1"/>
    <col min="11" max="11" width="10" style="37" customWidth="1"/>
    <col min="12" max="15" width="11.5703125" style="43" customWidth="1"/>
    <col min="16" max="16" width="10.42578125" style="37" bestFit="1" customWidth="1"/>
    <col min="17" max="20" width="11.5703125" style="43" customWidth="1" outlineLevel="1"/>
    <col min="21" max="21" width="10" style="37" customWidth="1"/>
    <col min="22" max="23" width="11.5703125" style="43" customWidth="1" outlineLevel="1"/>
    <col min="24" max="24" width="10.85546875" style="31" customWidth="1" outlineLevel="1"/>
    <col min="25" max="25" width="10.85546875" style="37" customWidth="1" outlineLevel="1"/>
    <col min="26" max="26" width="10" style="37" customWidth="1"/>
    <col min="27" max="30" width="10.85546875" style="37" hidden="1" customWidth="1" outlineLevel="1"/>
    <col min="31" max="31" width="10" style="37" customWidth="1" collapsed="1"/>
    <col min="32" max="35" width="10.85546875" style="37" hidden="1" customWidth="1" outlineLevel="1"/>
    <col min="36" max="36" width="10.28515625" style="37" bestFit="1" customWidth="1" collapsed="1"/>
    <col min="37" max="40" width="10.85546875" style="37" hidden="1" customWidth="1" outlineLevel="1"/>
    <col min="41" max="41" width="10.28515625" style="37" bestFit="1" customWidth="1" collapsed="1"/>
    <col min="42" max="45" width="10.85546875" style="37" hidden="1" customWidth="1" outlineLevel="1"/>
    <col min="46" max="46" width="10.140625" style="37" bestFit="1" customWidth="1" collapsed="1"/>
    <col min="47" max="50" width="10.85546875" style="37" hidden="1" customWidth="1" outlineLevel="1"/>
    <col min="51" max="51" width="10.140625" style="37" bestFit="1" customWidth="1" collapsed="1"/>
    <col min="52" max="55" width="10.85546875" style="37" hidden="1" customWidth="1" outlineLevel="1"/>
    <col min="56" max="56" width="10.42578125" style="37" bestFit="1" customWidth="1" collapsed="1"/>
    <col min="57" max="60" width="10.85546875" style="37" hidden="1" customWidth="1" outlineLevel="1"/>
    <col min="61" max="61" width="10.28515625" style="37" bestFit="1" customWidth="1" collapsed="1"/>
    <col min="62" max="65" width="10.85546875" style="37" hidden="1" customWidth="1" outlineLevel="1"/>
    <col min="66" max="66" width="10.140625" style="37" bestFit="1" customWidth="1" collapsed="1"/>
    <col min="67" max="70" width="10.85546875" style="37" hidden="1" customWidth="1" outlineLevel="1"/>
    <col min="71" max="71" width="10.140625" style="37" bestFit="1" customWidth="1" collapsed="1"/>
    <col min="72" max="75" width="10.85546875" style="37" hidden="1" customWidth="1" outlineLevel="1"/>
    <col min="76" max="76" width="10.140625" style="37" bestFit="1" customWidth="1" collapsed="1"/>
    <col min="77" max="80" width="10.85546875" style="37" hidden="1" customWidth="1" outlineLevel="1"/>
    <col min="81" max="81" width="10.28515625" style="37" bestFit="1" customWidth="1" collapsed="1"/>
    <col min="82" max="85" width="10.85546875" style="37" hidden="1" customWidth="1" outlineLevel="1"/>
    <col min="86" max="86" width="8.85546875" style="31" collapsed="1"/>
    <col min="87" max="16384" width="8.85546875" style="31"/>
  </cols>
  <sheetData>
    <row r="1" spans="1:85" ht="54.75" customHeight="1" thickBot="1">
      <c r="A1" s="27"/>
      <c r="B1" s="28"/>
      <c r="C1" s="29"/>
      <c r="D1" s="41"/>
      <c r="E1" s="41"/>
      <c r="F1" s="34"/>
      <c r="G1" s="41"/>
      <c r="H1" s="41"/>
      <c r="I1" s="41"/>
      <c r="J1" s="41"/>
      <c r="K1" s="34"/>
      <c r="L1" s="41"/>
      <c r="M1" s="41"/>
      <c r="N1" s="41"/>
      <c r="O1" s="41"/>
      <c r="P1" s="34"/>
      <c r="Q1" s="41"/>
      <c r="R1" s="41"/>
      <c r="S1" s="41"/>
      <c r="T1" s="41"/>
      <c r="U1" s="34"/>
      <c r="V1" s="41"/>
      <c r="W1" s="41"/>
      <c r="X1" s="29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8.25" customHeight="1">
      <c r="A2" s="14"/>
      <c r="B2" s="30"/>
      <c r="C2" s="14"/>
      <c r="D2" s="42"/>
      <c r="E2" s="42"/>
      <c r="F2" s="35"/>
      <c r="G2" s="42"/>
      <c r="H2" s="42"/>
      <c r="I2" s="42"/>
      <c r="J2" s="42"/>
      <c r="K2" s="35"/>
      <c r="L2" s="42"/>
      <c r="M2" s="42"/>
      <c r="N2" s="42"/>
      <c r="O2" s="42"/>
      <c r="P2" s="35"/>
      <c r="Q2" s="42"/>
      <c r="R2" s="42"/>
      <c r="S2" s="42"/>
      <c r="T2" s="42"/>
      <c r="U2" s="35"/>
      <c r="V2" s="42"/>
      <c r="W2" s="42"/>
      <c r="X2" s="1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</row>
    <row r="3" spans="1:85" s="1" customFormat="1" ht="21.6" customHeight="1">
      <c r="A3" s="6"/>
      <c r="B3" s="44" t="s">
        <v>190</v>
      </c>
      <c r="C3" s="44"/>
      <c r="D3" s="45" t="s">
        <v>212</v>
      </c>
      <c r="E3" s="45" t="s">
        <v>211</v>
      </c>
      <c r="F3" s="46">
        <v>2025</v>
      </c>
      <c r="G3" s="45" t="s">
        <v>210</v>
      </c>
      <c r="H3" s="45" t="s">
        <v>209</v>
      </c>
      <c r="I3" s="45" t="s">
        <v>208</v>
      </c>
      <c r="J3" s="45" t="s">
        <v>207</v>
      </c>
      <c r="K3" s="46">
        <v>2024</v>
      </c>
      <c r="L3" s="45" t="s">
        <v>205</v>
      </c>
      <c r="M3" s="45" t="s">
        <v>204</v>
      </c>
      <c r="N3" s="45" t="s">
        <v>201</v>
      </c>
      <c r="O3" s="45" t="s">
        <v>200</v>
      </c>
      <c r="P3" s="46">
        <v>2023</v>
      </c>
      <c r="Q3" s="45" t="s">
        <v>198</v>
      </c>
      <c r="R3" s="45" t="s">
        <v>197</v>
      </c>
      <c r="S3" s="45" t="s">
        <v>196</v>
      </c>
      <c r="T3" s="45" t="s">
        <v>187</v>
      </c>
      <c r="U3" s="46">
        <v>2022</v>
      </c>
      <c r="V3" s="45" t="s">
        <v>186</v>
      </c>
      <c r="W3" s="45" t="s">
        <v>185</v>
      </c>
      <c r="X3" s="45" t="s">
        <v>184</v>
      </c>
      <c r="Y3" s="45" t="s">
        <v>183</v>
      </c>
      <c r="Z3" s="46">
        <v>2021</v>
      </c>
      <c r="AA3" s="45" t="s">
        <v>182</v>
      </c>
      <c r="AB3" s="45" t="s">
        <v>181</v>
      </c>
      <c r="AC3" s="45" t="s">
        <v>180</v>
      </c>
      <c r="AD3" s="45" t="s">
        <v>179</v>
      </c>
      <c r="AE3" s="46">
        <v>2020</v>
      </c>
      <c r="AF3" s="45" t="s">
        <v>178</v>
      </c>
      <c r="AG3" s="45" t="s">
        <v>177</v>
      </c>
      <c r="AH3" s="45" t="s">
        <v>176</v>
      </c>
      <c r="AI3" s="45" t="s">
        <v>85</v>
      </c>
      <c r="AJ3" s="46">
        <v>2019</v>
      </c>
      <c r="AK3" s="45" t="s">
        <v>83</v>
      </c>
      <c r="AL3" s="45" t="s">
        <v>81</v>
      </c>
      <c r="AM3" s="45" t="s">
        <v>74</v>
      </c>
      <c r="AN3" s="45" t="s">
        <v>71</v>
      </c>
      <c r="AO3" s="46">
        <v>2018</v>
      </c>
      <c r="AP3" s="45" t="s">
        <v>70</v>
      </c>
      <c r="AQ3" s="45" t="s">
        <v>36</v>
      </c>
      <c r="AR3" s="45" t="s">
        <v>35</v>
      </c>
      <c r="AS3" s="45" t="s">
        <v>33</v>
      </c>
      <c r="AT3" s="46">
        <v>2017</v>
      </c>
      <c r="AU3" s="45" t="s">
        <v>16</v>
      </c>
      <c r="AV3" s="45" t="s">
        <v>15</v>
      </c>
      <c r="AW3" s="45" t="s">
        <v>14</v>
      </c>
      <c r="AX3" s="45" t="s">
        <v>13</v>
      </c>
      <c r="AY3" s="46">
        <v>2016</v>
      </c>
      <c r="AZ3" s="45" t="s">
        <v>11</v>
      </c>
      <c r="BA3" s="45" t="s">
        <v>10</v>
      </c>
      <c r="BB3" s="45" t="s">
        <v>9</v>
      </c>
      <c r="BC3" s="45" t="s">
        <v>8</v>
      </c>
      <c r="BD3" s="46">
        <v>2015</v>
      </c>
      <c r="BE3" s="45" t="s">
        <v>7</v>
      </c>
      <c r="BF3" s="45" t="s">
        <v>6</v>
      </c>
      <c r="BG3" s="45" t="s">
        <v>5</v>
      </c>
      <c r="BH3" s="45" t="s">
        <v>4</v>
      </c>
      <c r="BI3" s="46">
        <v>2014</v>
      </c>
      <c r="BJ3" s="45" t="s">
        <v>3</v>
      </c>
      <c r="BK3" s="45" t="s">
        <v>2</v>
      </c>
      <c r="BL3" s="45" t="s">
        <v>1</v>
      </c>
      <c r="BM3" s="45" t="s">
        <v>0</v>
      </c>
      <c r="BN3" s="46">
        <v>2013</v>
      </c>
      <c r="BO3" s="45" t="s">
        <v>17</v>
      </c>
      <c r="BP3" s="45" t="s">
        <v>18</v>
      </c>
      <c r="BQ3" s="45" t="s">
        <v>19</v>
      </c>
      <c r="BR3" s="45" t="s">
        <v>20</v>
      </c>
      <c r="BS3" s="46">
        <v>2012</v>
      </c>
      <c r="BT3" s="45" t="s">
        <v>21</v>
      </c>
      <c r="BU3" s="45" t="s">
        <v>22</v>
      </c>
      <c r="BV3" s="45" t="s">
        <v>23</v>
      </c>
      <c r="BW3" s="45" t="s">
        <v>24</v>
      </c>
      <c r="BX3" s="46">
        <v>2011</v>
      </c>
      <c r="BY3" s="45" t="s">
        <v>25</v>
      </c>
      <c r="BZ3" s="45" t="s">
        <v>26</v>
      </c>
      <c r="CA3" s="45" t="s">
        <v>27</v>
      </c>
      <c r="CB3" s="45" t="s">
        <v>28</v>
      </c>
      <c r="CC3" s="46">
        <v>2010</v>
      </c>
      <c r="CD3" s="45" t="s">
        <v>29</v>
      </c>
      <c r="CE3" s="45" t="s">
        <v>30</v>
      </c>
      <c r="CF3" s="45" t="s">
        <v>31</v>
      </c>
      <c r="CG3" s="45" t="s">
        <v>32</v>
      </c>
    </row>
    <row r="4" spans="1:85" s="5" customFormat="1" ht="15.75" customHeight="1">
      <c r="A4" s="10"/>
      <c r="B4" s="47" t="s">
        <v>189</v>
      </c>
      <c r="C4" s="47"/>
      <c r="D4" s="62">
        <v>403451</v>
      </c>
      <c r="E4" s="62">
        <v>365493</v>
      </c>
      <c r="F4" s="62">
        <v>1410778</v>
      </c>
      <c r="G4" s="62">
        <v>461454</v>
      </c>
      <c r="H4" s="62">
        <v>378851</v>
      </c>
      <c r="I4" s="62">
        <v>301928</v>
      </c>
      <c r="J4" s="62">
        <v>268545</v>
      </c>
      <c r="K4" s="62">
        <v>1410291</v>
      </c>
      <c r="L4" s="62">
        <v>456349</v>
      </c>
      <c r="M4" s="62">
        <v>322993</v>
      </c>
      <c r="N4" s="62">
        <v>321451</v>
      </c>
      <c r="O4" s="62">
        <v>309498</v>
      </c>
      <c r="P4" s="62">
        <f t="shared" ref="P4:P12" si="0">SUM(Q4:T4)</f>
        <v>1073165</v>
      </c>
      <c r="Q4" s="62">
        <v>295568</v>
      </c>
      <c r="R4" s="62">
        <v>257287</v>
      </c>
      <c r="S4" s="62">
        <v>266937</v>
      </c>
      <c r="T4" s="62">
        <v>253373</v>
      </c>
      <c r="U4" s="62">
        <f t="shared" ref="U4:U12" si="1">SUM(V4:Y4)</f>
        <v>782027</v>
      </c>
      <c r="V4" s="62">
        <v>213409</v>
      </c>
      <c r="W4" s="62">
        <v>188478</v>
      </c>
      <c r="X4" s="62">
        <v>213111</v>
      </c>
      <c r="Y4" s="62">
        <v>167029</v>
      </c>
      <c r="Z4" s="62">
        <f t="shared" ref="Z4:Z20" si="2">SUM(AA4:AD4)</f>
        <v>784500</v>
      </c>
      <c r="AA4" s="62">
        <v>172728</v>
      </c>
      <c r="AB4" s="62">
        <v>194041</v>
      </c>
      <c r="AC4" s="62">
        <v>214940</v>
      </c>
      <c r="AD4" s="62">
        <v>202791</v>
      </c>
      <c r="AE4" s="62">
        <f t="shared" ref="AE4:AE20" si="3">SUM(AF4:AI4)</f>
        <v>908141</v>
      </c>
      <c r="AF4" s="62">
        <v>263514</v>
      </c>
      <c r="AG4" s="62">
        <v>260666</v>
      </c>
      <c r="AH4" s="62">
        <v>206119</v>
      </c>
      <c r="AI4" s="62">
        <f>SUM(AI5:AI7)</f>
        <v>177842</v>
      </c>
      <c r="AJ4" s="62">
        <f t="shared" ref="AJ4:AJ17" si="4">SUM(AK4:AN4)</f>
        <v>817002</v>
      </c>
      <c r="AK4" s="62">
        <f>SUM(AK5:AK7)</f>
        <v>220454</v>
      </c>
      <c r="AL4" s="62">
        <f>SUM(AL5:AL7)</f>
        <v>223867</v>
      </c>
      <c r="AM4" s="62">
        <f t="shared" ref="AM4:AX4" si="5">SUM(AM5:AM7)</f>
        <v>187557</v>
      </c>
      <c r="AN4" s="62">
        <f t="shared" si="5"/>
        <v>185124</v>
      </c>
      <c r="AO4" s="62">
        <f t="shared" ref="AO4:AO17" si="6">SUM(AP4:AS4)</f>
        <v>560797</v>
      </c>
      <c r="AP4" s="62">
        <f t="shared" si="5"/>
        <v>155450</v>
      </c>
      <c r="AQ4" s="62">
        <f t="shared" si="5"/>
        <v>156205</v>
      </c>
      <c r="AR4" s="62">
        <f t="shared" si="5"/>
        <v>125655</v>
      </c>
      <c r="AS4" s="62">
        <f t="shared" si="5"/>
        <v>123487</v>
      </c>
      <c r="AT4" s="62">
        <f>SUM(AU4:AX4)</f>
        <v>452137</v>
      </c>
      <c r="AU4" s="62">
        <f t="shared" si="5"/>
        <v>125329</v>
      </c>
      <c r="AV4" s="62">
        <f t="shared" si="5"/>
        <v>127442</v>
      </c>
      <c r="AW4" s="62">
        <f t="shared" si="5"/>
        <v>100809</v>
      </c>
      <c r="AX4" s="62">
        <f t="shared" si="5"/>
        <v>98557</v>
      </c>
      <c r="AY4" s="62">
        <f t="shared" ref="AY4:AY17" si="7">SUM(AZ4:BC4)</f>
        <v>312195</v>
      </c>
      <c r="AZ4" s="62">
        <f>SUM(AZ5:AZ7)</f>
        <v>75632</v>
      </c>
      <c r="BA4" s="62">
        <f>SUM(BA5:BA7)</f>
        <v>96499</v>
      </c>
      <c r="BB4" s="62">
        <f>SUM(BB5:BB7)</f>
        <v>61168</v>
      </c>
      <c r="BC4" s="62">
        <f>SUM(BC5:BC7)</f>
        <v>78896</v>
      </c>
      <c r="BD4" s="62">
        <f t="shared" ref="BD4:BD17" si="8">SUM(BE4:BH4)</f>
        <v>386352</v>
      </c>
      <c r="BE4" s="62">
        <v>88406</v>
      </c>
      <c r="BF4" s="62">
        <v>120599</v>
      </c>
      <c r="BG4" s="62">
        <v>90184</v>
      </c>
      <c r="BH4" s="62">
        <v>87163</v>
      </c>
      <c r="BI4" s="62">
        <f t="shared" ref="BI4:BI17" si="9">SUM(BJ4:BM4)</f>
        <v>382821</v>
      </c>
      <c r="BJ4" s="62">
        <v>96902</v>
      </c>
      <c r="BK4" s="62">
        <v>91387</v>
      </c>
      <c r="BL4" s="62">
        <v>91728</v>
      </c>
      <c r="BM4" s="62">
        <v>102804</v>
      </c>
      <c r="BN4" s="62">
        <f t="shared" ref="BN4:BN25" si="10">SUM(BO4:BR4)</f>
        <v>644515</v>
      </c>
      <c r="BO4" s="62">
        <v>146541</v>
      </c>
      <c r="BP4" s="62">
        <v>147675</v>
      </c>
      <c r="BQ4" s="62">
        <v>168018</v>
      </c>
      <c r="BR4" s="62">
        <v>182281</v>
      </c>
      <c r="BS4" s="62">
        <f t="shared" ref="BS4:BS18" si="11">SUM(BT4:BW4)</f>
        <v>644515</v>
      </c>
      <c r="BT4" s="62">
        <v>146541</v>
      </c>
      <c r="BU4" s="62">
        <v>147675</v>
      </c>
      <c r="BV4" s="62">
        <v>168018</v>
      </c>
      <c r="BW4" s="62">
        <v>182281</v>
      </c>
      <c r="BX4" s="62">
        <f t="shared" ref="BX4:BX18" si="12">SUM(BY4:CB4)</f>
        <v>813513</v>
      </c>
      <c r="BY4" s="62">
        <v>189826</v>
      </c>
      <c r="BZ4" s="62">
        <v>214596</v>
      </c>
      <c r="CA4" s="62">
        <v>200521</v>
      </c>
      <c r="CB4" s="62">
        <v>208570</v>
      </c>
      <c r="CC4" s="62">
        <f t="shared" ref="CC4:CC18" si="13">SUM(CD4:CG4)</f>
        <v>815934</v>
      </c>
      <c r="CD4" s="62">
        <v>187586</v>
      </c>
      <c r="CE4" s="62">
        <v>229279</v>
      </c>
      <c r="CF4" s="62">
        <v>217444</v>
      </c>
      <c r="CG4" s="62">
        <v>181625</v>
      </c>
    </row>
    <row r="5" spans="1:85" s="1" customFormat="1" ht="18.75" customHeight="1">
      <c r="A5" s="6"/>
      <c r="B5" s="50" t="s">
        <v>191</v>
      </c>
      <c r="C5" s="51"/>
      <c r="D5" s="63">
        <v>409344</v>
      </c>
      <c r="E5" s="63">
        <v>376064</v>
      </c>
      <c r="F5" s="64">
        <v>1400087</v>
      </c>
      <c r="G5" s="63">
        <v>458607</v>
      </c>
      <c r="H5" s="63">
        <v>378054</v>
      </c>
      <c r="I5" s="63">
        <v>296261</v>
      </c>
      <c r="J5" s="63">
        <v>267165</v>
      </c>
      <c r="K5" s="64">
        <v>1416383</v>
      </c>
      <c r="L5" s="63">
        <v>459907</v>
      </c>
      <c r="M5" s="63">
        <v>325833</v>
      </c>
      <c r="N5" s="63">
        <v>322925</v>
      </c>
      <c r="O5" s="63">
        <v>307718</v>
      </c>
      <c r="P5" s="64">
        <f t="shared" si="0"/>
        <v>1062060</v>
      </c>
      <c r="Q5" s="63">
        <v>293868</v>
      </c>
      <c r="R5" s="63">
        <v>251689</v>
      </c>
      <c r="S5" s="63">
        <v>264075</v>
      </c>
      <c r="T5" s="63">
        <v>252428</v>
      </c>
      <c r="U5" s="64">
        <f t="shared" si="1"/>
        <v>781531</v>
      </c>
      <c r="V5" s="63">
        <v>213696</v>
      </c>
      <c r="W5" s="63">
        <v>188774</v>
      </c>
      <c r="X5" s="63">
        <v>213345</v>
      </c>
      <c r="Y5" s="63">
        <v>165716</v>
      </c>
      <c r="Z5" s="64">
        <f t="shared" si="2"/>
        <v>780498</v>
      </c>
      <c r="AA5" s="63">
        <v>171918</v>
      </c>
      <c r="AB5" s="63">
        <v>192865</v>
      </c>
      <c r="AC5" s="63">
        <v>214624</v>
      </c>
      <c r="AD5" s="63">
        <v>201091</v>
      </c>
      <c r="AE5" s="64">
        <f t="shared" si="3"/>
        <v>908814</v>
      </c>
      <c r="AF5" s="63">
        <v>264273</v>
      </c>
      <c r="AG5" s="63">
        <v>261625</v>
      </c>
      <c r="AH5" s="63">
        <v>206902</v>
      </c>
      <c r="AI5" s="63">
        <v>176014</v>
      </c>
      <c r="AJ5" s="64">
        <f t="shared" si="4"/>
        <v>814618</v>
      </c>
      <c r="AK5" s="63">
        <v>218064</v>
      </c>
      <c r="AL5" s="63">
        <v>224127</v>
      </c>
      <c r="AM5" s="63">
        <v>188849</v>
      </c>
      <c r="AN5" s="63">
        <v>183578</v>
      </c>
      <c r="AO5" s="64">
        <f t="shared" si="6"/>
        <v>556953</v>
      </c>
      <c r="AP5" s="63">
        <v>152443</v>
      </c>
      <c r="AQ5" s="63">
        <v>156015</v>
      </c>
      <c r="AR5" s="63">
        <v>126477</v>
      </c>
      <c r="AS5" s="63">
        <v>122018</v>
      </c>
      <c r="AT5" s="64">
        <f>SUM(AU5:AX5)</f>
        <v>452057</v>
      </c>
      <c r="AU5" s="63">
        <v>125329</v>
      </c>
      <c r="AV5" s="63">
        <v>127422</v>
      </c>
      <c r="AW5" s="63">
        <v>100779</v>
      </c>
      <c r="AX5" s="63">
        <v>98527</v>
      </c>
      <c r="AY5" s="64">
        <f t="shared" si="7"/>
        <v>311812</v>
      </c>
      <c r="AZ5" s="63">
        <f>311812-SUM(BA5:BC5)</f>
        <v>75482</v>
      </c>
      <c r="BA5" s="63">
        <v>96509</v>
      </c>
      <c r="BB5" s="63">
        <v>61107</v>
      </c>
      <c r="BC5" s="63">
        <v>78714</v>
      </c>
      <c r="BD5" s="64">
        <f t="shared" si="8"/>
        <v>385135</v>
      </c>
      <c r="BE5" s="63">
        <v>88895</v>
      </c>
      <c r="BF5" s="63">
        <v>119417</v>
      </c>
      <c r="BG5" s="63">
        <v>89935</v>
      </c>
      <c r="BH5" s="63">
        <v>86888</v>
      </c>
      <c r="BI5" s="64">
        <f t="shared" si="9"/>
        <v>374853</v>
      </c>
      <c r="BJ5" s="63">
        <v>96442</v>
      </c>
      <c r="BK5" s="63">
        <v>87184</v>
      </c>
      <c r="BL5" s="63">
        <v>90861</v>
      </c>
      <c r="BM5" s="63">
        <v>100366</v>
      </c>
      <c r="BN5" s="64">
        <f t="shared" si="10"/>
        <v>521374</v>
      </c>
      <c r="BO5" s="63">
        <v>115059</v>
      </c>
      <c r="BP5" s="63">
        <v>102720</v>
      </c>
      <c r="BQ5" s="63">
        <v>143675</v>
      </c>
      <c r="BR5" s="63">
        <v>159920</v>
      </c>
      <c r="BS5" s="64">
        <f t="shared" si="11"/>
        <v>634432</v>
      </c>
      <c r="BT5" s="63">
        <v>145588</v>
      </c>
      <c r="BU5" s="63">
        <v>145857</v>
      </c>
      <c r="BV5" s="63">
        <v>166151</v>
      </c>
      <c r="BW5" s="63">
        <v>176836</v>
      </c>
      <c r="BX5" s="64">
        <f t="shared" si="12"/>
        <v>797458</v>
      </c>
      <c r="BY5" s="63">
        <v>186124</v>
      </c>
      <c r="BZ5" s="63">
        <v>210200</v>
      </c>
      <c r="CA5" s="63">
        <v>196556</v>
      </c>
      <c r="CB5" s="63">
        <v>204578</v>
      </c>
      <c r="CC5" s="64">
        <f t="shared" si="13"/>
        <v>797317</v>
      </c>
      <c r="CD5" s="63">
        <v>183067</v>
      </c>
      <c r="CE5" s="63">
        <v>224956</v>
      </c>
      <c r="CF5" s="63">
        <v>211963</v>
      </c>
      <c r="CG5" s="63">
        <v>177331</v>
      </c>
    </row>
    <row r="6" spans="1:85" s="1" customFormat="1" ht="19.5" customHeight="1">
      <c r="A6" s="6"/>
      <c r="B6" s="52" t="s">
        <v>192</v>
      </c>
      <c r="C6" s="53"/>
      <c r="D6" s="63">
        <v>1745</v>
      </c>
      <c r="E6" s="63">
        <v>1059</v>
      </c>
      <c r="F6" s="64">
        <v>9157</v>
      </c>
      <c r="G6" s="63">
        <v>2671</v>
      </c>
      <c r="H6" s="63">
        <v>2212</v>
      </c>
      <c r="I6" s="63">
        <v>2006</v>
      </c>
      <c r="J6" s="63">
        <v>2268</v>
      </c>
      <c r="K6" s="64">
        <v>7585</v>
      </c>
      <c r="L6" s="63">
        <v>1678</v>
      </c>
      <c r="M6" s="63">
        <v>1794</v>
      </c>
      <c r="N6" s="63">
        <v>1448</v>
      </c>
      <c r="O6" s="63">
        <v>2665</v>
      </c>
      <c r="P6" s="64">
        <f t="shared" si="0"/>
        <v>7770</v>
      </c>
      <c r="Q6" s="63">
        <v>2004</v>
      </c>
      <c r="R6" s="63">
        <v>1736</v>
      </c>
      <c r="S6" s="63">
        <v>2149</v>
      </c>
      <c r="T6" s="63">
        <v>1881</v>
      </c>
      <c r="U6" s="64">
        <f t="shared" si="1"/>
        <v>7198</v>
      </c>
      <c r="V6" s="63">
        <v>1423</v>
      </c>
      <c r="W6" s="63">
        <v>2184</v>
      </c>
      <c r="X6" s="63">
        <v>1866</v>
      </c>
      <c r="Y6" s="63">
        <v>1725</v>
      </c>
      <c r="Z6" s="64">
        <f t="shared" si="2"/>
        <v>5174</v>
      </c>
      <c r="AA6" s="63">
        <v>1599</v>
      </c>
      <c r="AB6" s="63">
        <v>2040</v>
      </c>
      <c r="AC6" s="63">
        <v>167</v>
      </c>
      <c r="AD6" s="63">
        <v>1368</v>
      </c>
      <c r="AE6" s="64">
        <f t="shared" si="3"/>
        <v>2600</v>
      </c>
      <c r="AF6" s="63">
        <v>849</v>
      </c>
      <c r="AG6" s="63">
        <v>694</v>
      </c>
      <c r="AH6" s="63">
        <v>609</v>
      </c>
      <c r="AI6" s="63">
        <v>448</v>
      </c>
      <c r="AJ6" s="64">
        <f t="shared" si="4"/>
        <v>1349</v>
      </c>
      <c r="AK6" s="63">
        <v>211</v>
      </c>
      <c r="AL6" s="63">
        <v>320</v>
      </c>
      <c r="AM6" s="63">
        <v>425</v>
      </c>
      <c r="AN6" s="63">
        <v>393</v>
      </c>
      <c r="AO6" s="64">
        <f t="shared" si="6"/>
        <v>4250</v>
      </c>
      <c r="AP6" s="63">
        <v>2499</v>
      </c>
      <c r="AQ6" s="63">
        <v>190</v>
      </c>
      <c r="AR6" s="63">
        <v>92</v>
      </c>
      <c r="AS6" s="63">
        <v>1469</v>
      </c>
      <c r="AT6" s="64" t="s">
        <v>34</v>
      </c>
      <c r="AU6" s="63" t="s">
        <v>34</v>
      </c>
      <c r="AV6" s="63" t="s">
        <v>34</v>
      </c>
      <c r="AW6" s="63" t="s">
        <v>34</v>
      </c>
      <c r="AX6" s="63" t="s">
        <v>34</v>
      </c>
      <c r="AY6" s="64">
        <f t="shared" si="7"/>
        <v>318</v>
      </c>
      <c r="AZ6" s="63">
        <f>318-SUM(BA6:BC6)</f>
        <v>121</v>
      </c>
      <c r="BA6" s="63">
        <v>-19</v>
      </c>
      <c r="BB6" s="63">
        <v>43</v>
      </c>
      <c r="BC6" s="63">
        <v>173</v>
      </c>
      <c r="BD6" s="64">
        <f t="shared" si="8"/>
        <v>1208</v>
      </c>
      <c r="BE6" s="63">
        <v>-498</v>
      </c>
      <c r="BF6" s="63">
        <v>1182</v>
      </c>
      <c r="BG6" s="63">
        <v>249</v>
      </c>
      <c r="BH6" s="63">
        <v>275</v>
      </c>
      <c r="BI6" s="64">
        <f t="shared" si="9"/>
        <v>7875</v>
      </c>
      <c r="BJ6" s="63">
        <v>460</v>
      </c>
      <c r="BK6" s="63">
        <v>4179</v>
      </c>
      <c r="BL6" s="63">
        <v>831</v>
      </c>
      <c r="BM6" s="63">
        <v>2405</v>
      </c>
      <c r="BN6" s="64">
        <f t="shared" si="10"/>
        <v>8131</v>
      </c>
      <c r="BO6" s="63">
        <v>556</v>
      </c>
      <c r="BP6" s="63">
        <v>5364</v>
      </c>
      <c r="BQ6" s="63">
        <v>1205</v>
      </c>
      <c r="BR6" s="63">
        <v>1006</v>
      </c>
      <c r="BS6" s="64">
        <f t="shared" si="11"/>
        <v>9637</v>
      </c>
      <c r="BT6" s="63">
        <v>897</v>
      </c>
      <c r="BU6" s="63">
        <v>1758</v>
      </c>
      <c r="BV6" s="63">
        <v>1736</v>
      </c>
      <c r="BW6" s="63">
        <v>5246</v>
      </c>
      <c r="BX6" s="64">
        <f t="shared" si="12"/>
        <v>14822</v>
      </c>
      <c r="BY6" s="63">
        <v>3284</v>
      </c>
      <c r="BZ6" s="63">
        <v>3925</v>
      </c>
      <c r="CA6" s="63">
        <v>3756</v>
      </c>
      <c r="CB6" s="63">
        <v>3857</v>
      </c>
      <c r="CC6" s="64">
        <f t="shared" si="13"/>
        <v>18332</v>
      </c>
      <c r="CD6" s="63">
        <v>4471</v>
      </c>
      <c r="CE6" s="63">
        <v>4307</v>
      </c>
      <c r="CF6" s="63">
        <v>5312</v>
      </c>
      <c r="CG6" s="63">
        <v>4242</v>
      </c>
    </row>
    <row r="7" spans="1:85" s="1" customFormat="1" ht="19.5" customHeight="1">
      <c r="A7" s="6"/>
      <c r="B7" s="52" t="s">
        <v>114</v>
      </c>
      <c r="C7" s="53"/>
      <c r="D7" s="63">
        <v>-7638</v>
      </c>
      <c r="E7" s="63">
        <v>-11630</v>
      </c>
      <c r="F7" s="64">
        <v>1534</v>
      </c>
      <c r="G7" s="63">
        <v>176</v>
      </c>
      <c r="H7" s="63">
        <v>-1415</v>
      </c>
      <c r="I7" s="63">
        <v>3661</v>
      </c>
      <c r="J7" s="63">
        <v>-888</v>
      </c>
      <c r="K7" s="64">
        <v>-13677</v>
      </c>
      <c r="L7" s="63">
        <v>-5236</v>
      </c>
      <c r="M7" s="63">
        <v>-4634</v>
      </c>
      <c r="N7" s="63">
        <v>-2922</v>
      </c>
      <c r="O7" s="63">
        <v>-885</v>
      </c>
      <c r="P7" s="64">
        <f t="shared" si="0"/>
        <v>3335</v>
      </c>
      <c r="Q7" s="63">
        <v>-304</v>
      </c>
      <c r="R7" s="63">
        <v>3862</v>
      </c>
      <c r="S7" s="63">
        <v>713</v>
      </c>
      <c r="T7" s="63">
        <v>-936</v>
      </c>
      <c r="U7" s="64">
        <f t="shared" si="1"/>
        <v>-6702</v>
      </c>
      <c r="V7" s="63">
        <v>-1710</v>
      </c>
      <c r="W7" s="63">
        <v>-2480</v>
      </c>
      <c r="X7" s="63">
        <v>-2100</v>
      </c>
      <c r="Y7" s="63">
        <v>-412</v>
      </c>
      <c r="Z7" s="64">
        <f t="shared" si="2"/>
        <v>-1172</v>
      </c>
      <c r="AA7" s="63">
        <v>-789</v>
      </c>
      <c r="AB7" s="63">
        <v>-864</v>
      </c>
      <c r="AC7" s="63">
        <v>149</v>
      </c>
      <c r="AD7" s="63">
        <v>332</v>
      </c>
      <c r="AE7" s="64">
        <f t="shared" si="3"/>
        <v>-3273</v>
      </c>
      <c r="AF7" s="63">
        <v>-1608</v>
      </c>
      <c r="AG7" s="63">
        <v>-1653</v>
      </c>
      <c r="AH7" s="63">
        <v>-1392</v>
      </c>
      <c r="AI7" s="63">
        <v>1380</v>
      </c>
      <c r="AJ7" s="64">
        <f t="shared" si="4"/>
        <v>1035</v>
      </c>
      <c r="AK7" s="63">
        <v>2179</v>
      </c>
      <c r="AL7" s="63">
        <v>-580</v>
      </c>
      <c r="AM7" s="63">
        <v>-1717</v>
      </c>
      <c r="AN7" s="63">
        <v>1153</v>
      </c>
      <c r="AO7" s="64">
        <f t="shared" si="6"/>
        <v>-406</v>
      </c>
      <c r="AP7" s="63">
        <v>508</v>
      </c>
      <c r="AQ7" s="63" t="s">
        <v>34</v>
      </c>
      <c r="AR7" s="63">
        <v>-914</v>
      </c>
      <c r="AS7" s="63" t="s">
        <v>34</v>
      </c>
      <c r="AT7" s="64">
        <f t="shared" ref="AT7:AT17" si="14">SUM(AU7:AX7)</f>
        <v>80</v>
      </c>
      <c r="AU7" s="63" t="s">
        <v>34</v>
      </c>
      <c r="AV7" s="63">
        <v>20</v>
      </c>
      <c r="AW7" s="63">
        <v>30</v>
      </c>
      <c r="AX7" s="63">
        <v>30</v>
      </c>
      <c r="AY7" s="64">
        <f t="shared" si="7"/>
        <v>65</v>
      </c>
      <c r="AZ7" s="63">
        <f>65-SUM(BA7:BC7)</f>
        <v>29</v>
      </c>
      <c r="BA7" s="63">
        <v>9</v>
      </c>
      <c r="BB7" s="63">
        <v>18</v>
      </c>
      <c r="BC7" s="63">
        <v>9</v>
      </c>
      <c r="BD7" s="64">
        <f t="shared" si="8"/>
        <v>9</v>
      </c>
      <c r="BE7" s="63">
        <v>9</v>
      </c>
      <c r="BF7" s="63" t="s">
        <v>34</v>
      </c>
      <c r="BG7" s="63" t="s">
        <v>34</v>
      </c>
      <c r="BH7" s="63" t="s">
        <v>34</v>
      </c>
      <c r="BI7" s="64">
        <f t="shared" si="9"/>
        <v>93</v>
      </c>
      <c r="BJ7" s="63" t="s">
        <v>34</v>
      </c>
      <c r="BK7" s="63">
        <v>24</v>
      </c>
      <c r="BL7" s="63">
        <v>36</v>
      </c>
      <c r="BM7" s="63">
        <v>33</v>
      </c>
      <c r="BN7" s="64">
        <f t="shared" si="10"/>
        <v>20</v>
      </c>
      <c r="BO7" s="63">
        <v>-63</v>
      </c>
      <c r="BP7" s="63" t="s">
        <v>34</v>
      </c>
      <c r="BQ7" s="63" t="s">
        <v>34</v>
      </c>
      <c r="BR7" s="63">
        <v>83</v>
      </c>
      <c r="BS7" s="64">
        <f t="shared" si="11"/>
        <v>446</v>
      </c>
      <c r="BT7" s="63">
        <v>56</v>
      </c>
      <c r="BU7" s="63">
        <v>60</v>
      </c>
      <c r="BV7" s="63">
        <v>131</v>
      </c>
      <c r="BW7" s="63">
        <v>199</v>
      </c>
      <c r="BX7" s="64">
        <f t="shared" si="12"/>
        <v>1233</v>
      </c>
      <c r="BY7" s="63">
        <v>418</v>
      </c>
      <c r="BZ7" s="63">
        <v>471</v>
      </c>
      <c r="CA7" s="63">
        <v>209</v>
      </c>
      <c r="CB7" s="63">
        <v>135</v>
      </c>
      <c r="CC7" s="64">
        <f t="shared" si="13"/>
        <v>285</v>
      </c>
      <c r="CD7" s="63">
        <v>48</v>
      </c>
      <c r="CE7" s="63">
        <v>16</v>
      </c>
      <c r="CF7" s="63">
        <v>169</v>
      </c>
      <c r="CG7" s="63">
        <v>52</v>
      </c>
    </row>
    <row r="8" spans="1:85" s="1" customFormat="1" ht="19.5" customHeight="1">
      <c r="A8" s="6"/>
      <c r="B8" s="52" t="s">
        <v>193</v>
      </c>
      <c r="C8" s="53"/>
      <c r="D8" s="63">
        <v>-33219</v>
      </c>
      <c r="E8" s="63">
        <v>-22322</v>
      </c>
      <c r="F8" s="64">
        <v>-32182</v>
      </c>
      <c r="G8" s="63">
        <v>-21111</v>
      </c>
      <c r="H8" s="63">
        <v>-6248</v>
      </c>
      <c r="I8" s="63">
        <v>-8261</v>
      </c>
      <c r="J8" s="63">
        <v>3438</v>
      </c>
      <c r="K8" s="64">
        <v>-63597</v>
      </c>
      <c r="L8" s="63">
        <v>-37430</v>
      </c>
      <c r="M8" s="63">
        <v>-16472</v>
      </c>
      <c r="N8" s="63">
        <v>-2942</v>
      </c>
      <c r="O8" s="63">
        <v>-6753</v>
      </c>
      <c r="P8" s="64">
        <f t="shared" si="0"/>
        <v>-26475</v>
      </c>
      <c r="Q8" s="63">
        <v>-12344</v>
      </c>
      <c r="R8" s="63">
        <f>1263-5371</f>
        <v>-4108</v>
      </c>
      <c r="S8" s="63">
        <f>5872-5730</f>
        <v>142</v>
      </c>
      <c r="T8" s="63">
        <f>-4849-5316</f>
        <v>-10165</v>
      </c>
      <c r="U8" s="64">
        <f t="shared" si="1"/>
        <v>-21757</v>
      </c>
      <c r="V8" s="63">
        <v>-9466</v>
      </c>
      <c r="W8" s="63">
        <f>-1878-4319</f>
        <v>-6197</v>
      </c>
      <c r="X8" s="63">
        <f>1097-4359</f>
        <v>-3262</v>
      </c>
      <c r="Y8" s="63">
        <f>859-3691</f>
        <v>-2832</v>
      </c>
      <c r="Z8" s="64">
        <f t="shared" si="2"/>
        <v>-10339</v>
      </c>
      <c r="AA8" s="63">
        <f>1668-3572</f>
        <v>-1904</v>
      </c>
      <c r="AB8" s="63">
        <f>-3945+134</f>
        <v>-3811</v>
      </c>
      <c r="AC8" s="63">
        <f>357-4400</f>
        <v>-4043</v>
      </c>
      <c r="AD8" s="63">
        <f>-4435+3854</f>
        <v>-581</v>
      </c>
      <c r="AE8" s="64">
        <f t="shared" si="3"/>
        <v>-29181</v>
      </c>
      <c r="AF8" s="63">
        <f>-5241-5483</f>
        <v>-10724</v>
      </c>
      <c r="AG8" s="63">
        <f>-424-5541</f>
        <v>-5965</v>
      </c>
      <c r="AH8" s="63">
        <f>-1557-4391</f>
        <v>-5948</v>
      </c>
      <c r="AI8" s="63">
        <f>-2630-3914</f>
        <v>-6544</v>
      </c>
      <c r="AJ8" s="64">
        <f t="shared" si="4"/>
        <v>-18331</v>
      </c>
      <c r="AK8" s="63">
        <f>-659-4840</f>
        <v>-5499</v>
      </c>
      <c r="AL8" s="63">
        <f>-673-4789</f>
        <v>-5462</v>
      </c>
      <c r="AM8" s="63">
        <f>-3636+415</f>
        <v>-3221</v>
      </c>
      <c r="AN8" s="63">
        <f>-610-3539</f>
        <v>-4149</v>
      </c>
      <c r="AO8" s="64">
        <f t="shared" si="6"/>
        <v>-15551</v>
      </c>
      <c r="AP8" s="63">
        <v>-7442</v>
      </c>
      <c r="AQ8" s="63">
        <v>-2843</v>
      </c>
      <c r="AR8" s="63">
        <v>-2767</v>
      </c>
      <c r="AS8" s="63">
        <v>-2499</v>
      </c>
      <c r="AT8" s="64">
        <f t="shared" si="14"/>
        <v>-10460</v>
      </c>
      <c r="AU8" s="63">
        <v>-556</v>
      </c>
      <c r="AV8" s="63">
        <v>-5840</v>
      </c>
      <c r="AW8" s="63">
        <v>-2061</v>
      </c>
      <c r="AX8" s="63">
        <v>-2003</v>
      </c>
      <c r="AY8" s="64">
        <f t="shared" si="7"/>
        <v>-9727</v>
      </c>
      <c r="AZ8" s="63">
        <f>-9727-SUM(BA8:BC8)</f>
        <v>-4133</v>
      </c>
      <c r="BA8" s="63">
        <v>-2816</v>
      </c>
      <c r="BB8" s="63">
        <v>-2006</v>
      </c>
      <c r="BC8" s="63">
        <v>-772</v>
      </c>
      <c r="BD8" s="64">
        <f t="shared" si="8"/>
        <v>-6797</v>
      </c>
      <c r="BE8" s="63">
        <v>-399</v>
      </c>
      <c r="BF8" s="63">
        <v>-494</v>
      </c>
      <c r="BG8" s="63">
        <v>-2462</v>
      </c>
      <c r="BH8" s="63">
        <v>-3442</v>
      </c>
      <c r="BI8" s="64">
        <f t="shared" si="9"/>
        <v>-12796</v>
      </c>
      <c r="BJ8" s="63">
        <v>-3159</v>
      </c>
      <c r="BK8" s="63">
        <v>-2872</v>
      </c>
      <c r="BL8" s="63">
        <v>-3903</v>
      </c>
      <c r="BM8" s="63">
        <v>-2862</v>
      </c>
      <c r="BN8" s="64">
        <f t="shared" si="10"/>
        <v>-9429</v>
      </c>
      <c r="BO8" s="63">
        <v>-3031</v>
      </c>
      <c r="BP8" s="63">
        <v>-1735</v>
      </c>
      <c r="BQ8" s="63">
        <v>-2645</v>
      </c>
      <c r="BR8" s="63">
        <v>-2018</v>
      </c>
      <c r="BS8" s="64">
        <f t="shared" si="11"/>
        <v>-17044</v>
      </c>
      <c r="BT8" s="63">
        <v>-242</v>
      </c>
      <c r="BU8" s="63">
        <v>-5184</v>
      </c>
      <c r="BV8" s="63">
        <v>-5614</v>
      </c>
      <c r="BW8" s="63">
        <v>-6004</v>
      </c>
      <c r="BX8" s="64">
        <f t="shared" si="12"/>
        <v>-31225</v>
      </c>
      <c r="BY8" s="63">
        <v>-7183</v>
      </c>
      <c r="BZ8" s="63">
        <v>-8388</v>
      </c>
      <c r="CA8" s="63">
        <v>-7583</v>
      </c>
      <c r="CB8" s="63">
        <v>-8071</v>
      </c>
      <c r="CC8" s="64">
        <f t="shared" si="13"/>
        <v>-30038</v>
      </c>
      <c r="CD8" s="63">
        <v>-7190</v>
      </c>
      <c r="CE8" s="63">
        <v>-8809</v>
      </c>
      <c r="CF8" s="63">
        <v>-8403</v>
      </c>
      <c r="CG8" s="63">
        <v>-5636</v>
      </c>
    </row>
    <row r="9" spans="1:85" s="25" customFormat="1" ht="16.5" customHeight="1">
      <c r="A9" s="24"/>
      <c r="B9" s="56" t="s">
        <v>62</v>
      </c>
      <c r="C9" s="38"/>
      <c r="D9" s="57">
        <f t="shared" ref="D9:G9" si="15">SUM(D5:D8)</f>
        <v>370232</v>
      </c>
      <c r="E9" s="57">
        <f t="shared" si="15"/>
        <v>343171</v>
      </c>
      <c r="F9" s="57">
        <f t="shared" si="15"/>
        <v>1378596</v>
      </c>
      <c r="G9" s="57">
        <f t="shared" si="15"/>
        <v>440343</v>
      </c>
      <c r="H9" s="57">
        <f>SUM(H5:H8)</f>
        <v>372603</v>
      </c>
      <c r="I9" s="57">
        <f>SUM(I5:I8)</f>
        <v>293667</v>
      </c>
      <c r="J9" s="57">
        <v>271983</v>
      </c>
      <c r="K9" s="57">
        <v>1346694</v>
      </c>
      <c r="L9" s="57">
        <v>418919</v>
      </c>
      <c r="M9" s="57">
        <v>306521</v>
      </c>
      <c r="N9" s="57">
        <v>318509</v>
      </c>
      <c r="O9" s="57">
        <v>302745</v>
      </c>
      <c r="P9" s="57">
        <f t="shared" si="0"/>
        <v>1046690</v>
      </c>
      <c r="Q9" s="57">
        <f>SUM(Q5:Q8)</f>
        <v>283224</v>
      </c>
      <c r="R9" s="57">
        <f>SUM(R5:R8)</f>
        <v>253179</v>
      </c>
      <c r="S9" s="57">
        <f>SUM(S5:S8)</f>
        <v>267079</v>
      </c>
      <c r="T9" s="57">
        <f>SUM(T5:T8)</f>
        <v>243208</v>
      </c>
      <c r="U9" s="57">
        <f t="shared" si="1"/>
        <v>760270</v>
      </c>
      <c r="V9" s="57">
        <v>203943</v>
      </c>
      <c r="W9" s="57">
        <v>182281</v>
      </c>
      <c r="X9" s="57">
        <v>209849</v>
      </c>
      <c r="Y9" s="57">
        <f t="shared" ref="Y9:AH9" si="16">SUM(Y5:Y8)</f>
        <v>164197</v>
      </c>
      <c r="Z9" s="57">
        <f t="shared" si="2"/>
        <v>774161</v>
      </c>
      <c r="AA9" s="57">
        <f t="shared" si="16"/>
        <v>170824</v>
      </c>
      <c r="AB9" s="57">
        <f t="shared" si="16"/>
        <v>190230</v>
      </c>
      <c r="AC9" s="57">
        <f t="shared" si="16"/>
        <v>210897</v>
      </c>
      <c r="AD9" s="57">
        <f t="shared" si="16"/>
        <v>202210</v>
      </c>
      <c r="AE9" s="57">
        <f t="shared" si="3"/>
        <v>878960</v>
      </c>
      <c r="AF9" s="57">
        <f t="shared" si="16"/>
        <v>252790</v>
      </c>
      <c r="AG9" s="57">
        <f t="shared" si="16"/>
        <v>254701</v>
      </c>
      <c r="AH9" s="57">
        <f t="shared" si="16"/>
        <v>200171</v>
      </c>
      <c r="AI9" s="57">
        <f>SUM(AI5:AI8)</f>
        <v>171298</v>
      </c>
      <c r="AJ9" s="57">
        <f t="shared" si="4"/>
        <v>798671</v>
      </c>
      <c r="AK9" s="57">
        <f>SUM(AK5:AK8)</f>
        <v>214955</v>
      </c>
      <c r="AL9" s="57">
        <f>SUM(AL5:AL8)</f>
        <v>218405</v>
      </c>
      <c r="AM9" s="57">
        <f>SUM(AM5:AM8)</f>
        <v>184336</v>
      </c>
      <c r="AN9" s="57">
        <f>SUM(AN5:AN8)</f>
        <v>180975</v>
      </c>
      <c r="AO9" s="57">
        <f t="shared" si="6"/>
        <v>545246</v>
      </c>
      <c r="AP9" s="57">
        <f>SUM(AP5:AP8)</f>
        <v>148008</v>
      </c>
      <c r="AQ9" s="57">
        <f>SUM(AQ5:AQ8)</f>
        <v>153362</v>
      </c>
      <c r="AR9" s="57">
        <f>SUM(AR5:AR8)</f>
        <v>122888</v>
      </c>
      <c r="AS9" s="57">
        <f>SUM(AS5:AS8)</f>
        <v>120988</v>
      </c>
      <c r="AT9" s="57">
        <f t="shared" si="14"/>
        <v>441677</v>
      </c>
      <c r="AU9" s="57">
        <f>SUM(AU5:AU8)</f>
        <v>124773</v>
      </c>
      <c r="AV9" s="57">
        <f>SUM(AV5:AV8)</f>
        <v>121602</v>
      </c>
      <c r="AW9" s="57">
        <f>SUM(AW5:AW8)</f>
        <v>98748</v>
      </c>
      <c r="AX9" s="57">
        <f>SUM(AX5:AX8)</f>
        <v>96554</v>
      </c>
      <c r="AY9" s="57">
        <f t="shared" si="7"/>
        <v>302468</v>
      </c>
      <c r="AZ9" s="57">
        <f>SUM(AZ5:AZ8)</f>
        <v>71499</v>
      </c>
      <c r="BA9" s="57">
        <f>SUM(BA5:BA8)</f>
        <v>93683</v>
      </c>
      <c r="BB9" s="57">
        <f>SUM(BB5:BB8)</f>
        <v>59162</v>
      </c>
      <c r="BC9" s="57">
        <f>SUM(BC5:BC8)</f>
        <v>78124</v>
      </c>
      <c r="BD9" s="57">
        <f t="shared" si="8"/>
        <v>379555</v>
      </c>
      <c r="BE9" s="57">
        <f>SUM(BE5:BE8)</f>
        <v>88007</v>
      </c>
      <c r="BF9" s="57">
        <f>SUM(BF5:BF8)</f>
        <v>120105</v>
      </c>
      <c r="BG9" s="57">
        <f>SUM(BG5:BG8)</f>
        <v>87722</v>
      </c>
      <c r="BH9" s="57">
        <f>SUM(BH5:BH8)</f>
        <v>83721</v>
      </c>
      <c r="BI9" s="57">
        <f t="shared" si="9"/>
        <v>370025</v>
      </c>
      <c r="BJ9" s="57">
        <f>SUM(BJ5:BJ8)</f>
        <v>93743</v>
      </c>
      <c r="BK9" s="57">
        <f>SUM(BK5:BK8)</f>
        <v>88515</v>
      </c>
      <c r="BL9" s="57">
        <f>SUM(BL5:BL8)</f>
        <v>87825</v>
      </c>
      <c r="BM9" s="57">
        <f>SUM(BM5:BM8)</f>
        <v>99942</v>
      </c>
      <c r="BN9" s="57">
        <f t="shared" si="10"/>
        <v>520096</v>
      </c>
      <c r="BO9" s="57">
        <f>SUM(BO5:BO8)</f>
        <v>112521</v>
      </c>
      <c r="BP9" s="57">
        <f>SUM(BP5:BP8)</f>
        <v>106349</v>
      </c>
      <c r="BQ9" s="57">
        <f>SUM(BQ5:BQ8)</f>
        <v>142235</v>
      </c>
      <c r="BR9" s="57">
        <f>SUM(BR5:BR8)</f>
        <v>158991</v>
      </c>
      <c r="BS9" s="57">
        <f t="shared" si="11"/>
        <v>627471</v>
      </c>
      <c r="BT9" s="57">
        <f>SUM(BT5:BT8)</f>
        <v>146299</v>
      </c>
      <c r="BU9" s="57">
        <f>SUM(BU5:BU8)</f>
        <v>142491</v>
      </c>
      <c r="BV9" s="57">
        <f>SUM(BV5:BV8)</f>
        <v>162404</v>
      </c>
      <c r="BW9" s="57">
        <f>SUM(BW5:BW8)</f>
        <v>176277</v>
      </c>
      <c r="BX9" s="57">
        <f t="shared" si="12"/>
        <v>782288</v>
      </c>
      <c r="BY9" s="57">
        <f>SUM(BY5:BY8)</f>
        <v>182643</v>
      </c>
      <c r="BZ9" s="57">
        <f>SUM(BZ5:BZ8)</f>
        <v>206208</v>
      </c>
      <c r="CA9" s="57">
        <f>SUM(CA5:CA8)</f>
        <v>192938</v>
      </c>
      <c r="CB9" s="57">
        <f>SUM(CB5:CB8)</f>
        <v>200499</v>
      </c>
      <c r="CC9" s="57">
        <f t="shared" si="13"/>
        <v>785896</v>
      </c>
      <c r="CD9" s="57">
        <f>SUM(CD5:CD8)</f>
        <v>180396</v>
      </c>
      <c r="CE9" s="57">
        <f>SUM(CE5:CE8)</f>
        <v>220470</v>
      </c>
      <c r="CF9" s="57">
        <f>SUM(CF5:CF8)</f>
        <v>209041</v>
      </c>
      <c r="CG9" s="57">
        <f>SUM(CG5:CG8)</f>
        <v>175989</v>
      </c>
    </row>
    <row r="10" spans="1:85" s="1" customFormat="1" ht="19.5" customHeight="1">
      <c r="A10" s="6"/>
      <c r="B10" s="52" t="s">
        <v>78</v>
      </c>
      <c r="C10" s="53"/>
      <c r="D10" s="63">
        <v>-263939</v>
      </c>
      <c r="E10" s="63">
        <v>-255689</v>
      </c>
      <c r="F10" s="64">
        <v>-974066</v>
      </c>
      <c r="G10" s="63">
        <v>-320299</v>
      </c>
      <c r="H10" s="63">
        <v>-266019</v>
      </c>
      <c r="I10" s="63">
        <v>-204501</v>
      </c>
      <c r="J10" s="63">
        <v>-183247</v>
      </c>
      <c r="K10" s="64">
        <v>-971908</v>
      </c>
      <c r="L10" s="63">
        <v>-291070</v>
      </c>
      <c r="M10" s="63">
        <v>-213859</v>
      </c>
      <c r="N10" s="63">
        <v>-239109</v>
      </c>
      <c r="O10" s="63">
        <v>-227870</v>
      </c>
      <c r="P10" s="64">
        <f t="shared" si="0"/>
        <v>-802171</v>
      </c>
      <c r="Q10" s="63">
        <v>-220195</v>
      </c>
      <c r="R10" s="63">
        <v>-194643</v>
      </c>
      <c r="S10" s="63">
        <v>-203294</v>
      </c>
      <c r="T10" s="63">
        <v>-184039</v>
      </c>
      <c r="U10" s="64">
        <f t="shared" si="1"/>
        <v>-535028</v>
      </c>
      <c r="V10" s="63">
        <v>-152736</v>
      </c>
      <c r="W10" s="63">
        <v>-126957</v>
      </c>
      <c r="X10" s="63">
        <v>-143859</v>
      </c>
      <c r="Y10" s="63">
        <v>-111476</v>
      </c>
      <c r="Z10" s="64">
        <f t="shared" si="2"/>
        <v>-490297</v>
      </c>
      <c r="AA10" s="63">
        <v>-115656</v>
      </c>
      <c r="AB10" s="63">
        <v>-117548</v>
      </c>
      <c r="AC10" s="63">
        <v>-133132</v>
      </c>
      <c r="AD10" s="63">
        <v>-123961</v>
      </c>
      <c r="AE10" s="64">
        <f t="shared" si="3"/>
        <v>-569017</v>
      </c>
      <c r="AF10" s="63">
        <v>-159877</v>
      </c>
      <c r="AG10" s="63">
        <v>-167393</v>
      </c>
      <c r="AH10" s="63">
        <v>-133879</v>
      </c>
      <c r="AI10" s="63">
        <v>-107868</v>
      </c>
      <c r="AJ10" s="64">
        <f t="shared" si="4"/>
        <v>-513583</v>
      </c>
      <c r="AK10" s="63">
        <v>-131654</v>
      </c>
      <c r="AL10" s="63">
        <v>-138676</v>
      </c>
      <c r="AM10" s="63">
        <v>-119830</v>
      </c>
      <c r="AN10" s="63">
        <v>-123423</v>
      </c>
      <c r="AO10" s="64">
        <f t="shared" si="6"/>
        <v>-367068</v>
      </c>
      <c r="AP10" s="63">
        <v>-96949</v>
      </c>
      <c r="AQ10" s="63">
        <v>-100150</v>
      </c>
      <c r="AR10" s="63">
        <v>-86544</v>
      </c>
      <c r="AS10" s="63">
        <v>-83425</v>
      </c>
      <c r="AT10" s="64">
        <f t="shared" si="14"/>
        <v>-315552</v>
      </c>
      <c r="AU10" s="63">
        <v>-81085</v>
      </c>
      <c r="AV10" s="63">
        <v>-87320</v>
      </c>
      <c r="AW10" s="63">
        <v>-72280</v>
      </c>
      <c r="AX10" s="63">
        <v>-74867</v>
      </c>
      <c r="AY10" s="64">
        <f t="shared" si="7"/>
        <v>-215863</v>
      </c>
      <c r="AZ10" s="63">
        <f>-215863-SUM(BA10:BC10)</f>
        <v>-49170</v>
      </c>
      <c r="BA10" s="63">
        <v>-65279</v>
      </c>
      <c r="BB10" s="63">
        <v>-44032</v>
      </c>
      <c r="BC10" s="63">
        <v>-57382</v>
      </c>
      <c r="BD10" s="64">
        <f t="shared" si="8"/>
        <v>-269213</v>
      </c>
      <c r="BE10" s="63">
        <v>-60948</v>
      </c>
      <c r="BF10" s="63">
        <v>-88145</v>
      </c>
      <c r="BG10" s="63">
        <v>-59655</v>
      </c>
      <c r="BH10" s="63">
        <v>-60465</v>
      </c>
      <c r="BI10" s="64">
        <f t="shared" si="9"/>
        <v>-243133</v>
      </c>
      <c r="BJ10" s="63">
        <v>-61079</v>
      </c>
      <c r="BK10" s="63">
        <v>-57846</v>
      </c>
      <c r="BL10" s="63">
        <v>-60235</v>
      </c>
      <c r="BM10" s="63">
        <v>-63973</v>
      </c>
      <c r="BN10" s="64">
        <f t="shared" si="10"/>
        <v>-379712</v>
      </c>
      <c r="BO10" s="63">
        <v>-80011</v>
      </c>
      <c r="BP10" s="63">
        <v>-73077</v>
      </c>
      <c r="BQ10" s="63">
        <v>-106005</v>
      </c>
      <c r="BR10" s="63">
        <v>-120619</v>
      </c>
      <c r="BS10" s="64">
        <f t="shared" si="11"/>
        <v>-477328</v>
      </c>
      <c r="BT10" s="63">
        <v>-106664</v>
      </c>
      <c r="BU10" s="63">
        <v>-102924</v>
      </c>
      <c r="BV10" s="63">
        <v>-125986</v>
      </c>
      <c r="BW10" s="63">
        <v>-141754</v>
      </c>
      <c r="BX10" s="64">
        <f t="shared" si="12"/>
        <v>-659849</v>
      </c>
      <c r="BY10" s="63">
        <v>-145492</v>
      </c>
      <c r="BZ10" s="63">
        <v>-158737</v>
      </c>
      <c r="CA10" s="63">
        <v>-186555</v>
      </c>
      <c r="CB10" s="63">
        <v>-169065</v>
      </c>
      <c r="CC10" s="64">
        <f t="shared" si="13"/>
        <v>-584643</v>
      </c>
      <c r="CD10" s="63">
        <v>-156361</v>
      </c>
      <c r="CE10" s="63">
        <v>-155318</v>
      </c>
      <c r="CF10" s="63">
        <v>-151695</v>
      </c>
      <c r="CG10" s="63">
        <v>-121269</v>
      </c>
    </row>
    <row r="11" spans="1:85" s="25" customFormat="1" ht="16.5" customHeight="1">
      <c r="A11" s="24"/>
      <c r="B11" s="56" t="s">
        <v>63</v>
      </c>
      <c r="C11" s="38"/>
      <c r="D11" s="57">
        <f t="shared" ref="D11:G11" si="17">SUM(D9:D10)</f>
        <v>106293</v>
      </c>
      <c r="E11" s="57">
        <f t="shared" si="17"/>
        <v>87482</v>
      </c>
      <c r="F11" s="57">
        <f t="shared" si="17"/>
        <v>404530</v>
      </c>
      <c r="G11" s="57">
        <f t="shared" si="17"/>
        <v>120044</v>
      </c>
      <c r="H11" s="57">
        <f>SUM(H9:H10)</f>
        <v>106584</v>
      </c>
      <c r="I11" s="57">
        <v>89166</v>
      </c>
      <c r="J11" s="57">
        <v>88736</v>
      </c>
      <c r="K11" s="57">
        <v>374786</v>
      </c>
      <c r="L11" s="57">
        <v>127849</v>
      </c>
      <c r="M11" s="57">
        <v>92662</v>
      </c>
      <c r="N11" s="57">
        <v>79400</v>
      </c>
      <c r="O11" s="57">
        <v>74875</v>
      </c>
      <c r="P11" s="57">
        <f t="shared" si="0"/>
        <v>244519</v>
      </c>
      <c r="Q11" s="57">
        <f>+SUM(Q9:Q10)</f>
        <v>63029</v>
      </c>
      <c r="R11" s="57">
        <f>+SUM(R9:R10)</f>
        <v>58536</v>
      </c>
      <c r="S11" s="57">
        <f>+SUM(S9:S10)</f>
        <v>63785</v>
      </c>
      <c r="T11" s="57">
        <f>+SUM(T9:T10)</f>
        <v>59169</v>
      </c>
      <c r="U11" s="57">
        <f t="shared" si="1"/>
        <v>225242</v>
      </c>
      <c r="V11" s="57">
        <v>51207</v>
      </c>
      <c r="W11" s="57">
        <v>55324</v>
      </c>
      <c r="X11" s="57">
        <v>65990</v>
      </c>
      <c r="Y11" s="57">
        <f>SUM(Y9:Y10)</f>
        <v>52721</v>
      </c>
      <c r="Z11" s="57">
        <f t="shared" si="2"/>
        <v>283864</v>
      </c>
      <c r="AA11" s="57">
        <f>SUM(AA9:AA10)</f>
        <v>55168</v>
      </c>
      <c r="AB11" s="57">
        <f>SUM(AB9:AB10)</f>
        <v>72682</v>
      </c>
      <c r="AC11" s="57">
        <f>SUM(AC9:AC10)</f>
        <v>77765</v>
      </c>
      <c r="AD11" s="57">
        <f t="shared" ref="AD11:AI11" si="18">SUM(AD9:AD10)</f>
        <v>78249</v>
      </c>
      <c r="AE11" s="57">
        <f t="shared" si="3"/>
        <v>309943</v>
      </c>
      <c r="AF11" s="57">
        <f t="shared" si="18"/>
        <v>92913</v>
      </c>
      <c r="AG11" s="57">
        <f t="shared" si="18"/>
        <v>87308</v>
      </c>
      <c r="AH11" s="57">
        <f t="shared" si="18"/>
        <v>66292</v>
      </c>
      <c r="AI11" s="57">
        <f t="shared" si="18"/>
        <v>63430</v>
      </c>
      <c r="AJ11" s="57">
        <f t="shared" si="4"/>
        <v>285088</v>
      </c>
      <c r="AK11" s="57">
        <f>SUM(AK9:AK10)</f>
        <v>83301</v>
      </c>
      <c r="AL11" s="57">
        <f>SUM(AL9:AL10)</f>
        <v>79729</v>
      </c>
      <c r="AM11" s="57">
        <f>SUM(AM9:AM10)</f>
        <v>64506</v>
      </c>
      <c r="AN11" s="57">
        <f>SUM(AN9:AN10)</f>
        <v>57552</v>
      </c>
      <c r="AO11" s="57">
        <f t="shared" si="6"/>
        <v>178178</v>
      </c>
      <c r="AP11" s="57">
        <f>SUM(AP9:AP10)</f>
        <v>51059</v>
      </c>
      <c r="AQ11" s="57">
        <f>SUM(AQ9:AQ10)</f>
        <v>53212</v>
      </c>
      <c r="AR11" s="57">
        <f>SUM(AR9:AR10)</f>
        <v>36344</v>
      </c>
      <c r="AS11" s="57">
        <f>SUM(AS9:AS10)</f>
        <v>37563</v>
      </c>
      <c r="AT11" s="57">
        <f t="shared" si="14"/>
        <v>126125</v>
      </c>
      <c r="AU11" s="57">
        <f>SUM(AU9:AU10)</f>
        <v>43688</v>
      </c>
      <c r="AV11" s="57">
        <f>SUM(AV9:AV10)</f>
        <v>34282</v>
      </c>
      <c r="AW11" s="57">
        <f>SUM(AW9:AW10)</f>
        <v>26468</v>
      </c>
      <c r="AX11" s="57">
        <f>SUM(AX9:AX10)</f>
        <v>21687</v>
      </c>
      <c r="AY11" s="57">
        <f t="shared" si="7"/>
        <v>86605</v>
      </c>
      <c r="AZ11" s="57">
        <f>SUM(AZ9:AZ10)</f>
        <v>22329</v>
      </c>
      <c r="BA11" s="57">
        <f>SUM(BA9:BA10)</f>
        <v>28404</v>
      </c>
      <c r="BB11" s="57">
        <f>SUM(BB9:BB10)</f>
        <v>15130</v>
      </c>
      <c r="BC11" s="57">
        <f>SUM(BC9:BC10)</f>
        <v>20742</v>
      </c>
      <c r="BD11" s="57">
        <f t="shared" si="8"/>
        <v>110342</v>
      </c>
      <c r="BE11" s="57">
        <f>SUM(BE9:BE10)</f>
        <v>27059</v>
      </c>
      <c r="BF11" s="57">
        <f>SUM(BF9:BF10)</f>
        <v>31960</v>
      </c>
      <c r="BG11" s="57">
        <f>SUM(BG9:BG10)</f>
        <v>28067</v>
      </c>
      <c r="BH11" s="57">
        <f>SUM(BH9:BH10)</f>
        <v>23256</v>
      </c>
      <c r="BI11" s="57">
        <f t="shared" si="9"/>
        <v>126892</v>
      </c>
      <c r="BJ11" s="57">
        <f>SUM(BJ9:BJ10)</f>
        <v>32664</v>
      </c>
      <c r="BK11" s="57">
        <f>SUM(BK9:BK10)</f>
        <v>30669</v>
      </c>
      <c r="BL11" s="57">
        <f>SUM(BL9:BL10)</f>
        <v>27590</v>
      </c>
      <c r="BM11" s="57">
        <f>SUM(BM9:BM10)</f>
        <v>35969</v>
      </c>
      <c r="BN11" s="57">
        <f t="shared" si="10"/>
        <v>140384</v>
      </c>
      <c r="BO11" s="57">
        <f>SUM(BO9:BO10)</f>
        <v>32510</v>
      </c>
      <c r="BP11" s="57">
        <f>SUM(BP9:BP10)</f>
        <v>33272</v>
      </c>
      <c r="BQ11" s="57">
        <f>SUM(BQ9:BQ10)</f>
        <v>36230</v>
      </c>
      <c r="BR11" s="57">
        <f>SUM(BR9:BR10)</f>
        <v>38372</v>
      </c>
      <c r="BS11" s="57">
        <f t="shared" si="11"/>
        <v>150143</v>
      </c>
      <c r="BT11" s="57">
        <f>SUM(BT9:BT10)</f>
        <v>39635</v>
      </c>
      <c r="BU11" s="57">
        <f>SUM(BU9:BU10)</f>
        <v>39567</v>
      </c>
      <c r="BV11" s="57">
        <f>SUM(BV9:BV10)</f>
        <v>36418</v>
      </c>
      <c r="BW11" s="57">
        <f>SUM(BW9:BW10)</f>
        <v>34523</v>
      </c>
      <c r="BX11" s="57">
        <f t="shared" si="12"/>
        <v>122439</v>
      </c>
      <c r="BY11" s="57">
        <f>SUM(BY9:BY10)</f>
        <v>37151</v>
      </c>
      <c r="BZ11" s="57">
        <f>SUM(BZ9:BZ10)</f>
        <v>47471</v>
      </c>
      <c r="CA11" s="57">
        <f>SUM(CA9:CA10)</f>
        <v>6383</v>
      </c>
      <c r="CB11" s="57">
        <f>SUM(CB9:CB10)</f>
        <v>31434</v>
      </c>
      <c r="CC11" s="57">
        <f t="shared" si="13"/>
        <v>201253</v>
      </c>
      <c r="CD11" s="57">
        <f>SUM(CD9:CD10)</f>
        <v>24035</v>
      </c>
      <c r="CE11" s="57">
        <f>SUM(CE9:CE10)</f>
        <v>65152</v>
      </c>
      <c r="CF11" s="57">
        <f>SUM(CF9:CF10)</f>
        <v>57346</v>
      </c>
      <c r="CG11" s="57">
        <f>SUM(CG9:CG10)</f>
        <v>54720</v>
      </c>
    </row>
    <row r="12" spans="1:85" s="5" customFormat="1" ht="15.75" customHeight="1">
      <c r="A12" s="10"/>
      <c r="B12" s="47" t="s">
        <v>79</v>
      </c>
      <c r="C12" s="47"/>
      <c r="D12" s="62">
        <f t="shared" ref="D12:G12" si="19">SUM(D13:D20)</f>
        <v>-56439</v>
      </c>
      <c r="E12" s="62">
        <f t="shared" si="19"/>
        <v>-57481</v>
      </c>
      <c r="F12" s="62">
        <f t="shared" si="19"/>
        <v>-196330</v>
      </c>
      <c r="G12" s="62">
        <f t="shared" si="19"/>
        <v>-55359</v>
      </c>
      <c r="H12" s="62">
        <f>SUM(H13:H20)</f>
        <v>-53056</v>
      </c>
      <c r="I12" s="62">
        <v>-38660</v>
      </c>
      <c r="J12" s="62">
        <v>-49255</v>
      </c>
      <c r="K12" s="62">
        <v>-174470</v>
      </c>
      <c r="L12" s="62">
        <v>-51970</v>
      </c>
      <c r="M12" s="62">
        <f>+SUM(M13:M20)</f>
        <v>-45549</v>
      </c>
      <c r="N12" s="62">
        <f>+SUM(N13:N20)</f>
        <v>-39885</v>
      </c>
      <c r="O12" s="62">
        <f>+SUM(O13:O20)</f>
        <v>-37066</v>
      </c>
      <c r="P12" s="62">
        <f t="shared" si="0"/>
        <v>-81905</v>
      </c>
      <c r="Q12" s="62">
        <f>+SUM(Q13:Q20)</f>
        <v>-8202</v>
      </c>
      <c r="R12" s="62">
        <f>+SUM(R13:R20)</f>
        <v>-26298</v>
      </c>
      <c r="S12" s="62">
        <f>+SUM(S13:S20)</f>
        <v>-27214</v>
      </c>
      <c r="T12" s="62">
        <f>+SUM(T13:T20)</f>
        <v>-20191</v>
      </c>
      <c r="U12" s="62">
        <f t="shared" si="1"/>
        <v>-111136</v>
      </c>
      <c r="V12" s="62">
        <v>-12694</v>
      </c>
      <c r="W12" s="62">
        <v>-33384</v>
      </c>
      <c r="X12" s="62">
        <f>SUM(X13:X20)</f>
        <v>-32861</v>
      </c>
      <c r="Y12" s="62">
        <f>SUM(Y13:Y20)</f>
        <v>-32197</v>
      </c>
      <c r="Z12" s="62">
        <f t="shared" si="2"/>
        <v>-125249</v>
      </c>
      <c r="AA12" s="62">
        <f>SUM(AA13:AA20)</f>
        <v>-29584</v>
      </c>
      <c r="AB12" s="62">
        <f>SUM(AB13:AB20)</f>
        <v>-30620</v>
      </c>
      <c r="AC12" s="62">
        <f>SUM(AC13:AC20)</f>
        <v>-32302</v>
      </c>
      <c r="AD12" s="62">
        <f>SUM(AD13:AD20)</f>
        <v>-32743</v>
      </c>
      <c r="AE12" s="62">
        <f t="shared" si="3"/>
        <v>-110847</v>
      </c>
      <c r="AF12" s="62">
        <f>SUM(AF13:AF20)</f>
        <v>-27690</v>
      </c>
      <c r="AG12" s="62">
        <f>SUM(AG13:AG20)</f>
        <v>-30191</v>
      </c>
      <c r="AH12" s="62">
        <f>SUM(AH13:AH20)</f>
        <v>-24747</v>
      </c>
      <c r="AI12" s="62">
        <f>SUM(AI13:AI20)</f>
        <v>-28219</v>
      </c>
      <c r="AJ12" s="62">
        <f t="shared" si="4"/>
        <v>-114705</v>
      </c>
      <c r="AK12" s="62">
        <f>SUM(AK13:AK20)</f>
        <v>-32839</v>
      </c>
      <c r="AL12" s="62">
        <f>SUM(AL13:AL20)</f>
        <v>-28329</v>
      </c>
      <c r="AM12" s="62">
        <f>SUM(AM13:AM20)</f>
        <v>-30110</v>
      </c>
      <c r="AN12" s="62">
        <f>SUM(AN13:AN20)</f>
        <v>-23427</v>
      </c>
      <c r="AO12" s="62">
        <f t="shared" si="6"/>
        <v>-85775</v>
      </c>
      <c r="AP12" s="62">
        <f>SUM(AP13:AP20)</f>
        <v>-23693</v>
      </c>
      <c r="AQ12" s="62">
        <f>SUM(AQ13:AQ20)</f>
        <v>-26959</v>
      </c>
      <c r="AR12" s="62">
        <f>SUM(AR13:AR20)</f>
        <v>-14730</v>
      </c>
      <c r="AS12" s="62">
        <f>SUM(AS13:AS20)</f>
        <v>-20393</v>
      </c>
      <c r="AT12" s="62">
        <f t="shared" si="14"/>
        <v>-72913</v>
      </c>
      <c r="AU12" s="62">
        <f>SUM(AU13:AU20)</f>
        <v>-18695</v>
      </c>
      <c r="AV12" s="62">
        <f>SUM(AV13:AV20)</f>
        <v>-20599</v>
      </c>
      <c r="AW12" s="62">
        <f>SUM(AW13:AW20)</f>
        <v>-19443</v>
      </c>
      <c r="AX12" s="62">
        <f>SUM(AX13:AX20)</f>
        <v>-14176</v>
      </c>
      <c r="AY12" s="62">
        <f t="shared" si="7"/>
        <v>-73596</v>
      </c>
      <c r="AZ12" s="62">
        <f>SUM(AZ13:AZ20)</f>
        <v>-18823</v>
      </c>
      <c r="BA12" s="62">
        <f>SUM(BA13:BA20)</f>
        <v>-21181</v>
      </c>
      <c r="BB12" s="62">
        <f>SUM(BB13:BB20)</f>
        <v>-13827</v>
      </c>
      <c r="BC12" s="62">
        <f>SUM(BC13:BC20)</f>
        <v>-19765</v>
      </c>
      <c r="BD12" s="62">
        <f t="shared" si="8"/>
        <v>-72716</v>
      </c>
      <c r="BE12" s="62">
        <f>SUM(BE13:BE20)</f>
        <v>-17479</v>
      </c>
      <c r="BF12" s="62">
        <f>SUM(BF13:BF20)</f>
        <v>-19914</v>
      </c>
      <c r="BG12" s="62">
        <f>SUM(BG13:BG20)</f>
        <v>-19231</v>
      </c>
      <c r="BH12" s="62">
        <f>SUM(BH13:BH20)</f>
        <v>-16092</v>
      </c>
      <c r="BI12" s="62">
        <f t="shared" si="9"/>
        <v>-80914</v>
      </c>
      <c r="BJ12" s="62">
        <f>SUM(BJ13:BJ20)</f>
        <v>-23941</v>
      </c>
      <c r="BK12" s="62">
        <f>SUM(BK13:BK20)</f>
        <v>-19160</v>
      </c>
      <c r="BL12" s="62">
        <f>SUM(BL13:BL20)</f>
        <v>-18051</v>
      </c>
      <c r="BM12" s="62">
        <f>SUM(BM13:BM20)</f>
        <v>-19762</v>
      </c>
      <c r="BN12" s="62">
        <f t="shared" si="10"/>
        <v>-65708</v>
      </c>
      <c r="BO12" s="62">
        <f>SUM(BO13:BO20)</f>
        <v>-18115</v>
      </c>
      <c r="BP12" s="62">
        <f>SUM(BP13:BP20)</f>
        <v>-16579</v>
      </c>
      <c r="BQ12" s="62">
        <f>SUM(BQ13:BQ20)</f>
        <v>-16533</v>
      </c>
      <c r="BR12" s="62">
        <f>SUM(BR13:BR20)</f>
        <v>-14481</v>
      </c>
      <c r="BS12" s="62">
        <f t="shared" si="11"/>
        <v>-93982</v>
      </c>
      <c r="BT12" s="62">
        <f>SUM(BT13:BT20)</f>
        <v>-23228</v>
      </c>
      <c r="BU12" s="62">
        <f>SUM(BU13:BU20)</f>
        <v>-24892</v>
      </c>
      <c r="BV12" s="62">
        <f>SUM(BV13:BV20)</f>
        <v>-24255</v>
      </c>
      <c r="BW12" s="62">
        <f>SUM(BW13:BW20)</f>
        <v>-21607</v>
      </c>
      <c r="BX12" s="62">
        <f t="shared" si="12"/>
        <v>-100804</v>
      </c>
      <c r="BY12" s="62">
        <f>SUM(BY13:BY20)</f>
        <v>-20690</v>
      </c>
      <c r="BZ12" s="62">
        <f>SUM(BZ13:BZ20)</f>
        <v>-25918</v>
      </c>
      <c r="CA12" s="62">
        <f>SUM(CA13:CA20)</f>
        <v>-24364</v>
      </c>
      <c r="CB12" s="62">
        <f>SUM(CB13:CB20)</f>
        <v>-29832</v>
      </c>
      <c r="CC12" s="62">
        <f t="shared" si="13"/>
        <v>-112103</v>
      </c>
      <c r="CD12" s="62">
        <f>SUM(CD13:CD20)</f>
        <v>-28747</v>
      </c>
      <c r="CE12" s="62">
        <f>SUM(CE13:CE20)</f>
        <v>-31950</v>
      </c>
      <c r="CF12" s="62">
        <f>SUM(CF13:CF20)</f>
        <v>-28307</v>
      </c>
      <c r="CG12" s="62">
        <f>SUM(CG13:CG20)</f>
        <v>-23099</v>
      </c>
    </row>
    <row r="13" spans="1:85" s="1" customFormat="1" ht="19.5" customHeight="1">
      <c r="A13" s="6"/>
      <c r="B13" s="52" t="s">
        <v>115</v>
      </c>
      <c r="C13" s="53"/>
      <c r="D13" s="63">
        <v>-22795</v>
      </c>
      <c r="E13" s="63">
        <v>-21414</v>
      </c>
      <c r="F13" s="64">
        <v>-80714</v>
      </c>
      <c r="G13" s="63">
        <v>-23310</v>
      </c>
      <c r="H13" s="63">
        <v>-20200</v>
      </c>
      <c r="I13" s="63">
        <v>-18257</v>
      </c>
      <c r="J13" s="63">
        <v>-18947</v>
      </c>
      <c r="K13" s="64">
        <v>-80342</v>
      </c>
      <c r="L13" s="63">
        <v>-22130</v>
      </c>
      <c r="M13" s="63">
        <v>-18480</v>
      </c>
      <c r="N13" s="63">
        <v>-21275</v>
      </c>
      <c r="O13" s="63">
        <v>-18457</v>
      </c>
      <c r="P13" s="64">
        <f t="shared" ref="P13:P21" si="20">SUM(Q13:T13)</f>
        <v>-71073</v>
      </c>
      <c r="Q13" s="63">
        <v>-20356</v>
      </c>
      <c r="R13" s="63">
        <v>-15230</v>
      </c>
      <c r="S13" s="63">
        <v>-17110</v>
      </c>
      <c r="T13" s="63">
        <v>-18377</v>
      </c>
      <c r="U13" s="64">
        <f t="shared" ref="U13:U20" si="21">SUM(V13:Y13)</f>
        <v>-71844</v>
      </c>
      <c r="V13" s="63">
        <v>-18533</v>
      </c>
      <c r="W13" s="63">
        <v>-18718</v>
      </c>
      <c r="X13" s="63">
        <v>-16583</v>
      </c>
      <c r="Y13" s="63">
        <v>-18010</v>
      </c>
      <c r="Z13" s="64">
        <f t="shared" si="2"/>
        <v>-67971</v>
      </c>
      <c r="AA13" s="63">
        <v>-16156</v>
      </c>
      <c r="AB13" s="63">
        <v>-16736</v>
      </c>
      <c r="AC13" s="63">
        <v>-17392</v>
      </c>
      <c r="AD13" s="63">
        <v>-17687</v>
      </c>
      <c r="AE13" s="64">
        <f t="shared" si="3"/>
        <v>-67008</v>
      </c>
      <c r="AF13" s="63">
        <v>-16994</v>
      </c>
      <c r="AG13" s="63">
        <v>-18712</v>
      </c>
      <c r="AH13" s="63">
        <v>-15554</v>
      </c>
      <c r="AI13" s="63">
        <v>-15748</v>
      </c>
      <c r="AJ13" s="64">
        <f t="shared" si="4"/>
        <v>-67469</v>
      </c>
      <c r="AK13" s="63">
        <v>-18388</v>
      </c>
      <c r="AL13" s="63">
        <v>-20125</v>
      </c>
      <c r="AM13" s="63">
        <v>-16672</v>
      </c>
      <c r="AN13" s="63">
        <v>-12284</v>
      </c>
      <c r="AO13" s="64">
        <f t="shared" si="6"/>
        <v>-48355</v>
      </c>
      <c r="AP13" s="63">
        <v>-12500</v>
      </c>
      <c r="AQ13" s="63">
        <v>-16901</v>
      </c>
      <c r="AR13" s="63">
        <v>-8529</v>
      </c>
      <c r="AS13" s="63">
        <v>-10425</v>
      </c>
      <c r="AT13" s="64">
        <f t="shared" si="14"/>
        <v>-42474</v>
      </c>
      <c r="AU13" s="63">
        <v>-12073</v>
      </c>
      <c r="AV13" s="63">
        <v>-10680</v>
      </c>
      <c r="AW13" s="63">
        <v>-10184</v>
      </c>
      <c r="AX13" s="63">
        <v>-9537</v>
      </c>
      <c r="AY13" s="64">
        <f t="shared" si="7"/>
        <v>-39995</v>
      </c>
      <c r="AZ13" s="63">
        <f>-39995-SUM(BA13:BC13)</f>
        <v>-9123</v>
      </c>
      <c r="BA13" s="63">
        <v>-10578</v>
      </c>
      <c r="BB13" s="63">
        <v>-9879</v>
      </c>
      <c r="BC13" s="63">
        <v>-10415</v>
      </c>
      <c r="BD13" s="64">
        <f t="shared" si="8"/>
        <v>-45017</v>
      </c>
      <c r="BE13" s="63">
        <v>-10030</v>
      </c>
      <c r="BF13" s="63">
        <v>-10819</v>
      </c>
      <c r="BG13" s="63">
        <v>-11920</v>
      </c>
      <c r="BH13" s="63">
        <v>-12248</v>
      </c>
      <c r="BI13" s="64">
        <f t="shared" si="9"/>
        <v>-53904</v>
      </c>
      <c r="BJ13" s="63">
        <v>-12129</v>
      </c>
      <c r="BK13" s="63">
        <v>-12573</v>
      </c>
      <c r="BL13" s="63">
        <v>-15743</v>
      </c>
      <c r="BM13" s="63">
        <v>-13459</v>
      </c>
      <c r="BN13" s="64">
        <f t="shared" si="10"/>
        <v>-43839</v>
      </c>
      <c r="BO13" s="63">
        <v>-11091</v>
      </c>
      <c r="BP13" s="63">
        <v>-10167</v>
      </c>
      <c r="BQ13" s="63">
        <v>-11931</v>
      </c>
      <c r="BR13" s="63">
        <v>-10650</v>
      </c>
      <c r="BS13" s="64">
        <f t="shared" si="11"/>
        <v>-56849</v>
      </c>
      <c r="BT13" s="63">
        <v>-12788</v>
      </c>
      <c r="BU13" s="63">
        <v>-14019</v>
      </c>
      <c r="BV13" s="63">
        <v>-15742</v>
      </c>
      <c r="BW13" s="63">
        <v>-14300</v>
      </c>
      <c r="BX13" s="64">
        <f t="shared" si="12"/>
        <v>-57964</v>
      </c>
      <c r="BY13" s="63">
        <v>-14915</v>
      </c>
      <c r="BZ13" s="63">
        <v>-14864</v>
      </c>
      <c r="CA13" s="63">
        <v>-14967</v>
      </c>
      <c r="CB13" s="63">
        <v>-13218</v>
      </c>
      <c r="CC13" s="64">
        <f t="shared" si="13"/>
        <v>-50033</v>
      </c>
      <c r="CD13" s="63">
        <v>-14910</v>
      </c>
      <c r="CE13" s="63">
        <v>-12440</v>
      </c>
      <c r="CF13" s="63">
        <v>-12056</v>
      </c>
      <c r="CG13" s="63">
        <v>-10627</v>
      </c>
    </row>
    <row r="14" spans="1:85" s="1" customFormat="1" ht="19.5" customHeight="1">
      <c r="A14" s="6"/>
      <c r="B14" s="52" t="s">
        <v>64</v>
      </c>
      <c r="C14" s="53"/>
      <c r="D14" s="63">
        <v>-30179</v>
      </c>
      <c r="E14" s="63">
        <v>-29441</v>
      </c>
      <c r="F14" s="64">
        <v>-107612</v>
      </c>
      <c r="G14" s="63">
        <v>-28866</v>
      </c>
      <c r="H14" s="63">
        <v>-28561</v>
      </c>
      <c r="I14" s="63">
        <v>-26751</v>
      </c>
      <c r="J14" s="63">
        <v>-23434</v>
      </c>
      <c r="K14" s="64">
        <v>-93128</v>
      </c>
      <c r="L14" s="63">
        <v>-25765</v>
      </c>
      <c r="M14" s="63">
        <v>-25084</v>
      </c>
      <c r="N14" s="63">
        <v>-22363</v>
      </c>
      <c r="O14" s="63">
        <v>-19916</v>
      </c>
      <c r="P14" s="64">
        <f t="shared" si="20"/>
        <v>-71437</v>
      </c>
      <c r="Q14" s="63">
        <v>-18474</v>
      </c>
      <c r="R14" s="63">
        <v>-18484</v>
      </c>
      <c r="S14" s="63">
        <v>-16791</v>
      </c>
      <c r="T14" s="63">
        <v>-17688</v>
      </c>
      <c r="U14" s="64">
        <f t="shared" si="21"/>
        <v>-59107</v>
      </c>
      <c r="V14" s="63">
        <v>-15731</v>
      </c>
      <c r="W14" s="63">
        <v>-15092</v>
      </c>
      <c r="X14" s="63">
        <v>-13948</v>
      </c>
      <c r="Y14" s="63">
        <v>-14336</v>
      </c>
      <c r="Z14" s="64">
        <f t="shared" si="2"/>
        <v>-59779</v>
      </c>
      <c r="AA14" s="63">
        <v>-15451</v>
      </c>
      <c r="AB14" s="63">
        <v>-14508</v>
      </c>
      <c r="AC14" s="63">
        <v>-14148</v>
      </c>
      <c r="AD14" s="63">
        <v>-15672</v>
      </c>
      <c r="AE14" s="64">
        <f t="shared" si="3"/>
        <v>-59918</v>
      </c>
      <c r="AF14" s="63">
        <v>-16065</v>
      </c>
      <c r="AG14" s="63">
        <v>-15019</v>
      </c>
      <c r="AH14" s="63">
        <v>-13521</v>
      </c>
      <c r="AI14" s="63">
        <v>-15313</v>
      </c>
      <c r="AJ14" s="64">
        <f t="shared" si="4"/>
        <v>-51500</v>
      </c>
      <c r="AK14" s="63">
        <v>-14226</v>
      </c>
      <c r="AL14" s="63">
        <v>-11430</v>
      </c>
      <c r="AM14" s="63">
        <v>-14412</v>
      </c>
      <c r="AN14" s="63">
        <v>-11432</v>
      </c>
      <c r="AO14" s="64">
        <f t="shared" si="6"/>
        <v>-42667</v>
      </c>
      <c r="AP14" s="63">
        <v>-10904</v>
      </c>
      <c r="AQ14" s="63">
        <v>-9496</v>
      </c>
      <c r="AR14" s="63">
        <v>-11787</v>
      </c>
      <c r="AS14" s="63">
        <v>-10480</v>
      </c>
      <c r="AT14" s="64">
        <f t="shared" si="14"/>
        <v>-38911</v>
      </c>
      <c r="AU14" s="63">
        <v>-11866</v>
      </c>
      <c r="AV14" s="63">
        <v>-10037</v>
      </c>
      <c r="AW14" s="63">
        <v>-9875</v>
      </c>
      <c r="AX14" s="63">
        <v>-7133</v>
      </c>
      <c r="AY14" s="64">
        <f t="shared" si="7"/>
        <v>-39057</v>
      </c>
      <c r="AZ14" s="63">
        <f>-39057-SUM(BA14:BC14)</f>
        <v>-9932</v>
      </c>
      <c r="BA14" s="63">
        <v>-10413</v>
      </c>
      <c r="BB14" s="63">
        <v>-9974</v>
      </c>
      <c r="BC14" s="63">
        <v>-8738</v>
      </c>
      <c r="BD14" s="64">
        <f t="shared" si="8"/>
        <v>-28837</v>
      </c>
      <c r="BE14" s="63">
        <v>-8076</v>
      </c>
      <c r="BF14" s="63">
        <v>-9825</v>
      </c>
      <c r="BG14" s="63">
        <v>-8286</v>
      </c>
      <c r="BH14" s="63">
        <v>-2650</v>
      </c>
      <c r="BI14" s="64">
        <f t="shared" si="9"/>
        <v>-29982</v>
      </c>
      <c r="BJ14" s="63">
        <v>-8943</v>
      </c>
      <c r="BK14" s="63">
        <v>-4944</v>
      </c>
      <c r="BL14" s="63">
        <v>-6798</v>
      </c>
      <c r="BM14" s="63">
        <v>-9297</v>
      </c>
      <c r="BN14" s="64">
        <f t="shared" si="10"/>
        <v>-43159</v>
      </c>
      <c r="BO14" s="63">
        <v>-12373</v>
      </c>
      <c r="BP14" s="63">
        <v>-11023</v>
      </c>
      <c r="BQ14" s="63">
        <v>-11350</v>
      </c>
      <c r="BR14" s="63">
        <v>-8413</v>
      </c>
      <c r="BS14" s="64">
        <f t="shared" si="11"/>
        <v>-29960</v>
      </c>
      <c r="BT14" s="63">
        <v>-8973</v>
      </c>
      <c r="BU14" s="63">
        <v>-7111</v>
      </c>
      <c r="BV14" s="63">
        <v>-7152</v>
      </c>
      <c r="BW14" s="63">
        <v>-6724</v>
      </c>
      <c r="BX14" s="64">
        <f t="shared" si="12"/>
        <v>-36733</v>
      </c>
      <c r="BY14" s="63">
        <v>-7692</v>
      </c>
      <c r="BZ14" s="63">
        <v>-7387</v>
      </c>
      <c r="CA14" s="63">
        <v>-10313</v>
      </c>
      <c r="CB14" s="63">
        <v>-11341</v>
      </c>
      <c r="CC14" s="64">
        <f t="shared" si="13"/>
        <v>-49736</v>
      </c>
      <c r="CD14" s="63">
        <v>-11817</v>
      </c>
      <c r="CE14" s="63">
        <v>-14253</v>
      </c>
      <c r="CF14" s="63">
        <v>-12929</v>
      </c>
      <c r="CG14" s="63">
        <v>-10737</v>
      </c>
    </row>
    <row r="15" spans="1:85" s="1" customFormat="1" ht="19.5" customHeight="1">
      <c r="A15" s="6"/>
      <c r="B15" s="52" t="s">
        <v>116</v>
      </c>
      <c r="C15" s="53"/>
      <c r="D15" s="63">
        <v>-46</v>
      </c>
      <c r="E15" s="63">
        <v>65</v>
      </c>
      <c r="F15" s="64">
        <v>898</v>
      </c>
      <c r="G15" s="63">
        <v>32</v>
      </c>
      <c r="H15" s="63">
        <v>73</v>
      </c>
      <c r="I15" s="63">
        <v>797</v>
      </c>
      <c r="J15" s="63">
        <v>-4</v>
      </c>
      <c r="K15" s="64">
        <v>-1016</v>
      </c>
      <c r="L15" s="63">
        <v>-199</v>
      </c>
      <c r="M15" s="63">
        <v>-155</v>
      </c>
      <c r="N15" s="63">
        <v>-239</v>
      </c>
      <c r="O15" s="63">
        <v>-423</v>
      </c>
      <c r="P15" s="64">
        <f t="shared" si="20"/>
        <v>-1895</v>
      </c>
      <c r="Q15" s="63">
        <v>-511</v>
      </c>
      <c r="R15" s="63">
        <v>-617</v>
      </c>
      <c r="S15" s="63">
        <v>-260</v>
      </c>
      <c r="T15" s="63">
        <v>-507</v>
      </c>
      <c r="U15" s="64">
        <f t="shared" si="21"/>
        <v>-320</v>
      </c>
      <c r="V15" s="63">
        <v>-16</v>
      </c>
      <c r="W15" s="63">
        <v>-81</v>
      </c>
      <c r="X15" s="63">
        <v>-132</v>
      </c>
      <c r="Y15" s="63">
        <v>-91</v>
      </c>
      <c r="Z15" s="64">
        <f t="shared" si="2"/>
        <v>-700</v>
      </c>
      <c r="AA15" s="63">
        <v>-196</v>
      </c>
      <c r="AB15" s="63">
        <v>-171</v>
      </c>
      <c r="AC15" s="63">
        <v>-252</v>
      </c>
      <c r="AD15" s="63">
        <v>-81</v>
      </c>
      <c r="AE15" s="64">
        <f t="shared" si="3"/>
        <v>-889</v>
      </c>
      <c r="AF15" s="63">
        <v>-376</v>
      </c>
      <c r="AG15" s="63">
        <v>-189</v>
      </c>
      <c r="AH15" s="63">
        <v>-183</v>
      </c>
      <c r="AI15" s="63">
        <v>-141</v>
      </c>
      <c r="AJ15" s="64">
        <f t="shared" si="4"/>
        <v>-580</v>
      </c>
      <c r="AK15" s="63">
        <v>-158</v>
      </c>
      <c r="AL15" s="63">
        <v>-172</v>
      </c>
      <c r="AM15" s="63">
        <v>-146</v>
      </c>
      <c r="AN15" s="63">
        <v>-104</v>
      </c>
      <c r="AO15" s="64">
        <f t="shared" si="6"/>
        <v>-461</v>
      </c>
      <c r="AP15" s="63">
        <v>-78</v>
      </c>
      <c r="AQ15" s="63">
        <v>-115</v>
      </c>
      <c r="AR15" s="63">
        <v>-146</v>
      </c>
      <c r="AS15" s="63">
        <v>-122</v>
      </c>
      <c r="AT15" s="64">
        <f t="shared" si="14"/>
        <v>-691</v>
      </c>
      <c r="AU15" s="63">
        <v>-195</v>
      </c>
      <c r="AV15" s="63">
        <v>-171</v>
      </c>
      <c r="AW15" s="63">
        <v>-52</v>
      </c>
      <c r="AX15" s="63">
        <v>-273</v>
      </c>
      <c r="AY15" s="64">
        <f t="shared" si="7"/>
        <v>-437</v>
      </c>
      <c r="AZ15" s="63">
        <f>-437-SUM(BA15:BC15)</f>
        <v>-93</v>
      </c>
      <c r="BA15" s="63">
        <v>-142</v>
      </c>
      <c r="BB15" s="63">
        <v>-102</v>
      </c>
      <c r="BC15" s="63">
        <v>-100</v>
      </c>
      <c r="BD15" s="64">
        <f t="shared" si="8"/>
        <v>-354</v>
      </c>
      <c r="BE15" s="63">
        <v>-51</v>
      </c>
      <c r="BF15" s="63">
        <v>-45</v>
      </c>
      <c r="BG15" s="63">
        <v>-11</v>
      </c>
      <c r="BH15" s="63">
        <v>-247</v>
      </c>
      <c r="BI15" s="64">
        <f t="shared" si="9"/>
        <v>-1130</v>
      </c>
      <c r="BJ15" s="63">
        <v>-226</v>
      </c>
      <c r="BK15" s="63">
        <v>-192</v>
      </c>
      <c r="BL15" s="63">
        <v>-187</v>
      </c>
      <c r="BM15" s="63">
        <v>-525</v>
      </c>
      <c r="BN15" s="64">
        <f t="shared" si="10"/>
        <v>-619</v>
      </c>
      <c r="BO15" s="63">
        <v>-57</v>
      </c>
      <c r="BP15" s="63">
        <v>-63</v>
      </c>
      <c r="BQ15" s="63">
        <v>-228</v>
      </c>
      <c r="BR15" s="63">
        <v>-271</v>
      </c>
      <c r="BS15" s="64">
        <f t="shared" si="11"/>
        <v>-2040</v>
      </c>
      <c r="BT15" s="63">
        <v>-229</v>
      </c>
      <c r="BU15" s="63">
        <v>-708</v>
      </c>
      <c r="BV15" s="63">
        <v>-620</v>
      </c>
      <c r="BW15" s="63">
        <v>-483</v>
      </c>
      <c r="BX15" s="64">
        <f t="shared" si="12"/>
        <v>-1966</v>
      </c>
      <c r="BY15" s="63">
        <v>-235</v>
      </c>
      <c r="BZ15" s="63">
        <v>-447</v>
      </c>
      <c r="CA15" s="63">
        <v>-451</v>
      </c>
      <c r="CB15" s="63">
        <v>-833</v>
      </c>
      <c r="CC15" s="64">
        <f t="shared" si="13"/>
        <v>-1743</v>
      </c>
      <c r="CD15" s="63">
        <v>-212</v>
      </c>
      <c r="CE15" s="63">
        <v>-322</v>
      </c>
      <c r="CF15" s="63">
        <v>-283</v>
      </c>
      <c r="CG15" s="63">
        <v>-926</v>
      </c>
    </row>
    <row r="16" spans="1:85" s="1" customFormat="1" ht="19.5" customHeight="1">
      <c r="A16" s="6"/>
      <c r="B16" s="52" t="s">
        <v>65</v>
      </c>
      <c r="C16" s="53"/>
      <c r="D16" s="63">
        <v>-2191</v>
      </c>
      <c r="E16" s="63">
        <v>-1962</v>
      </c>
      <c r="F16" s="64">
        <v>-7429</v>
      </c>
      <c r="G16" s="63">
        <v>-1872</v>
      </c>
      <c r="H16" s="63">
        <v>-1861</v>
      </c>
      <c r="I16" s="63">
        <v>-1851</v>
      </c>
      <c r="J16" s="63">
        <v>-1845</v>
      </c>
      <c r="K16" s="64">
        <v>-6607</v>
      </c>
      <c r="L16" s="63">
        <v>-1783</v>
      </c>
      <c r="M16" s="63">
        <v>-3231</v>
      </c>
      <c r="N16" s="63">
        <v>-869</v>
      </c>
      <c r="O16" s="63">
        <v>-724</v>
      </c>
      <c r="P16" s="64">
        <f t="shared" si="20"/>
        <v>-5473</v>
      </c>
      <c r="Q16" s="63">
        <v>-1329</v>
      </c>
      <c r="R16" s="63">
        <v>-1432</v>
      </c>
      <c r="S16" s="63">
        <v>-1399</v>
      </c>
      <c r="T16" s="63">
        <v>-1313</v>
      </c>
      <c r="U16" s="64">
        <f t="shared" si="21"/>
        <v>-1529</v>
      </c>
      <c r="V16" s="63">
        <v>-414</v>
      </c>
      <c r="W16" s="63">
        <v>-395</v>
      </c>
      <c r="X16" s="63">
        <v>-377</v>
      </c>
      <c r="Y16" s="63">
        <v>-343</v>
      </c>
      <c r="Z16" s="64">
        <f t="shared" si="2"/>
        <v>-1233</v>
      </c>
      <c r="AA16" s="63">
        <v>-387</v>
      </c>
      <c r="AB16" s="63">
        <v>-350</v>
      </c>
      <c r="AC16" s="63">
        <v>-283</v>
      </c>
      <c r="AD16" s="63">
        <v>-213</v>
      </c>
      <c r="AE16" s="64">
        <f t="shared" si="3"/>
        <v>-813</v>
      </c>
      <c r="AF16" s="63">
        <v>-154</v>
      </c>
      <c r="AG16" s="63">
        <v>-149</v>
      </c>
      <c r="AH16" s="63">
        <v>-204</v>
      </c>
      <c r="AI16" s="63">
        <v>-306</v>
      </c>
      <c r="AJ16" s="64">
        <f t="shared" si="4"/>
        <v>-1205</v>
      </c>
      <c r="AK16" s="63">
        <v>-283</v>
      </c>
      <c r="AL16" s="63">
        <v>-343</v>
      </c>
      <c r="AM16" s="63">
        <v>-275</v>
      </c>
      <c r="AN16" s="63">
        <v>-304</v>
      </c>
      <c r="AO16" s="64">
        <f t="shared" si="6"/>
        <v>-1239</v>
      </c>
      <c r="AP16" s="63">
        <v>-355</v>
      </c>
      <c r="AQ16" s="63">
        <v>-336</v>
      </c>
      <c r="AR16" s="63">
        <v>-283</v>
      </c>
      <c r="AS16" s="63">
        <v>-265</v>
      </c>
      <c r="AT16" s="64">
        <f t="shared" si="14"/>
        <v>-1057</v>
      </c>
      <c r="AU16" s="63">
        <v>-262</v>
      </c>
      <c r="AV16" s="63">
        <v>-264</v>
      </c>
      <c r="AW16" s="63">
        <v>-267</v>
      </c>
      <c r="AX16" s="63">
        <v>-264</v>
      </c>
      <c r="AY16" s="64">
        <f t="shared" si="7"/>
        <v>-1264</v>
      </c>
      <c r="AZ16" s="63">
        <f>-1264-SUM(BA16:BC16)</f>
        <v>-302</v>
      </c>
      <c r="BA16" s="63">
        <v>-304</v>
      </c>
      <c r="BB16" s="63">
        <v>-326</v>
      </c>
      <c r="BC16" s="63">
        <v>-332</v>
      </c>
      <c r="BD16" s="64">
        <f t="shared" si="8"/>
        <v>-1345</v>
      </c>
      <c r="BE16" s="63">
        <v>-351</v>
      </c>
      <c r="BF16" s="63">
        <v>-364</v>
      </c>
      <c r="BG16" s="63">
        <v>-249</v>
      </c>
      <c r="BH16" s="63">
        <v>-381</v>
      </c>
      <c r="BI16" s="64">
        <f t="shared" si="9"/>
        <v>-2285</v>
      </c>
      <c r="BJ16" s="63">
        <v>-621</v>
      </c>
      <c r="BK16" s="63">
        <v>-667</v>
      </c>
      <c r="BL16" s="63">
        <v>-480</v>
      </c>
      <c r="BM16" s="63">
        <v>-517</v>
      </c>
      <c r="BN16" s="64">
        <f t="shared" si="10"/>
        <v>-2156</v>
      </c>
      <c r="BO16" s="63">
        <v>-540</v>
      </c>
      <c r="BP16" s="63">
        <v>-517</v>
      </c>
      <c r="BQ16" s="63">
        <v>-547</v>
      </c>
      <c r="BR16" s="63">
        <v>-552</v>
      </c>
      <c r="BS16" s="64">
        <f t="shared" si="11"/>
        <v>-2920</v>
      </c>
      <c r="BT16" s="63">
        <v>-563</v>
      </c>
      <c r="BU16" s="63">
        <v>-591</v>
      </c>
      <c r="BV16" s="63">
        <v>-888</v>
      </c>
      <c r="BW16" s="63">
        <v>-878</v>
      </c>
      <c r="BX16" s="64">
        <f t="shared" si="12"/>
        <v>-3291</v>
      </c>
      <c r="BY16" s="63">
        <v>-903</v>
      </c>
      <c r="BZ16" s="63">
        <v>-827</v>
      </c>
      <c r="CA16" s="63">
        <v>-762</v>
      </c>
      <c r="CB16" s="63">
        <v>-799</v>
      </c>
      <c r="CC16" s="64">
        <f t="shared" si="13"/>
        <v>-2505</v>
      </c>
      <c r="CD16" s="63">
        <v>-690</v>
      </c>
      <c r="CE16" s="63">
        <v>-641</v>
      </c>
      <c r="CF16" s="63">
        <v>-604</v>
      </c>
      <c r="CG16" s="63">
        <v>-570</v>
      </c>
    </row>
    <row r="17" spans="1:85" s="1" customFormat="1" ht="19.5" customHeight="1">
      <c r="A17" s="6"/>
      <c r="B17" s="52" t="s">
        <v>107</v>
      </c>
      <c r="C17" s="53"/>
      <c r="D17" s="63">
        <v>-4876</v>
      </c>
      <c r="E17" s="63">
        <v>-5983</v>
      </c>
      <c r="F17" s="64">
        <v>-20058</v>
      </c>
      <c r="G17" s="63">
        <v>-5415</v>
      </c>
      <c r="H17" s="63">
        <v>-5389</v>
      </c>
      <c r="I17" s="63">
        <v>-4841</v>
      </c>
      <c r="J17" s="63">
        <v>-4413</v>
      </c>
      <c r="K17" s="64">
        <v>-13370</v>
      </c>
      <c r="L17" s="63">
        <v>-2956</v>
      </c>
      <c r="M17" s="63">
        <v>-2654</v>
      </c>
      <c r="N17" s="63">
        <v>-3171</v>
      </c>
      <c r="O17" s="63">
        <v>-4589</v>
      </c>
      <c r="P17" s="64">
        <f t="shared" si="20"/>
        <v>-5802</v>
      </c>
      <c r="Q17" s="63">
        <v>-1670</v>
      </c>
      <c r="R17" s="63">
        <v>-1615</v>
      </c>
      <c r="S17" s="63">
        <v>-1008</v>
      </c>
      <c r="T17" s="63">
        <v>-1509</v>
      </c>
      <c r="U17" s="64">
        <f t="shared" si="21"/>
        <v>996</v>
      </c>
      <c r="V17" s="63">
        <v>1154</v>
      </c>
      <c r="W17" s="63">
        <v>147</v>
      </c>
      <c r="X17" s="63">
        <v>-281</v>
      </c>
      <c r="Y17" s="63">
        <v>-24</v>
      </c>
      <c r="Z17" s="64">
        <f t="shared" si="2"/>
        <v>-3311</v>
      </c>
      <c r="AA17" s="63">
        <v>-42</v>
      </c>
      <c r="AB17" s="63">
        <v>-650</v>
      </c>
      <c r="AC17" s="63">
        <v>-1099</v>
      </c>
      <c r="AD17" s="63">
        <v>-1520</v>
      </c>
      <c r="AE17" s="64">
        <f t="shared" si="3"/>
        <v>-5292</v>
      </c>
      <c r="AF17" s="63">
        <v>-1549</v>
      </c>
      <c r="AG17" s="63">
        <v>-1356</v>
      </c>
      <c r="AH17" s="63">
        <v>-1069</v>
      </c>
      <c r="AI17" s="63">
        <v>-1318</v>
      </c>
      <c r="AJ17" s="64">
        <f t="shared" si="4"/>
        <v>-3244</v>
      </c>
      <c r="AK17" s="63">
        <v>-2128</v>
      </c>
      <c r="AL17" s="63">
        <v>-807</v>
      </c>
      <c r="AM17" s="63">
        <v>-309</v>
      </c>
      <c r="AN17" s="63" t="s">
        <v>34</v>
      </c>
      <c r="AO17" s="64">
        <f t="shared" si="6"/>
        <v>306</v>
      </c>
      <c r="AP17" s="63">
        <v>279</v>
      </c>
      <c r="AQ17" s="63">
        <v>33</v>
      </c>
      <c r="AR17" s="63">
        <v>-3</v>
      </c>
      <c r="AS17" s="63">
        <v>-3</v>
      </c>
      <c r="AT17" s="64">
        <f t="shared" si="14"/>
        <v>2575</v>
      </c>
      <c r="AU17" s="63">
        <v>683</v>
      </c>
      <c r="AV17" s="63">
        <v>-2</v>
      </c>
      <c r="AW17" s="63">
        <v>-5</v>
      </c>
      <c r="AX17" s="63">
        <v>1899</v>
      </c>
      <c r="AY17" s="64">
        <f t="shared" si="7"/>
        <v>156</v>
      </c>
      <c r="AZ17" s="63">
        <f>156-SUM(BA17:BC17)</f>
        <v>164</v>
      </c>
      <c r="BA17" s="63">
        <v>-3</v>
      </c>
      <c r="BB17" s="63">
        <v>-2</v>
      </c>
      <c r="BC17" s="63">
        <v>-3</v>
      </c>
      <c r="BD17" s="64">
        <f t="shared" si="8"/>
        <v>-372</v>
      </c>
      <c r="BE17" s="63">
        <v>-223</v>
      </c>
      <c r="BF17" s="63">
        <v>-3</v>
      </c>
      <c r="BG17" s="63">
        <v>-3</v>
      </c>
      <c r="BH17" s="63">
        <v>-143</v>
      </c>
      <c r="BI17" s="64">
        <f t="shared" si="9"/>
        <v>85</v>
      </c>
      <c r="BJ17" s="63">
        <v>-62</v>
      </c>
      <c r="BK17" s="63">
        <v>-36</v>
      </c>
      <c r="BL17" s="63">
        <v>118</v>
      </c>
      <c r="BM17" s="63">
        <v>65</v>
      </c>
      <c r="BN17" s="64">
        <f t="shared" si="10"/>
        <v>1263</v>
      </c>
      <c r="BO17" s="63">
        <v>-36</v>
      </c>
      <c r="BP17" s="63">
        <v>57</v>
      </c>
      <c r="BQ17" s="63">
        <v>1400</v>
      </c>
      <c r="BR17" s="63">
        <v>-158</v>
      </c>
      <c r="BS17" s="64">
        <f t="shared" si="11"/>
        <v>969</v>
      </c>
      <c r="BT17" s="63">
        <v>17</v>
      </c>
      <c r="BU17" s="63">
        <v>1284</v>
      </c>
      <c r="BV17" s="63">
        <v>-100</v>
      </c>
      <c r="BW17" s="63">
        <v>-232</v>
      </c>
      <c r="BX17" s="64">
        <f t="shared" si="12"/>
        <v>-1874</v>
      </c>
      <c r="BY17" s="63">
        <v>-649</v>
      </c>
      <c r="BZ17" s="63">
        <v>-124</v>
      </c>
      <c r="CA17" s="63">
        <v>-863</v>
      </c>
      <c r="CB17" s="63">
        <v>-238</v>
      </c>
      <c r="CC17" s="64">
        <f t="shared" si="13"/>
        <v>248</v>
      </c>
      <c r="CD17" s="63">
        <v>1039</v>
      </c>
      <c r="CE17" s="63">
        <v>-389</v>
      </c>
      <c r="CF17" s="63">
        <v>-391</v>
      </c>
      <c r="CG17" s="63">
        <v>-11</v>
      </c>
    </row>
    <row r="18" spans="1:85" s="1" customFormat="1" ht="19.5" customHeight="1">
      <c r="A18" s="6"/>
      <c r="B18" s="52" t="s">
        <v>117</v>
      </c>
      <c r="C18" s="53"/>
      <c r="D18" s="63" t="s">
        <v>34</v>
      </c>
      <c r="E18" s="63" t="s">
        <v>34</v>
      </c>
      <c r="F18" s="64" t="s">
        <v>34</v>
      </c>
      <c r="G18" s="63" t="s">
        <v>34</v>
      </c>
      <c r="H18" s="63" t="s">
        <v>34</v>
      </c>
      <c r="I18" s="63" t="s">
        <v>34</v>
      </c>
      <c r="J18" s="63" t="s">
        <v>34</v>
      </c>
      <c r="K18" s="64" t="s">
        <v>34</v>
      </c>
      <c r="L18" s="63" t="s">
        <v>34</v>
      </c>
      <c r="M18" s="63" t="s">
        <v>34</v>
      </c>
      <c r="N18" s="63" t="s">
        <v>34</v>
      </c>
      <c r="O18" s="63" t="s">
        <v>34</v>
      </c>
      <c r="P18" s="64" t="s">
        <v>34</v>
      </c>
      <c r="Q18" s="63" t="s">
        <v>34</v>
      </c>
      <c r="R18" s="63" t="s">
        <v>34</v>
      </c>
      <c r="S18" s="63" t="s">
        <v>34</v>
      </c>
      <c r="T18" s="63" t="s">
        <v>34</v>
      </c>
      <c r="U18" s="64" t="s">
        <v>34</v>
      </c>
      <c r="V18" s="63" t="s">
        <v>34</v>
      </c>
      <c r="W18" s="63" t="s">
        <v>34</v>
      </c>
      <c r="X18" s="63" t="s">
        <v>34</v>
      </c>
      <c r="Y18" s="63" t="s">
        <v>34</v>
      </c>
      <c r="Z18" s="64" t="s">
        <v>34</v>
      </c>
      <c r="AA18" s="63" t="s">
        <v>34</v>
      </c>
      <c r="AB18" s="63" t="s">
        <v>34</v>
      </c>
      <c r="AC18" s="63" t="s">
        <v>34</v>
      </c>
      <c r="AD18" s="63" t="s">
        <v>34</v>
      </c>
      <c r="AE18" s="64" t="s">
        <v>34</v>
      </c>
      <c r="AF18" s="63" t="s">
        <v>34</v>
      </c>
      <c r="AG18" s="63" t="s">
        <v>34</v>
      </c>
      <c r="AH18" s="63" t="s">
        <v>34</v>
      </c>
      <c r="AI18" s="63" t="s">
        <v>34</v>
      </c>
      <c r="AJ18" s="64" t="s">
        <v>34</v>
      </c>
      <c r="AK18" s="63" t="s">
        <v>34</v>
      </c>
      <c r="AL18" s="63" t="s">
        <v>34</v>
      </c>
      <c r="AM18" s="63" t="s">
        <v>34</v>
      </c>
      <c r="AN18" s="63" t="s">
        <v>34</v>
      </c>
      <c r="AO18" s="64" t="s">
        <v>34</v>
      </c>
      <c r="AP18" s="63" t="s">
        <v>34</v>
      </c>
      <c r="AQ18" s="63" t="s">
        <v>34</v>
      </c>
      <c r="AR18" s="63" t="s">
        <v>34</v>
      </c>
      <c r="AS18" s="63" t="s">
        <v>34</v>
      </c>
      <c r="AT18" s="64" t="s">
        <v>34</v>
      </c>
      <c r="AU18" s="63" t="s">
        <v>34</v>
      </c>
      <c r="AV18" s="63" t="s">
        <v>34</v>
      </c>
      <c r="AW18" s="63" t="s">
        <v>34</v>
      </c>
      <c r="AX18" s="63" t="s">
        <v>34</v>
      </c>
      <c r="AY18" s="64" t="s">
        <v>34</v>
      </c>
      <c r="AZ18" s="63" t="s">
        <v>34</v>
      </c>
      <c r="BA18" s="63" t="s">
        <v>34</v>
      </c>
      <c r="BB18" s="63" t="s">
        <v>34</v>
      </c>
      <c r="BC18" s="63" t="s">
        <v>34</v>
      </c>
      <c r="BD18" s="64" t="s">
        <v>34</v>
      </c>
      <c r="BE18" s="63" t="s">
        <v>34</v>
      </c>
      <c r="BF18" s="63" t="s">
        <v>34</v>
      </c>
      <c r="BG18" s="63" t="s">
        <v>34</v>
      </c>
      <c r="BH18" s="63" t="s">
        <v>34</v>
      </c>
      <c r="BI18" s="64" t="s">
        <v>34</v>
      </c>
      <c r="BJ18" s="63" t="s">
        <v>34</v>
      </c>
      <c r="BK18" s="63" t="s">
        <v>34</v>
      </c>
      <c r="BL18" s="63" t="s">
        <v>34</v>
      </c>
      <c r="BM18" s="63" t="s">
        <v>34</v>
      </c>
      <c r="BN18" s="64">
        <f t="shared" si="10"/>
        <v>-82</v>
      </c>
      <c r="BO18" s="63" t="s">
        <v>34</v>
      </c>
      <c r="BP18" s="63" t="s">
        <v>34</v>
      </c>
      <c r="BQ18" s="63" t="s">
        <v>34</v>
      </c>
      <c r="BR18" s="63">
        <v>-82</v>
      </c>
      <c r="BS18" s="64">
        <f t="shared" si="11"/>
        <v>-493</v>
      </c>
      <c r="BT18" s="63">
        <v>-123</v>
      </c>
      <c r="BU18" s="63">
        <v>-124</v>
      </c>
      <c r="BV18" s="63">
        <v>-123</v>
      </c>
      <c r="BW18" s="63">
        <v>-123</v>
      </c>
      <c r="BX18" s="64">
        <f t="shared" si="12"/>
        <v>-686</v>
      </c>
      <c r="BY18" s="63">
        <v>-123</v>
      </c>
      <c r="BZ18" s="63">
        <v>-317</v>
      </c>
      <c r="CA18" s="63">
        <v>-123</v>
      </c>
      <c r="CB18" s="63">
        <v>-123</v>
      </c>
      <c r="CC18" s="64">
        <f t="shared" si="13"/>
        <v>-940</v>
      </c>
      <c r="CD18" s="63">
        <v>-124</v>
      </c>
      <c r="CE18" s="63">
        <v>-313</v>
      </c>
      <c r="CF18" s="63">
        <v>-231</v>
      </c>
      <c r="CG18" s="63">
        <v>-272</v>
      </c>
    </row>
    <row r="19" spans="1:85" s="1" customFormat="1" ht="19.5" customHeight="1">
      <c r="A19" s="6"/>
      <c r="B19" s="52" t="s">
        <v>126</v>
      </c>
      <c r="C19" s="53"/>
      <c r="D19" s="63">
        <v>3831</v>
      </c>
      <c r="E19" s="63">
        <v>1776</v>
      </c>
      <c r="F19" s="64">
        <v>7780</v>
      </c>
      <c r="G19" s="63">
        <v>5208</v>
      </c>
      <c r="H19" s="63">
        <v>2412</v>
      </c>
      <c r="I19" s="63">
        <v>-182</v>
      </c>
      <c r="J19" s="63">
        <v>342</v>
      </c>
      <c r="K19" s="64">
        <v>18913</v>
      </c>
      <c r="L19" s="63">
        <v>2390</v>
      </c>
      <c r="M19" s="63">
        <v>4093</v>
      </c>
      <c r="N19" s="63">
        <v>5396</v>
      </c>
      <c r="O19" s="63">
        <v>7034</v>
      </c>
      <c r="P19" s="64">
        <f t="shared" si="20"/>
        <v>47639</v>
      </c>
      <c r="Q19" s="63">
        <v>26070</v>
      </c>
      <c r="R19" s="63">
        <v>7111</v>
      </c>
      <c r="S19" s="63">
        <v>6029</v>
      </c>
      <c r="T19" s="63">
        <v>8429</v>
      </c>
      <c r="U19" s="64">
        <f t="shared" si="21"/>
        <v>18141</v>
      </c>
      <c r="V19" s="63">
        <v>10463</v>
      </c>
      <c r="W19" s="63">
        <v>2090</v>
      </c>
      <c r="X19" s="63">
        <v>3338</v>
      </c>
      <c r="Y19" s="63">
        <v>2250</v>
      </c>
      <c r="Z19" s="64">
        <f t="shared" si="2"/>
        <v>8444</v>
      </c>
      <c r="AA19" s="63">
        <v>1361</v>
      </c>
      <c r="AB19" s="63">
        <v>2940</v>
      </c>
      <c r="AC19" s="63">
        <v>1259</v>
      </c>
      <c r="AD19" s="63">
        <v>2884</v>
      </c>
      <c r="AE19" s="64">
        <f t="shared" si="3"/>
        <v>26244</v>
      </c>
      <c r="AF19" s="63">
        <v>8295</v>
      </c>
      <c r="AG19" s="63">
        <v>6203</v>
      </c>
      <c r="AH19" s="63">
        <v>6275</v>
      </c>
      <c r="AI19" s="63">
        <v>5471</v>
      </c>
      <c r="AJ19" s="64">
        <f t="shared" ref="AJ19:AJ25" si="22">SUM(AK19:AN19)</f>
        <v>13509</v>
      </c>
      <c r="AK19" s="63">
        <v>6219</v>
      </c>
      <c r="AL19" s="63">
        <v>2906</v>
      </c>
      <c r="AM19" s="63">
        <v>2482</v>
      </c>
      <c r="AN19" s="63">
        <v>1902</v>
      </c>
      <c r="AO19" s="64">
        <f t="shared" ref="AO19:AO25" si="23">SUM(AP19:AS19)</f>
        <v>4305</v>
      </c>
      <c r="AP19" s="63">
        <v>746</v>
      </c>
      <c r="AQ19" s="63">
        <v>938</v>
      </c>
      <c r="AR19" s="63">
        <v>1715</v>
      </c>
      <c r="AS19" s="63">
        <v>906</v>
      </c>
      <c r="AT19" s="64">
        <f t="shared" ref="AT19:AT25" si="24">SUM(AU19:AX19)</f>
        <v>4050</v>
      </c>
      <c r="AU19" s="63">
        <v>1448</v>
      </c>
      <c r="AV19" s="63">
        <v>516</v>
      </c>
      <c r="AW19" s="63">
        <v>954</v>
      </c>
      <c r="AX19" s="63">
        <v>1132</v>
      </c>
      <c r="AY19" s="64">
        <f t="shared" ref="AY19:AY25" si="25">SUM(AZ19:BC19)</f>
        <v>957</v>
      </c>
      <c r="AZ19" s="63">
        <f>957-SUM(BA19:BC19)</f>
        <v>480</v>
      </c>
      <c r="BA19" s="63">
        <v>308</v>
      </c>
      <c r="BB19" s="63">
        <v>-35</v>
      </c>
      <c r="BC19" s="63">
        <v>204</v>
      </c>
      <c r="BD19" s="64">
        <f t="shared" ref="BD19:BD25" si="26">SUM(BE19:BH19)</f>
        <v>2278</v>
      </c>
      <c r="BE19" s="63">
        <f>2278-SUM(BF19:BH19)</f>
        <v>86</v>
      </c>
      <c r="BF19" s="63">
        <v>1451</v>
      </c>
      <c r="BG19" s="63">
        <v>1113</v>
      </c>
      <c r="BH19" s="63">
        <v>-372</v>
      </c>
      <c r="BI19" s="64">
        <f t="shared" ref="BI19:BI25" si="27">SUM(BJ19:BM19)</f>
        <v>4591</v>
      </c>
      <c r="BJ19" s="63">
        <f>4591-SUM(BK19:BM19)</f>
        <v>-1727</v>
      </c>
      <c r="BK19" s="63">
        <v>-922</v>
      </c>
      <c r="BL19" s="63">
        <v>4502</v>
      </c>
      <c r="BM19" s="63">
        <v>2738</v>
      </c>
      <c r="BN19" s="64">
        <f t="shared" si="10"/>
        <v>18851</v>
      </c>
      <c r="BO19" s="63">
        <v>5389</v>
      </c>
      <c r="BP19" s="63">
        <v>4352</v>
      </c>
      <c r="BQ19" s="63">
        <v>5246</v>
      </c>
      <c r="BR19" s="63">
        <v>3864</v>
      </c>
      <c r="BS19" s="64" t="s">
        <v>34</v>
      </c>
      <c r="BT19" s="63" t="s">
        <v>34</v>
      </c>
      <c r="BU19" s="63" t="s">
        <v>34</v>
      </c>
      <c r="BV19" s="63" t="s">
        <v>34</v>
      </c>
      <c r="BW19" s="63" t="s">
        <v>34</v>
      </c>
      <c r="BX19" s="64" t="s">
        <v>34</v>
      </c>
      <c r="BY19" s="63" t="s">
        <v>34</v>
      </c>
      <c r="BZ19" s="63" t="s">
        <v>34</v>
      </c>
      <c r="CA19" s="63" t="s">
        <v>34</v>
      </c>
      <c r="CB19" s="63" t="s">
        <v>34</v>
      </c>
      <c r="CC19" s="64" t="s">
        <v>34</v>
      </c>
      <c r="CD19" s="63" t="s">
        <v>34</v>
      </c>
      <c r="CE19" s="63" t="s">
        <v>34</v>
      </c>
      <c r="CF19" s="63" t="s">
        <v>34</v>
      </c>
      <c r="CG19" s="63" t="s">
        <v>34</v>
      </c>
    </row>
    <row r="20" spans="1:85" s="1" customFormat="1" ht="19.5" customHeight="1">
      <c r="A20" s="6"/>
      <c r="B20" s="52" t="s">
        <v>118</v>
      </c>
      <c r="C20" s="53"/>
      <c r="D20" s="63">
        <v>-183</v>
      </c>
      <c r="E20" s="63">
        <v>-522</v>
      </c>
      <c r="F20" s="64">
        <v>10805</v>
      </c>
      <c r="G20" s="63">
        <v>-1136</v>
      </c>
      <c r="H20" s="63">
        <v>470</v>
      </c>
      <c r="I20" s="63">
        <v>12425</v>
      </c>
      <c r="J20" s="63">
        <v>-954</v>
      </c>
      <c r="K20" s="64">
        <v>1080</v>
      </c>
      <c r="L20" s="63">
        <v>-1527</v>
      </c>
      <c r="M20" s="63">
        <v>-38</v>
      </c>
      <c r="N20" s="63">
        <v>2636</v>
      </c>
      <c r="O20" s="63">
        <v>9</v>
      </c>
      <c r="P20" s="64">
        <f t="shared" si="20"/>
        <v>26136</v>
      </c>
      <c r="Q20" s="63">
        <v>8068</v>
      </c>
      <c r="R20" s="63">
        <v>3969</v>
      </c>
      <c r="S20" s="63">
        <v>3325</v>
      </c>
      <c r="T20" s="63">
        <v>10774</v>
      </c>
      <c r="U20" s="64">
        <f t="shared" si="21"/>
        <v>2527</v>
      </c>
      <c r="V20" s="63">
        <v>10383</v>
      </c>
      <c r="W20" s="63">
        <v>-1335</v>
      </c>
      <c r="X20" s="63">
        <v>-4878</v>
      </c>
      <c r="Y20" s="63">
        <v>-1643</v>
      </c>
      <c r="Z20" s="64">
        <f t="shared" si="2"/>
        <v>-699</v>
      </c>
      <c r="AA20" s="63">
        <v>1287</v>
      </c>
      <c r="AB20" s="63">
        <v>-1145</v>
      </c>
      <c r="AC20" s="63">
        <v>-387</v>
      </c>
      <c r="AD20" s="63">
        <v>-454</v>
      </c>
      <c r="AE20" s="64">
        <f t="shared" si="3"/>
        <v>-3171</v>
      </c>
      <c r="AF20" s="63">
        <v>-847</v>
      </c>
      <c r="AG20" s="63">
        <v>-969</v>
      </c>
      <c r="AH20" s="63">
        <v>-491</v>
      </c>
      <c r="AI20" s="63">
        <v>-864</v>
      </c>
      <c r="AJ20" s="64">
        <f t="shared" si="22"/>
        <v>-4216</v>
      </c>
      <c r="AK20" s="63">
        <v>-3875</v>
      </c>
      <c r="AL20" s="63">
        <v>1642</v>
      </c>
      <c r="AM20" s="63">
        <v>-778</v>
      </c>
      <c r="AN20" s="63">
        <v>-1205</v>
      </c>
      <c r="AO20" s="64">
        <f t="shared" si="23"/>
        <v>2336</v>
      </c>
      <c r="AP20" s="63">
        <v>-881</v>
      </c>
      <c r="AQ20" s="63">
        <v>-1082</v>
      </c>
      <c r="AR20" s="63">
        <v>4303</v>
      </c>
      <c r="AS20" s="63">
        <v>-4</v>
      </c>
      <c r="AT20" s="64">
        <f t="shared" si="24"/>
        <v>3595</v>
      </c>
      <c r="AU20" s="63">
        <v>3570</v>
      </c>
      <c r="AV20" s="63">
        <v>39</v>
      </c>
      <c r="AW20" s="63">
        <v>-14</v>
      </c>
      <c r="AX20" s="63" t="s">
        <v>34</v>
      </c>
      <c r="AY20" s="64">
        <f t="shared" si="25"/>
        <v>6044</v>
      </c>
      <c r="AZ20" s="63">
        <f>6044-SUM(BA20:BC20)</f>
        <v>-17</v>
      </c>
      <c r="BA20" s="63">
        <v>-49</v>
      </c>
      <c r="BB20" s="63">
        <v>6491</v>
      </c>
      <c r="BC20" s="63">
        <v>-381</v>
      </c>
      <c r="BD20" s="64">
        <f t="shared" si="26"/>
        <v>931</v>
      </c>
      <c r="BE20" s="63">
        <f>931-SUM(BF20:BH20)</f>
        <v>1166</v>
      </c>
      <c r="BF20" s="63">
        <v>-309</v>
      </c>
      <c r="BG20" s="63">
        <v>125</v>
      </c>
      <c r="BH20" s="63">
        <v>-51</v>
      </c>
      <c r="BI20" s="64">
        <f t="shared" si="27"/>
        <v>1711</v>
      </c>
      <c r="BJ20" s="63">
        <f>1711-SUM(BK20:BM20)</f>
        <v>-233</v>
      </c>
      <c r="BK20" s="63">
        <v>174</v>
      </c>
      <c r="BL20" s="63">
        <v>537</v>
      </c>
      <c r="BM20" s="63">
        <v>1233</v>
      </c>
      <c r="BN20" s="64">
        <f t="shared" si="10"/>
        <v>4033</v>
      </c>
      <c r="BO20" s="63">
        <v>593</v>
      </c>
      <c r="BP20" s="63">
        <v>782</v>
      </c>
      <c r="BQ20" s="63">
        <v>877</v>
      </c>
      <c r="BR20" s="63">
        <f>1781</f>
        <v>1781</v>
      </c>
      <c r="BS20" s="64">
        <f t="shared" ref="BS20:BS25" si="28">SUM(BT20:BW20)</f>
        <v>-2689</v>
      </c>
      <c r="BT20" s="63">
        <v>-569</v>
      </c>
      <c r="BU20" s="63">
        <v>-3623</v>
      </c>
      <c r="BV20" s="63">
        <v>370</v>
      </c>
      <c r="BW20" s="63">
        <v>1133</v>
      </c>
      <c r="BX20" s="64">
        <f t="shared" ref="BX20:BX25" si="29">SUM(BY20:CB20)</f>
        <v>1710</v>
      </c>
      <c r="BY20" s="63">
        <v>3827</v>
      </c>
      <c r="BZ20" s="63">
        <v>-1952</v>
      </c>
      <c r="CA20" s="63">
        <v>3115</v>
      </c>
      <c r="CB20" s="63">
        <v>-3280</v>
      </c>
      <c r="CC20" s="64">
        <f t="shared" ref="CC20:CC25" si="30">SUM(CD20:CG20)</f>
        <v>-7394</v>
      </c>
      <c r="CD20" s="63">
        <v>-2033</v>
      </c>
      <c r="CE20" s="63">
        <v>-3592</v>
      </c>
      <c r="CF20" s="63">
        <v>-1813</v>
      </c>
      <c r="CG20" s="63">
        <v>44</v>
      </c>
    </row>
    <row r="21" spans="1:85" s="25" customFormat="1" ht="16.5" customHeight="1">
      <c r="A21" s="24"/>
      <c r="B21" s="56" t="s">
        <v>66</v>
      </c>
      <c r="C21" s="38"/>
      <c r="D21" s="57">
        <f t="shared" ref="D21:O21" si="31">+SUM(D11:D12)</f>
        <v>49854</v>
      </c>
      <c r="E21" s="57">
        <f t="shared" si="31"/>
        <v>30001</v>
      </c>
      <c r="F21" s="57">
        <f t="shared" si="31"/>
        <v>208200</v>
      </c>
      <c r="G21" s="57">
        <f t="shared" si="31"/>
        <v>64685</v>
      </c>
      <c r="H21" s="57">
        <f t="shared" si="31"/>
        <v>53528</v>
      </c>
      <c r="I21" s="57">
        <f t="shared" si="31"/>
        <v>50506</v>
      </c>
      <c r="J21" s="57">
        <f t="shared" si="31"/>
        <v>39481</v>
      </c>
      <c r="K21" s="57">
        <f t="shared" si="31"/>
        <v>200316</v>
      </c>
      <c r="L21" s="57">
        <f t="shared" si="31"/>
        <v>75879</v>
      </c>
      <c r="M21" s="57">
        <f t="shared" si="31"/>
        <v>47113</v>
      </c>
      <c r="N21" s="57">
        <f t="shared" si="31"/>
        <v>39515</v>
      </c>
      <c r="O21" s="57">
        <f t="shared" si="31"/>
        <v>37809</v>
      </c>
      <c r="P21" s="57">
        <f t="shared" si="20"/>
        <v>162614</v>
      </c>
      <c r="Q21" s="57">
        <f>+SUM(Q11:Q12)</f>
        <v>54827</v>
      </c>
      <c r="R21" s="57">
        <f>+SUM(R11:R12)</f>
        <v>32238</v>
      </c>
      <c r="S21" s="57">
        <f>+SUM(S11:S12)</f>
        <v>36571</v>
      </c>
      <c r="T21" s="57">
        <f>+SUM(T11:T12)</f>
        <v>38978</v>
      </c>
      <c r="U21" s="57">
        <f>SUM(V21:Y21)</f>
        <v>114106</v>
      </c>
      <c r="V21" s="57">
        <v>38513</v>
      </c>
      <c r="W21" s="57">
        <v>21940</v>
      </c>
      <c r="X21" s="57">
        <f>SUM(X11:X12)</f>
        <v>33129</v>
      </c>
      <c r="Y21" s="57">
        <f>SUM(Y11:Y12)</f>
        <v>20524</v>
      </c>
      <c r="Z21" s="57">
        <f>SUM(AA21:AD21)</f>
        <v>158615</v>
      </c>
      <c r="AA21" s="57">
        <f>SUM(AA11:AA12)</f>
        <v>25584</v>
      </c>
      <c r="AB21" s="57">
        <f>SUM(AB11:AB12)</f>
        <v>42062</v>
      </c>
      <c r="AC21" s="57">
        <f>SUM(AC11:AC12)</f>
        <v>45463</v>
      </c>
      <c r="AD21" s="57">
        <f>SUM(AD11:AD12)</f>
        <v>45506</v>
      </c>
      <c r="AE21" s="57">
        <f>SUM(AF21:AI21)</f>
        <v>199096</v>
      </c>
      <c r="AF21" s="57">
        <f>SUM(AF11:AF12)</f>
        <v>65223</v>
      </c>
      <c r="AG21" s="57">
        <f>SUM(AG11:AG12)</f>
        <v>57117</v>
      </c>
      <c r="AH21" s="57">
        <f>SUM(AH11:AH12)</f>
        <v>41545</v>
      </c>
      <c r="AI21" s="57">
        <f>SUM(AI11:AI12)</f>
        <v>35211</v>
      </c>
      <c r="AJ21" s="57">
        <f t="shared" si="22"/>
        <v>170383</v>
      </c>
      <c r="AK21" s="57">
        <f>+AK11+AK12</f>
        <v>50462</v>
      </c>
      <c r="AL21" s="57">
        <f>+AL11+AL12</f>
        <v>51400</v>
      </c>
      <c r="AM21" s="57">
        <f>+AM11+AM12</f>
        <v>34396</v>
      </c>
      <c r="AN21" s="57">
        <f>+AN11+AN12</f>
        <v>34125</v>
      </c>
      <c r="AO21" s="57">
        <f t="shared" si="23"/>
        <v>92403</v>
      </c>
      <c r="AP21" s="57">
        <f>+AP11+AP12</f>
        <v>27366</v>
      </c>
      <c r="AQ21" s="57">
        <f>+AQ11+AQ12</f>
        <v>26253</v>
      </c>
      <c r="AR21" s="57">
        <f>+AR11+AR12</f>
        <v>21614</v>
      </c>
      <c r="AS21" s="57">
        <f>+AS11+AS12</f>
        <v>17170</v>
      </c>
      <c r="AT21" s="57">
        <f t="shared" si="24"/>
        <v>53212</v>
      </c>
      <c r="AU21" s="57">
        <f>+AU11+AU12</f>
        <v>24993</v>
      </c>
      <c r="AV21" s="57">
        <f>+AV11+AV12</f>
        <v>13683</v>
      </c>
      <c r="AW21" s="57">
        <f>+AW11+AW12</f>
        <v>7025</v>
      </c>
      <c r="AX21" s="57">
        <f>+AX11+AX12</f>
        <v>7511</v>
      </c>
      <c r="AY21" s="57">
        <f t="shared" si="25"/>
        <v>13009</v>
      </c>
      <c r="AZ21" s="57">
        <f>+AZ11+AZ12</f>
        <v>3506</v>
      </c>
      <c r="BA21" s="57">
        <f>+BA11+BA12</f>
        <v>7223</v>
      </c>
      <c r="BB21" s="57">
        <f>+BB11+BB12</f>
        <v>1303</v>
      </c>
      <c r="BC21" s="57">
        <f>+BC11+BC12</f>
        <v>977</v>
      </c>
      <c r="BD21" s="57">
        <f t="shared" si="26"/>
        <v>37626</v>
      </c>
      <c r="BE21" s="57">
        <f>+BE11+BE12</f>
        <v>9580</v>
      </c>
      <c r="BF21" s="57">
        <f>+BF11+BF12</f>
        <v>12046</v>
      </c>
      <c r="BG21" s="57">
        <f>+BG11+BG12</f>
        <v>8836</v>
      </c>
      <c r="BH21" s="57">
        <f>+BH11+BH12</f>
        <v>7164</v>
      </c>
      <c r="BI21" s="57">
        <f t="shared" si="27"/>
        <v>45978</v>
      </c>
      <c r="BJ21" s="57">
        <f>+BJ11+BJ12</f>
        <v>8723</v>
      </c>
      <c r="BK21" s="57">
        <f>+BK11+BK12</f>
        <v>11509</v>
      </c>
      <c r="BL21" s="57">
        <f>+BL11+BL12</f>
        <v>9539</v>
      </c>
      <c r="BM21" s="57">
        <f>+BM11+BM12</f>
        <v>16207</v>
      </c>
      <c r="BN21" s="57">
        <f t="shared" si="10"/>
        <v>74676</v>
      </c>
      <c r="BO21" s="57">
        <f>+BO11+BO12</f>
        <v>14395</v>
      </c>
      <c r="BP21" s="57">
        <f>+BP11+BP12</f>
        <v>16693</v>
      </c>
      <c r="BQ21" s="57">
        <f>+BQ11+BQ12</f>
        <v>19697</v>
      </c>
      <c r="BR21" s="57">
        <f>+BR11+BR12</f>
        <v>23891</v>
      </c>
      <c r="BS21" s="57">
        <f t="shared" si="28"/>
        <v>56161</v>
      </c>
      <c r="BT21" s="57">
        <f>+BT11+BT12</f>
        <v>16407</v>
      </c>
      <c r="BU21" s="57">
        <f>+BU11+BU12</f>
        <v>14675</v>
      </c>
      <c r="BV21" s="57">
        <f>+BV11+BV12</f>
        <v>12163</v>
      </c>
      <c r="BW21" s="57">
        <f>+BW11+BW12</f>
        <v>12916</v>
      </c>
      <c r="BX21" s="57">
        <f t="shared" si="29"/>
        <v>21635</v>
      </c>
      <c r="BY21" s="57">
        <f>+BY11+BY12</f>
        <v>16461</v>
      </c>
      <c r="BZ21" s="57">
        <f>+BZ11+BZ12</f>
        <v>21553</v>
      </c>
      <c r="CA21" s="57">
        <f>+CA11+CA12</f>
        <v>-17981</v>
      </c>
      <c r="CB21" s="57">
        <f>+CB11+CB12</f>
        <v>1602</v>
      </c>
      <c r="CC21" s="57">
        <f t="shared" si="30"/>
        <v>89150</v>
      </c>
      <c r="CD21" s="57">
        <f>+CD11+CD12</f>
        <v>-4712</v>
      </c>
      <c r="CE21" s="57">
        <f>+CE11+CE12</f>
        <v>33202</v>
      </c>
      <c r="CF21" s="57">
        <f>+CF11+CF12</f>
        <v>29039</v>
      </c>
      <c r="CG21" s="57">
        <f>+CG11+CG12</f>
        <v>31621</v>
      </c>
    </row>
    <row r="22" spans="1:85" s="5" customFormat="1" ht="15.75" customHeight="1">
      <c r="A22" s="10"/>
      <c r="B22" s="47" t="s">
        <v>80</v>
      </c>
      <c r="C22" s="47"/>
      <c r="D22" s="62">
        <f t="shared" ref="D22:O22" si="32">+SUM(D23:D24)</f>
        <v>4866</v>
      </c>
      <c r="E22" s="62">
        <f t="shared" si="32"/>
        <v>7766</v>
      </c>
      <c r="F22" s="62">
        <f t="shared" si="32"/>
        <v>44941</v>
      </c>
      <c r="G22" s="62">
        <f t="shared" si="32"/>
        <v>11401</v>
      </c>
      <c r="H22" s="62">
        <f t="shared" si="32"/>
        <v>12714</v>
      </c>
      <c r="I22" s="62">
        <f t="shared" si="32"/>
        <v>8900</v>
      </c>
      <c r="J22" s="62">
        <f t="shared" si="32"/>
        <v>11926</v>
      </c>
      <c r="K22" s="62">
        <f t="shared" si="32"/>
        <v>9183</v>
      </c>
      <c r="L22" s="62">
        <f t="shared" si="32"/>
        <v>8062</v>
      </c>
      <c r="M22" s="62">
        <f t="shared" si="32"/>
        <v>274</v>
      </c>
      <c r="N22" s="62">
        <f t="shared" si="32"/>
        <v>-474</v>
      </c>
      <c r="O22" s="62">
        <f t="shared" si="32"/>
        <v>1321</v>
      </c>
      <c r="P22" s="62">
        <f>SUM(Q22:T22)</f>
        <v>-4271</v>
      </c>
      <c r="Q22" s="62">
        <f>+SUM(Q23:Q24)</f>
        <v>-1867</v>
      </c>
      <c r="R22" s="62">
        <f>+SUM(R23:R24)</f>
        <v>-979</v>
      </c>
      <c r="S22" s="62">
        <f>+SUM(S23:S24)</f>
        <v>89</v>
      </c>
      <c r="T22" s="62">
        <f>+SUM(T23:T24)</f>
        <v>-1514</v>
      </c>
      <c r="U22" s="62">
        <f>SUM(V22:Y22)</f>
        <v>-22606</v>
      </c>
      <c r="V22" s="62">
        <f>SUM(V23:V24)</f>
        <v>-6063</v>
      </c>
      <c r="W22" s="62">
        <f>SUM(W23:W24)</f>
        <v>-6169</v>
      </c>
      <c r="X22" s="62">
        <f>SUM(X23:X24)</f>
        <v>-5625</v>
      </c>
      <c r="Y22" s="62">
        <f>SUM(Y23:Y24)</f>
        <v>-4749</v>
      </c>
      <c r="Z22" s="62">
        <f>SUM(AA22:AD22)</f>
        <v>-9195</v>
      </c>
      <c r="AA22" s="62">
        <f>SUM(AA23:AA24)</f>
        <v>-4096</v>
      </c>
      <c r="AB22" s="62">
        <f>SUM(AB23:AB24)</f>
        <v>-1411</v>
      </c>
      <c r="AC22" s="62">
        <f>SUM(AC23:AC24)</f>
        <v>-1781</v>
      </c>
      <c r="AD22" s="62">
        <f>SUM(AD23:AD24)</f>
        <v>-1907</v>
      </c>
      <c r="AE22" s="62">
        <f>SUM(AF22:AI22)</f>
        <v>2423</v>
      </c>
      <c r="AF22" s="62">
        <f>SUM(AF23:AF24)</f>
        <v>798</v>
      </c>
      <c r="AG22" s="62">
        <f>SUM(AG23:AG24)</f>
        <v>-326</v>
      </c>
      <c r="AH22" s="62">
        <f>SUM(AH23:AH24)</f>
        <v>829</v>
      </c>
      <c r="AI22" s="62">
        <f>SUM(AI23:AI24)</f>
        <v>1122</v>
      </c>
      <c r="AJ22" s="62">
        <f t="shared" si="22"/>
        <v>-2078</v>
      </c>
      <c r="AK22" s="62">
        <f t="shared" ref="AK22:AS22" si="33">SUM(AK23:AK24)</f>
        <v>2163</v>
      </c>
      <c r="AL22" s="62">
        <f t="shared" si="33"/>
        <v>-1103</v>
      </c>
      <c r="AM22" s="62">
        <f t="shared" si="33"/>
        <v>-1603</v>
      </c>
      <c r="AN22" s="62">
        <f t="shared" si="33"/>
        <v>-1535</v>
      </c>
      <c r="AO22" s="62">
        <f t="shared" si="23"/>
        <v>-2940</v>
      </c>
      <c r="AP22" s="62">
        <f t="shared" si="33"/>
        <v>-529</v>
      </c>
      <c r="AQ22" s="62">
        <f t="shared" si="33"/>
        <v>-224</v>
      </c>
      <c r="AR22" s="62">
        <f t="shared" si="33"/>
        <v>-1225</v>
      </c>
      <c r="AS22" s="62">
        <f t="shared" si="33"/>
        <v>-962</v>
      </c>
      <c r="AT22" s="62">
        <f t="shared" si="24"/>
        <v>-8184</v>
      </c>
      <c r="AU22" s="62">
        <f>SUM(AU23:AU24)</f>
        <v>-649</v>
      </c>
      <c r="AV22" s="62">
        <f>SUM(AV23:AV24)</f>
        <v>-1837</v>
      </c>
      <c r="AW22" s="62">
        <f>SUM(AW23:AW24)</f>
        <v>-2507</v>
      </c>
      <c r="AX22" s="62">
        <f>SUM(AX23:AX24)</f>
        <v>-3191</v>
      </c>
      <c r="AY22" s="62">
        <f t="shared" si="25"/>
        <v>-3661</v>
      </c>
      <c r="AZ22" s="62">
        <f>SUM(AZ23:AZ24)</f>
        <v>-48</v>
      </c>
      <c r="BA22" s="62">
        <f>SUM(BA23:BA24)</f>
        <v>-2327</v>
      </c>
      <c r="BB22" s="62">
        <f>SUM(BB23:BB24)</f>
        <v>-1539</v>
      </c>
      <c r="BC22" s="62">
        <f>SUM(BC23:BC24)</f>
        <v>253</v>
      </c>
      <c r="BD22" s="62">
        <f t="shared" si="26"/>
        <v>-4594</v>
      </c>
      <c r="BE22" s="62">
        <v>-742</v>
      </c>
      <c r="BF22" s="62">
        <v>-1976</v>
      </c>
      <c r="BG22" s="62">
        <v>-2073</v>
      </c>
      <c r="BH22" s="62">
        <v>197</v>
      </c>
      <c r="BI22" s="62">
        <f t="shared" si="27"/>
        <v>3072</v>
      </c>
      <c r="BJ22" s="62">
        <v>-198</v>
      </c>
      <c r="BK22" s="62">
        <v>1451</v>
      </c>
      <c r="BL22" s="62">
        <v>1573</v>
      </c>
      <c r="BM22" s="62">
        <v>246</v>
      </c>
      <c r="BN22" s="62">
        <f t="shared" si="10"/>
        <v>-3702</v>
      </c>
      <c r="BO22" s="62">
        <f>SUM(BO23:BO24)</f>
        <v>2080</v>
      </c>
      <c r="BP22" s="62">
        <f>SUM(BP23:BP24)</f>
        <v>39</v>
      </c>
      <c r="BQ22" s="62">
        <f>SUM(BQ23:BQ24)</f>
        <v>-2160</v>
      </c>
      <c r="BR22" s="62">
        <f>SUM(BR23:BR24)</f>
        <v>-3661</v>
      </c>
      <c r="BS22" s="62">
        <f t="shared" si="28"/>
        <v>-10052</v>
      </c>
      <c r="BT22" s="62">
        <f>SUM(BT23:BT24)</f>
        <v>-2697</v>
      </c>
      <c r="BU22" s="62">
        <f>SUM(BU23:BU24)</f>
        <v>-1045</v>
      </c>
      <c r="BV22" s="62">
        <f>SUM(BV23:BV24)</f>
        <v>-3426</v>
      </c>
      <c r="BW22" s="62">
        <f>SUM(BW23:BW24)</f>
        <v>-2884</v>
      </c>
      <c r="BX22" s="62">
        <f t="shared" si="29"/>
        <v>-31195</v>
      </c>
      <c r="BY22" s="62">
        <f>SUM(BY23:BY24)</f>
        <v>-6585</v>
      </c>
      <c r="BZ22" s="62">
        <f>SUM(BZ23:BZ24)</f>
        <v>-8944</v>
      </c>
      <c r="CA22" s="62">
        <f>SUM(CA23:CA24)</f>
        <v>-8289</v>
      </c>
      <c r="CB22" s="62">
        <f>SUM(CB23:CB24)</f>
        <v>-7377</v>
      </c>
      <c r="CC22" s="62">
        <f t="shared" si="30"/>
        <v>-20099</v>
      </c>
      <c r="CD22" s="62">
        <f>SUM(CD23:CD24)</f>
        <v>-5844</v>
      </c>
      <c r="CE22" s="62">
        <f>SUM(CE23:CE24)</f>
        <v>-4725</v>
      </c>
      <c r="CF22" s="62">
        <f>SUM(CF23:CF24)</f>
        <v>-5123</v>
      </c>
      <c r="CG22" s="62">
        <f>SUM(CG23:CG24)</f>
        <v>-4407</v>
      </c>
    </row>
    <row r="23" spans="1:85" s="1" customFormat="1" ht="19.5" customHeight="1">
      <c r="A23" s="6"/>
      <c r="B23" s="52" t="s">
        <v>119</v>
      </c>
      <c r="C23" s="53"/>
      <c r="D23" s="63">
        <v>-20695</v>
      </c>
      <c r="E23" s="63">
        <v>-17683</v>
      </c>
      <c r="F23" s="64">
        <v>-55554</v>
      </c>
      <c r="G23" s="63">
        <v>-13784</v>
      </c>
      <c r="H23" s="63">
        <v>-14675</v>
      </c>
      <c r="I23" s="63">
        <v>-13881</v>
      </c>
      <c r="J23" s="63">
        <v>-13214</v>
      </c>
      <c r="K23" s="64">
        <v>-52389</v>
      </c>
      <c r="L23" s="63">
        <v>-12302</v>
      </c>
      <c r="M23" s="63">
        <v>-15091</v>
      </c>
      <c r="N23" s="63">
        <v>-13488</v>
      </c>
      <c r="O23" s="63">
        <v>-11508</v>
      </c>
      <c r="P23" s="64">
        <f>SUM(Q23:T23)</f>
        <v>-51322</v>
      </c>
      <c r="Q23" s="63">
        <v>-13828</v>
      </c>
      <c r="R23" s="63">
        <v>-11559</v>
      </c>
      <c r="S23" s="63">
        <v>-12215</v>
      </c>
      <c r="T23" s="63">
        <v>-13720</v>
      </c>
      <c r="U23" s="64">
        <f>SUM(V23:Y23)</f>
        <v>-61693</v>
      </c>
      <c r="V23" s="63">
        <v>-14469</v>
      </c>
      <c r="W23" s="63">
        <v>-16219</v>
      </c>
      <c r="X23" s="63">
        <v>-16185</v>
      </c>
      <c r="Y23" s="63">
        <v>-14820</v>
      </c>
      <c r="Z23" s="64">
        <f>SUM(AA23:AD23)</f>
        <v>-28816</v>
      </c>
      <c r="AA23" s="63">
        <v>-11296</v>
      </c>
      <c r="AB23" s="63">
        <v>-6877</v>
      </c>
      <c r="AC23" s="63">
        <v>-5533</v>
      </c>
      <c r="AD23" s="63">
        <v>-5110</v>
      </c>
      <c r="AE23" s="64">
        <f>SUM(AF23:AI23)</f>
        <v>-14083</v>
      </c>
      <c r="AF23" s="63">
        <v>-3459</v>
      </c>
      <c r="AG23" s="63">
        <v>-3410</v>
      </c>
      <c r="AH23" s="63">
        <v>-3530</v>
      </c>
      <c r="AI23" s="63">
        <v>-3684</v>
      </c>
      <c r="AJ23" s="64">
        <f t="shared" si="22"/>
        <v>-16563</v>
      </c>
      <c r="AK23" s="63">
        <v>-4410</v>
      </c>
      <c r="AL23" s="63">
        <v>-4919</v>
      </c>
      <c r="AM23" s="63">
        <v>-4545</v>
      </c>
      <c r="AN23" s="63">
        <v>-2689</v>
      </c>
      <c r="AO23" s="64">
        <f t="shared" si="23"/>
        <v>-11429</v>
      </c>
      <c r="AP23" s="63">
        <v>-2767</v>
      </c>
      <c r="AQ23" s="63">
        <v>-2735</v>
      </c>
      <c r="AR23" s="63">
        <v>-2930</v>
      </c>
      <c r="AS23" s="63">
        <v>-2997</v>
      </c>
      <c r="AT23" s="64">
        <f t="shared" si="24"/>
        <v>-13815</v>
      </c>
      <c r="AU23" s="63">
        <v>-2805</v>
      </c>
      <c r="AV23" s="63">
        <v>-2981</v>
      </c>
      <c r="AW23" s="63">
        <v>-3375</v>
      </c>
      <c r="AX23" s="63">
        <v>-4654</v>
      </c>
      <c r="AY23" s="64">
        <f t="shared" si="25"/>
        <v>-15365</v>
      </c>
      <c r="AZ23" s="63">
        <f>-15365-SUM(BA23:BC23)</f>
        <v>-4716</v>
      </c>
      <c r="BA23" s="63">
        <v>-4416</v>
      </c>
      <c r="BB23" s="63">
        <v>-3361</v>
      </c>
      <c r="BC23" s="63">
        <v>-2872</v>
      </c>
      <c r="BD23" s="64">
        <f t="shared" si="26"/>
        <v>-16009</v>
      </c>
      <c r="BE23" s="63">
        <v>-3460</v>
      </c>
      <c r="BF23" s="63">
        <v>-4487</v>
      </c>
      <c r="BG23" s="63">
        <v>-4514</v>
      </c>
      <c r="BH23" s="63">
        <v>-3548</v>
      </c>
      <c r="BI23" s="64">
        <f t="shared" si="27"/>
        <v>-12672</v>
      </c>
      <c r="BJ23" s="63">
        <v>-3851</v>
      </c>
      <c r="BK23" s="63">
        <v>-2406</v>
      </c>
      <c r="BL23" s="63">
        <v>-2517</v>
      </c>
      <c r="BM23" s="63">
        <v>-3898</v>
      </c>
      <c r="BN23" s="64">
        <f t="shared" si="10"/>
        <v>-23697</v>
      </c>
      <c r="BO23" s="63">
        <v>-4719</v>
      </c>
      <c r="BP23" s="63">
        <v>-5160</v>
      </c>
      <c r="BQ23" s="63">
        <v>-6776</v>
      </c>
      <c r="BR23" s="63">
        <v>-7042</v>
      </c>
      <c r="BS23" s="64">
        <f t="shared" si="28"/>
        <v>-38023</v>
      </c>
      <c r="BT23" s="63">
        <v>-7196</v>
      </c>
      <c r="BU23" s="63">
        <v>-8277</v>
      </c>
      <c r="BV23" s="63">
        <v>-10529</v>
      </c>
      <c r="BW23" s="63">
        <v>-12021</v>
      </c>
      <c r="BX23" s="64">
        <f t="shared" si="29"/>
        <v>-70401</v>
      </c>
      <c r="BY23" s="63">
        <v>-14684</v>
      </c>
      <c r="BZ23" s="63">
        <v>-18097</v>
      </c>
      <c r="CA23" s="63">
        <v>-19263</v>
      </c>
      <c r="CB23" s="63">
        <v>-18357</v>
      </c>
      <c r="CC23" s="64">
        <f t="shared" si="30"/>
        <v>-56199</v>
      </c>
      <c r="CD23" s="63">
        <v>-15232</v>
      </c>
      <c r="CE23" s="63">
        <v>-15769</v>
      </c>
      <c r="CF23" s="63">
        <v>-15006</v>
      </c>
      <c r="CG23" s="63">
        <v>-10192</v>
      </c>
    </row>
    <row r="24" spans="1:85" s="1" customFormat="1" ht="19.5" customHeight="1">
      <c r="A24" s="6"/>
      <c r="B24" s="52" t="s">
        <v>120</v>
      </c>
      <c r="C24" s="53"/>
      <c r="D24" s="63">
        <v>25561</v>
      </c>
      <c r="E24" s="63">
        <v>25449</v>
      </c>
      <c r="F24" s="64">
        <v>100495</v>
      </c>
      <c r="G24" s="63">
        <v>25185</v>
      </c>
      <c r="H24" s="63">
        <v>27389</v>
      </c>
      <c r="I24" s="63">
        <v>22781</v>
      </c>
      <c r="J24" s="63">
        <v>25140</v>
      </c>
      <c r="K24" s="64">
        <v>61572</v>
      </c>
      <c r="L24" s="63">
        <v>20364</v>
      </c>
      <c r="M24" s="63">
        <v>15365</v>
      </c>
      <c r="N24" s="63">
        <v>13014</v>
      </c>
      <c r="O24" s="63">
        <v>12829</v>
      </c>
      <c r="P24" s="64">
        <f>SUM(Q24:T24)</f>
        <v>47051</v>
      </c>
      <c r="Q24" s="63">
        <v>11961</v>
      </c>
      <c r="R24" s="63">
        <v>10580</v>
      </c>
      <c r="S24" s="63">
        <v>12304</v>
      </c>
      <c r="T24" s="63">
        <v>12206</v>
      </c>
      <c r="U24" s="64">
        <f>SUM(V24:Y24)</f>
        <v>39087</v>
      </c>
      <c r="V24" s="63">
        <v>8406</v>
      </c>
      <c r="W24" s="63">
        <v>10050</v>
      </c>
      <c r="X24" s="63">
        <v>10560</v>
      </c>
      <c r="Y24" s="63">
        <v>10071</v>
      </c>
      <c r="Z24" s="64">
        <f>SUM(AA24:AD24)</f>
        <v>19621</v>
      </c>
      <c r="AA24" s="63">
        <v>7200</v>
      </c>
      <c r="AB24" s="63">
        <v>5466</v>
      </c>
      <c r="AC24" s="63">
        <v>3752</v>
      </c>
      <c r="AD24" s="63">
        <v>3203</v>
      </c>
      <c r="AE24" s="64">
        <f>SUM(AF24:AI24)</f>
        <v>16506</v>
      </c>
      <c r="AF24" s="63">
        <v>4257</v>
      </c>
      <c r="AG24" s="63">
        <v>3084</v>
      </c>
      <c r="AH24" s="63">
        <v>4359</v>
      </c>
      <c r="AI24" s="63">
        <v>4806</v>
      </c>
      <c r="AJ24" s="64">
        <f t="shared" si="22"/>
        <v>14485</v>
      </c>
      <c r="AK24" s="63">
        <v>6573</v>
      </c>
      <c r="AL24" s="63">
        <v>3816</v>
      </c>
      <c r="AM24" s="63">
        <v>2942</v>
      </c>
      <c r="AN24" s="63">
        <v>1154</v>
      </c>
      <c r="AO24" s="64">
        <f t="shared" si="23"/>
        <v>8489</v>
      </c>
      <c r="AP24" s="63">
        <v>2238</v>
      </c>
      <c r="AQ24" s="63">
        <v>2511</v>
      </c>
      <c r="AR24" s="63">
        <v>1705</v>
      </c>
      <c r="AS24" s="63">
        <v>2035</v>
      </c>
      <c r="AT24" s="64">
        <f t="shared" si="24"/>
        <v>5631</v>
      </c>
      <c r="AU24" s="63">
        <v>2156</v>
      </c>
      <c r="AV24" s="63">
        <v>1144</v>
      </c>
      <c r="AW24" s="63">
        <v>868</v>
      </c>
      <c r="AX24" s="63">
        <v>1463</v>
      </c>
      <c r="AY24" s="64">
        <f t="shared" si="25"/>
        <v>11704</v>
      </c>
      <c r="AZ24" s="63">
        <f>11704-SUM(BA24:BC24)</f>
        <v>4668</v>
      </c>
      <c r="BA24" s="63">
        <v>2089</v>
      </c>
      <c r="BB24" s="63">
        <v>1822</v>
      </c>
      <c r="BC24" s="63">
        <v>3125</v>
      </c>
      <c r="BD24" s="64">
        <f t="shared" si="26"/>
        <v>11415</v>
      </c>
      <c r="BE24" s="63">
        <v>2718</v>
      </c>
      <c r="BF24" s="63">
        <v>2511</v>
      </c>
      <c r="BG24" s="63">
        <v>2441</v>
      </c>
      <c r="BH24" s="63">
        <v>3745</v>
      </c>
      <c r="BI24" s="64">
        <f t="shared" si="27"/>
        <v>15744</v>
      </c>
      <c r="BJ24" s="63">
        <v>3653</v>
      </c>
      <c r="BK24" s="63">
        <v>3857</v>
      </c>
      <c r="BL24" s="63">
        <v>4090</v>
      </c>
      <c r="BM24" s="63">
        <v>4144</v>
      </c>
      <c r="BN24" s="64">
        <f t="shared" si="10"/>
        <v>19995</v>
      </c>
      <c r="BO24" s="63">
        <v>6799</v>
      </c>
      <c r="BP24" s="63">
        <v>5199</v>
      </c>
      <c r="BQ24" s="63">
        <v>4616</v>
      </c>
      <c r="BR24" s="63">
        <v>3381</v>
      </c>
      <c r="BS24" s="64">
        <f t="shared" si="28"/>
        <v>27971</v>
      </c>
      <c r="BT24" s="63">
        <v>4499</v>
      </c>
      <c r="BU24" s="63">
        <v>7232</v>
      </c>
      <c r="BV24" s="63">
        <v>7103</v>
      </c>
      <c r="BW24" s="63">
        <v>9137</v>
      </c>
      <c r="BX24" s="64">
        <f t="shared" si="29"/>
        <v>39206</v>
      </c>
      <c r="BY24" s="63">
        <v>8099</v>
      </c>
      <c r="BZ24" s="63">
        <v>9153</v>
      </c>
      <c r="CA24" s="63">
        <v>10974</v>
      </c>
      <c r="CB24" s="63">
        <v>10980</v>
      </c>
      <c r="CC24" s="64">
        <f t="shared" si="30"/>
        <v>36100</v>
      </c>
      <c r="CD24" s="63">
        <v>9388</v>
      </c>
      <c r="CE24" s="63">
        <v>11044</v>
      </c>
      <c r="CF24" s="63">
        <v>9883</v>
      </c>
      <c r="CG24" s="63">
        <v>5785</v>
      </c>
    </row>
    <row r="25" spans="1:85" s="25" customFormat="1" ht="16.5" customHeight="1">
      <c r="A25" s="24"/>
      <c r="B25" s="56" t="s">
        <v>67</v>
      </c>
      <c r="C25" s="38"/>
      <c r="D25" s="57">
        <f t="shared" ref="D25:N25" si="34">+SUM(D21:D22)</f>
        <v>54720</v>
      </c>
      <c r="E25" s="57">
        <f t="shared" si="34"/>
        <v>37767</v>
      </c>
      <c r="F25" s="57">
        <f t="shared" si="34"/>
        <v>253141</v>
      </c>
      <c r="G25" s="57">
        <f t="shared" si="34"/>
        <v>76086</v>
      </c>
      <c r="H25" s="57">
        <f t="shared" si="34"/>
        <v>66242</v>
      </c>
      <c r="I25" s="57">
        <f t="shared" si="34"/>
        <v>59406</v>
      </c>
      <c r="J25" s="57">
        <f t="shared" si="34"/>
        <v>51407</v>
      </c>
      <c r="K25" s="57">
        <f t="shared" si="34"/>
        <v>209499</v>
      </c>
      <c r="L25" s="57">
        <f t="shared" si="34"/>
        <v>83941</v>
      </c>
      <c r="M25" s="57">
        <f t="shared" si="34"/>
        <v>47387</v>
      </c>
      <c r="N25" s="57">
        <f t="shared" si="34"/>
        <v>39041</v>
      </c>
      <c r="O25" s="57">
        <f>+SUM(O21:O22)</f>
        <v>39130</v>
      </c>
      <c r="P25" s="57">
        <f>SUM(Q25:T25)</f>
        <v>158343</v>
      </c>
      <c r="Q25" s="57">
        <f>+SUM(Q21:Q22)</f>
        <v>52960</v>
      </c>
      <c r="R25" s="57">
        <f>+SUM(R21:R22)</f>
        <v>31259</v>
      </c>
      <c r="S25" s="57">
        <f>+SUM(S21:S22)</f>
        <v>36660</v>
      </c>
      <c r="T25" s="57">
        <f>+T21+T22</f>
        <v>37464</v>
      </c>
      <c r="U25" s="57">
        <f>SUM(V25:Y25)</f>
        <v>91500</v>
      </c>
      <c r="V25" s="57">
        <v>32450</v>
      </c>
      <c r="W25" s="57">
        <v>15771</v>
      </c>
      <c r="X25" s="57">
        <f>+X21+X22</f>
        <v>27504</v>
      </c>
      <c r="Y25" s="57">
        <f>+Y21+Y22</f>
        <v>15775</v>
      </c>
      <c r="Z25" s="57">
        <f>SUM(AA25:AD25)</f>
        <v>149420</v>
      </c>
      <c r="AA25" s="57">
        <f>+AA21+AA22</f>
        <v>21488</v>
      </c>
      <c r="AB25" s="57">
        <f>+AB21+AB22</f>
        <v>40651</v>
      </c>
      <c r="AC25" s="57">
        <f>+AC21+AC22</f>
        <v>43682</v>
      </c>
      <c r="AD25" s="57">
        <f>+AD21+AD22</f>
        <v>43599</v>
      </c>
      <c r="AE25" s="57">
        <f>SUM(AF25:AI25)</f>
        <v>201519</v>
      </c>
      <c r="AF25" s="57">
        <f>+AF21+AF22</f>
        <v>66021</v>
      </c>
      <c r="AG25" s="57">
        <f>+AG21+AG22</f>
        <v>56791</v>
      </c>
      <c r="AH25" s="57">
        <f>+AH21+AH22</f>
        <v>42374</v>
      </c>
      <c r="AI25" s="57">
        <f>+AI21+AI22</f>
        <v>36333</v>
      </c>
      <c r="AJ25" s="57">
        <f t="shared" si="22"/>
        <v>168305</v>
      </c>
      <c r="AK25" s="57">
        <f>+AK21+AK22</f>
        <v>52625</v>
      </c>
      <c r="AL25" s="57">
        <f>+AL21+AL22</f>
        <v>50297</v>
      </c>
      <c r="AM25" s="57">
        <f>+AM21+AM22</f>
        <v>32793</v>
      </c>
      <c r="AN25" s="57">
        <f>+AN21+AN22</f>
        <v>32590</v>
      </c>
      <c r="AO25" s="57">
        <f t="shared" si="23"/>
        <v>89463</v>
      </c>
      <c r="AP25" s="57">
        <f>+AP21+AP22</f>
        <v>26837</v>
      </c>
      <c r="AQ25" s="57">
        <f>+AQ21+AQ22</f>
        <v>26029</v>
      </c>
      <c r="AR25" s="57">
        <f>+AR21+AR22</f>
        <v>20389</v>
      </c>
      <c r="AS25" s="57">
        <f>+AS21+AS22</f>
        <v>16208</v>
      </c>
      <c r="AT25" s="57">
        <f t="shared" si="24"/>
        <v>45028</v>
      </c>
      <c r="AU25" s="57">
        <f>+AU21+AU22</f>
        <v>24344</v>
      </c>
      <c r="AV25" s="57">
        <f>+AV21+AV22</f>
        <v>11846</v>
      </c>
      <c r="AW25" s="57">
        <f>+AW21+AW22</f>
        <v>4518</v>
      </c>
      <c r="AX25" s="57">
        <f>+AX21+AX22</f>
        <v>4320</v>
      </c>
      <c r="AY25" s="57">
        <f t="shared" si="25"/>
        <v>9348</v>
      </c>
      <c r="AZ25" s="57">
        <f>+AZ21+AZ22</f>
        <v>3458</v>
      </c>
      <c r="BA25" s="57">
        <f>+BA21+BA22</f>
        <v>4896</v>
      </c>
      <c r="BB25" s="57">
        <f>+BB21+BB22</f>
        <v>-236</v>
      </c>
      <c r="BC25" s="57">
        <f>+BC21+BC22</f>
        <v>1230</v>
      </c>
      <c r="BD25" s="57">
        <f t="shared" si="26"/>
        <v>33032</v>
      </c>
      <c r="BE25" s="57">
        <f>+BE21+BE22</f>
        <v>8838</v>
      </c>
      <c r="BF25" s="57">
        <f>+BF21+BF22</f>
        <v>10070</v>
      </c>
      <c r="BG25" s="57">
        <f>+BG21+BG22</f>
        <v>6763</v>
      </c>
      <c r="BH25" s="57">
        <f>+BH21+BH22</f>
        <v>7361</v>
      </c>
      <c r="BI25" s="57">
        <f t="shared" si="27"/>
        <v>49050</v>
      </c>
      <c r="BJ25" s="57">
        <f>+BJ21+BJ22</f>
        <v>8525</v>
      </c>
      <c r="BK25" s="57">
        <f>+BK21+BK22</f>
        <v>12960</v>
      </c>
      <c r="BL25" s="57">
        <f>+BL21+BL22</f>
        <v>11112</v>
      </c>
      <c r="BM25" s="57">
        <f>+BM21+BM22</f>
        <v>16453</v>
      </c>
      <c r="BN25" s="57">
        <f t="shared" si="10"/>
        <v>70974</v>
      </c>
      <c r="BO25" s="57">
        <f>+BO21+BO22</f>
        <v>16475</v>
      </c>
      <c r="BP25" s="57">
        <f>+BP21+BP22</f>
        <v>16732</v>
      </c>
      <c r="BQ25" s="57">
        <f>+BQ21+BQ22</f>
        <v>17537</v>
      </c>
      <c r="BR25" s="57">
        <f>+BR21+BR22</f>
        <v>20230</v>
      </c>
      <c r="BS25" s="57">
        <f t="shared" si="28"/>
        <v>46109</v>
      </c>
      <c r="BT25" s="57">
        <f>+BT21+BT22</f>
        <v>13710</v>
      </c>
      <c r="BU25" s="57">
        <f>+BU21+BU22</f>
        <v>13630</v>
      </c>
      <c r="BV25" s="57">
        <f>+BV21+BV22</f>
        <v>8737</v>
      </c>
      <c r="BW25" s="57">
        <f>+BW21+BW22</f>
        <v>10032</v>
      </c>
      <c r="BX25" s="57">
        <f t="shared" si="29"/>
        <v>-9560</v>
      </c>
      <c r="BY25" s="57">
        <f>+BY21+BY22</f>
        <v>9876</v>
      </c>
      <c r="BZ25" s="57">
        <f>+BZ21+BZ22</f>
        <v>12609</v>
      </c>
      <c r="CA25" s="57">
        <f>+CA21+CA22</f>
        <v>-26270</v>
      </c>
      <c r="CB25" s="57">
        <f>+CB21+CB22</f>
        <v>-5775</v>
      </c>
      <c r="CC25" s="57">
        <f t="shared" si="30"/>
        <v>69051</v>
      </c>
      <c r="CD25" s="57">
        <f>+CD21+CD22</f>
        <v>-10556</v>
      </c>
      <c r="CE25" s="57">
        <f>+CE21+CE22</f>
        <v>28477</v>
      </c>
      <c r="CF25" s="57">
        <f>+CF21+CF22</f>
        <v>23916</v>
      </c>
      <c r="CG25" s="57">
        <f>+CG21+CG22</f>
        <v>27214</v>
      </c>
    </row>
    <row r="26" spans="1:85" s="25" customFormat="1" ht="16.5" customHeight="1">
      <c r="A26" s="24"/>
      <c r="B26" s="56" t="s">
        <v>68</v>
      </c>
      <c r="C26" s="38"/>
      <c r="D26" s="57" t="s">
        <v>34</v>
      </c>
      <c r="E26" s="57" t="s">
        <v>34</v>
      </c>
      <c r="F26" s="57" t="s">
        <v>34</v>
      </c>
      <c r="G26" s="57" t="s">
        <v>34</v>
      </c>
      <c r="H26" s="57" t="s">
        <v>34</v>
      </c>
      <c r="I26" s="57" t="s">
        <v>34</v>
      </c>
      <c r="J26" s="57" t="s">
        <v>34</v>
      </c>
      <c r="K26" s="57" t="s">
        <v>34</v>
      </c>
      <c r="L26" s="57" t="s">
        <v>34</v>
      </c>
      <c r="M26" s="57" t="s">
        <v>34</v>
      </c>
      <c r="N26" s="57" t="s">
        <v>34</v>
      </c>
      <c r="O26" s="57" t="s">
        <v>34</v>
      </c>
      <c r="P26" s="57" t="s">
        <v>34</v>
      </c>
      <c r="Q26" s="57" t="s">
        <v>34</v>
      </c>
      <c r="R26" s="57" t="s">
        <v>34</v>
      </c>
      <c r="S26" s="57" t="s">
        <v>34</v>
      </c>
      <c r="T26" s="57" t="s">
        <v>34</v>
      </c>
      <c r="U26" s="57" t="s">
        <v>34</v>
      </c>
      <c r="V26" s="57" t="s">
        <v>34</v>
      </c>
      <c r="W26" s="57" t="s">
        <v>34</v>
      </c>
      <c r="X26" s="57" t="s">
        <v>34</v>
      </c>
      <c r="Y26" s="57" t="s">
        <v>34</v>
      </c>
      <c r="Z26" s="57" t="s">
        <v>34</v>
      </c>
      <c r="AA26" s="57" t="s">
        <v>34</v>
      </c>
      <c r="AB26" s="57" t="s">
        <v>34</v>
      </c>
      <c r="AC26" s="57" t="s">
        <v>34</v>
      </c>
      <c r="AD26" s="57" t="s">
        <v>34</v>
      </c>
      <c r="AE26" s="57" t="s">
        <v>34</v>
      </c>
      <c r="AF26" s="57" t="s">
        <v>34</v>
      </c>
      <c r="AG26" s="57" t="s">
        <v>34</v>
      </c>
      <c r="AH26" s="57" t="s">
        <v>34</v>
      </c>
      <c r="AI26" s="57" t="s">
        <v>34</v>
      </c>
      <c r="AJ26" s="57" t="s">
        <v>34</v>
      </c>
      <c r="AK26" s="57" t="s">
        <v>34</v>
      </c>
      <c r="AL26" s="57" t="s">
        <v>34</v>
      </c>
      <c r="AM26" s="57" t="s">
        <v>34</v>
      </c>
      <c r="AN26" s="57" t="s">
        <v>34</v>
      </c>
      <c r="AO26" s="57" t="s">
        <v>34</v>
      </c>
      <c r="AP26" s="57" t="s">
        <v>34</v>
      </c>
      <c r="AQ26" s="57" t="s">
        <v>34</v>
      </c>
      <c r="AR26" s="57" t="s">
        <v>34</v>
      </c>
      <c r="AS26" s="57" t="s">
        <v>34</v>
      </c>
      <c r="AT26" s="57" t="s">
        <v>34</v>
      </c>
      <c r="AU26" s="57" t="s">
        <v>34</v>
      </c>
      <c r="AV26" s="57" t="s">
        <v>34</v>
      </c>
      <c r="AW26" s="57" t="s">
        <v>34</v>
      </c>
      <c r="AX26" s="57" t="s">
        <v>34</v>
      </c>
      <c r="AY26" s="57" t="s">
        <v>34</v>
      </c>
      <c r="AZ26" s="57" t="s">
        <v>34</v>
      </c>
      <c r="BA26" s="57" t="s">
        <v>34</v>
      </c>
      <c r="BB26" s="57" t="s">
        <v>34</v>
      </c>
      <c r="BC26" s="57" t="s">
        <v>34</v>
      </c>
      <c r="BD26" s="57" t="s">
        <v>34</v>
      </c>
      <c r="BE26" s="57" t="s">
        <v>34</v>
      </c>
      <c r="BF26" s="57" t="s">
        <v>34</v>
      </c>
      <c r="BG26" s="57" t="s">
        <v>34</v>
      </c>
      <c r="BH26" s="57" t="s">
        <v>34</v>
      </c>
      <c r="BI26" s="57" t="s">
        <v>34</v>
      </c>
      <c r="BJ26" s="57" t="s">
        <v>34</v>
      </c>
      <c r="BK26" s="57" t="s">
        <v>34</v>
      </c>
      <c r="BL26" s="57" t="s">
        <v>34</v>
      </c>
      <c r="BM26" s="57" t="s">
        <v>34</v>
      </c>
      <c r="BN26" s="57" t="s">
        <v>34</v>
      </c>
      <c r="BO26" s="57" t="s">
        <v>34</v>
      </c>
      <c r="BP26" s="57" t="s">
        <v>34</v>
      </c>
      <c r="BQ26" s="57" t="s">
        <v>34</v>
      </c>
      <c r="BR26" s="57" t="s">
        <v>34</v>
      </c>
      <c r="BS26" s="57" t="s">
        <v>34</v>
      </c>
      <c r="BT26" s="57" t="s">
        <v>34</v>
      </c>
      <c r="BU26" s="57" t="s">
        <v>34</v>
      </c>
      <c r="BV26" s="57" t="s">
        <v>34</v>
      </c>
      <c r="BW26" s="57" t="s">
        <v>34</v>
      </c>
      <c r="BX26" s="57" t="s">
        <v>34</v>
      </c>
      <c r="BY26" s="57" t="s">
        <v>34</v>
      </c>
      <c r="BZ26" s="57" t="s">
        <v>34</v>
      </c>
      <c r="CA26" s="57" t="s">
        <v>34</v>
      </c>
      <c r="CB26" s="57" t="s">
        <v>34</v>
      </c>
      <c r="CC26" s="57" t="s">
        <v>34</v>
      </c>
      <c r="CD26" s="57" t="s">
        <v>34</v>
      </c>
      <c r="CE26" s="57" t="s">
        <v>34</v>
      </c>
      <c r="CF26" s="57" t="s">
        <v>34</v>
      </c>
      <c r="CG26" s="57" t="s">
        <v>34</v>
      </c>
    </row>
    <row r="27" spans="1:85" s="61" customFormat="1" ht="19.5" customHeight="1">
      <c r="A27" s="58"/>
      <c r="B27" s="59" t="s">
        <v>121</v>
      </c>
      <c r="C27" s="60"/>
      <c r="D27" s="65" t="s">
        <v>34</v>
      </c>
      <c r="E27" s="65" t="s">
        <v>34</v>
      </c>
      <c r="F27" s="66" t="s">
        <v>34</v>
      </c>
      <c r="G27" s="65" t="s">
        <v>34</v>
      </c>
      <c r="H27" s="65" t="s">
        <v>34</v>
      </c>
      <c r="I27" s="65" t="s">
        <v>34</v>
      </c>
      <c r="J27" s="65" t="s">
        <v>34</v>
      </c>
      <c r="K27" s="66" t="s">
        <v>34</v>
      </c>
      <c r="L27" s="65" t="s">
        <v>34</v>
      </c>
      <c r="M27" s="65" t="s">
        <v>34</v>
      </c>
      <c r="N27" s="65" t="s">
        <v>34</v>
      </c>
      <c r="O27" s="65" t="s">
        <v>34</v>
      </c>
      <c r="P27" s="66" t="s">
        <v>34</v>
      </c>
      <c r="Q27" s="65" t="s">
        <v>34</v>
      </c>
      <c r="R27" s="65" t="s">
        <v>34</v>
      </c>
      <c r="S27" s="65" t="s">
        <v>34</v>
      </c>
      <c r="T27" s="65" t="s">
        <v>34</v>
      </c>
      <c r="U27" s="66" t="s">
        <v>34</v>
      </c>
      <c r="V27" s="65" t="s">
        <v>34</v>
      </c>
      <c r="W27" s="65" t="s">
        <v>34</v>
      </c>
      <c r="X27" s="65" t="s">
        <v>34</v>
      </c>
      <c r="Y27" s="65" t="s">
        <v>34</v>
      </c>
      <c r="Z27" s="66" t="s">
        <v>34</v>
      </c>
      <c r="AA27" s="65" t="s">
        <v>34</v>
      </c>
      <c r="AB27" s="65" t="s">
        <v>34</v>
      </c>
      <c r="AC27" s="65" t="s">
        <v>34</v>
      </c>
      <c r="AD27" s="65" t="s">
        <v>34</v>
      </c>
      <c r="AE27" s="66" t="s">
        <v>34</v>
      </c>
      <c r="AF27" s="65" t="s">
        <v>34</v>
      </c>
      <c r="AG27" s="65" t="s">
        <v>34</v>
      </c>
      <c r="AH27" s="65" t="s">
        <v>34</v>
      </c>
      <c r="AI27" s="65" t="s">
        <v>34</v>
      </c>
      <c r="AJ27" s="66" t="s">
        <v>34</v>
      </c>
      <c r="AK27" s="65" t="s">
        <v>34</v>
      </c>
      <c r="AL27" s="65" t="s">
        <v>34</v>
      </c>
      <c r="AM27" s="65" t="s">
        <v>34</v>
      </c>
      <c r="AN27" s="65" t="s">
        <v>34</v>
      </c>
      <c r="AO27" s="66" t="s">
        <v>34</v>
      </c>
      <c r="AP27" s="65" t="s">
        <v>34</v>
      </c>
      <c r="AQ27" s="65" t="s">
        <v>34</v>
      </c>
      <c r="AR27" s="65" t="s">
        <v>34</v>
      </c>
      <c r="AS27" s="65" t="s">
        <v>34</v>
      </c>
      <c r="AT27" s="66" t="s">
        <v>34</v>
      </c>
      <c r="AU27" s="65" t="s">
        <v>34</v>
      </c>
      <c r="AV27" s="65" t="s">
        <v>34</v>
      </c>
      <c r="AW27" s="65" t="s">
        <v>34</v>
      </c>
      <c r="AX27" s="65" t="s">
        <v>34</v>
      </c>
      <c r="AY27" s="66" t="s">
        <v>34</v>
      </c>
      <c r="AZ27" s="65" t="s">
        <v>34</v>
      </c>
      <c r="BA27" s="65" t="s">
        <v>34</v>
      </c>
      <c r="BB27" s="65" t="s">
        <v>34</v>
      </c>
      <c r="BC27" s="65" t="s">
        <v>34</v>
      </c>
      <c r="BD27" s="66" t="s">
        <v>34</v>
      </c>
      <c r="BE27" s="65" t="s">
        <v>34</v>
      </c>
      <c r="BF27" s="65" t="s">
        <v>34</v>
      </c>
      <c r="BG27" s="65" t="s">
        <v>34</v>
      </c>
      <c r="BH27" s="65" t="s">
        <v>34</v>
      </c>
      <c r="BI27" s="66" t="s">
        <v>34</v>
      </c>
      <c r="BJ27" s="65" t="s">
        <v>34</v>
      </c>
      <c r="BK27" s="65" t="s">
        <v>34</v>
      </c>
      <c r="BL27" s="65" t="s">
        <v>34</v>
      </c>
      <c r="BM27" s="65" t="s">
        <v>34</v>
      </c>
      <c r="BN27" s="66" t="s">
        <v>34</v>
      </c>
      <c r="BO27" s="65" t="s">
        <v>34</v>
      </c>
      <c r="BP27" s="65" t="s">
        <v>34</v>
      </c>
      <c r="BQ27" s="65" t="s">
        <v>34</v>
      </c>
      <c r="BR27" s="65" t="s">
        <v>34</v>
      </c>
      <c r="BS27" s="66" t="s">
        <v>34</v>
      </c>
      <c r="BT27" s="65" t="s">
        <v>34</v>
      </c>
      <c r="BU27" s="65" t="s">
        <v>34</v>
      </c>
      <c r="BV27" s="65" t="s">
        <v>34</v>
      </c>
      <c r="BW27" s="65" t="s">
        <v>34</v>
      </c>
      <c r="BX27" s="66" t="s">
        <v>34</v>
      </c>
      <c r="BY27" s="65" t="s">
        <v>34</v>
      </c>
      <c r="BZ27" s="65" t="s">
        <v>34</v>
      </c>
      <c r="CA27" s="65" t="s">
        <v>34</v>
      </c>
      <c r="CB27" s="65" t="s">
        <v>34</v>
      </c>
      <c r="CC27" s="66" t="s">
        <v>34</v>
      </c>
      <c r="CD27" s="65" t="s">
        <v>34</v>
      </c>
      <c r="CE27" s="65" t="s">
        <v>34</v>
      </c>
      <c r="CF27" s="65" t="s">
        <v>34</v>
      </c>
      <c r="CG27" s="65" t="s">
        <v>34</v>
      </c>
    </row>
    <row r="28" spans="1:85" s="61" customFormat="1" ht="19.5" customHeight="1">
      <c r="A28" s="58"/>
      <c r="B28" s="59" t="s">
        <v>122</v>
      </c>
      <c r="C28" s="60"/>
      <c r="D28" s="65">
        <v>54720</v>
      </c>
      <c r="E28" s="65">
        <v>37767</v>
      </c>
      <c r="F28" s="66">
        <v>253141</v>
      </c>
      <c r="G28" s="65">
        <v>76086</v>
      </c>
      <c r="H28" s="65">
        <v>66242</v>
      </c>
      <c r="I28" s="65">
        <v>59406</v>
      </c>
      <c r="J28" s="65">
        <v>51407</v>
      </c>
      <c r="K28" s="66">
        <v>209499</v>
      </c>
      <c r="L28" s="65">
        <v>83941</v>
      </c>
      <c r="M28" s="65">
        <v>47387</v>
      </c>
      <c r="N28" s="65">
        <v>39041</v>
      </c>
      <c r="O28" s="65">
        <v>39130</v>
      </c>
      <c r="P28" s="66">
        <f>SUM(Q28:T28)</f>
        <v>158343</v>
      </c>
      <c r="Q28" s="65">
        <v>52960</v>
      </c>
      <c r="R28" s="65">
        <v>31259</v>
      </c>
      <c r="S28" s="65">
        <v>36660</v>
      </c>
      <c r="T28" s="65">
        <f>T25</f>
        <v>37464</v>
      </c>
      <c r="U28" s="66">
        <f>SUM(V28:Y28)</f>
        <v>91500</v>
      </c>
      <c r="V28" s="65">
        <f>V25</f>
        <v>32450</v>
      </c>
      <c r="W28" s="65">
        <f>W25</f>
        <v>15771</v>
      </c>
      <c r="X28" s="65">
        <f>X25</f>
        <v>27504</v>
      </c>
      <c r="Y28" s="65">
        <f>Y25</f>
        <v>15775</v>
      </c>
      <c r="Z28" s="66">
        <f>SUM(AA28:AD28)</f>
        <v>149420</v>
      </c>
      <c r="AA28" s="65">
        <f>AA25</f>
        <v>21488</v>
      </c>
      <c r="AB28" s="65">
        <f>AB25</f>
        <v>40651</v>
      </c>
      <c r="AC28" s="65">
        <f>AC25</f>
        <v>43682</v>
      </c>
      <c r="AD28" s="65">
        <f>AD25</f>
        <v>43599</v>
      </c>
      <c r="AE28" s="66">
        <f>SUM(AF28:AI28)</f>
        <v>201519</v>
      </c>
      <c r="AF28" s="65">
        <f>AF25</f>
        <v>66021</v>
      </c>
      <c r="AG28" s="65">
        <f>AG25</f>
        <v>56791</v>
      </c>
      <c r="AH28" s="65">
        <f>AH25</f>
        <v>42374</v>
      </c>
      <c r="AI28" s="65">
        <f>AI25</f>
        <v>36333</v>
      </c>
      <c r="AJ28" s="66">
        <f>SUM(AK28:AN28)</f>
        <v>168305</v>
      </c>
      <c r="AK28" s="65">
        <f>AK25</f>
        <v>52625</v>
      </c>
      <c r="AL28" s="65">
        <f>AL25</f>
        <v>50297</v>
      </c>
      <c r="AM28" s="65">
        <f>AM25</f>
        <v>32793</v>
      </c>
      <c r="AN28" s="65">
        <f>AN25</f>
        <v>32590</v>
      </c>
      <c r="AO28" s="66">
        <f>SUM(AP28:AS28)</f>
        <v>89463</v>
      </c>
      <c r="AP28" s="65">
        <f>AP25</f>
        <v>26837</v>
      </c>
      <c r="AQ28" s="65">
        <f>AQ25</f>
        <v>26029</v>
      </c>
      <c r="AR28" s="65">
        <f>AR25</f>
        <v>20389</v>
      </c>
      <c r="AS28" s="65">
        <f>AS25</f>
        <v>16208</v>
      </c>
      <c r="AT28" s="66">
        <f t="shared" ref="AT28:AT35" si="35">SUM(AU28:AX28)</f>
        <v>45028</v>
      </c>
      <c r="AU28" s="65">
        <f>AU25</f>
        <v>24344</v>
      </c>
      <c r="AV28" s="65">
        <f>AV25</f>
        <v>11846</v>
      </c>
      <c r="AW28" s="65">
        <f>AW25</f>
        <v>4518</v>
      </c>
      <c r="AX28" s="65">
        <f>AX25</f>
        <v>4320</v>
      </c>
      <c r="AY28" s="66">
        <f t="shared" ref="AY28:AY35" si="36">SUM(AZ28:BC28)</f>
        <v>9348</v>
      </c>
      <c r="AZ28" s="65">
        <f>AZ25</f>
        <v>3458</v>
      </c>
      <c r="BA28" s="65">
        <f>BA25</f>
        <v>4896</v>
      </c>
      <c r="BB28" s="65">
        <f>BB25</f>
        <v>-236</v>
      </c>
      <c r="BC28" s="65">
        <f>BC25</f>
        <v>1230</v>
      </c>
      <c r="BD28" s="66">
        <f t="shared" ref="BD28:BD35" si="37">SUM(BE28:BH28)</f>
        <v>33032</v>
      </c>
      <c r="BE28" s="65">
        <f>BE25</f>
        <v>8838</v>
      </c>
      <c r="BF28" s="65">
        <f>BF25</f>
        <v>10070</v>
      </c>
      <c r="BG28" s="65">
        <f>BG25</f>
        <v>6763</v>
      </c>
      <c r="BH28" s="65">
        <f>BH25</f>
        <v>7361</v>
      </c>
      <c r="BI28" s="66">
        <f t="shared" ref="BI28:BI35" si="38">SUM(BJ28:BM28)</f>
        <v>49050</v>
      </c>
      <c r="BJ28" s="65">
        <f>BJ25</f>
        <v>8525</v>
      </c>
      <c r="BK28" s="65">
        <f>BK25</f>
        <v>12960</v>
      </c>
      <c r="BL28" s="65">
        <f>BL25</f>
        <v>11112</v>
      </c>
      <c r="BM28" s="65">
        <f>BM25</f>
        <v>16453</v>
      </c>
      <c r="BN28" s="66">
        <f t="shared" ref="BN28:BN35" si="39">SUM(BO28:BR28)</f>
        <v>70974</v>
      </c>
      <c r="BO28" s="65">
        <f>BO25</f>
        <v>16475</v>
      </c>
      <c r="BP28" s="65">
        <f>BP25</f>
        <v>16732</v>
      </c>
      <c r="BQ28" s="65">
        <f>BQ25</f>
        <v>17537</v>
      </c>
      <c r="BR28" s="65">
        <f>BR25</f>
        <v>20230</v>
      </c>
      <c r="BS28" s="66">
        <f t="shared" ref="BS28:BS35" si="40">SUM(BT28:BW28)</f>
        <v>46109</v>
      </c>
      <c r="BT28" s="65">
        <f>BT25</f>
        <v>13710</v>
      </c>
      <c r="BU28" s="65">
        <f>BU25</f>
        <v>13630</v>
      </c>
      <c r="BV28" s="65">
        <f>BV25</f>
        <v>8737</v>
      </c>
      <c r="BW28" s="65">
        <f>BW25</f>
        <v>10032</v>
      </c>
      <c r="BX28" s="66">
        <f t="shared" ref="BX28:BX35" si="41">SUM(BY28:CB28)</f>
        <v>-9560</v>
      </c>
      <c r="BY28" s="65">
        <f>BY25</f>
        <v>9876</v>
      </c>
      <c r="BZ28" s="65">
        <f>BZ25</f>
        <v>12609</v>
      </c>
      <c r="CA28" s="65">
        <f>CA25</f>
        <v>-26270</v>
      </c>
      <c r="CB28" s="65">
        <f>CB25</f>
        <v>-5775</v>
      </c>
      <c r="CC28" s="66">
        <f t="shared" ref="CC28:CC35" si="42">SUM(CD28:CG28)</f>
        <v>69051</v>
      </c>
      <c r="CD28" s="65">
        <f>CD25</f>
        <v>-10556</v>
      </c>
      <c r="CE28" s="65">
        <f>CE25</f>
        <v>28477</v>
      </c>
      <c r="CF28" s="65">
        <f>CF25</f>
        <v>23916</v>
      </c>
      <c r="CG28" s="65">
        <f>CG25</f>
        <v>27214</v>
      </c>
    </row>
    <row r="29" spans="1:85" s="61" customFormat="1" ht="19.5" customHeight="1">
      <c r="A29" s="58"/>
      <c r="B29" s="59" t="s">
        <v>69</v>
      </c>
      <c r="C29" s="60"/>
      <c r="D29" s="65">
        <v>-9783</v>
      </c>
      <c r="E29" s="65">
        <v>-9504</v>
      </c>
      <c r="F29" s="66">
        <v>-40046</v>
      </c>
      <c r="G29" s="65">
        <v>-10829</v>
      </c>
      <c r="H29" s="65">
        <v>-11333</v>
      </c>
      <c r="I29" s="65">
        <v>-9457</v>
      </c>
      <c r="J29" s="65">
        <v>-8427</v>
      </c>
      <c r="K29" s="66">
        <v>-34655</v>
      </c>
      <c r="L29" s="65">
        <v>-10649</v>
      </c>
      <c r="M29" s="65">
        <v>-7937</v>
      </c>
      <c r="N29" s="65">
        <v>-8022</v>
      </c>
      <c r="O29" s="65">
        <v>-8047</v>
      </c>
      <c r="P29" s="66">
        <f>SUM(Q29:T29)</f>
        <v>-28148</v>
      </c>
      <c r="Q29" s="65">
        <v>-7283</v>
      </c>
      <c r="R29" s="65">
        <v>-7213</v>
      </c>
      <c r="S29" s="65">
        <v>-7210</v>
      </c>
      <c r="T29" s="65">
        <v>-6442</v>
      </c>
      <c r="U29" s="66">
        <f>SUM(V29:Y29)</f>
        <v>-21751</v>
      </c>
      <c r="V29" s="65">
        <v>-5615</v>
      </c>
      <c r="W29" s="65">
        <v>-5549</v>
      </c>
      <c r="X29" s="65">
        <v>-5779</v>
      </c>
      <c r="Y29" s="65">
        <v>-4808</v>
      </c>
      <c r="Z29" s="66">
        <f>SUM(AA29:AD29)</f>
        <v>-17455</v>
      </c>
      <c r="AA29" s="65">
        <v>-4138</v>
      </c>
      <c r="AB29" s="65">
        <v>-4424</v>
      </c>
      <c r="AC29" s="65">
        <v>-4497</v>
      </c>
      <c r="AD29" s="65">
        <v>-4396</v>
      </c>
      <c r="AE29" s="66">
        <f>SUM(AF29:AI29)</f>
        <v>-17893</v>
      </c>
      <c r="AF29" s="65">
        <v>-5448</v>
      </c>
      <c r="AG29" s="65">
        <v>-5357</v>
      </c>
      <c r="AH29" s="65">
        <v>-4328</v>
      </c>
      <c r="AI29" s="65">
        <v>-2760</v>
      </c>
      <c r="AJ29" s="66">
        <f>SUM(AK29:AN29)</f>
        <v>-17283</v>
      </c>
      <c r="AK29" s="65">
        <v>-4670</v>
      </c>
      <c r="AL29" s="65">
        <v>-5188</v>
      </c>
      <c r="AM29" s="65">
        <v>-3784</v>
      </c>
      <c r="AN29" s="65">
        <v>-3641</v>
      </c>
      <c r="AO29" s="66">
        <f>SUM(AP29:AS29)</f>
        <v>-12465</v>
      </c>
      <c r="AP29" s="65">
        <v>-2690</v>
      </c>
      <c r="AQ29" s="65">
        <v>-4425</v>
      </c>
      <c r="AR29" s="65">
        <v>-2721</v>
      </c>
      <c r="AS29" s="65">
        <v>-2629</v>
      </c>
      <c r="AT29" s="66">
        <f t="shared" si="35"/>
        <v>-9580</v>
      </c>
      <c r="AU29" s="65">
        <v>-2914</v>
      </c>
      <c r="AV29" s="65">
        <f>SUM(AV30:AV31)</f>
        <v>-2685</v>
      </c>
      <c r="AW29" s="65">
        <f>SUM(AW30:AW31)</f>
        <v>-1963</v>
      </c>
      <c r="AX29" s="65">
        <f>SUM(AX30:AX31)</f>
        <v>-2018</v>
      </c>
      <c r="AY29" s="66">
        <f t="shared" si="36"/>
        <v>-6482</v>
      </c>
      <c r="AZ29" s="65">
        <f>-6482-SUM(BA29:BC29)</f>
        <v>-1457</v>
      </c>
      <c r="BA29" s="65">
        <f>SUM(BA30:BA31)</f>
        <v>-2022</v>
      </c>
      <c r="BB29" s="65">
        <f>SUM(BB30:BB31)</f>
        <v>-1997</v>
      </c>
      <c r="BC29" s="65">
        <f>SUM(BC30:BC31)</f>
        <v>-1006</v>
      </c>
      <c r="BD29" s="66">
        <f t="shared" si="37"/>
        <v>-8252</v>
      </c>
      <c r="BE29" s="65">
        <v>-1974</v>
      </c>
      <c r="BF29" s="65">
        <v>-2290</v>
      </c>
      <c r="BG29" s="65">
        <v>-1985</v>
      </c>
      <c r="BH29" s="65">
        <v>-2003</v>
      </c>
      <c r="BI29" s="66">
        <f t="shared" si="38"/>
        <v>-10539</v>
      </c>
      <c r="BJ29" s="65">
        <v>-2851</v>
      </c>
      <c r="BK29" s="65">
        <v>-2173</v>
      </c>
      <c r="BL29" s="65">
        <v>-2565</v>
      </c>
      <c r="BM29" s="65">
        <v>-2950</v>
      </c>
      <c r="BN29" s="66">
        <f t="shared" si="39"/>
        <v>-11802</v>
      </c>
      <c r="BO29" s="65">
        <v>-3432</v>
      </c>
      <c r="BP29" s="65">
        <v>-2646</v>
      </c>
      <c r="BQ29" s="65">
        <v>-3190</v>
      </c>
      <c r="BR29" s="65">
        <v>-2534</v>
      </c>
      <c r="BS29" s="66">
        <f t="shared" si="40"/>
        <v>-18480</v>
      </c>
      <c r="BT29" s="65">
        <v>-917</v>
      </c>
      <c r="BU29" s="65">
        <v>-5169</v>
      </c>
      <c r="BV29" s="65">
        <v>-5676</v>
      </c>
      <c r="BW29" s="65">
        <v>-6718</v>
      </c>
      <c r="BX29" s="66">
        <f t="shared" si="41"/>
        <v>-28978</v>
      </c>
      <c r="BY29" s="65">
        <v>-6775</v>
      </c>
      <c r="BZ29" s="65">
        <v>-7895</v>
      </c>
      <c r="CA29" s="65">
        <v>-6918</v>
      </c>
      <c r="CB29" s="65">
        <v>-7390</v>
      </c>
      <c r="CC29" s="66">
        <f t="shared" si="42"/>
        <v>-29062</v>
      </c>
      <c r="CD29" s="65">
        <v>-7056</v>
      </c>
      <c r="CE29" s="65">
        <v>-8029</v>
      </c>
      <c r="CF29" s="65">
        <v>-7071</v>
      </c>
      <c r="CG29" s="65">
        <v>-6906</v>
      </c>
    </row>
    <row r="30" spans="1:85" s="1" customFormat="1" ht="19.5" customHeight="1">
      <c r="A30" s="6"/>
      <c r="B30" s="52" t="s">
        <v>123</v>
      </c>
      <c r="C30" s="53"/>
      <c r="D30" s="63" t="s">
        <v>34</v>
      </c>
      <c r="E30" s="63" t="s">
        <v>34</v>
      </c>
      <c r="F30" s="64" t="s">
        <v>34</v>
      </c>
      <c r="G30" s="63" t="s">
        <v>34</v>
      </c>
      <c r="H30" s="63" t="s">
        <v>34</v>
      </c>
      <c r="I30" s="63" t="s">
        <v>34</v>
      </c>
      <c r="J30" s="63" t="s">
        <v>34</v>
      </c>
      <c r="K30" s="64" t="s">
        <v>34</v>
      </c>
      <c r="L30" s="63" t="s">
        <v>34</v>
      </c>
      <c r="M30" s="63" t="s">
        <v>34</v>
      </c>
      <c r="N30" s="63" t="s">
        <v>34</v>
      </c>
      <c r="O30" s="63" t="s">
        <v>34</v>
      </c>
      <c r="P30" s="64" t="s">
        <v>34</v>
      </c>
      <c r="Q30" s="63" t="s">
        <v>34</v>
      </c>
      <c r="R30" s="63" t="s">
        <v>34</v>
      </c>
      <c r="S30" s="63" t="s">
        <v>34</v>
      </c>
      <c r="T30" s="63" t="s">
        <v>34</v>
      </c>
      <c r="U30" s="64" t="s">
        <v>34</v>
      </c>
      <c r="V30" s="63" t="s">
        <v>34</v>
      </c>
      <c r="W30" s="63" t="s">
        <v>34</v>
      </c>
      <c r="X30" s="63" t="s">
        <v>34</v>
      </c>
      <c r="Y30" s="63" t="s">
        <v>34</v>
      </c>
      <c r="Z30" s="64" t="s">
        <v>34</v>
      </c>
      <c r="AA30" s="63" t="s">
        <v>34</v>
      </c>
      <c r="AB30" s="63" t="s">
        <v>34</v>
      </c>
      <c r="AC30" s="63" t="s">
        <v>34</v>
      </c>
      <c r="AD30" s="63" t="s">
        <v>34</v>
      </c>
      <c r="AE30" s="64" t="s">
        <v>34</v>
      </c>
      <c r="AF30" s="63" t="s">
        <v>34</v>
      </c>
      <c r="AG30" s="63" t="s">
        <v>34</v>
      </c>
      <c r="AH30" s="63" t="s">
        <v>34</v>
      </c>
      <c r="AI30" s="63" t="s">
        <v>34</v>
      </c>
      <c r="AJ30" s="64" t="s">
        <v>34</v>
      </c>
      <c r="AK30" s="63" t="s">
        <v>34</v>
      </c>
      <c r="AL30" s="63" t="s">
        <v>34</v>
      </c>
      <c r="AM30" s="63" t="s">
        <v>34</v>
      </c>
      <c r="AN30" s="63" t="s">
        <v>34</v>
      </c>
      <c r="AO30" s="64" t="s">
        <v>34</v>
      </c>
      <c r="AP30" s="63" t="s">
        <v>34</v>
      </c>
      <c r="AQ30" s="63" t="s">
        <v>34</v>
      </c>
      <c r="AR30" s="63" t="s">
        <v>34</v>
      </c>
      <c r="AS30" s="63" t="s">
        <v>34</v>
      </c>
      <c r="AT30" s="64">
        <f t="shared" si="35"/>
        <v>-6416</v>
      </c>
      <c r="AU30" s="63" t="s">
        <v>34</v>
      </c>
      <c r="AV30" s="63">
        <v>-2117</v>
      </c>
      <c r="AW30" s="63">
        <v>-2348</v>
      </c>
      <c r="AX30" s="63">
        <v>-1951</v>
      </c>
      <c r="AY30" s="64">
        <f t="shared" si="36"/>
        <v>-6971</v>
      </c>
      <c r="AZ30" s="63" t="s">
        <v>34</v>
      </c>
      <c r="BA30" s="63">
        <v>-2237</v>
      </c>
      <c r="BB30" s="63">
        <v>-2230</v>
      </c>
      <c r="BC30" s="63">
        <v>-2504</v>
      </c>
      <c r="BD30" s="64">
        <f t="shared" si="37"/>
        <v>-6666</v>
      </c>
      <c r="BE30" s="63" t="s">
        <v>34</v>
      </c>
      <c r="BF30" s="63">
        <v>-1871</v>
      </c>
      <c r="BG30" s="63">
        <v>-2206</v>
      </c>
      <c r="BH30" s="63">
        <v>-2589</v>
      </c>
      <c r="BI30" s="64">
        <f t="shared" si="38"/>
        <v>-10825</v>
      </c>
      <c r="BJ30" s="63" t="s">
        <v>34</v>
      </c>
      <c r="BK30" s="63">
        <v>-3008</v>
      </c>
      <c r="BL30" s="63">
        <v>-3701</v>
      </c>
      <c r="BM30" s="63">
        <v>-4116</v>
      </c>
      <c r="BN30" s="64">
        <f t="shared" si="39"/>
        <v>-22817</v>
      </c>
      <c r="BO30" s="63">
        <v>-5223</v>
      </c>
      <c r="BP30" s="63">
        <v>-5962</v>
      </c>
      <c r="BQ30" s="63">
        <v>-6535</v>
      </c>
      <c r="BR30" s="63">
        <v>-5097</v>
      </c>
      <c r="BS30" s="64">
        <f t="shared" si="40"/>
        <v>-25966</v>
      </c>
      <c r="BT30" s="63">
        <v>-5959</v>
      </c>
      <c r="BU30" s="63">
        <v>-5847</v>
      </c>
      <c r="BV30" s="63">
        <v>-6229</v>
      </c>
      <c r="BW30" s="63">
        <v>-7931</v>
      </c>
      <c r="BX30" s="64">
        <f t="shared" si="41"/>
        <v>-30070</v>
      </c>
      <c r="BY30" s="63">
        <v>-7867</v>
      </c>
      <c r="BZ30" s="63">
        <v>-7895</v>
      </c>
      <c r="CA30" s="63">
        <v>-6918</v>
      </c>
      <c r="CB30" s="63">
        <v>-7390</v>
      </c>
      <c r="CC30" s="64">
        <f t="shared" si="42"/>
        <v>-29062</v>
      </c>
      <c r="CD30" s="63">
        <v>-7056</v>
      </c>
      <c r="CE30" s="63">
        <v>-8029</v>
      </c>
      <c r="CF30" s="63">
        <v>-7071</v>
      </c>
      <c r="CG30" s="63">
        <v>-6906</v>
      </c>
    </row>
    <row r="31" spans="1:85" s="1" customFormat="1" ht="19.5" customHeight="1">
      <c r="A31" s="6"/>
      <c r="B31" s="52" t="s">
        <v>124</v>
      </c>
      <c r="C31" s="53"/>
      <c r="D31" s="63" t="s">
        <v>34</v>
      </c>
      <c r="E31" s="63" t="s">
        <v>34</v>
      </c>
      <c r="F31" s="64" t="s">
        <v>34</v>
      </c>
      <c r="G31" s="63" t="s">
        <v>34</v>
      </c>
      <c r="H31" s="63" t="s">
        <v>34</v>
      </c>
      <c r="I31" s="63" t="s">
        <v>34</v>
      </c>
      <c r="J31" s="63" t="s">
        <v>34</v>
      </c>
      <c r="K31" s="64" t="s">
        <v>34</v>
      </c>
      <c r="L31" s="63" t="s">
        <v>34</v>
      </c>
      <c r="M31" s="63" t="s">
        <v>34</v>
      </c>
      <c r="N31" s="63" t="s">
        <v>34</v>
      </c>
      <c r="O31" s="63" t="s">
        <v>34</v>
      </c>
      <c r="P31" s="64" t="s">
        <v>34</v>
      </c>
      <c r="Q31" s="63" t="s">
        <v>34</v>
      </c>
      <c r="R31" s="63" t="s">
        <v>34</v>
      </c>
      <c r="S31" s="63" t="s">
        <v>34</v>
      </c>
      <c r="T31" s="63" t="s">
        <v>34</v>
      </c>
      <c r="U31" s="64" t="s">
        <v>34</v>
      </c>
      <c r="V31" s="63" t="s">
        <v>34</v>
      </c>
      <c r="W31" s="63" t="s">
        <v>34</v>
      </c>
      <c r="X31" s="63" t="s">
        <v>34</v>
      </c>
      <c r="Y31" s="63" t="s">
        <v>34</v>
      </c>
      <c r="Z31" s="64" t="s">
        <v>34</v>
      </c>
      <c r="AA31" s="63" t="s">
        <v>34</v>
      </c>
      <c r="AB31" s="63" t="s">
        <v>34</v>
      </c>
      <c r="AC31" s="63" t="s">
        <v>34</v>
      </c>
      <c r="AD31" s="63" t="s">
        <v>34</v>
      </c>
      <c r="AE31" s="64" t="s">
        <v>34</v>
      </c>
      <c r="AF31" s="63" t="s">
        <v>34</v>
      </c>
      <c r="AG31" s="63" t="s">
        <v>34</v>
      </c>
      <c r="AH31" s="63" t="s">
        <v>34</v>
      </c>
      <c r="AI31" s="63" t="s">
        <v>34</v>
      </c>
      <c r="AJ31" s="64" t="s">
        <v>34</v>
      </c>
      <c r="AK31" s="63" t="s">
        <v>34</v>
      </c>
      <c r="AL31" s="63" t="s">
        <v>34</v>
      </c>
      <c r="AM31" s="63" t="s">
        <v>34</v>
      </c>
      <c r="AN31" s="63" t="s">
        <v>34</v>
      </c>
      <c r="AO31" s="64" t="s">
        <v>34</v>
      </c>
      <c r="AP31" s="63" t="s">
        <v>34</v>
      </c>
      <c r="AQ31" s="63" t="s">
        <v>34</v>
      </c>
      <c r="AR31" s="63" t="s">
        <v>34</v>
      </c>
      <c r="AS31" s="63" t="s">
        <v>34</v>
      </c>
      <c r="AT31" s="64">
        <f t="shared" si="35"/>
        <v>-250</v>
      </c>
      <c r="AU31" s="63" t="s">
        <v>34</v>
      </c>
      <c r="AV31" s="63">
        <v>-568</v>
      </c>
      <c r="AW31" s="63">
        <v>385</v>
      </c>
      <c r="AX31" s="63">
        <v>-67</v>
      </c>
      <c r="AY31" s="64">
        <f t="shared" si="36"/>
        <v>1946</v>
      </c>
      <c r="AZ31" s="63" t="s">
        <v>34</v>
      </c>
      <c r="BA31" s="63">
        <v>215</v>
      </c>
      <c r="BB31" s="63">
        <v>233</v>
      </c>
      <c r="BC31" s="63">
        <v>1498</v>
      </c>
      <c r="BD31" s="64">
        <f t="shared" si="37"/>
        <v>388</v>
      </c>
      <c r="BE31" s="63" t="s">
        <v>34</v>
      </c>
      <c r="BF31" s="63">
        <v>-419</v>
      </c>
      <c r="BG31" s="63">
        <v>221</v>
      </c>
      <c r="BH31" s="63">
        <v>586</v>
      </c>
      <c r="BI31" s="64">
        <f t="shared" si="38"/>
        <v>3137</v>
      </c>
      <c r="BJ31" s="63" t="s">
        <v>34</v>
      </c>
      <c r="BK31" s="63">
        <v>835</v>
      </c>
      <c r="BL31" s="63">
        <v>1136</v>
      </c>
      <c r="BM31" s="63">
        <v>1166</v>
      </c>
      <c r="BN31" s="64">
        <f t="shared" si="39"/>
        <v>11015</v>
      </c>
      <c r="BO31" s="63">
        <v>1791</v>
      </c>
      <c r="BP31" s="63">
        <v>3316</v>
      </c>
      <c r="BQ31" s="63">
        <v>3345</v>
      </c>
      <c r="BR31" s="63">
        <v>2563</v>
      </c>
      <c r="BS31" s="64">
        <f t="shared" si="40"/>
        <v>7486</v>
      </c>
      <c r="BT31" s="63">
        <v>5042</v>
      </c>
      <c r="BU31" s="63">
        <v>678</v>
      </c>
      <c r="BV31" s="63">
        <v>553</v>
      </c>
      <c r="BW31" s="63">
        <v>1213</v>
      </c>
      <c r="BX31" s="64">
        <f t="shared" si="41"/>
        <v>-1024</v>
      </c>
      <c r="BY31" s="63">
        <v>1092</v>
      </c>
      <c r="BZ31" s="63">
        <v>172</v>
      </c>
      <c r="CA31" s="63">
        <v>137</v>
      </c>
      <c r="CB31" s="63">
        <v>-2425</v>
      </c>
      <c r="CC31" s="64">
        <f t="shared" si="42"/>
        <v>-12092</v>
      </c>
      <c r="CD31" s="63">
        <v>-1186</v>
      </c>
      <c r="CE31" s="63">
        <v>-3924</v>
      </c>
      <c r="CF31" s="63">
        <v>-2975</v>
      </c>
      <c r="CG31" s="63">
        <v>-4007</v>
      </c>
    </row>
    <row r="32" spans="1:85" s="76" customFormat="1" ht="19.5" customHeight="1">
      <c r="A32" s="72"/>
      <c r="B32" s="59" t="s">
        <v>203</v>
      </c>
      <c r="C32" s="73"/>
      <c r="D32" s="74">
        <v>44937</v>
      </c>
      <c r="E32" s="74">
        <v>28263</v>
      </c>
      <c r="F32" s="74">
        <v>213095</v>
      </c>
      <c r="G32" s="74">
        <v>65257</v>
      </c>
      <c r="H32" s="74">
        <f t="shared" ref="H32:O32" si="43">+H28+H29</f>
        <v>54909</v>
      </c>
      <c r="I32" s="74">
        <f t="shared" si="43"/>
        <v>49949</v>
      </c>
      <c r="J32" s="74">
        <f t="shared" si="43"/>
        <v>42980</v>
      </c>
      <c r="K32" s="74">
        <f t="shared" si="43"/>
        <v>174844</v>
      </c>
      <c r="L32" s="74">
        <f t="shared" si="43"/>
        <v>73292</v>
      </c>
      <c r="M32" s="74">
        <f t="shared" si="43"/>
        <v>39450</v>
      </c>
      <c r="N32" s="74">
        <f t="shared" si="43"/>
        <v>31019</v>
      </c>
      <c r="O32" s="74">
        <f t="shared" si="43"/>
        <v>31083</v>
      </c>
      <c r="P32" s="75">
        <f>SUM(Q32:T32)</f>
        <v>130195</v>
      </c>
      <c r="Q32" s="74">
        <f>+Q28+Q29</f>
        <v>45677</v>
      </c>
      <c r="R32" s="74">
        <f>+R28+R29</f>
        <v>24046</v>
      </c>
      <c r="S32" s="74">
        <f>+S28+S29</f>
        <v>29450</v>
      </c>
      <c r="T32" s="74">
        <f>+T28+T29</f>
        <v>31022</v>
      </c>
      <c r="U32" s="75">
        <f>SUM(V32:Y32)</f>
        <v>69749</v>
      </c>
      <c r="V32" s="74">
        <v>26835</v>
      </c>
      <c r="W32" s="74">
        <v>10222</v>
      </c>
      <c r="X32" s="74">
        <f t="shared" ref="X32:AI32" si="44">SUM(X28:X29)</f>
        <v>21725</v>
      </c>
      <c r="Y32" s="74">
        <f t="shared" si="44"/>
        <v>10967</v>
      </c>
      <c r="Z32" s="75">
        <f>SUM(AA32:AD32)</f>
        <v>131965</v>
      </c>
      <c r="AA32" s="74">
        <f t="shared" si="44"/>
        <v>17350</v>
      </c>
      <c r="AB32" s="74">
        <f t="shared" si="44"/>
        <v>36227</v>
      </c>
      <c r="AC32" s="74">
        <f t="shared" si="44"/>
        <v>39185</v>
      </c>
      <c r="AD32" s="74">
        <f t="shared" si="44"/>
        <v>39203</v>
      </c>
      <c r="AE32" s="75">
        <f>SUM(AF32:AI32)</f>
        <v>183626</v>
      </c>
      <c r="AF32" s="74">
        <f t="shared" si="44"/>
        <v>60573</v>
      </c>
      <c r="AG32" s="74">
        <f t="shared" si="44"/>
        <v>51434</v>
      </c>
      <c r="AH32" s="74">
        <f t="shared" si="44"/>
        <v>38046</v>
      </c>
      <c r="AI32" s="74">
        <f t="shared" si="44"/>
        <v>33573</v>
      </c>
      <c r="AJ32" s="75">
        <f>SUM(AK32:AN32)</f>
        <v>151022</v>
      </c>
      <c r="AK32" s="74">
        <f>AK28+AK29</f>
        <v>47955</v>
      </c>
      <c r="AL32" s="74">
        <f>AL28+AL29</f>
        <v>45109</v>
      </c>
      <c r="AM32" s="74">
        <f>AM28+AM29</f>
        <v>29009</v>
      </c>
      <c r="AN32" s="74">
        <f>AN28+AN29</f>
        <v>28949</v>
      </c>
      <c r="AO32" s="75">
        <f>SUM(AP32:AS32)</f>
        <v>76998</v>
      </c>
      <c r="AP32" s="74">
        <f>AP28+AP29</f>
        <v>24147</v>
      </c>
      <c r="AQ32" s="74">
        <f>AQ28+AQ29</f>
        <v>21604</v>
      </c>
      <c r="AR32" s="74">
        <f>AR28+AR29</f>
        <v>17668</v>
      </c>
      <c r="AS32" s="74">
        <f>AS28+AS29</f>
        <v>13579</v>
      </c>
      <c r="AT32" s="75">
        <f t="shared" si="35"/>
        <v>35448</v>
      </c>
      <c r="AU32" s="74">
        <f>AU28+AU29</f>
        <v>21430</v>
      </c>
      <c r="AV32" s="74">
        <f>AV28+AV29</f>
        <v>9161</v>
      </c>
      <c r="AW32" s="74">
        <f>AW28+AW29</f>
        <v>2555</v>
      </c>
      <c r="AX32" s="74">
        <f>AX28+AX29</f>
        <v>2302</v>
      </c>
      <c r="AY32" s="75">
        <f t="shared" si="36"/>
        <v>2866</v>
      </c>
      <c r="AZ32" s="74">
        <f>AZ28+AZ29</f>
        <v>2001</v>
      </c>
      <c r="BA32" s="74">
        <f>BA28+BA29</f>
        <v>2874</v>
      </c>
      <c r="BB32" s="74">
        <f>BB28+BB29</f>
        <v>-2233</v>
      </c>
      <c r="BC32" s="74">
        <f>BC28+BC29</f>
        <v>224</v>
      </c>
      <c r="BD32" s="75">
        <f t="shared" si="37"/>
        <v>24780</v>
      </c>
      <c r="BE32" s="74">
        <f>BE28+BE29</f>
        <v>6864</v>
      </c>
      <c r="BF32" s="74">
        <f>BF28+BF29</f>
        <v>7780</v>
      </c>
      <c r="BG32" s="74">
        <f>BG28+BG29</f>
        <v>4778</v>
      </c>
      <c r="BH32" s="74">
        <f>BH28+BH29</f>
        <v>5358</v>
      </c>
      <c r="BI32" s="75">
        <f t="shared" si="38"/>
        <v>38511</v>
      </c>
      <c r="BJ32" s="74">
        <f>BJ28+BJ29</f>
        <v>5674</v>
      </c>
      <c r="BK32" s="74">
        <f>BK28+BK29</f>
        <v>10787</v>
      </c>
      <c r="BL32" s="74">
        <f>BL28+BL29</f>
        <v>8547</v>
      </c>
      <c r="BM32" s="74">
        <f>BM28+BM29</f>
        <v>13503</v>
      </c>
      <c r="BN32" s="75">
        <f t="shared" si="39"/>
        <v>59172</v>
      </c>
      <c r="BO32" s="74">
        <f>BO28+BO29</f>
        <v>13043</v>
      </c>
      <c r="BP32" s="74">
        <f>BP28+BP29</f>
        <v>14086</v>
      </c>
      <c r="BQ32" s="74">
        <f>BQ28+BQ29</f>
        <v>14347</v>
      </c>
      <c r="BR32" s="74">
        <f>BR28+BR29</f>
        <v>17696</v>
      </c>
      <c r="BS32" s="75">
        <f t="shared" si="40"/>
        <v>27629</v>
      </c>
      <c r="BT32" s="74">
        <f>BT28+BT29</f>
        <v>12793</v>
      </c>
      <c r="BU32" s="74">
        <f>BU28+BU29</f>
        <v>8461</v>
      </c>
      <c r="BV32" s="74">
        <f>BV28+BV29</f>
        <v>3061</v>
      </c>
      <c r="BW32" s="74">
        <f>BW28+BW29</f>
        <v>3314</v>
      </c>
      <c r="BX32" s="75">
        <f t="shared" si="41"/>
        <v>-38538</v>
      </c>
      <c r="BY32" s="74">
        <f>BY28+BY29</f>
        <v>3101</v>
      </c>
      <c r="BZ32" s="74">
        <f>BZ28+BZ29</f>
        <v>4714</v>
      </c>
      <c r="CA32" s="74">
        <f>CA28+CA29</f>
        <v>-33188</v>
      </c>
      <c r="CB32" s="74">
        <f>CB28+CB29</f>
        <v>-13165</v>
      </c>
      <c r="CC32" s="75">
        <f t="shared" si="42"/>
        <v>39989</v>
      </c>
      <c r="CD32" s="74">
        <f>CD28+CD29</f>
        <v>-17612</v>
      </c>
      <c r="CE32" s="74">
        <f>CE28+CE29</f>
        <v>20448</v>
      </c>
      <c r="CF32" s="74">
        <f>CF28+CF29</f>
        <v>16845</v>
      </c>
      <c r="CG32" s="74">
        <f>CG28+CG29</f>
        <v>20308</v>
      </c>
    </row>
    <row r="33" spans="1:85" s="61" customFormat="1" ht="19.5" customHeight="1">
      <c r="A33" s="58"/>
      <c r="B33" s="59" t="s">
        <v>125</v>
      </c>
      <c r="C33" s="60"/>
      <c r="D33" s="65">
        <v>1425</v>
      </c>
      <c r="E33" s="65">
        <v>60</v>
      </c>
      <c r="F33" s="66">
        <v>-9310</v>
      </c>
      <c r="G33" s="65">
        <v>-2156</v>
      </c>
      <c r="H33" s="65">
        <v>-3459</v>
      </c>
      <c r="I33" s="65">
        <v>-1920</v>
      </c>
      <c r="J33" s="65">
        <v>-1775</v>
      </c>
      <c r="K33" s="66">
        <v>-3288</v>
      </c>
      <c r="L33" s="65">
        <v>-716</v>
      </c>
      <c r="M33" s="65">
        <v>-1341</v>
      </c>
      <c r="N33" s="65">
        <v>-546</v>
      </c>
      <c r="O33" s="65">
        <v>-685</v>
      </c>
      <c r="P33" s="66">
        <f>SUM(Q33:T33)</f>
        <v>-6315</v>
      </c>
      <c r="Q33" s="65">
        <v>-1231</v>
      </c>
      <c r="R33" s="65">
        <v>-1078</v>
      </c>
      <c r="S33" s="65">
        <v>-693</v>
      </c>
      <c r="T33" s="65">
        <v>-3313</v>
      </c>
      <c r="U33" s="66">
        <f>SUM(V33:Y33)</f>
        <v>-1836</v>
      </c>
      <c r="V33" s="65">
        <v>436</v>
      </c>
      <c r="W33" s="65">
        <v>-118</v>
      </c>
      <c r="X33" s="65">
        <v>-1255</v>
      </c>
      <c r="Y33" s="65">
        <v>-899</v>
      </c>
      <c r="Z33" s="66">
        <f>SUM(AA33:AD33)</f>
        <v>-11413</v>
      </c>
      <c r="AA33" s="65">
        <v>-468</v>
      </c>
      <c r="AB33" s="65">
        <v>-3127</v>
      </c>
      <c r="AC33" s="65">
        <v>-3713</v>
      </c>
      <c r="AD33" s="65">
        <v>-4105</v>
      </c>
      <c r="AE33" s="66">
        <f>SUM(AF33:AI33)</f>
        <v>-13534</v>
      </c>
      <c r="AF33" s="65">
        <v>-5155</v>
      </c>
      <c r="AG33" s="65">
        <v>-3401</v>
      </c>
      <c r="AH33" s="65">
        <v>-2466</v>
      </c>
      <c r="AI33" s="65">
        <v>-2512</v>
      </c>
      <c r="AJ33" s="66">
        <f>SUM(AK33:AN33)</f>
        <v>-10942</v>
      </c>
      <c r="AK33" s="65">
        <v>-4225</v>
      </c>
      <c r="AL33" s="65">
        <v>-2532</v>
      </c>
      <c r="AM33" s="65">
        <v>-1796</v>
      </c>
      <c r="AN33" s="65">
        <v>-2389</v>
      </c>
      <c r="AO33" s="66">
        <f>SUM(AP33:AS33)</f>
        <v>-5053</v>
      </c>
      <c r="AP33" s="65">
        <v>-3588</v>
      </c>
      <c r="AQ33" s="65">
        <v>-506</v>
      </c>
      <c r="AR33" s="65">
        <v>-271</v>
      </c>
      <c r="AS33" s="65">
        <v>-688</v>
      </c>
      <c r="AT33" s="66">
        <f t="shared" si="35"/>
        <v>-456</v>
      </c>
      <c r="AU33" s="65">
        <v>-1068</v>
      </c>
      <c r="AV33" s="65">
        <v>348</v>
      </c>
      <c r="AW33" s="65">
        <v>346</v>
      </c>
      <c r="AX33" s="65">
        <v>-82</v>
      </c>
      <c r="AY33" s="66">
        <f t="shared" si="36"/>
        <v>-272</v>
      </c>
      <c r="AZ33" s="65">
        <f>-272-SUM(BA33:BC33)</f>
        <v>-30</v>
      </c>
      <c r="BA33" s="65">
        <v>-960</v>
      </c>
      <c r="BB33" s="65">
        <v>85</v>
      </c>
      <c r="BC33" s="65">
        <v>633</v>
      </c>
      <c r="BD33" s="66">
        <f t="shared" si="37"/>
        <v>-5669</v>
      </c>
      <c r="BE33" s="65">
        <v>-579</v>
      </c>
      <c r="BF33" s="65">
        <v>-921</v>
      </c>
      <c r="BG33" s="65">
        <v>-1088</v>
      </c>
      <c r="BH33" s="65">
        <v>-3081</v>
      </c>
      <c r="BI33" s="66">
        <f t="shared" si="38"/>
        <v>-18302</v>
      </c>
      <c r="BJ33" s="65">
        <v>-2284</v>
      </c>
      <c r="BK33" s="65">
        <v>-6350</v>
      </c>
      <c r="BL33" s="65">
        <v>-2271</v>
      </c>
      <c r="BM33" s="65">
        <v>-7397</v>
      </c>
      <c r="BN33" s="66">
        <f t="shared" si="39"/>
        <v>-28458</v>
      </c>
      <c r="BO33" s="65">
        <v>-4820</v>
      </c>
      <c r="BP33" s="65">
        <v>-7159</v>
      </c>
      <c r="BQ33" s="65">
        <v>-6829</v>
      </c>
      <c r="BR33" s="65">
        <v>-9650</v>
      </c>
      <c r="BS33" s="66">
        <f t="shared" si="40"/>
        <v>-364</v>
      </c>
      <c r="BT33" s="65">
        <v>-1067</v>
      </c>
      <c r="BU33" s="65">
        <v>52</v>
      </c>
      <c r="BV33" s="65">
        <v>950</v>
      </c>
      <c r="BW33" s="65">
        <v>-299</v>
      </c>
      <c r="BX33" s="66">
        <f t="shared" si="41"/>
        <v>-1884</v>
      </c>
      <c r="BY33" s="65">
        <v>-376</v>
      </c>
      <c r="BZ33" s="65">
        <v>-645</v>
      </c>
      <c r="CA33" s="65">
        <v>-476</v>
      </c>
      <c r="CB33" s="65">
        <v>-387</v>
      </c>
      <c r="CC33" s="66">
        <f t="shared" si="42"/>
        <v>-830</v>
      </c>
      <c r="CD33" s="65">
        <v>-422</v>
      </c>
      <c r="CE33" s="65">
        <v>-323</v>
      </c>
      <c r="CF33" s="65">
        <v>-84</v>
      </c>
      <c r="CG33" s="65">
        <v>-1</v>
      </c>
    </row>
    <row r="34" spans="1:85" s="25" customFormat="1" ht="16.5" customHeight="1">
      <c r="A34" s="24"/>
      <c r="B34" s="56" t="s">
        <v>202</v>
      </c>
      <c r="C34" s="38"/>
      <c r="D34" s="57">
        <f t="shared" ref="D34:L34" si="45">+SUM(D32:D33)</f>
        <v>46362</v>
      </c>
      <c r="E34" s="57">
        <f t="shared" si="45"/>
        <v>28323</v>
      </c>
      <c r="F34" s="57">
        <f t="shared" si="45"/>
        <v>203785</v>
      </c>
      <c r="G34" s="57">
        <f t="shared" si="45"/>
        <v>63101</v>
      </c>
      <c r="H34" s="57">
        <f t="shared" si="45"/>
        <v>51450</v>
      </c>
      <c r="I34" s="57">
        <f t="shared" si="45"/>
        <v>48029</v>
      </c>
      <c r="J34" s="57">
        <f t="shared" si="45"/>
        <v>41205</v>
      </c>
      <c r="K34" s="57">
        <f t="shared" si="45"/>
        <v>171556</v>
      </c>
      <c r="L34" s="57">
        <f t="shared" si="45"/>
        <v>72576</v>
      </c>
      <c r="M34" s="57">
        <f>+SUM(M32:M33)</f>
        <v>38109</v>
      </c>
      <c r="N34" s="57">
        <f>+SUM(N32:N33)</f>
        <v>30473</v>
      </c>
      <c r="O34" s="57">
        <f>+SUM(O32:O33)</f>
        <v>30398</v>
      </c>
      <c r="P34" s="57">
        <f>SUM(Q34:T34)</f>
        <v>123880</v>
      </c>
      <c r="Q34" s="57">
        <f>+SUM(Q32:Q33)</f>
        <v>44446</v>
      </c>
      <c r="R34" s="57">
        <f>+SUM(R32:R33)</f>
        <v>22968</v>
      </c>
      <c r="S34" s="57">
        <f>+SUM(S32:S33)</f>
        <v>28757</v>
      </c>
      <c r="T34" s="57">
        <f>SUM(T32:T33)</f>
        <v>27709</v>
      </c>
      <c r="U34" s="57">
        <f>SUM(V34:Y34)</f>
        <v>67913</v>
      </c>
      <c r="V34" s="57">
        <f>SUM(V32:V33)</f>
        <v>27271</v>
      </c>
      <c r="W34" s="57">
        <f>SUM(W32:W33)</f>
        <v>10104</v>
      </c>
      <c r="X34" s="57">
        <f>SUM(X32:X33)</f>
        <v>20470</v>
      </c>
      <c r="Y34" s="57">
        <f>SUM(Y32:Y33)</f>
        <v>10068</v>
      </c>
      <c r="Z34" s="57">
        <f>SUM(AA34:AD34)</f>
        <v>120552</v>
      </c>
      <c r="AA34" s="57">
        <f>SUM(AA32:AA33)</f>
        <v>16882</v>
      </c>
      <c r="AB34" s="57">
        <f>SUM(AB32:AB33)</f>
        <v>33100</v>
      </c>
      <c r="AC34" s="57">
        <f>SUM(AC32:AC33)</f>
        <v>35472</v>
      </c>
      <c r="AD34" s="57">
        <f>SUM(AD32:AD33)</f>
        <v>35098</v>
      </c>
      <c r="AE34" s="57">
        <f>SUM(AF34:AI34)</f>
        <v>170092</v>
      </c>
      <c r="AF34" s="57">
        <f>SUM(AF32:AF33)</f>
        <v>55418</v>
      </c>
      <c r="AG34" s="57">
        <f>SUM(AG32:AG33)</f>
        <v>48033</v>
      </c>
      <c r="AH34" s="57">
        <f>SUM(AH32:AH33)</f>
        <v>35580</v>
      </c>
      <c r="AI34" s="57">
        <f>SUM(AI32:AI33)</f>
        <v>31061</v>
      </c>
      <c r="AJ34" s="57">
        <f>SUM(AK34:AN34)</f>
        <v>140080</v>
      </c>
      <c r="AK34" s="57">
        <f>+AK32+AK33</f>
        <v>43730</v>
      </c>
      <c r="AL34" s="57">
        <f>+AL32+AL33</f>
        <v>42577</v>
      </c>
      <c r="AM34" s="57">
        <f>+AM32+AM33</f>
        <v>27213</v>
      </c>
      <c r="AN34" s="57">
        <f>+AN32+AN33</f>
        <v>26560</v>
      </c>
      <c r="AO34" s="57">
        <f>SUM(AP34:AS34)</f>
        <v>71945</v>
      </c>
      <c r="AP34" s="57">
        <f>+AP32+AP33</f>
        <v>20559</v>
      </c>
      <c r="AQ34" s="57">
        <f>+AQ32+AQ33</f>
        <v>21098</v>
      </c>
      <c r="AR34" s="57">
        <f>+AR32+AR33</f>
        <v>17397</v>
      </c>
      <c r="AS34" s="57">
        <f>+AS32+AS33</f>
        <v>12891</v>
      </c>
      <c r="AT34" s="57">
        <f t="shared" si="35"/>
        <v>34992</v>
      </c>
      <c r="AU34" s="57">
        <f>+AU32+AU33</f>
        <v>20362</v>
      </c>
      <c r="AV34" s="57">
        <f>+AV32+AV33</f>
        <v>9509</v>
      </c>
      <c r="AW34" s="57">
        <f>+AW32+AW33</f>
        <v>2901</v>
      </c>
      <c r="AX34" s="57">
        <f>+AX32+AX33</f>
        <v>2220</v>
      </c>
      <c r="AY34" s="57">
        <f t="shared" si="36"/>
        <v>2594</v>
      </c>
      <c r="AZ34" s="57">
        <f>+AZ32+AZ33</f>
        <v>1971</v>
      </c>
      <c r="BA34" s="57">
        <f>+BA32+BA33</f>
        <v>1914</v>
      </c>
      <c r="BB34" s="57">
        <f>+BB32+BB33</f>
        <v>-2148</v>
      </c>
      <c r="BC34" s="57">
        <f>+BC32+BC33</f>
        <v>857</v>
      </c>
      <c r="BD34" s="57">
        <f t="shared" si="37"/>
        <v>19111</v>
      </c>
      <c r="BE34" s="57">
        <f>+BE32+BE33</f>
        <v>6285</v>
      </c>
      <c r="BF34" s="57">
        <f>+BF32+BF33</f>
        <v>6859</v>
      </c>
      <c r="BG34" s="57">
        <f>+BG32+BG33</f>
        <v>3690</v>
      </c>
      <c r="BH34" s="57">
        <f>+BH32+BH33</f>
        <v>2277</v>
      </c>
      <c r="BI34" s="57">
        <f t="shared" si="38"/>
        <v>20209</v>
      </c>
      <c r="BJ34" s="57">
        <f>+BJ32+BJ33</f>
        <v>3390</v>
      </c>
      <c r="BK34" s="57">
        <f>+BK32+BK33</f>
        <v>4437</v>
      </c>
      <c r="BL34" s="57">
        <f>+BL32+BL33</f>
        <v>6276</v>
      </c>
      <c r="BM34" s="57">
        <f>+BM32+BM33</f>
        <v>6106</v>
      </c>
      <c r="BN34" s="57">
        <f t="shared" si="39"/>
        <v>30714</v>
      </c>
      <c r="BO34" s="57">
        <f>+BO32+BO33</f>
        <v>8223</v>
      </c>
      <c r="BP34" s="57">
        <f>+BP32+BP33</f>
        <v>6927</v>
      </c>
      <c r="BQ34" s="57">
        <f>+BQ32+BQ33</f>
        <v>7518</v>
      </c>
      <c r="BR34" s="57">
        <f>+BR32+BR33</f>
        <v>8046</v>
      </c>
      <c r="BS34" s="57">
        <f t="shared" si="40"/>
        <v>27265</v>
      </c>
      <c r="BT34" s="57">
        <f>+BT32+BT33</f>
        <v>11726</v>
      </c>
      <c r="BU34" s="57">
        <f>+BU32+BU33</f>
        <v>8513</v>
      </c>
      <c r="BV34" s="57">
        <f>+BV32+BV33</f>
        <v>4011</v>
      </c>
      <c r="BW34" s="57">
        <f>+BW32+BW33</f>
        <v>3015</v>
      </c>
      <c r="BX34" s="57">
        <f t="shared" si="41"/>
        <v>-40422</v>
      </c>
      <c r="BY34" s="57">
        <f>+BY32+BY33</f>
        <v>2725</v>
      </c>
      <c r="BZ34" s="57">
        <f>+BZ32+BZ33</f>
        <v>4069</v>
      </c>
      <c r="CA34" s="57">
        <f>+CA32+CA33</f>
        <v>-33664</v>
      </c>
      <c r="CB34" s="57">
        <f>+CB32+CB33</f>
        <v>-13552</v>
      </c>
      <c r="CC34" s="57">
        <f t="shared" si="42"/>
        <v>39159</v>
      </c>
      <c r="CD34" s="57">
        <f>+CD32+CD33</f>
        <v>-18034</v>
      </c>
      <c r="CE34" s="57">
        <f>+CE32+CE33</f>
        <v>20125</v>
      </c>
      <c r="CF34" s="57">
        <f>+CF32+CF33</f>
        <v>16761</v>
      </c>
      <c r="CG34" s="57">
        <f>+CG32+CG33</f>
        <v>20307</v>
      </c>
    </row>
    <row r="35" spans="1:85" s="5" customFormat="1" ht="15.75" customHeight="1">
      <c r="A35" s="10"/>
      <c r="B35" s="47" t="s">
        <v>188</v>
      </c>
      <c r="C35" s="47"/>
      <c r="D35" s="62">
        <v>46362</v>
      </c>
      <c r="E35" s="62">
        <v>28203</v>
      </c>
      <c r="F35" s="62">
        <v>203785</v>
      </c>
      <c r="G35" s="62">
        <v>63101</v>
      </c>
      <c r="H35" s="62">
        <v>51450</v>
      </c>
      <c r="I35" s="62">
        <v>48029</v>
      </c>
      <c r="J35" s="62">
        <v>41205</v>
      </c>
      <c r="K35" s="62">
        <v>171556</v>
      </c>
      <c r="L35" s="62">
        <v>72576</v>
      </c>
      <c r="M35" s="62">
        <v>38109</v>
      </c>
      <c r="N35" s="62">
        <v>30473</v>
      </c>
      <c r="O35" s="62">
        <v>30398</v>
      </c>
      <c r="P35" s="62">
        <f>SUM(Q35:T35)</f>
        <v>123880</v>
      </c>
      <c r="Q35" s="62">
        <v>44446</v>
      </c>
      <c r="R35" s="62">
        <v>22968</v>
      </c>
      <c r="S35" s="62">
        <v>28757</v>
      </c>
      <c r="T35" s="62">
        <f>SUM(T34:T34)</f>
        <v>27709</v>
      </c>
      <c r="U35" s="62">
        <f>SUM(V35:Y35)</f>
        <v>67913</v>
      </c>
      <c r="V35" s="62">
        <f>SUM(V34:V34)</f>
        <v>27271</v>
      </c>
      <c r="W35" s="62">
        <f>SUM(W34:W34)</f>
        <v>10104</v>
      </c>
      <c r="X35" s="62">
        <f>SUM(X34:X34)</f>
        <v>20470</v>
      </c>
      <c r="Y35" s="62">
        <f>SUM(Y34:Y34)</f>
        <v>10068</v>
      </c>
      <c r="Z35" s="62">
        <f>SUM(AA35:AD35)</f>
        <v>120552</v>
      </c>
      <c r="AA35" s="62">
        <f>SUM(AA34:AA34)</f>
        <v>16882</v>
      </c>
      <c r="AB35" s="62">
        <f>SUM(AB34:AB34)</f>
        <v>33100</v>
      </c>
      <c r="AC35" s="62">
        <f>SUM(AC34:AC34)</f>
        <v>35472</v>
      </c>
      <c r="AD35" s="62">
        <f>SUM(AD34:AD34)</f>
        <v>35098</v>
      </c>
      <c r="AE35" s="62">
        <f>SUM(AF35:AI35)</f>
        <v>170092</v>
      </c>
      <c r="AF35" s="62">
        <f>SUM(AF34:AF34)</f>
        <v>55418</v>
      </c>
      <c r="AG35" s="62">
        <f>SUM(AG34:AG34)</f>
        <v>48033</v>
      </c>
      <c r="AH35" s="62">
        <f>SUM(AH34:AH34)</f>
        <v>35580</v>
      </c>
      <c r="AI35" s="62">
        <f>SUM(AI34:AI34)</f>
        <v>31061</v>
      </c>
      <c r="AJ35" s="62">
        <f>SUM(AK35:AN35)</f>
        <v>140080</v>
      </c>
      <c r="AK35" s="62">
        <f>AK34</f>
        <v>43730</v>
      </c>
      <c r="AL35" s="62">
        <f>AL34</f>
        <v>42577</v>
      </c>
      <c r="AM35" s="62">
        <f>AM34</f>
        <v>27213</v>
      </c>
      <c r="AN35" s="62">
        <f>AN34</f>
        <v>26560</v>
      </c>
      <c r="AO35" s="62">
        <f>SUM(AP35:AS35)</f>
        <v>71945</v>
      </c>
      <c r="AP35" s="62">
        <f>AP34</f>
        <v>20559</v>
      </c>
      <c r="AQ35" s="62">
        <f>AQ34</f>
        <v>21098</v>
      </c>
      <c r="AR35" s="62">
        <f>AR34</f>
        <v>17397</v>
      </c>
      <c r="AS35" s="62">
        <f>AS34</f>
        <v>12891</v>
      </c>
      <c r="AT35" s="62">
        <f t="shared" si="35"/>
        <v>34992</v>
      </c>
      <c r="AU35" s="62">
        <f>AU34</f>
        <v>20362</v>
      </c>
      <c r="AV35" s="62">
        <f>AV34</f>
        <v>9509</v>
      </c>
      <c r="AW35" s="62">
        <f>AW34</f>
        <v>2901</v>
      </c>
      <c r="AX35" s="62">
        <f>AX34</f>
        <v>2220</v>
      </c>
      <c r="AY35" s="62">
        <f t="shared" si="36"/>
        <v>2594</v>
      </c>
      <c r="AZ35" s="62">
        <f>AZ34</f>
        <v>1971</v>
      </c>
      <c r="BA35" s="62">
        <f>BA34</f>
        <v>1914</v>
      </c>
      <c r="BB35" s="62">
        <f>BB34</f>
        <v>-2148</v>
      </c>
      <c r="BC35" s="62">
        <f>BC34</f>
        <v>857</v>
      </c>
      <c r="BD35" s="62">
        <f t="shared" si="37"/>
        <v>19111</v>
      </c>
      <c r="BE35" s="62">
        <f>BE34</f>
        <v>6285</v>
      </c>
      <c r="BF35" s="62">
        <f>BF34</f>
        <v>6859</v>
      </c>
      <c r="BG35" s="62">
        <f>BG34</f>
        <v>3690</v>
      </c>
      <c r="BH35" s="62">
        <f>BH34</f>
        <v>2277</v>
      </c>
      <c r="BI35" s="62">
        <f t="shared" si="38"/>
        <v>20209</v>
      </c>
      <c r="BJ35" s="62">
        <f>BJ34</f>
        <v>3390</v>
      </c>
      <c r="BK35" s="62">
        <f>BK34</f>
        <v>4437</v>
      </c>
      <c r="BL35" s="62">
        <f>BL34</f>
        <v>6276</v>
      </c>
      <c r="BM35" s="62">
        <f>BM34</f>
        <v>6106</v>
      </c>
      <c r="BN35" s="62">
        <f t="shared" si="39"/>
        <v>30714</v>
      </c>
      <c r="BO35" s="62">
        <f>BO34</f>
        <v>8223</v>
      </c>
      <c r="BP35" s="62">
        <f>BP34</f>
        <v>6927</v>
      </c>
      <c r="BQ35" s="62">
        <f>BQ34</f>
        <v>7518</v>
      </c>
      <c r="BR35" s="62">
        <f>BR34</f>
        <v>8046</v>
      </c>
      <c r="BS35" s="62">
        <f t="shared" si="40"/>
        <v>27265</v>
      </c>
      <c r="BT35" s="62">
        <f>BT34</f>
        <v>11726</v>
      </c>
      <c r="BU35" s="62">
        <f>BU34</f>
        <v>8513</v>
      </c>
      <c r="BV35" s="62">
        <f>BV34</f>
        <v>4011</v>
      </c>
      <c r="BW35" s="62">
        <f>BW34</f>
        <v>3015</v>
      </c>
      <c r="BX35" s="62">
        <f t="shared" si="41"/>
        <v>-40422</v>
      </c>
      <c r="BY35" s="62">
        <f>BY34</f>
        <v>2725</v>
      </c>
      <c r="BZ35" s="62">
        <f>BZ34</f>
        <v>4069</v>
      </c>
      <c r="CA35" s="62">
        <f>CA34</f>
        <v>-33664</v>
      </c>
      <c r="CB35" s="62">
        <f>CB34</f>
        <v>-13552</v>
      </c>
      <c r="CC35" s="62">
        <f t="shared" si="42"/>
        <v>39159</v>
      </c>
      <c r="CD35" s="62">
        <f>CD34</f>
        <v>-18034</v>
      </c>
      <c r="CE35" s="62">
        <f>CE34</f>
        <v>20125</v>
      </c>
      <c r="CF35" s="62">
        <f>CF34</f>
        <v>16761</v>
      </c>
      <c r="CG35" s="62">
        <f>CG34</f>
        <v>20307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H9:AI9 V22:W22 Q9 N22 L25 I21:L21 H9:I9 D9:G9" formulaRange="1"/>
    <ignoredError sqref="AJ4:CH8 AJ10:CH37 CH9 AE9 AE11:AE35 Z9:Z12 Z3:Z8 Z13:Z35 U21 U34:U35 U28 U9 P9 P12 P21:P22 P32:P34" formula="1"/>
    <ignoredError sqref="AJ9:CG9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1048505"/>
  <sheetViews>
    <sheetView showGridLines="0" zoomScaleNormal="100" workbookViewId="0">
      <pane xSplit="4" ySplit="3" topLeftCell="E4" activePane="bottomRight" state="frozen"/>
      <selection pane="topRight"/>
      <selection pane="bottomLeft"/>
      <selection pane="bottomRight" activeCell="E1" sqref="E1"/>
    </sheetView>
  </sheetViews>
  <sheetFormatPr defaultColWidth="9.140625" defaultRowHeight="12.75"/>
  <cols>
    <col min="1" max="1" width="1.42578125" style="21" customWidth="1"/>
    <col min="2" max="2" width="41.5703125" style="26" bestFit="1" customWidth="1"/>
    <col min="3" max="3" width="14.5703125" style="21" customWidth="1"/>
    <col min="4" max="18" width="10.85546875" style="37" customWidth="1"/>
    <col min="19" max="20" width="11.5703125" style="37" customWidth="1"/>
    <col min="21" max="21" width="11.5703125" style="21" customWidth="1"/>
    <col min="22" max="69" width="12.140625" style="37" bestFit="1" customWidth="1"/>
    <col min="70" max="70" width="12.140625" style="37" customWidth="1"/>
    <col min="71" max="16384" width="9.140625" style="21"/>
  </cols>
  <sheetData>
    <row r="1" spans="1:70" ht="54.75" customHeight="1" thickBot="1">
      <c r="A1" s="18"/>
      <c r="B1" s="19"/>
      <c r="C1" s="20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20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</row>
    <row r="2" spans="1:70" ht="8.25" customHeight="1">
      <c r="A2" s="18"/>
      <c r="B2" s="22"/>
      <c r="C2" s="18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18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</row>
    <row r="3" spans="1:70" ht="21.95" customHeight="1">
      <c r="A3" s="23"/>
      <c r="B3" s="44" t="s">
        <v>72</v>
      </c>
      <c r="C3" s="44"/>
      <c r="D3" s="44"/>
      <c r="E3" s="45" t="s">
        <v>212</v>
      </c>
      <c r="F3" s="45" t="s">
        <v>211</v>
      </c>
      <c r="G3" s="45" t="s">
        <v>210</v>
      </c>
      <c r="H3" s="45" t="s">
        <v>209</v>
      </c>
      <c r="I3" s="45" t="s">
        <v>208</v>
      </c>
      <c r="J3" s="45" t="s">
        <v>207</v>
      </c>
      <c r="K3" s="45" t="s">
        <v>205</v>
      </c>
      <c r="L3" s="45" t="s">
        <v>204</v>
      </c>
      <c r="M3" s="45" t="s">
        <v>201</v>
      </c>
      <c r="N3" s="45" t="s">
        <v>200</v>
      </c>
      <c r="O3" s="45" t="s">
        <v>198</v>
      </c>
      <c r="P3" s="45" t="s">
        <v>197</v>
      </c>
      <c r="Q3" s="45" t="s">
        <v>196</v>
      </c>
      <c r="R3" s="45" t="s">
        <v>187</v>
      </c>
      <c r="S3" s="45" t="s">
        <v>186</v>
      </c>
      <c r="T3" s="45" t="s">
        <v>185</v>
      </c>
      <c r="U3" s="45" t="s">
        <v>184</v>
      </c>
      <c r="V3" s="45" t="s">
        <v>183</v>
      </c>
      <c r="W3" s="45" t="s">
        <v>182</v>
      </c>
      <c r="X3" s="45" t="s">
        <v>181</v>
      </c>
      <c r="Y3" s="45" t="s">
        <v>180</v>
      </c>
      <c r="Z3" s="45" t="s">
        <v>179</v>
      </c>
      <c r="AA3" s="45" t="s">
        <v>178</v>
      </c>
      <c r="AB3" s="45" t="s">
        <v>177</v>
      </c>
      <c r="AC3" s="45" t="s">
        <v>176</v>
      </c>
      <c r="AD3" s="45" t="s">
        <v>85</v>
      </c>
      <c r="AE3" s="45" t="s">
        <v>83</v>
      </c>
      <c r="AF3" s="45" t="s">
        <v>81</v>
      </c>
      <c r="AG3" s="45" t="s">
        <v>74</v>
      </c>
      <c r="AH3" s="45" t="s">
        <v>71</v>
      </c>
      <c r="AI3" s="45" t="s">
        <v>70</v>
      </c>
      <c r="AJ3" s="45" t="s">
        <v>36</v>
      </c>
      <c r="AK3" s="45" t="s">
        <v>35</v>
      </c>
      <c r="AL3" s="45" t="s">
        <v>33</v>
      </c>
      <c r="AM3" s="45" t="s">
        <v>16</v>
      </c>
      <c r="AN3" s="45" t="s">
        <v>15</v>
      </c>
      <c r="AO3" s="45" t="s">
        <v>14</v>
      </c>
      <c r="AP3" s="45" t="s">
        <v>13</v>
      </c>
      <c r="AQ3" s="45" t="s">
        <v>11</v>
      </c>
      <c r="AR3" s="45" t="s">
        <v>10</v>
      </c>
      <c r="AS3" s="45" t="s">
        <v>9</v>
      </c>
      <c r="AT3" s="45" t="s">
        <v>8</v>
      </c>
      <c r="AU3" s="45" t="s">
        <v>7</v>
      </c>
      <c r="AV3" s="45" t="s">
        <v>6</v>
      </c>
      <c r="AW3" s="45" t="s">
        <v>5</v>
      </c>
      <c r="AX3" s="45" t="s">
        <v>4</v>
      </c>
      <c r="AY3" s="45" t="s">
        <v>3</v>
      </c>
      <c r="AZ3" s="45" t="s">
        <v>2</v>
      </c>
      <c r="BA3" s="45" t="s">
        <v>1</v>
      </c>
      <c r="BB3" s="45" t="s">
        <v>0</v>
      </c>
      <c r="BC3" s="45" t="s">
        <v>17</v>
      </c>
      <c r="BD3" s="45" t="s">
        <v>18</v>
      </c>
      <c r="BE3" s="45" t="s">
        <v>19</v>
      </c>
      <c r="BF3" s="45" t="s">
        <v>20</v>
      </c>
      <c r="BG3" s="45" t="s">
        <v>21</v>
      </c>
      <c r="BH3" s="45" t="s">
        <v>22</v>
      </c>
      <c r="BI3" s="45" t="s">
        <v>23</v>
      </c>
      <c r="BJ3" s="45" t="s">
        <v>24</v>
      </c>
      <c r="BK3" s="45" t="s">
        <v>25</v>
      </c>
      <c r="BL3" s="45" t="s">
        <v>26</v>
      </c>
      <c r="BM3" s="45" t="s">
        <v>27</v>
      </c>
      <c r="BN3" s="45" t="s">
        <v>28</v>
      </c>
      <c r="BO3" s="45" t="s">
        <v>29</v>
      </c>
      <c r="BP3" s="45" t="s">
        <v>30</v>
      </c>
      <c r="BQ3" s="45" t="s">
        <v>31</v>
      </c>
      <c r="BR3" s="45" t="s">
        <v>32</v>
      </c>
    </row>
    <row r="4" spans="1:70" s="5" customFormat="1" ht="15.75" customHeight="1">
      <c r="A4" s="10"/>
      <c r="B4" s="47" t="s">
        <v>47</v>
      </c>
      <c r="C4" s="47"/>
      <c r="D4" s="62"/>
      <c r="E4" s="62">
        <v>2556911</v>
      </c>
      <c r="F4" s="62">
        <v>2776126</v>
      </c>
      <c r="G4" s="62">
        <v>2917337</v>
      </c>
      <c r="H4" s="62">
        <v>3011533</v>
      </c>
      <c r="I4" s="62">
        <v>2862338</v>
      </c>
      <c r="J4" s="62">
        <v>2618507</v>
      </c>
      <c r="K4" s="62">
        <v>2266110</v>
      </c>
      <c r="L4" s="62">
        <v>2112013</v>
      </c>
      <c r="M4" s="62">
        <v>2068770</v>
      </c>
      <c r="N4" s="62">
        <v>2150357</v>
      </c>
      <c r="O4" s="62">
        <v>2063152</v>
      </c>
      <c r="P4" s="62">
        <v>2028173</v>
      </c>
      <c r="Q4" s="62">
        <v>1988441</v>
      </c>
      <c r="R4" s="62">
        <v>1904592</v>
      </c>
      <c r="S4" s="62">
        <v>1694212</v>
      </c>
      <c r="T4" s="62">
        <v>1434973</v>
      </c>
      <c r="U4" s="62">
        <v>1582829</v>
      </c>
      <c r="V4" s="62">
        <v>1659507</v>
      </c>
      <c r="W4" s="62">
        <f>SUM(W5:W10)</f>
        <v>1571137</v>
      </c>
      <c r="X4" s="62">
        <f>SUM(X5:X10)</f>
        <v>1756134</v>
      </c>
      <c r="Y4" s="62">
        <f t="shared" ref="Y4:BN4" si="0">SUM(Y5:Y10)</f>
        <v>1761383</v>
      </c>
      <c r="Z4" s="62">
        <f t="shared" si="0"/>
        <v>1611597</v>
      </c>
      <c r="AA4" s="62">
        <f t="shared" si="0"/>
        <v>1680830</v>
      </c>
      <c r="AB4" s="62">
        <f t="shared" si="0"/>
        <v>1332510</v>
      </c>
      <c r="AC4" s="62">
        <f t="shared" si="0"/>
        <v>1372145</v>
      </c>
      <c r="AD4" s="62">
        <f t="shared" si="0"/>
        <v>1428997</v>
      </c>
      <c r="AE4" s="62">
        <f t="shared" si="0"/>
        <v>1428232</v>
      </c>
      <c r="AF4" s="62">
        <f t="shared" si="0"/>
        <v>1470101</v>
      </c>
      <c r="AG4" s="62">
        <f t="shared" si="0"/>
        <v>1053488</v>
      </c>
      <c r="AH4" s="62">
        <f t="shared" si="0"/>
        <v>913047</v>
      </c>
      <c r="AI4" s="62">
        <f t="shared" si="0"/>
        <v>848848</v>
      </c>
      <c r="AJ4" s="62">
        <f t="shared" si="0"/>
        <v>851439</v>
      </c>
      <c r="AK4" s="62">
        <f t="shared" si="0"/>
        <v>752016</v>
      </c>
      <c r="AL4" s="62">
        <f t="shared" si="0"/>
        <v>676203</v>
      </c>
      <c r="AM4" s="62">
        <f t="shared" si="0"/>
        <v>669528</v>
      </c>
      <c r="AN4" s="62">
        <f t="shared" si="0"/>
        <v>584547</v>
      </c>
      <c r="AO4" s="62">
        <f t="shared" si="0"/>
        <v>558884</v>
      </c>
      <c r="AP4" s="62">
        <f t="shared" si="0"/>
        <v>565994</v>
      </c>
      <c r="AQ4" s="62">
        <f t="shared" si="0"/>
        <v>597062</v>
      </c>
      <c r="AR4" s="62">
        <f t="shared" si="0"/>
        <v>628450</v>
      </c>
      <c r="AS4" s="62">
        <f t="shared" si="0"/>
        <v>605078</v>
      </c>
      <c r="AT4" s="62">
        <f t="shared" si="0"/>
        <v>669278</v>
      </c>
      <c r="AU4" s="62">
        <f t="shared" si="0"/>
        <v>734987</v>
      </c>
      <c r="AV4" s="62">
        <f t="shared" si="0"/>
        <v>729594</v>
      </c>
      <c r="AW4" s="62">
        <f t="shared" si="0"/>
        <v>719888</v>
      </c>
      <c r="AX4" s="62">
        <f t="shared" si="0"/>
        <v>705354</v>
      </c>
      <c r="AY4" s="62">
        <f t="shared" si="0"/>
        <v>812464</v>
      </c>
      <c r="AZ4" s="62">
        <f t="shared" si="0"/>
        <v>721375</v>
      </c>
      <c r="BA4" s="62">
        <f t="shared" si="0"/>
        <v>821805</v>
      </c>
      <c r="BB4" s="62">
        <f t="shared" si="0"/>
        <v>841188</v>
      </c>
      <c r="BC4" s="62">
        <f t="shared" si="0"/>
        <v>964298</v>
      </c>
      <c r="BD4" s="62">
        <f t="shared" si="0"/>
        <v>987819</v>
      </c>
      <c r="BE4" s="62">
        <f t="shared" si="0"/>
        <v>1223297</v>
      </c>
      <c r="BF4" s="62">
        <f t="shared" si="0"/>
        <v>1267948</v>
      </c>
      <c r="BG4" s="62">
        <f t="shared" si="0"/>
        <v>1275381</v>
      </c>
      <c r="BH4" s="62">
        <f t="shared" si="0"/>
        <v>1294212</v>
      </c>
      <c r="BI4" s="62">
        <f t="shared" si="0"/>
        <v>1373965</v>
      </c>
      <c r="BJ4" s="62">
        <f t="shared" si="0"/>
        <v>1396007</v>
      </c>
      <c r="BK4" s="62">
        <f t="shared" si="0"/>
        <v>1219460</v>
      </c>
      <c r="BL4" s="62">
        <f t="shared" si="0"/>
        <v>1337229</v>
      </c>
      <c r="BM4" s="62">
        <f t="shared" si="0"/>
        <v>1483669</v>
      </c>
      <c r="BN4" s="62">
        <f t="shared" si="0"/>
        <v>1455512</v>
      </c>
      <c r="BO4" s="62">
        <f>SUM(BO5:BO10)</f>
        <v>1481455</v>
      </c>
      <c r="BP4" s="62">
        <f>SUM(BP5:BP10)</f>
        <v>1469941</v>
      </c>
      <c r="BQ4" s="62">
        <f>SUM(BQ5:BQ10)</f>
        <v>1368442</v>
      </c>
      <c r="BR4" s="62">
        <f>SUM(BR5:BR10)</f>
        <v>1233059</v>
      </c>
    </row>
    <row r="5" spans="1:70" ht="16.5" customHeight="1">
      <c r="A5" s="18"/>
      <c r="B5" s="52" t="s">
        <v>90</v>
      </c>
      <c r="C5" s="52"/>
      <c r="D5" s="52"/>
      <c r="E5" s="63">
        <v>408816</v>
      </c>
      <c r="F5" s="63">
        <v>507574</v>
      </c>
      <c r="G5" s="63">
        <v>526805</v>
      </c>
      <c r="H5" s="63">
        <v>578558</v>
      </c>
      <c r="I5" s="63">
        <v>549749</v>
      </c>
      <c r="J5" s="63">
        <v>510552</v>
      </c>
      <c r="K5" s="63">
        <v>449769</v>
      </c>
      <c r="L5" s="63">
        <v>381850</v>
      </c>
      <c r="M5" s="63">
        <v>269600</v>
      </c>
      <c r="N5" s="63">
        <v>311279</v>
      </c>
      <c r="O5" s="63">
        <v>362013</v>
      </c>
      <c r="P5" s="63">
        <v>252507</v>
      </c>
      <c r="Q5" s="63">
        <v>277678</v>
      </c>
      <c r="R5" s="63">
        <v>277433</v>
      </c>
      <c r="S5" s="63">
        <v>310361</v>
      </c>
      <c r="T5" s="63">
        <v>226906</v>
      </c>
      <c r="U5" s="63">
        <v>325515</v>
      </c>
      <c r="V5" s="63">
        <v>315649</v>
      </c>
      <c r="W5" s="63">
        <v>387514</v>
      </c>
      <c r="X5" s="63">
        <v>394194</v>
      </c>
      <c r="Y5" s="63">
        <v>374546</v>
      </c>
      <c r="Z5" s="63">
        <v>386904</v>
      </c>
      <c r="AA5" s="63">
        <v>478720</v>
      </c>
      <c r="AB5" s="63">
        <v>304632</v>
      </c>
      <c r="AC5" s="63">
        <v>367564</v>
      </c>
      <c r="AD5" s="63">
        <v>405052</v>
      </c>
      <c r="AE5" s="63">
        <v>488058</v>
      </c>
      <c r="AF5" s="63">
        <v>531927</v>
      </c>
      <c r="AG5" s="63">
        <v>142714</v>
      </c>
      <c r="AH5" s="63">
        <v>114932</v>
      </c>
      <c r="AI5" s="63">
        <v>99436</v>
      </c>
      <c r="AJ5" s="63">
        <v>90238</v>
      </c>
      <c r="AK5" s="63">
        <v>74391</v>
      </c>
      <c r="AL5" s="63">
        <v>98807</v>
      </c>
      <c r="AM5" s="63">
        <v>89708</v>
      </c>
      <c r="AN5" s="63">
        <v>71185</v>
      </c>
      <c r="AO5" s="63">
        <v>27649</v>
      </c>
      <c r="AP5" s="63">
        <v>26942</v>
      </c>
      <c r="AQ5" s="63">
        <v>23757</v>
      </c>
      <c r="AR5" s="63">
        <v>28512</v>
      </c>
      <c r="AS5" s="63">
        <v>21674</v>
      </c>
      <c r="AT5" s="63">
        <v>41522</v>
      </c>
      <c r="AU5" s="63">
        <v>42614</v>
      </c>
      <c r="AV5" s="63">
        <v>49128</v>
      </c>
      <c r="AW5" s="63">
        <v>40307</v>
      </c>
      <c r="AX5" s="63">
        <v>54343</v>
      </c>
      <c r="AY5" s="63">
        <v>134141</v>
      </c>
      <c r="AZ5" s="63">
        <v>56187</v>
      </c>
      <c r="BA5" s="63">
        <v>117029</v>
      </c>
      <c r="BB5" s="63">
        <v>65206</v>
      </c>
      <c r="BC5" s="63">
        <v>135805</v>
      </c>
      <c r="BD5" s="63">
        <v>95881</v>
      </c>
      <c r="BE5" s="63">
        <v>211269</v>
      </c>
      <c r="BF5" s="63">
        <v>101964</v>
      </c>
      <c r="BG5" s="63">
        <v>148639</v>
      </c>
      <c r="BH5" s="63">
        <v>136251</v>
      </c>
      <c r="BI5" s="63">
        <f>161414+45655</f>
        <v>207069</v>
      </c>
      <c r="BJ5" s="63">
        <f>150414+47216</f>
        <v>197630</v>
      </c>
      <c r="BK5" s="63">
        <f>143844+63217</f>
        <v>207061</v>
      </c>
      <c r="BL5" s="63">
        <f>102563+65321</f>
        <v>167884</v>
      </c>
      <c r="BM5" s="63">
        <f>188376+82966</f>
        <v>271342</v>
      </c>
      <c r="BN5" s="63">
        <f>189025+104554</f>
        <v>293579</v>
      </c>
      <c r="BO5" s="63">
        <v>341893</v>
      </c>
      <c r="BP5" s="63">
        <v>373327</v>
      </c>
      <c r="BQ5" s="63">
        <v>421026</v>
      </c>
      <c r="BR5" s="63">
        <v>402453</v>
      </c>
    </row>
    <row r="6" spans="1:70" ht="16.5" customHeight="1">
      <c r="A6" s="18"/>
      <c r="B6" s="52" t="s">
        <v>206</v>
      </c>
      <c r="C6" s="52"/>
      <c r="D6" s="52"/>
      <c r="E6" s="63">
        <v>3797</v>
      </c>
      <c r="F6" s="63">
        <v>5117</v>
      </c>
      <c r="G6" s="63">
        <v>14755</v>
      </c>
      <c r="H6" s="63">
        <v>13493</v>
      </c>
      <c r="I6" s="63">
        <v>17424</v>
      </c>
      <c r="J6" s="63">
        <v>12088</v>
      </c>
      <c r="K6" s="63">
        <v>20382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</row>
    <row r="7" spans="1:70" ht="16.5" customHeight="1">
      <c r="A7" s="18"/>
      <c r="B7" s="52" t="s">
        <v>91</v>
      </c>
      <c r="C7" s="52"/>
      <c r="D7" s="52"/>
      <c r="E7" s="63">
        <v>891608</v>
      </c>
      <c r="F7" s="63">
        <v>947401</v>
      </c>
      <c r="G7" s="63">
        <v>991533</v>
      </c>
      <c r="H7" s="63">
        <v>961741</v>
      </c>
      <c r="I7" s="63">
        <v>913712</v>
      </c>
      <c r="J7" s="63">
        <v>860213</v>
      </c>
      <c r="K7" s="63">
        <v>786439</v>
      </c>
      <c r="L7" s="63">
        <v>702619</v>
      </c>
      <c r="M7" s="63">
        <v>754995</v>
      </c>
      <c r="N7" s="63">
        <v>731772</v>
      </c>
      <c r="O7" s="63">
        <v>669071</v>
      </c>
      <c r="P7" s="63">
        <v>687110</v>
      </c>
      <c r="Q7" s="63">
        <v>632035</v>
      </c>
      <c r="R7" s="63">
        <v>532180</v>
      </c>
      <c r="S7" s="63">
        <v>437197</v>
      </c>
      <c r="T7" s="63">
        <v>269629</v>
      </c>
      <c r="U7" s="63">
        <v>288546</v>
      </c>
      <c r="V7" s="63">
        <v>318208</v>
      </c>
      <c r="W7" s="63">
        <v>370851</v>
      </c>
      <c r="X7" s="63">
        <v>448190</v>
      </c>
      <c r="Y7" s="63">
        <v>488086</v>
      </c>
      <c r="Z7" s="63">
        <v>492701</v>
      </c>
      <c r="AA7" s="63">
        <v>518171</v>
      </c>
      <c r="AB7" s="63">
        <v>421727</v>
      </c>
      <c r="AC7" s="63">
        <v>443798</v>
      </c>
      <c r="AD7" s="63">
        <v>417316</v>
      </c>
      <c r="AE7" s="63">
        <v>394047</v>
      </c>
      <c r="AF7" s="63">
        <v>417940</v>
      </c>
      <c r="AG7" s="63">
        <v>380334</v>
      </c>
      <c r="AH7" s="63">
        <v>367716</v>
      </c>
      <c r="AI7" s="63">
        <v>313281</v>
      </c>
      <c r="AJ7" s="63">
        <v>374315</v>
      </c>
      <c r="AK7" s="63">
        <v>287084</v>
      </c>
      <c r="AL7" s="63">
        <v>247279</v>
      </c>
      <c r="AM7" s="63">
        <v>234425</v>
      </c>
      <c r="AN7" s="63">
        <v>194838</v>
      </c>
      <c r="AO7" s="63">
        <v>186559</v>
      </c>
      <c r="AP7" s="63">
        <v>209496</v>
      </c>
      <c r="AQ7" s="63">
        <v>218511</v>
      </c>
      <c r="AR7" s="63">
        <v>231619</v>
      </c>
      <c r="AS7" s="63">
        <v>247471</v>
      </c>
      <c r="AT7" s="63">
        <v>320164</v>
      </c>
      <c r="AU7" s="63">
        <v>362620</v>
      </c>
      <c r="AV7" s="63">
        <v>364370</v>
      </c>
      <c r="AW7" s="63">
        <v>346888</v>
      </c>
      <c r="AX7" s="63">
        <v>332016</v>
      </c>
      <c r="AY7" s="63">
        <v>341644</v>
      </c>
      <c r="AZ7" s="63">
        <v>330224</v>
      </c>
      <c r="BA7" s="63">
        <v>383852</v>
      </c>
      <c r="BB7" s="63">
        <v>460534</v>
      </c>
      <c r="BC7" s="63">
        <v>542605</v>
      </c>
      <c r="BD7" s="63">
        <v>615420</v>
      </c>
      <c r="BE7" s="63">
        <v>762448</v>
      </c>
      <c r="BF7" s="63">
        <v>879186</v>
      </c>
      <c r="BG7" s="63">
        <v>823093</v>
      </c>
      <c r="BH7" s="63">
        <v>860766</v>
      </c>
      <c r="BI7" s="63">
        <v>875001</v>
      </c>
      <c r="BJ7" s="63">
        <v>890532</v>
      </c>
      <c r="BK7" s="63">
        <v>698913</v>
      </c>
      <c r="BL7" s="63">
        <v>899252</v>
      </c>
      <c r="BM7" s="63">
        <v>911259</v>
      </c>
      <c r="BN7" s="63">
        <v>862023</v>
      </c>
      <c r="BO7" s="63">
        <v>847860</v>
      </c>
      <c r="BP7" s="63">
        <v>813138</v>
      </c>
      <c r="BQ7" s="63">
        <v>699452</v>
      </c>
      <c r="BR7" s="63">
        <v>615460</v>
      </c>
    </row>
    <row r="8" spans="1:70" ht="16.5" customHeight="1">
      <c r="A8" s="18"/>
      <c r="B8" s="52" t="s">
        <v>92</v>
      </c>
      <c r="C8" s="52"/>
      <c r="D8" s="52"/>
      <c r="E8" s="63">
        <v>1214480</v>
      </c>
      <c r="F8" s="63">
        <v>1294929</v>
      </c>
      <c r="G8" s="63">
        <v>1365003</v>
      </c>
      <c r="H8" s="63">
        <v>1443431</v>
      </c>
      <c r="I8" s="63">
        <v>1365818</v>
      </c>
      <c r="J8" s="63">
        <v>1221515</v>
      </c>
      <c r="K8" s="63">
        <v>996887</v>
      </c>
      <c r="L8" s="63">
        <v>1010556</v>
      </c>
      <c r="M8" s="63">
        <v>1034256</v>
      </c>
      <c r="N8" s="63">
        <v>1099131</v>
      </c>
      <c r="O8" s="63">
        <v>1021787</v>
      </c>
      <c r="P8" s="63">
        <v>1079993</v>
      </c>
      <c r="Q8" s="63">
        <v>1071082</v>
      </c>
      <c r="R8" s="63">
        <v>1087660</v>
      </c>
      <c r="S8" s="63">
        <v>940005</v>
      </c>
      <c r="T8" s="63">
        <v>929997</v>
      </c>
      <c r="U8" s="63">
        <v>959141</v>
      </c>
      <c r="V8" s="63">
        <v>1015373</v>
      </c>
      <c r="W8" s="63">
        <v>801686</v>
      </c>
      <c r="X8" s="63">
        <v>901082</v>
      </c>
      <c r="Y8" s="63">
        <v>886668</v>
      </c>
      <c r="Z8" s="63">
        <v>722373</v>
      </c>
      <c r="AA8" s="63">
        <v>673219</v>
      </c>
      <c r="AB8" s="63">
        <v>593615</v>
      </c>
      <c r="AC8" s="63">
        <v>547582</v>
      </c>
      <c r="AD8" s="63">
        <v>595002</v>
      </c>
      <c r="AE8" s="63">
        <v>534064</v>
      </c>
      <c r="AF8" s="63">
        <v>494315</v>
      </c>
      <c r="AG8" s="63">
        <v>502927</v>
      </c>
      <c r="AH8" s="63">
        <v>419424</v>
      </c>
      <c r="AI8" s="63">
        <v>425660</v>
      </c>
      <c r="AJ8" s="63">
        <v>376876</v>
      </c>
      <c r="AK8" s="63">
        <v>381655</v>
      </c>
      <c r="AL8" s="63">
        <v>318416</v>
      </c>
      <c r="AM8" s="63">
        <v>336072</v>
      </c>
      <c r="AN8" s="63">
        <v>309488</v>
      </c>
      <c r="AO8" s="63">
        <v>334430</v>
      </c>
      <c r="AP8" s="63">
        <v>320405</v>
      </c>
      <c r="AQ8" s="63">
        <v>346246</v>
      </c>
      <c r="AR8" s="63">
        <v>357742</v>
      </c>
      <c r="AS8" s="63">
        <v>324608</v>
      </c>
      <c r="AT8" s="63">
        <v>295586</v>
      </c>
      <c r="AU8" s="63">
        <v>318446</v>
      </c>
      <c r="AV8" s="63">
        <v>306505</v>
      </c>
      <c r="AW8" s="63">
        <v>321453</v>
      </c>
      <c r="AX8" s="63">
        <v>309187</v>
      </c>
      <c r="AY8" s="63">
        <v>318172</v>
      </c>
      <c r="AZ8" s="63">
        <v>315398</v>
      </c>
      <c r="BA8" s="63">
        <v>301509</v>
      </c>
      <c r="BB8" s="63">
        <v>295776</v>
      </c>
      <c r="BC8" s="63">
        <v>263538</v>
      </c>
      <c r="BD8" s="63">
        <v>261016</v>
      </c>
      <c r="BE8" s="63">
        <v>239482</v>
      </c>
      <c r="BF8" s="63">
        <v>270779</v>
      </c>
      <c r="BG8" s="63">
        <v>285922</v>
      </c>
      <c r="BH8" s="63">
        <v>275313</v>
      </c>
      <c r="BI8" s="63">
        <v>270139</v>
      </c>
      <c r="BJ8" s="63">
        <v>278876</v>
      </c>
      <c r="BK8" s="63">
        <v>280242</v>
      </c>
      <c r="BL8" s="63">
        <v>243095</v>
      </c>
      <c r="BM8" s="63">
        <v>268240</v>
      </c>
      <c r="BN8" s="63">
        <v>277491</v>
      </c>
      <c r="BO8" s="63">
        <v>271010</v>
      </c>
      <c r="BP8" s="63">
        <v>262333</v>
      </c>
      <c r="BQ8" s="63">
        <v>229542</v>
      </c>
      <c r="BR8" s="63">
        <v>197386</v>
      </c>
    </row>
    <row r="9" spans="1:70" ht="16.5" customHeight="1">
      <c r="A9" s="18"/>
      <c r="B9" s="52" t="s">
        <v>93</v>
      </c>
      <c r="C9" s="52"/>
      <c r="D9" s="52"/>
      <c r="E9" s="63">
        <v>34896</v>
      </c>
      <c r="F9" s="63">
        <v>18808</v>
      </c>
      <c r="G9" s="63">
        <v>17252</v>
      </c>
      <c r="H9" s="63">
        <v>13447</v>
      </c>
      <c r="I9" s="63">
        <v>12852</v>
      </c>
      <c r="J9" s="63">
        <v>11605</v>
      </c>
      <c r="K9" s="63">
        <v>10266</v>
      </c>
      <c r="L9" s="63">
        <v>13160</v>
      </c>
      <c r="M9" s="63">
        <v>6670</v>
      </c>
      <c r="N9" s="63">
        <v>5479</v>
      </c>
      <c r="O9" s="63">
        <v>7988</v>
      </c>
      <c r="P9" s="63">
        <v>5671</v>
      </c>
      <c r="Q9" s="63">
        <v>3822</v>
      </c>
      <c r="R9" s="63">
        <v>4070</v>
      </c>
      <c r="S9" s="63">
        <v>4040</v>
      </c>
      <c r="T9" s="63">
        <v>5812</v>
      </c>
      <c r="U9" s="63">
        <v>7562</v>
      </c>
      <c r="V9" s="63">
        <v>8558</v>
      </c>
      <c r="W9" s="63">
        <v>8139</v>
      </c>
      <c r="X9" s="63">
        <v>9281</v>
      </c>
      <c r="Y9" s="63">
        <v>9046</v>
      </c>
      <c r="Z9" s="63">
        <v>6781</v>
      </c>
      <c r="AA9" s="63">
        <v>8035</v>
      </c>
      <c r="AB9" s="63">
        <v>9461</v>
      </c>
      <c r="AC9" s="63">
        <v>10473</v>
      </c>
      <c r="AD9" s="63">
        <v>9132</v>
      </c>
      <c r="AE9" s="63">
        <v>10220</v>
      </c>
      <c r="AF9" s="63">
        <v>24199</v>
      </c>
      <c r="AG9" s="63">
        <v>25809</v>
      </c>
      <c r="AH9" s="63">
        <v>9975</v>
      </c>
      <c r="AI9" s="63">
        <v>9503</v>
      </c>
      <c r="AJ9" s="63">
        <v>9108</v>
      </c>
      <c r="AK9" s="63">
        <v>7995</v>
      </c>
      <c r="AL9" s="63">
        <v>10869</v>
      </c>
      <c r="AM9" s="63">
        <v>8642</v>
      </c>
      <c r="AN9" s="63">
        <v>8377</v>
      </c>
      <c r="AO9" s="63">
        <v>9461</v>
      </c>
      <c r="AP9" s="63">
        <v>8243</v>
      </c>
      <c r="AQ9" s="63">
        <v>7316</v>
      </c>
      <c r="AR9" s="63">
        <v>7857</v>
      </c>
      <c r="AS9" s="63">
        <v>8297</v>
      </c>
      <c r="AT9" s="63">
        <v>8970</v>
      </c>
      <c r="AU9" s="63">
        <v>7705</v>
      </c>
      <c r="AV9" s="63">
        <v>6069</v>
      </c>
      <c r="AW9" s="63">
        <v>7583</v>
      </c>
      <c r="AX9" s="63">
        <v>6934</v>
      </c>
      <c r="AY9" s="63">
        <v>15280</v>
      </c>
      <c r="AZ9" s="63">
        <v>16076</v>
      </c>
      <c r="BA9" s="63">
        <v>15528</v>
      </c>
      <c r="BB9" s="63">
        <v>15188</v>
      </c>
      <c r="BC9" s="63">
        <v>17290</v>
      </c>
      <c r="BD9" s="63">
        <v>10976</v>
      </c>
      <c r="BE9" s="63">
        <v>5479</v>
      </c>
      <c r="BF9" s="63">
        <v>11243</v>
      </c>
      <c r="BG9" s="63">
        <v>12475</v>
      </c>
      <c r="BH9" s="63">
        <v>16096</v>
      </c>
      <c r="BI9" s="63">
        <v>15145</v>
      </c>
      <c r="BJ9" s="63">
        <v>22180</v>
      </c>
      <c r="BK9" s="63">
        <v>26010</v>
      </c>
      <c r="BL9" s="63">
        <v>19015</v>
      </c>
      <c r="BM9" s="63">
        <v>24609</v>
      </c>
      <c r="BN9" s="63">
        <v>11008</v>
      </c>
      <c r="BO9" s="63">
        <v>10722</v>
      </c>
      <c r="BP9" s="63">
        <v>12809</v>
      </c>
      <c r="BQ9" s="63">
        <v>9605</v>
      </c>
      <c r="BR9" s="63">
        <v>8942</v>
      </c>
    </row>
    <row r="10" spans="1:70" ht="16.5" customHeight="1">
      <c r="A10" s="18"/>
      <c r="B10" s="52" t="s">
        <v>94</v>
      </c>
      <c r="C10" s="52"/>
      <c r="D10" s="52"/>
      <c r="E10" s="63">
        <v>3314</v>
      </c>
      <c r="F10" s="63">
        <v>2297</v>
      </c>
      <c r="G10" s="63">
        <v>1989</v>
      </c>
      <c r="H10" s="63">
        <v>863</v>
      </c>
      <c r="I10" s="63">
        <v>2783</v>
      </c>
      <c r="J10" s="63">
        <v>2534</v>
      </c>
      <c r="K10" s="63">
        <v>2367</v>
      </c>
      <c r="L10" s="63">
        <v>3828</v>
      </c>
      <c r="M10" s="63">
        <v>3249</v>
      </c>
      <c r="N10" s="63">
        <v>2696</v>
      </c>
      <c r="O10" s="63">
        <v>2293</v>
      </c>
      <c r="P10" s="63">
        <v>2892</v>
      </c>
      <c r="Q10" s="63">
        <v>3824</v>
      </c>
      <c r="R10" s="63">
        <v>3249</v>
      </c>
      <c r="S10" s="63">
        <v>2609</v>
      </c>
      <c r="T10" s="63">
        <v>2629</v>
      </c>
      <c r="U10" s="63">
        <v>2065</v>
      </c>
      <c r="V10" s="63">
        <v>1719</v>
      </c>
      <c r="W10" s="63">
        <v>2947</v>
      </c>
      <c r="X10" s="63">
        <v>3387</v>
      </c>
      <c r="Y10" s="63">
        <v>3037</v>
      </c>
      <c r="Z10" s="63">
        <v>2838</v>
      </c>
      <c r="AA10" s="63">
        <v>2685</v>
      </c>
      <c r="AB10" s="63">
        <v>3075</v>
      </c>
      <c r="AC10" s="63">
        <v>2728</v>
      </c>
      <c r="AD10" s="63">
        <v>2495</v>
      </c>
      <c r="AE10" s="63">
        <v>1843</v>
      </c>
      <c r="AF10" s="63">
        <v>1720</v>
      </c>
      <c r="AG10" s="63">
        <v>1704</v>
      </c>
      <c r="AH10" s="63">
        <v>1000</v>
      </c>
      <c r="AI10" s="63">
        <v>968</v>
      </c>
      <c r="AJ10" s="63">
        <v>902</v>
      </c>
      <c r="AK10" s="63">
        <v>891</v>
      </c>
      <c r="AL10" s="63">
        <v>832</v>
      </c>
      <c r="AM10" s="63">
        <v>681</v>
      </c>
      <c r="AN10" s="63">
        <v>659</v>
      </c>
      <c r="AO10" s="63">
        <v>785</v>
      </c>
      <c r="AP10" s="63">
        <v>908</v>
      </c>
      <c r="AQ10" s="63">
        <v>1232</v>
      </c>
      <c r="AR10" s="63">
        <v>2720</v>
      </c>
      <c r="AS10" s="63">
        <v>3028</v>
      </c>
      <c r="AT10" s="63">
        <v>3036</v>
      </c>
      <c r="AU10" s="63">
        <v>3602</v>
      </c>
      <c r="AV10" s="63">
        <v>3522</v>
      </c>
      <c r="AW10" s="63">
        <v>3657</v>
      </c>
      <c r="AX10" s="63">
        <v>2874</v>
      </c>
      <c r="AY10" s="63">
        <v>3227</v>
      </c>
      <c r="AZ10" s="63">
        <v>3490</v>
      </c>
      <c r="BA10" s="63">
        <v>3887</v>
      </c>
      <c r="BB10" s="63">
        <v>4484</v>
      </c>
      <c r="BC10" s="63">
        <v>5060</v>
      </c>
      <c r="BD10" s="63">
        <v>4526</v>
      </c>
      <c r="BE10" s="63">
        <v>4619</v>
      </c>
      <c r="BF10" s="63">
        <v>4776</v>
      </c>
      <c r="BG10" s="63">
        <v>5252</v>
      </c>
      <c r="BH10" s="63">
        <v>5786</v>
      </c>
      <c r="BI10" s="63">
        <v>6611</v>
      </c>
      <c r="BJ10" s="63">
        <v>6789</v>
      </c>
      <c r="BK10" s="63">
        <v>7234</v>
      </c>
      <c r="BL10" s="63">
        <v>7983</v>
      </c>
      <c r="BM10" s="63">
        <v>8219</v>
      </c>
      <c r="BN10" s="63">
        <v>11411</v>
      </c>
      <c r="BO10" s="63">
        <v>9970</v>
      </c>
      <c r="BP10" s="63">
        <v>8334</v>
      </c>
      <c r="BQ10" s="63">
        <v>8817</v>
      </c>
      <c r="BR10" s="63">
        <v>8818</v>
      </c>
    </row>
    <row r="11" spans="1:70" s="5" customFormat="1" ht="15.75" customHeight="1">
      <c r="A11" s="10"/>
      <c r="B11" s="47" t="s">
        <v>48</v>
      </c>
      <c r="C11" s="47"/>
      <c r="D11" s="62"/>
      <c r="E11" s="62">
        <v>597912</v>
      </c>
      <c r="F11" s="62">
        <v>556506</v>
      </c>
      <c r="G11" s="62">
        <v>515907</v>
      </c>
      <c r="H11" s="62">
        <v>486172</v>
      </c>
      <c r="I11" s="62">
        <v>429690</v>
      </c>
      <c r="J11" s="62">
        <v>499340</v>
      </c>
      <c r="K11" s="62">
        <v>776484</v>
      </c>
      <c r="L11" s="62">
        <v>650587</v>
      </c>
      <c r="M11" s="62">
        <v>700476</v>
      </c>
      <c r="N11" s="62">
        <v>669443</v>
      </c>
      <c r="O11" s="62">
        <v>694586</v>
      </c>
      <c r="P11" s="62">
        <v>667676</v>
      </c>
      <c r="Q11" s="62">
        <v>688929</v>
      </c>
      <c r="R11" s="62">
        <v>698205</v>
      </c>
      <c r="S11" s="62">
        <v>880838</v>
      </c>
      <c r="T11" s="62">
        <v>869714</v>
      </c>
      <c r="U11" s="62">
        <v>726300</v>
      </c>
      <c r="V11" s="62">
        <f t="shared" ref="V11:AD11" si="1">V12+V19</f>
        <v>633087</v>
      </c>
      <c r="W11" s="62">
        <f t="shared" si="1"/>
        <v>768928</v>
      </c>
      <c r="X11" s="62">
        <f t="shared" si="1"/>
        <v>565269</v>
      </c>
      <c r="Y11" s="62">
        <f t="shared" si="1"/>
        <v>474666</v>
      </c>
      <c r="Z11" s="62">
        <f t="shared" si="1"/>
        <v>556035</v>
      </c>
      <c r="AA11" s="62">
        <f t="shared" si="1"/>
        <v>496071</v>
      </c>
      <c r="AB11" s="62">
        <f t="shared" si="1"/>
        <v>607036</v>
      </c>
      <c r="AC11" s="62">
        <f t="shared" si="1"/>
        <v>587949</v>
      </c>
      <c r="AD11" s="62">
        <f t="shared" si="1"/>
        <v>439282</v>
      </c>
      <c r="AE11" s="62">
        <f t="shared" ref="AE11:BC11" si="2">AE12+AE19</f>
        <v>370275</v>
      </c>
      <c r="AF11" s="62">
        <f t="shared" si="2"/>
        <v>222983</v>
      </c>
      <c r="AG11" s="62">
        <f t="shared" si="2"/>
        <v>193879</v>
      </c>
      <c r="AH11" s="62">
        <f t="shared" si="2"/>
        <v>258444</v>
      </c>
      <c r="AI11" s="62">
        <f t="shared" si="2"/>
        <v>238235</v>
      </c>
      <c r="AJ11" s="62">
        <f t="shared" si="2"/>
        <v>201147</v>
      </c>
      <c r="AK11" s="62">
        <f t="shared" si="2"/>
        <v>276373</v>
      </c>
      <c r="AL11" s="62">
        <f t="shared" si="2"/>
        <v>289124</v>
      </c>
      <c r="AM11" s="62">
        <f t="shared" si="2"/>
        <v>269962</v>
      </c>
      <c r="AN11" s="62">
        <f t="shared" si="2"/>
        <v>304028</v>
      </c>
      <c r="AO11" s="62">
        <f t="shared" si="2"/>
        <v>289621</v>
      </c>
      <c r="AP11" s="62">
        <f t="shared" si="2"/>
        <v>289027</v>
      </c>
      <c r="AQ11" s="62">
        <f t="shared" si="2"/>
        <v>274003</v>
      </c>
      <c r="AR11" s="62">
        <f t="shared" si="2"/>
        <v>260306</v>
      </c>
      <c r="AS11" s="62">
        <f t="shared" si="2"/>
        <v>250247</v>
      </c>
      <c r="AT11" s="62">
        <f t="shared" si="2"/>
        <v>258749</v>
      </c>
      <c r="AU11" s="62">
        <f t="shared" si="2"/>
        <v>224661</v>
      </c>
      <c r="AV11" s="62">
        <f t="shared" si="2"/>
        <v>250601</v>
      </c>
      <c r="AW11" s="62">
        <f t="shared" si="2"/>
        <v>262278</v>
      </c>
      <c r="AX11" s="62">
        <f t="shared" si="2"/>
        <v>283266</v>
      </c>
      <c r="AY11" s="62">
        <f t="shared" si="2"/>
        <v>290129</v>
      </c>
      <c r="AZ11" s="62">
        <f t="shared" si="2"/>
        <v>323881</v>
      </c>
      <c r="BA11" s="62">
        <f t="shared" si="2"/>
        <v>305219</v>
      </c>
      <c r="BB11" s="62">
        <f t="shared" si="2"/>
        <v>290989</v>
      </c>
      <c r="BC11" s="62">
        <f t="shared" si="2"/>
        <v>274228</v>
      </c>
      <c r="BD11" s="62">
        <f t="shared" ref="BD11:BR11" si="3">BD12+BD19</f>
        <v>312565</v>
      </c>
      <c r="BE11" s="62">
        <f t="shared" si="3"/>
        <v>292529</v>
      </c>
      <c r="BF11" s="62">
        <f t="shared" si="3"/>
        <v>266640</v>
      </c>
      <c r="BG11" s="62">
        <f t="shared" si="3"/>
        <v>192004</v>
      </c>
      <c r="BH11" s="62">
        <f t="shared" si="3"/>
        <v>180871</v>
      </c>
      <c r="BI11" s="62">
        <f t="shared" si="3"/>
        <v>202778</v>
      </c>
      <c r="BJ11" s="62">
        <f t="shared" si="3"/>
        <v>203808</v>
      </c>
      <c r="BK11" s="62">
        <f t="shared" si="3"/>
        <v>445259</v>
      </c>
      <c r="BL11" s="62">
        <f t="shared" si="3"/>
        <v>346621</v>
      </c>
      <c r="BM11" s="62">
        <f t="shared" si="3"/>
        <v>329660</v>
      </c>
      <c r="BN11" s="62">
        <f t="shared" si="3"/>
        <v>357805</v>
      </c>
      <c r="BO11" s="62">
        <f t="shared" si="3"/>
        <v>318241</v>
      </c>
      <c r="BP11" s="62">
        <f t="shared" si="3"/>
        <v>208467</v>
      </c>
      <c r="BQ11" s="62">
        <f t="shared" si="3"/>
        <v>208643</v>
      </c>
      <c r="BR11" s="62">
        <f t="shared" si="3"/>
        <v>212433</v>
      </c>
    </row>
    <row r="12" spans="1:70" s="68" customFormat="1" ht="16.5" customHeight="1">
      <c r="A12" s="67"/>
      <c r="B12" s="59" t="s">
        <v>95</v>
      </c>
      <c r="C12" s="59"/>
      <c r="D12" s="59"/>
      <c r="E12" s="65">
        <f t="shared" ref="E12:Q12" si="4">SUM(E13:E18)</f>
        <v>385877</v>
      </c>
      <c r="F12" s="65">
        <f t="shared" si="4"/>
        <v>346865</v>
      </c>
      <c r="G12" s="65">
        <f t="shared" si="4"/>
        <v>313600</v>
      </c>
      <c r="H12" s="65">
        <f t="shared" si="4"/>
        <v>301882</v>
      </c>
      <c r="I12" s="65">
        <f t="shared" si="4"/>
        <v>258651</v>
      </c>
      <c r="J12" s="65">
        <f t="shared" si="4"/>
        <v>324165</v>
      </c>
      <c r="K12" s="65">
        <f t="shared" si="4"/>
        <v>586233</v>
      </c>
      <c r="L12" s="65">
        <f t="shared" si="4"/>
        <v>456063</v>
      </c>
      <c r="M12" s="65">
        <f t="shared" si="4"/>
        <v>505949</v>
      </c>
      <c r="N12" s="65">
        <f t="shared" si="4"/>
        <v>455053</v>
      </c>
      <c r="O12" s="65">
        <f t="shared" si="4"/>
        <v>418516</v>
      </c>
      <c r="P12" s="65">
        <f t="shared" si="4"/>
        <v>418851</v>
      </c>
      <c r="Q12" s="65">
        <f t="shared" si="4"/>
        <v>452494</v>
      </c>
      <c r="R12" s="65">
        <f t="shared" ref="R12:AD12" si="5">SUM(R13:R18)</f>
        <v>465583</v>
      </c>
      <c r="S12" s="65">
        <f t="shared" si="5"/>
        <v>679641</v>
      </c>
      <c r="T12" s="65">
        <f t="shared" si="5"/>
        <v>711059</v>
      </c>
      <c r="U12" s="65">
        <f t="shared" si="5"/>
        <v>636086</v>
      </c>
      <c r="V12" s="65">
        <f t="shared" si="5"/>
        <v>545113</v>
      </c>
      <c r="W12" s="65">
        <f t="shared" si="5"/>
        <v>675082</v>
      </c>
      <c r="X12" s="65">
        <f t="shared" si="5"/>
        <v>456525</v>
      </c>
      <c r="Y12" s="65">
        <f t="shared" si="5"/>
        <v>388021</v>
      </c>
      <c r="Z12" s="65">
        <f t="shared" si="5"/>
        <v>472317</v>
      </c>
      <c r="AA12" s="65">
        <f t="shared" si="5"/>
        <v>410830</v>
      </c>
      <c r="AB12" s="65">
        <f t="shared" si="5"/>
        <v>524609</v>
      </c>
      <c r="AC12" s="65">
        <f t="shared" si="5"/>
        <v>505055</v>
      </c>
      <c r="AD12" s="65">
        <f t="shared" si="5"/>
        <v>362379</v>
      </c>
      <c r="AE12" s="65">
        <f t="shared" ref="AE12:BN12" si="6">SUM(AE13:AE18)</f>
        <v>299503</v>
      </c>
      <c r="AF12" s="65">
        <f t="shared" si="6"/>
        <v>172943</v>
      </c>
      <c r="AG12" s="65">
        <f t="shared" si="6"/>
        <v>146318</v>
      </c>
      <c r="AH12" s="65">
        <f t="shared" si="6"/>
        <v>215736</v>
      </c>
      <c r="AI12" s="65">
        <f t="shared" si="6"/>
        <v>204711</v>
      </c>
      <c r="AJ12" s="65">
        <f t="shared" si="6"/>
        <v>169311</v>
      </c>
      <c r="AK12" s="65">
        <f t="shared" si="6"/>
        <v>242296</v>
      </c>
      <c r="AL12" s="65">
        <f t="shared" si="6"/>
        <v>255723</v>
      </c>
      <c r="AM12" s="65">
        <f t="shared" si="6"/>
        <v>236192</v>
      </c>
      <c r="AN12" s="65">
        <f t="shared" si="6"/>
        <v>270505</v>
      </c>
      <c r="AO12" s="65">
        <f t="shared" si="6"/>
        <v>256253</v>
      </c>
      <c r="AP12" s="65">
        <f t="shared" si="6"/>
        <v>256172</v>
      </c>
      <c r="AQ12" s="65">
        <f t="shared" si="6"/>
        <v>244050</v>
      </c>
      <c r="AR12" s="65">
        <f t="shared" si="6"/>
        <v>233121</v>
      </c>
      <c r="AS12" s="65">
        <f t="shared" si="6"/>
        <v>217637</v>
      </c>
      <c r="AT12" s="65">
        <f t="shared" si="6"/>
        <v>227151</v>
      </c>
      <c r="AU12" s="65">
        <f t="shared" si="6"/>
        <v>191912</v>
      </c>
      <c r="AV12" s="65">
        <f t="shared" si="6"/>
        <v>211171</v>
      </c>
      <c r="AW12" s="65">
        <f t="shared" si="6"/>
        <v>217532</v>
      </c>
      <c r="AX12" s="65">
        <f t="shared" si="6"/>
        <v>237615</v>
      </c>
      <c r="AY12" s="65">
        <f t="shared" si="6"/>
        <v>240004</v>
      </c>
      <c r="AZ12" s="65">
        <f t="shared" si="6"/>
        <v>265112</v>
      </c>
      <c r="BA12" s="65">
        <f t="shared" si="6"/>
        <v>241232</v>
      </c>
      <c r="BB12" s="65">
        <f t="shared" si="6"/>
        <v>222664</v>
      </c>
      <c r="BC12" s="65">
        <f t="shared" si="6"/>
        <v>204889</v>
      </c>
      <c r="BD12" s="65">
        <f t="shared" si="6"/>
        <v>237178</v>
      </c>
      <c r="BE12" s="65">
        <f t="shared" si="6"/>
        <v>218465</v>
      </c>
      <c r="BF12" s="65">
        <f t="shared" si="6"/>
        <v>189227</v>
      </c>
      <c r="BG12" s="65">
        <f t="shared" si="6"/>
        <v>178255</v>
      </c>
      <c r="BH12" s="65">
        <f t="shared" si="6"/>
        <v>166858</v>
      </c>
      <c r="BI12" s="65">
        <f t="shared" si="6"/>
        <v>190170</v>
      </c>
      <c r="BJ12" s="65">
        <f t="shared" si="6"/>
        <v>189975</v>
      </c>
      <c r="BK12" s="65">
        <f t="shared" si="6"/>
        <v>430120</v>
      </c>
      <c r="BL12" s="65">
        <f t="shared" si="6"/>
        <v>329431</v>
      </c>
      <c r="BM12" s="65">
        <f t="shared" si="6"/>
        <v>311491</v>
      </c>
      <c r="BN12" s="65">
        <f t="shared" si="6"/>
        <v>338112</v>
      </c>
      <c r="BO12" s="65">
        <v>297534</v>
      </c>
      <c r="BP12" s="65">
        <f>SUM(BP13:BP18)</f>
        <v>189233</v>
      </c>
      <c r="BQ12" s="65">
        <f>SUM(BQ13:BQ18)</f>
        <v>188323</v>
      </c>
      <c r="BR12" s="65">
        <f>SUM(BR13:BR18)</f>
        <v>191522</v>
      </c>
    </row>
    <row r="13" spans="1:70" ht="16.5" customHeight="1">
      <c r="A13" s="18"/>
      <c r="B13" s="52" t="s">
        <v>49</v>
      </c>
      <c r="C13" s="52"/>
      <c r="D13" s="52"/>
      <c r="E13" s="63">
        <v>39312</v>
      </c>
      <c r="F13" s="63">
        <v>37921</v>
      </c>
      <c r="G13" s="63">
        <v>36616</v>
      </c>
      <c r="H13" s="63">
        <v>27250</v>
      </c>
      <c r="I13" s="63">
        <v>28081</v>
      </c>
      <c r="J13" s="63">
        <v>28258</v>
      </c>
      <c r="K13" s="63">
        <v>21681</v>
      </c>
      <c r="L13" s="63">
        <v>14717</v>
      </c>
      <c r="M13" s="63">
        <v>14025</v>
      </c>
      <c r="N13" s="63">
        <v>13345</v>
      </c>
      <c r="O13" s="63">
        <v>12695</v>
      </c>
      <c r="P13" s="63" t="s">
        <v>34</v>
      </c>
      <c r="Q13" s="63" t="s">
        <v>34</v>
      </c>
      <c r="R13" s="63" t="s">
        <v>34</v>
      </c>
      <c r="S13" s="63" t="s">
        <v>34</v>
      </c>
      <c r="T13" s="63" t="s">
        <v>34</v>
      </c>
      <c r="U13" s="63" t="s">
        <v>34</v>
      </c>
      <c r="V13" s="63" t="s">
        <v>34</v>
      </c>
      <c r="W13" s="63" t="s">
        <v>34</v>
      </c>
      <c r="X13" s="63" t="s">
        <v>34</v>
      </c>
      <c r="Y13" s="63" t="s">
        <v>34</v>
      </c>
      <c r="Z13" s="63" t="s">
        <v>34</v>
      </c>
      <c r="AA13" s="63" t="s">
        <v>34</v>
      </c>
      <c r="AB13" s="63" t="s">
        <v>34</v>
      </c>
      <c r="AC13" s="63" t="s">
        <v>34</v>
      </c>
      <c r="AD13" s="63" t="s">
        <v>34</v>
      </c>
      <c r="AE13" s="63" t="s">
        <v>34</v>
      </c>
      <c r="AF13" s="63" t="s">
        <v>34</v>
      </c>
      <c r="AG13" s="63" t="s">
        <v>34</v>
      </c>
      <c r="AH13" s="63" t="s">
        <v>34</v>
      </c>
      <c r="AI13" s="63" t="s">
        <v>34</v>
      </c>
      <c r="AJ13" s="63" t="s">
        <v>34</v>
      </c>
      <c r="AK13" s="63" t="s">
        <v>34</v>
      </c>
      <c r="AL13" s="63" t="s">
        <v>34</v>
      </c>
      <c r="AM13" s="63" t="s">
        <v>34</v>
      </c>
      <c r="AN13" s="63" t="s">
        <v>34</v>
      </c>
      <c r="AO13" s="63" t="s">
        <v>34</v>
      </c>
      <c r="AP13" s="63" t="s">
        <v>34</v>
      </c>
      <c r="AQ13" s="63" t="s">
        <v>34</v>
      </c>
      <c r="AR13" s="63" t="s">
        <v>34</v>
      </c>
      <c r="AS13" s="63" t="s">
        <v>34</v>
      </c>
      <c r="AT13" s="63" t="s">
        <v>34</v>
      </c>
      <c r="AU13" s="63" t="s">
        <v>34</v>
      </c>
      <c r="AV13" s="63" t="s">
        <v>34</v>
      </c>
      <c r="AW13" s="63" t="s">
        <v>34</v>
      </c>
      <c r="AX13" s="63" t="s">
        <v>34</v>
      </c>
      <c r="AY13" s="63" t="s">
        <v>34</v>
      </c>
      <c r="AZ13" s="63" t="s">
        <v>34</v>
      </c>
      <c r="BA13" s="63" t="s">
        <v>34</v>
      </c>
      <c r="BB13" s="63" t="s">
        <v>34</v>
      </c>
      <c r="BC13" s="63" t="s">
        <v>34</v>
      </c>
      <c r="BD13" s="63" t="s">
        <v>34</v>
      </c>
      <c r="BE13" s="63" t="s">
        <v>34</v>
      </c>
      <c r="BF13" s="63" t="s">
        <v>34</v>
      </c>
      <c r="BG13" s="63" t="s">
        <v>34</v>
      </c>
      <c r="BH13" s="63">
        <v>232</v>
      </c>
      <c r="BI13" s="63">
        <v>6845</v>
      </c>
      <c r="BJ13" s="63">
        <v>19030</v>
      </c>
      <c r="BK13" s="63">
        <v>26565</v>
      </c>
      <c r="BL13" s="63">
        <v>54496</v>
      </c>
      <c r="BM13" s="63">
        <v>73944</v>
      </c>
      <c r="BN13" s="63">
        <v>73463</v>
      </c>
      <c r="BO13" s="63">
        <v>94101</v>
      </c>
      <c r="BP13" s="63">
        <v>1206</v>
      </c>
      <c r="BQ13" s="63">
        <v>1363</v>
      </c>
      <c r="BR13" s="63">
        <v>2001</v>
      </c>
    </row>
    <row r="14" spans="1:70" ht="16.5" customHeight="1">
      <c r="A14" s="18"/>
      <c r="B14" s="52" t="s">
        <v>91</v>
      </c>
      <c r="C14" s="52"/>
      <c r="D14" s="52"/>
      <c r="E14" s="63">
        <v>288725</v>
      </c>
      <c r="F14" s="63">
        <v>241202</v>
      </c>
      <c r="G14" s="63">
        <v>201665</v>
      </c>
      <c r="H14" s="63">
        <v>192255</v>
      </c>
      <c r="I14" s="63">
        <v>156950</v>
      </c>
      <c r="J14" s="63">
        <v>111011</v>
      </c>
      <c r="K14" s="63">
        <v>152847</v>
      </c>
      <c r="L14" s="63">
        <v>195485</v>
      </c>
      <c r="M14" s="63">
        <v>230359</v>
      </c>
      <c r="N14" s="63">
        <v>181512</v>
      </c>
      <c r="O14" s="63">
        <v>138986</v>
      </c>
      <c r="P14" s="63">
        <v>150345</v>
      </c>
      <c r="Q14" s="63">
        <v>152276</v>
      </c>
      <c r="R14" s="63">
        <v>143956</v>
      </c>
      <c r="S14" s="63">
        <v>112797</v>
      </c>
      <c r="T14" s="63">
        <v>198938</v>
      </c>
      <c r="U14" s="63">
        <v>143159</v>
      </c>
      <c r="V14" s="63">
        <v>136562</v>
      </c>
      <c r="W14" s="63">
        <v>105189</v>
      </c>
      <c r="X14" s="63">
        <v>87317</v>
      </c>
      <c r="Y14" s="63">
        <v>68223</v>
      </c>
      <c r="Z14" s="63">
        <v>103314</v>
      </c>
      <c r="AA14" s="63">
        <v>89617</v>
      </c>
      <c r="AB14" s="63">
        <v>162313</v>
      </c>
      <c r="AC14" s="63">
        <v>124196</v>
      </c>
      <c r="AD14" s="63">
        <v>100207</v>
      </c>
      <c r="AE14" s="63">
        <v>121381</v>
      </c>
      <c r="AF14" s="63">
        <v>96022</v>
      </c>
      <c r="AG14" s="63">
        <v>65373</v>
      </c>
      <c r="AH14" s="63">
        <v>69717</v>
      </c>
      <c r="AI14" s="63">
        <v>101628</v>
      </c>
      <c r="AJ14" s="63">
        <v>67461</v>
      </c>
      <c r="AK14" s="63">
        <v>140876</v>
      </c>
      <c r="AL14" s="63">
        <v>152698</v>
      </c>
      <c r="AM14" s="63">
        <v>128680</v>
      </c>
      <c r="AN14" s="63">
        <v>150524</v>
      </c>
      <c r="AO14" s="63">
        <v>131944</v>
      </c>
      <c r="AP14" s="63">
        <v>117213</v>
      </c>
      <c r="AQ14" s="63">
        <v>104163</v>
      </c>
      <c r="AR14" s="63">
        <v>121935</v>
      </c>
      <c r="AS14" s="63">
        <v>115401</v>
      </c>
      <c r="AT14" s="63">
        <v>87017</v>
      </c>
      <c r="AU14" s="63">
        <v>75606</v>
      </c>
      <c r="AV14" s="63">
        <v>80291</v>
      </c>
      <c r="AW14" s="63">
        <v>56391</v>
      </c>
      <c r="AX14" s="63">
        <v>83560</v>
      </c>
      <c r="AY14" s="63">
        <v>93167</v>
      </c>
      <c r="AZ14" s="63">
        <v>136344</v>
      </c>
      <c r="BA14" s="63">
        <v>114827</v>
      </c>
      <c r="BB14" s="63">
        <v>96346</v>
      </c>
      <c r="BC14" s="63">
        <v>64390</v>
      </c>
      <c r="BD14" s="63">
        <v>84845</v>
      </c>
      <c r="BE14" s="63">
        <v>70106</v>
      </c>
      <c r="BF14" s="63">
        <v>58912</v>
      </c>
      <c r="BG14" s="63">
        <v>61733</v>
      </c>
      <c r="BH14" s="63">
        <v>57050</v>
      </c>
      <c r="BI14" s="63">
        <v>70594</v>
      </c>
      <c r="BJ14" s="63">
        <v>66041</v>
      </c>
      <c r="BK14" s="63">
        <v>295610</v>
      </c>
      <c r="BL14" s="63">
        <v>141480</v>
      </c>
      <c r="BM14" s="63">
        <v>153356</v>
      </c>
      <c r="BN14" s="63">
        <v>196303</v>
      </c>
      <c r="BO14" s="63">
        <v>138860</v>
      </c>
      <c r="BP14" s="63">
        <v>133679</v>
      </c>
      <c r="BQ14" s="63">
        <v>122159</v>
      </c>
      <c r="BR14" s="63">
        <v>101085</v>
      </c>
    </row>
    <row r="15" spans="1:70" ht="16.5" customHeight="1">
      <c r="A15" s="18"/>
      <c r="B15" s="52" t="s">
        <v>92</v>
      </c>
      <c r="C15" s="52"/>
      <c r="D15" s="52"/>
      <c r="E15" s="63">
        <v>15632</v>
      </c>
      <c r="F15" s="63">
        <v>15630</v>
      </c>
      <c r="G15" s="63">
        <v>15630</v>
      </c>
      <c r="H15" s="63">
        <v>15632</v>
      </c>
      <c r="I15" s="63">
        <v>15632</v>
      </c>
      <c r="J15" s="63">
        <v>130342</v>
      </c>
      <c r="K15" s="63">
        <v>354207</v>
      </c>
      <c r="L15" s="63">
        <v>189718</v>
      </c>
      <c r="M15" s="63">
        <v>203203</v>
      </c>
      <c r="N15" s="63">
        <v>202679</v>
      </c>
      <c r="O15" s="63">
        <v>208267</v>
      </c>
      <c r="P15" s="63">
        <v>227112</v>
      </c>
      <c r="Q15" s="63">
        <v>256759</v>
      </c>
      <c r="R15" s="63">
        <v>278571</v>
      </c>
      <c r="S15" s="63">
        <v>506530</v>
      </c>
      <c r="T15" s="63">
        <v>463336</v>
      </c>
      <c r="U15" s="63">
        <v>440210</v>
      </c>
      <c r="V15" s="63">
        <v>355682</v>
      </c>
      <c r="W15" s="63">
        <v>528832</v>
      </c>
      <c r="X15" s="63">
        <v>327582</v>
      </c>
      <c r="Y15" s="63">
        <v>285038</v>
      </c>
      <c r="Z15" s="63">
        <v>335114</v>
      </c>
      <c r="AA15" s="63">
        <v>286280</v>
      </c>
      <c r="AB15" s="63">
        <v>327025</v>
      </c>
      <c r="AC15" s="63">
        <v>347059</v>
      </c>
      <c r="AD15" s="63">
        <v>226021</v>
      </c>
      <c r="AE15" s="63">
        <v>140868</v>
      </c>
      <c r="AF15" s="63">
        <v>44991</v>
      </c>
      <c r="AG15" s="63">
        <v>44602</v>
      </c>
      <c r="AH15" s="63">
        <v>96869</v>
      </c>
      <c r="AI15" s="63">
        <v>50645</v>
      </c>
      <c r="AJ15" s="63">
        <v>49585</v>
      </c>
      <c r="AK15" s="63">
        <v>48480</v>
      </c>
      <c r="AL15" s="63">
        <v>51275</v>
      </c>
      <c r="AM15" s="63">
        <v>54167</v>
      </c>
      <c r="AN15" s="63">
        <v>65978</v>
      </c>
      <c r="AO15" s="63">
        <v>64936</v>
      </c>
      <c r="AP15" s="63">
        <v>77845</v>
      </c>
      <c r="AQ15" s="63">
        <v>74438</v>
      </c>
      <c r="AR15" s="63">
        <v>49834</v>
      </c>
      <c r="AS15" s="63">
        <v>54110</v>
      </c>
      <c r="AT15" s="63">
        <v>105346</v>
      </c>
      <c r="AU15" s="63">
        <v>85599</v>
      </c>
      <c r="AV15" s="63">
        <v>100882</v>
      </c>
      <c r="AW15" s="63">
        <v>119851</v>
      </c>
      <c r="AX15" s="63">
        <v>116435</v>
      </c>
      <c r="AY15" s="63">
        <v>111242</v>
      </c>
      <c r="AZ15" s="63">
        <v>102216</v>
      </c>
      <c r="BA15" s="63">
        <v>99180</v>
      </c>
      <c r="BB15" s="63">
        <v>86032</v>
      </c>
      <c r="BC15" s="63">
        <v>93984</v>
      </c>
      <c r="BD15" s="63">
        <v>101205</v>
      </c>
      <c r="BE15" s="63">
        <v>95915</v>
      </c>
      <c r="BF15" s="63">
        <v>90135</v>
      </c>
      <c r="BG15" s="63">
        <v>92782</v>
      </c>
      <c r="BH15" s="63">
        <v>91579</v>
      </c>
      <c r="BI15" s="63">
        <v>94303</v>
      </c>
      <c r="BJ15" s="63">
        <v>87805</v>
      </c>
      <c r="BK15" s="63">
        <v>86649</v>
      </c>
      <c r="BL15" s="63">
        <v>117282</v>
      </c>
      <c r="BM15" s="63">
        <v>59905</v>
      </c>
      <c r="BN15" s="63">
        <v>55493</v>
      </c>
      <c r="BO15" s="63">
        <v>50973</v>
      </c>
      <c r="BP15" s="63">
        <v>43487</v>
      </c>
      <c r="BQ15" s="63">
        <v>50803</v>
      </c>
      <c r="BR15" s="63">
        <v>65517</v>
      </c>
    </row>
    <row r="16" spans="1:70" ht="16.5" customHeight="1">
      <c r="A16" s="18"/>
      <c r="B16" s="52" t="s">
        <v>96</v>
      </c>
      <c r="C16" s="52"/>
      <c r="D16" s="52"/>
      <c r="E16" s="63">
        <v>13349</v>
      </c>
      <c r="F16" s="63">
        <v>13800</v>
      </c>
      <c r="G16" s="63">
        <v>20463</v>
      </c>
      <c r="H16" s="63">
        <v>29034</v>
      </c>
      <c r="I16" s="63">
        <v>26122</v>
      </c>
      <c r="J16" s="63">
        <v>22349</v>
      </c>
      <c r="K16" s="63">
        <v>22451</v>
      </c>
      <c r="L16" s="63">
        <v>22619</v>
      </c>
      <c r="M16" s="63">
        <v>21089</v>
      </c>
      <c r="N16" s="63">
        <v>28252</v>
      </c>
      <c r="O16" s="63">
        <v>29336</v>
      </c>
      <c r="P16" s="63">
        <v>27376</v>
      </c>
      <c r="Q16" s="63">
        <v>39418</v>
      </c>
      <c r="R16" s="63">
        <v>42335</v>
      </c>
      <c r="S16" s="63">
        <v>35485</v>
      </c>
      <c r="T16" s="63">
        <v>46441</v>
      </c>
      <c r="U16" s="63">
        <v>48583</v>
      </c>
      <c r="V16" s="63">
        <v>49512</v>
      </c>
      <c r="W16" s="63">
        <v>38273</v>
      </c>
      <c r="X16" s="63">
        <v>39592</v>
      </c>
      <c r="Y16" s="63">
        <v>32330</v>
      </c>
      <c r="Z16" s="63">
        <v>29959</v>
      </c>
      <c r="AA16" s="63">
        <v>28874</v>
      </c>
      <c r="AB16" s="63">
        <v>27218</v>
      </c>
      <c r="AC16" s="63">
        <v>23476</v>
      </c>
      <c r="AD16" s="63">
        <v>24807</v>
      </c>
      <c r="AE16" s="63">
        <v>25399</v>
      </c>
      <c r="AF16" s="63">
        <v>19583</v>
      </c>
      <c r="AG16" s="63">
        <v>23942</v>
      </c>
      <c r="AH16" s="63">
        <v>20073</v>
      </c>
      <c r="AI16" s="63">
        <v>23017</v>
      </c>
      <c r="AJ16" s="63">
        <v>21928</v>
      </c>
      <c r="AK16" s="63">
        <v>19430</v>
      </c>
      <c r="AL16" s="63">
        <v>20990</v>
      </c>
      <c r="AM16" s="63">
        <v>22913</v>
      </c>
      <c r="AN16" s="63">
        <v>21164</v>
      </c>
      <c r="AO16" s="63">
        <v>24999</v>
      </c>
      <c r="AP16" s="63">
        <v>25381</v>
      </c>
      <c r="AQ16" s="63">
        <v>30022</v>
      </c>
      <c r="AR16" s="63">
        <v>30912</v>
      </c>
      <c r="AS16" s="63">
        <v>18343</v>
      </c>
      <c r="AT16" s="63">
        <v>26270</v>
      </c>
      <c r="AU16" s="63">
        <v>22846</v>
      </c>
      <c r="AV16" s="63">
        <v>20547</v>
      </c>
      <c r="AW16" s="63">
        <v>32029</v>
      </c>
      <c r="AX16" s="63">
        <v>28300</v>
      </c>
      <c r="AY16" s="63">
        <v>26404</v>
      </c>
      <c r="AZ16" s="63">
        <v>17894</v>
      </c>
      <c r="BA16" s="63">
        <v>18819</v>
      </c>
      <c r="BB16" s="63">
        <v>30870</v>
      </c>
      <c r="BC16" s="63">
        <v>37549</v>
      </c>
      <c r="BD16" s="63">
        <v>34606</v>
      </c>
      <c r="BE16" s="63">
        <v>36465</v>
      </c>
      <c r="BF16" s="63">
        <v>24031</v>
      </c>
      <c r="BG16" s="63">
        <v>8220</v>
      </c>
      <c r="BH16" s="63">
        <v>1735</v>
      </c>
      <c r="BI16" s="63">
        <v>4909</v>
      </c>
      <c r="BJ16" s="63">
        <v>4059</v>
      </c>
      <c r="BK16" s="63">
        <v>8492</v>
      </c>
      <c r="BL16" s="63">
        <v>7681</v>
      </c>
      <c r="BM16" s="63">
        <v>10572</v>
      </c>
      <c r="BN16" s="63">
        <v>10002</v>
      </c>
      <c r="BO16" s="63">
        <v>11175</v>
      </c>
      <c r="BP16" s="63">
        <v>9816</v>
      </c>
      <c r="BQ16" s="63">
        <v>12801</v>
      </c>
      <c r="BR16" s="63">
        <v>20743</v>
      </c>
    </row>
    <row r="17" spans="1:70" ht="16.5" customHeight="1">
      <c r="A17" s="18"/>
      <c r="B17" s="52" t="s">
        <v>97</v>
      </c>
      <c r="C17" s="52"/>
      <c r="D17" s="52"/>
      <c r="E17" s="63">
        <v>8866</v>
      </c>
      <c r="F17" s="63">
        <v>9758</v>
      </c>
      <c r="G17" s="63">
        <v>9852</v>
      </c>
      <c r="H17" s="63">
        <v>9983</v>
      </c>
      <c r="I17" s="63">
        <v>5082</v>
      </c>
      <c r="J17" s="63">
        <v>5093</v>
      </c>
      <c r="K17" s="63">
        <v>7556</v>
      </c>
      <c r="L17" s="63">
        <v>5437</v>
      </c>
      <c r="M17" s="63">
        <v>7594</v>
      </c>
      <c r="N17" s="63">
        <v>4582</v>
      </c>
      <c r="O17" s="63">
        <v>4582</v>
      </c>
      <c r="P17" s="63">
        <v>2744</v>
      </c>
      <c r="Q17" s="63">
        <v>157</v>
      </c>
      <c r="R17" s="63">
        <v>157</v>
      </c>
      <c r="S17" s="63">
        <v>1319</v>
      </c>
      <c r="T17" s="63">
        <v>2103</v>
      </c>
      <c r="U17" s="63">
        <v>3179</v>
      </c>
      <c r="V17" s="63">
        <v>3179</v>
      </c>
      <c r="W17" s="63">
        <v>1474</v>
      </c>
      <c r="X17" s="63">
        <v>719</v>
      </c>
      <c r="Y17" s="63">
        <v>719</v>
      </c>
      <c r="Z17" s="63">
        <v>719</v>
      </c>
      <c r="AA17" s="63">
        <v>719</v>
      </c>
      <c r="AB17" s="63">
        <v>443</v>
      </c>
      <c r="AC17" s="63">
        <v>443</v>
      </c>
      <c r="AD17" s="63">
        <v>443</v>
      </c>
      <c r="AE17" s="63">
        <v>443</v>
      </c>
      <c r="AF17" s="63">
        <v>443</v>
      </c>
      <c r="AG17" s="63">
        <v>443</v>
      </c>
      <c r="AH17" s="63">
        <v>1116</v>
      </c>
      <c r="AI17" s="63">
        <v>1116</v>
      </c>
      <c r="AJ17" s="63">
        <v>1116</v>
      </c>
      <c r="AK17" s="63">
        <v>1079</v>
      </c>
      <c r="AL17" s="63">
        <v>1079</v>
      </c>
      <c r="AM17" s="63">
        <v>1079</v>
      </c>
      <c r="AN17" s="63">
        <v>3107</v>
      </c>
      <c r="AO17" s="63">
        <v>3107</v>
      </c>
      <c r="AP17" s="63">
        <v>4066</v>
      </c>
      <c r="AQ17" s="63">
        <v>4039</v>
      </c>
      <c r="AR17" s="63">
        <v>2609</v>
      </c>
      <c r="AS17" s="63">
        <v>2061</v>
      </c>
      <c r="AT17" s="63">
        <v>2061</v>
      </c>
      <c r="AU17" s="63">
        <v>2061</v>
      </c>
      <c r="AV17" s="63">
        <v>2300</v>
      </c>
      <c r="AW17" s="63">
        <v>2300</v>
      </c>
      <c r="AX17" s="63">
        <v>3237</v>
      </c>
      <c r="AY17" s="63">
        <v>3237</v>
      </c>
      <c r="AZ17" s="63">
        <v>3237</v>
      </c>
      <c r="BA17" s="63">
        <v>3237</v>
      </c>
      <c r="BB17" s="63">
        <v>4009</v>
      </c>
      <c r="BC17" s="63">
        <v>4009</v>
      </c>
      <c r="BD17" s="63">
        <v>4415</v>
      </c>
      <c r="BE17" s="63">
        <v>4201</v>
      </c>
      <c r="BF17" s="63">
        <v>4513</v>
      </c>
      <c r="BG17" s="63">
        <v>4846</v>
      </c>
      <c r="BH17" s="63">
        <v>4616</v>
      </c>
      <c r="BI17" s="63">
        <v>3686</v>
      </c>
      <c r="BJ17" s="63">
        <v>3686</v>
      </c>
      <c r="BK17" s="63">
        <v>3686</v>
      </c>
      <c r="BL17" s="63">
        <v>3401</v>
      </c>
      <c r="BM17" s="63">
        <v>3401</v>
      </c>
      <c r="BN17" s="63" t="s">
        <v>34</v>
      </c>
      <c r="BO17" s="63" t="s">
        <v>34</v>
      </c>
      <c r="BP17" s="63" t="s">
        <v>34</v>
      </c>
      <c r="BQ17" s="63" t="s">
        <v>34</v>
      </c>
      <c r="BR17" s="63" t="s">
        <v>34</v>
      </c>
    </row>
    <row r="18" spans="1:70" ht="16.5" customHeight="1">
      <c r="A18" s="18"/>
      <c r="B18" s="52" t="s">
        <v>50</v>
      </c>
      <c r="C18" s="52"/>
      <c r="D18" s="52"/>
      <c r="E18" s="63">
        <v>19993</v>
      </c>
      <c r="F18" s="63">
        <v>28554</v>
      </c>
      <c r="G18" s="63">
        <v>29374</v>
      </c>
      <c r="H18" s="63">
        <v>27728</v>
      </c>
      <c r="I18" s="63">
        <v>26784</v>
      </c>
      <c r="J18" s="63">
        <v>27112</v>
      </c>
      <c r="K18" s="63">
        <v>27491</v>
      </c>
      <c r="L18" s="63">
        <v>28087</v>
      </c>
      <c r="M18" s="63">
        <v>29679</v>
      </c>
      <c r="N18" s="63">
        <v>24683</v>
      </c>
      <c r="O18" s="63">
        <v>24650</v>
      </c>
      <c r="P18" s="63">
        <v>11274</v>
      </c>
      <c r="Q18" s="63">
        <v>3884</v>
      </c>
      <c r="R18" s="63">
        <v>564</v>
      </c>
      <c r="S18" s="63">
        <v>23510</v>
      </c>
      <c r="T18" s="63">
        <v>241</v>
      </c>
      <c r="U18" s="63">
        <v>955</v>
      </c>
      <c r="V18" s="63">
        <v>178</v>
      </c>
      <c r="W18" s="63">
        <v>1314</v>
      </c>
      <c r="X18" s="63">
        <v>1315</v>
      </c>
      <c r="Y18" s="63">
        <v>1711</v>
      </c>
      <c r="Z18" s="63">
        <v>3211</v>
      </c>
      <c r="AA18" s="63">
        <v>5340</v>
      </c>
      <c r="AB18" s="63">
        <v>7610</v>
      </c>
      <c r="AC18" s="63">
        <v>9881</v>
      </c>
      <c r="AD18" s="63">
        <v>10901</v>
      </c>
      <c r="AE18" s="63">
        <v>11412</v>
      </c>
      <c r="AF18" s="63">
        <v>11904</v>
      </c>
      <c r="AG18" s="63">
        <v>11958</v>
      </c>
      <c r="AH18" s="63">
        <v>27961</v>
      </c>
      <c r="AI18" s="63">
        <v>28305</v>
      </c>
      <c r="AJ18" s="63">
        <v>29221</v>
      </c>
      <c r="AK18" s="63">
        <v>32431</v>
      </c>
      <c r="AL18" s="63">
        <v>29681</v>
      </c>
      <c r="AM18" s="63">
        <v>29353</v>
      </c>
      <c r="AN18" s="63">
        <v>29732</v>
      </c>
      <c r="AO18" s="63">
        <v>31267</v>
      </c>
      <c r="AP18" s="63">
        <v>31667</v>
      </c>
      <c r="AQ18" s="63">
        <v>31388</v>
      </c>
      <c r="AR18" s="63">
        <v>27831</v>
      </c>
      <c r="AS18" s="63">
        <v>27722</v>
      </c>
      <c r="AT18" s="63">
        <v>6457</v>
      </c>
      <c r="AU18" s="63">
        <v>5800</v>
      </c>
      <c r="AV18" s="63">
        <v>7151</v>
      </c>
      <c r="AW18" s="63">
        <v>6961</v>
      </c>
      <c r="AX18" s="63">
        <v>6083</v>
      </c>
      <c r="AY18" s="63">
        <v>5954</v>
      </c>
      <c r="AZ18" s="63">
        <v>5421</v>
      </c>
      <c r="BA18" s="63">
        <v>5169</v>
      </c>
      <c r="BB18" s="63">
        <v>5407</v>
      </c>
      <c r="BC18" s="63">
        <v>4957</v>
      </c>
      <c r="BD18" s="63">
        <v>12107</v>
      </c>
      <c r="BE18" s="63">
        <v>11778</v>
      </c>
      <c r="BF18" s="63">
        <v>11636</v>
      </c>
      <c r="BG18" s="63">
        <v>10674</v>
      </c>
      <c r="BH18" s="63">
        <v>11646</v>
      </c>
      <c r="BI18" s="63">
        <v>9833</v>
      </c>
      <c r="BJ18" s="63">
        <v>9354</v>
      </c>
      <c r="BK18" s="63">
        <v>9118</v>
      </c>
      <c r="BL18" s="63">
        <v>5091</v>
      </c>
      <c r="BM18" s="63">
        <v>10313</v>
      </c>
      <c r="BN18" s="63">
        <v>2851</v>
      </c>
      <c r="BO18" s="63">
        <v>2425</v>
      </c>
      <c r="BP18" s="63">
        <v>1045</v>
      </c>
      <c r="BQ18" s="63">
        <v>1197</v>
      </c>
      <c r="BR18" s="63">
        <v>2176</v>
      </c>
    </row>
    <row r="19" spans="1:70" s="68" customFormat="1" ht="16.5" customHeight="1">
      <c r="A19" s="67"/>
      <c r="B19" s="59" t="s">
        <v>87</v>
      </c>
      <c r="C19" s="59"/>
      <c r="D19" s="59"/>
      <c r="E19" s="65">
        <f t="shared" ref="E19:G19" si="7">SUM(E20:E23)</f>
        <v>212035</v>
      </c>
      <c r="F19" s="65">
        <f t="shared" si="7"/>
        <v>209641</v>
      </c>
      <c r="G19" s="65">
        <f t="shared" si="7"/>
        <v>202307</v>
      </c>
      <c r="H19" s="65">
        <f>SUM(H20:H23)</f>
        <v>184290</v>
      </c>
      <c r="I19" s="65">
        <f>SUM(I20:I23)</f>
        <v>171039</v>
      </c>
      <c r="J19" s="65">
        <f t="shared" ref="J19:S19" si="8">SUM(J20:J23)</f>
        <v>175175</v>
      </c>
      <c r="K19" s="65">
        <f t="shared" si="8"/>
        <v>190251</v>
      </c>
      <c r="L19" s="65">
        <f t="shared" si="8"/>
        <v>194524</v>
      </c>
      <c r="M19" s="65">
        <f t="shared" si="8"/>
        <v>194527</v>
      </c>
      <c r="N19" s="65">
        <f t="shared" si="8"/>
        <v>214390</v>
      </c>
      <c r="O19" s="65">
        <f t="shared" si="8"/>
        <v>276070</v>
      </c>
      <c r="P19" s="65">
        <f t="shared" si="8"/>
        <v>248522</v>
      </c>
      <c r="Q19" s="65">
        <f t="shared" si="8"/>
        <v>236435</v>
      </c>
      <c r="R19" s="65">
        <f t="shared" si="8"/>
        <v>232622</v>
      </c>
      <c r="S19" s="65">
        <f t="shared" si="8"/>
        <v>128653</v>
      </c>
      <c r="T19" s="65">
        <f t="shared" ref="T19:AY19" si="9">SUM(T20:T23)</f>
        <v>158655</v>
      </c>
      <c r="U19" s="65">
        <f t="shared" si="9"/>
        <v>90214</v>
      </c>
      <c r="V19" s="65">
        <f t="shared" si="9"/>
        <v>87974</v>
      </c>
      <c r="W19" s="65">
        <f t="shared" si="9"/>
        <v>93846</v>
      </c>
      <c r="X19" s="65">
        <f t="shared" si="9"/>
        <v>108744</v>
      </c>
      <c r="Y19" s="65">
        <f t="shared" si="9"/>
        <v>86645</v>
      </c>
      <c r="Z19" s="65">
        <f t="shared" si="9"/>
        <v>83718</v>
      </c>
      <c r="AA19" s="65">
        <f t="shared" si="9"/>
        <v>85241</v>
      </c>
      <c r="AB19" s="65">
        <f t="shared" si="9"/>
        <v>82427</v>
      </c>
      <c r="AC19" s="65">
        <f t="shared" si="9"/>
        <v>82894</v>
      </c>
      <c r="AD19" s="65">
        <f t="shared" si="9"/>
        <v>76903</v>
      </c>
      <c r="AE19" s="65">
        <f t="shared" si="9"/>
        <v>70772</v>
      </c>
      <c r="AF19" s="65">
        <f t="shared" si="9"/>
        <v>50040</v>
      </c>
      <c r="AG19" s="65">
        <f t="shared" si="9"/>
        <v>47561</v>
      </c>
      <c r="AH19" s="65">
        <f t="shared" si="9"/>
        <v>42708</v>
      </c>
      <c r="AI19" s="65">
        <f t="shared" si="9"/>
        <v>33524</v>
      </c>
      <c r="AJ19" s="65">
        <f t="shared" si="9"/>
        <v>31836</v>
      </c>
      <c r="AK19" s="65">
        <f t="shared" si="9"/>
        <v>34077</v>
      </c>
      <c r="AL19" s="65">
        <f t="shared" si="9"/>
        <v>33401</v>
      </c>
      <c r="AM19" s="65">
        <f t="shared" si="9"/>
        <v>33770</v>
      </c>
      <c r="AN19" s="65">
        <f t="shared" si="9"/>
        <v>33523</v>
      </c>
      <c r="AO19" s="65">
        <f t="shared" si="9"/>
        <v>33368</v>
      </c>
      <c r="AP19" s="65">
        <f t="shared" si="9"/>
        <v>32855</v>
      </c>
      <c r="AQ19" s="65">
        <f t="shared" si="9"/>
        <v>29953</v>
      </c>
      <c r="AR19" s="65">
        <f t="shared" si="9"/>
        <v>27185</v>
      </c>
      <c r="AS19" s="65">
        <f t="shared" si="9"/>
        <v>32610</v>
      </c>
      <c r="AT19" s="65">
        <f t="shared" si="9"/>
        <v>31598</v>
      </c>
      <c r="AU19" s="65">
        <f t="shared" si="9"/>
        <v>32749</v>
      </c>
      <c r="AV19" s="65">
        <f t="shared" si="9"/>
        <v>39430</v>
      </c>
      <c r="AW19" s="65">
        <f t="shared" si="9"/>
        <v>44746</v>
      </c>
      <c r="AX19" s="65">
        <f t="shared" si="9"/>
        <v>45651</v>
      </c>
      <c r="AY19" s="65">
        <f t="shared" si="9"/>
        <v>50125</v>
      </c>
      <c r="AZ19" s="65">
        <f t="shared" ref="AZ19:BR19" si="10">SUM(AZ20:AZ23)</f>
        <v>58769</v>
      </c>
      <c r="BA19" s="65">
        <f t="shared" si="10"/>
        <v>63987</v>
      </c>
      <c r="BB19" s="65">
        <f t="shared" si="10"/>
        <v>68325</v>
      </c>
      <c r="BC19" s="65">
        <f t="shared" si="10"/>
        <v>69339</v>
      </c>
      <c r="BD19" s="65">
        <f t="shared" si="10"/>
        <v>75387</v>
      </c>
      <c r="BE19" s="65">
        <f t="shared" si="10"/>
        <v>74064</v>
      </c>
      <c r="BF19" s="65">
        <f t="shared" si="10"/>
        <v>77413</v>
      </c>
      <c r="BG19" s="65">
        <f t="shared" si="10"/>
        <v>13749</v>
      </c>
      <c r="BH19" s="65">
        <f t="shared" si="10"/>
        <v>14013</v>
      </c>
      <c r="BI19" s="65">
        <f t="shared" si="10"/>
        <v>12608</v>
      </c>
      <c r="BJ19" s="65">
        <f t="shared" si="10"/>
        <v>13833</v>
      </c>
      <c r="BK19" s="65">
        <f t="shared" si="10"/>
        <v>15139</v>
      </c>
      <c r="BL19" s="65">
        <f t="shared" si="10"/>
        <v>17190</v>
      </c>
      <c r="BM19" s="65">
        <f t="shared" si="10"/>
        <v>18169</v>
      </c>
      <c r="BN19" s="65">
        <f t="shared" si="10"/>
        <v>19693</v>
      </c>
      <c r="BO19" s="65">
        <f t="shared" si="10"/>
        <v>20707</v>
      </c>
      <c r="BP19" s="65">
        <f t="shared" si="10"/>
        <v>19234</v>
      </c>
      <c r="BQ19" s="65">
        <f t="shared" si="10"/>
        <v>20320</v>
      </c>
      <c r="BR19" s="65">
        <f t="shared" si="10"/>
        <v>20911</v>
      </c>
    </row>
    <row r="20" spans="1:70" ht="16.5" customHeight="1">
      <c r="A20" s="18"/>
      <c r="B20" s="52" t="s">
        <v>51</v>
      </c>
      <c r="C20" s="52"/>
      <c r="D20" s="52"/>
      <c r="E20" s="63">
        <v>139566</v>
      </c>
      <c r="F20" s="63">
        <v>133634</v>
      </c>
      <c r="G20" s="63">
        <v>128557</v>
      </c>
      <c r="H20" s="63">
        <v>115454</v>
      </c>
      <c r="I20" s="63">
        <v>113721</v>
      </c>
      <c r="J20" s="63">
        <v>114924</v>
      </c>
      <c r="K20" s="63">
        <v>129772</v>
      </c>
      <c r="L20" s="63">
        <v>134669</v>
      </c>
      <c r="M20" s="63">
        <v>139030</v>
      </c>
      <c r="N20" s="63">
        <v>156448</v>
      </c>
      <c r="O20" s="63">
        <v>150485</v>
      </c>
      <c r="P20" s="63">
        <v>127856</v>
      </c>
      <c r="Q20" s="63">
        <v>114885</v>
      </c>
      <c r="R20" s="63">
        <v>107874</v>
      </c>
      <c r="S20" s="63">
        <v>96500</v>
      </c>
      <c r="T20" s="63">
        <v>63292</v>
      </c>
      <c r="U20" s="63">
        <v>62927</v>
      </c>
      <c r="V20" s="63">
        <v>60593</v>
      </c>
      <c r="W20" s="63">
        <v>64342</v>
      </c>
      <c r="X20" s="63">
        <v>82302</v>
      </c>
      <c r="Y20" s="63">
        <v>60057</v>
      </c>
      <c r="Z20" s="63">
        <v>61684</v>
      </c>
      <c r="AA20" s="63">
        <v>65003</v>
      </c>
      <c r="AB20" s="63">
        <v>64109</v>
      </c>
      <c r="AC20" s="63">
        <v>64233</v>
      </c>
      <c r="AD20" s="63">
        <v>58411</v>
      </c>
      <c r="AE20" s="63">
        <v>53421</v>
      </c>
      <c r="AF20" s="63">
        <v>36975</v>
      </c>
      <c r="AG20" s="63">
        <v>34937</v>
      </c>
      <c r="AH20" s="63">
        <v>31276</v>
      </c>
      <c r="AI20" s="63">
        <v>24571</v>
      </c>
      <c r="AJ20" s="63">
        <v>23635</v>
      </c>
      <c r="AK20" s="63">
        <v>25542</v>
      </c>
      <c r="AL20" s="63">
        <v>24152</v>
      </c>
      <c r="AM20" s="63">
        <v>24362</v>
      </c>
      <c r="AN20" s="63">
        <v>23986</v>
      </c>
      <c r="AO20" s="63">
        <v>23596</v>
      </c>
      <c r="AP20" s="63">
        <v>22784</v>
      </c>
      <c r="AQ20" s="63">
        <v>20116</v>
      </c>
      <c r="AR20" s="63">
        <v>17203</v>
      </c>
      <c r="AS20" s="63">
        <v>23181</v>
      </c>
      <c r="AT20" s="63">
        <v>23655</v>
      </c>
      <c r="AU20" s="63">
        <v>24551</v>
      </c>
      <c r="AV20" s="63">
        <v>32728</v>
      </c>
      <c r="AW20" s="63">
        <v>36876</v>
      </c>
      <c r="AX20" s="63">
        <v>36948</v>
      </c>
      <c r="AY20" s="63">
        <v>40085</v>
      </c>
      <c r="AZ20" s="63">
        <v>49306</v>
      </c>
      <c r="BA20" s="63" t="s">
        <v>34</v>
      </c>
      <c r="BB20" s="63">
        <v>55428</v>
      </c>
      <c r="BC20" s="63">
        <v>55866</v>
      </c>
      <c r="BD20" s="63">
        <v>61580</v>
      </c>
      <c r="BE20" s="63">
        <v>60279</v>
      </c>
      <c r="BF20" s="63">
        <v>64114</v>
      </c>
      <c r="BG20" s="63" t="s">
        <v>34</v>
      </c>
      <c r="BH20" s="63" t="s">
        <v>34</v>
      </c>
      <c r="BI20" s="63" t="s">
        <v>34</v>
      </c>
      <c r="BJ20" s="63" t="s">
        <v>34</v>
      </c>
      <c r="BK20" s="63" t="s">
        <v>34</v>
      </c>
      <c r="BL20" s="63" t="s">
        <v>34</v>
      </c>
      <c r="BM20" s="63" t="s">
        <v>34</v>
      </c>
      <c r="BN20" s="63" t="s">
        <v>34</v>
      </c>
      <c r="BO20" s="63" t="s">
        <v>34</v>
      </c>
      <c r="BP20" s="63" t="s">
        <v>34</v>
      </c>
      <c r="BQ20" s="63" t="s">
        <v>34</v>
      </c>
      <c r="BR20" s="63" t="s">
        <v>34</v>
      </c>
    </row>
    <row r="21" spans="1:70" ht="16.5" customHeight="1">
      <c r="A21" s="18"/>
      <c r="B21" s="52" t="s">
        <v>194</v>
      </c>
      <c r="C21" s="52"/>
      <c r="D21" s="52"/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35741</v>
      </c>
      <c r="P21" s="63">
        <v>29063</v>
      </c>
      <c r="Q21" s="63">
        <v>29063</v>
      </c>
      <c r="R21" s="63">
        <v>29029</v>
      </c>
      <c r="S21" s="63" t="s">
        <v>34</v>
      </c>
      <c r="T21" s="63" t="s">
        <v>34</v>
      </c>
      <c r="U21" s="63" t="s">
        <v>34</v>
      </c>
      <c r="V21" s="63" t="s">
        <v>34</v>
      </c>
      <c r="W21" s="63" t="s">
        <v>34</v>
      </c>
      <c r="X21" s="63" t="s">
        <v>34</v>
      </c>
      <c r="Y21" s="63" t="s">
        <v>34</v>
      </c>
      <c r="Z21" s="63" t="s">
        <v>34</v>
      </c>
      <c r="AA21" s="63" t="s">
        <v>34</v>
      </c>
      <c r="AB21" s="63" t="s">
        <v>34</v>
      </c>
      <c r="AC21" s="63" t="s">
        <v>34</v>
      </c>
      <c r="AD21" s="63" t="s">
        <v>34</v>
      </c>
      <c r="AE21" s="63" t="s">
        <v>34</v>
      </c>
      <c r="AF21" s="63" t="s">
        <v>34</v>
      </c>
      <c r="AG21" s="63" t="s">
        <v>34</v>
      </c>
      <c r="AH21" s="63" t="s">
        <v>34</v>
      </c>
      <c r="AI21" s="63" t="s">
        <v>34</v>
      </c>
      <c r="AJ21" s="63" t="s">
        <v>34</v>
      </c>
      <c r="AK21" s="63" t="s">
        <v>34</v>
      </c>
      <c r="AL21" s="63" t="s">
        <v>34</v>
      </c>
      <c r="AM21" s="63" t="s">
        <v>34</v>
      </c>
      <c r="AN21" s="63" t="s">
        <v>34</v>
      </c>
      <c r="AO21" s="63" t="s">
        <v>34</v>
      </c>
      <c r="AP21" s="63" t="s">
        <v>34</v>
      </c>
      <c r="AQ21" s="63" t="s">
        <v>34</v>
      </c>
      <c r="AR21" s="63" t="s">
        <v>34</v>
      </c>
      <c r="AS21" s="63" t="s">
        <v>34</v>
      </c>
      <c r="AT21" s="63" t="s">
        <v>34</v>
      </c>
      <c r="AU21" s="63" t="s">
        <v>34</v>
      </c>
      <c r="AV21" s="63" t="s">
        <v>34</v>
      </c>
      <c r="AW21" s="63" t="s">
        <v>34</v>
      </c>
      <c r="AX21" s="63" t="s">
        <v>34</v>
      </c>
      <c r="AY21" s="63" t="s">
        <v>34</v>
      </c>
      <c r="AZ21" s="63" t="s">
        <v>34</v>
      </c>
      <c r="BA21" s="63" t="s">
        <v>34</v>
      </c>
      <c r="BB21" s="63" t="s">
        <v>34</v>
      </c>
      <c r="BC21" s="63" t="s">
        <v>34</v>
      </c>
      <c r="BD21" s="63" t="s">
        <v>34</v>
      </c>
      <c r="BE21" s="63" t="s">
        <v>34</v>
      </c>
      <c r="BF21" s="63" t="s">
        <v>34</v>
      </c>
      <c r="BG21" s="63" t="s">
        <v>34</v>
      </c>
      <c r="BH21" s="63" t="s">
        <v>34</v>
      </c>
      <c r="BI21" s="63" t="s">
        <v>34</v>
      </c>
      <c r="BJ21" s="63" t="s">
        <v>34</v>
      </c>
      <c r="BK21" s="63" t="s">
        <v>34</v>
      </c>
      <c r="BL21" s="63" t="s">
        <v>34</v>
      </c>
      <c r="BM21" s="63" t="s">
        <v>34</v>
      </c>
      <c r="BN21" s="63" t="s">
        <v>34</v>
      </c>
      <c r="BO21" s="63" t="s">
        <v>34</v>
      </c>
      <c r="BP21" s="63" t="s">
        <v>34</v>
      </c>
      <c r="BQ21" s="63" t="s">
        <v>34</v>
      </c>
      <c r="BR21" s="63" t="s">
        <v>34</v>
      </c>
    </row>
    <row r="22" spans="1:70" ht="16.5" customHeight="1">
      <c r="A22" s="18"/>
      <c r="B22" s="52" t="s">
        <v>52</v>
      </c>
      <c r="C22" s="52"/>
      <c r="D22" s="52"/>
      <c r="E22" s="63">
        <v>68197</v>
      </c>
      <c r="F22" s="63">
        <v>72532</v>
      </c>
      <c r="G22" s="63">
        <v>70067</v>
      </c>
      <c r="H22" s="63">
        <v>65026</v>
      </c>
      <c r="I22" s="63">
        <v>53565</v>
      </c>
      <c r="J22" s="63">
        <v>56507</v>
      </c>
      <c r="K22" s="63">
        <v>56726</v>
      </c>
      <c r="L22" s="63">
        <v>56159</v>
      </c>
      <c r="M22" s="63">
        <v>51606</v>
      </c>
      <c r="N22" s="63">
        <v>53963</v>
      </c>
      <c r="O22" s="63">
        <v>85940</v>
      </c>
      <c r="P22" s="63">
        <v>87799</v>
      </c>
      <c r="Q22" s="63">
        <v>88683</v>
      </c>
      <c r="R22" s="63">
        <v>92148</v>
      </c>
      <c r="S22" s="63">
        <v>29000</v>
      </c>
      <c r="T22" s="63">
        <v>92224</v>
      </c>
      <c r="U22" s="63">
        <v>24243</v>
      </c>
      <c r="V22" s="63">
        <v>24739</v>
      </c>
      <c r="W22" s="63">
        <v>26903</v>
      </c>
      <c r="X22" s="63">
        <v>23889</v>
      </c>
      <c r="Y22" s="63">
        <v>24262</v>
      </c>
      <c r="Z22" s="63">
        <v>20304</v>
      </c>
      <c r="AA22" s="63">
        <v>18770</v>
      </c>
      <c r="AB22" s="63">
        <v>17005</v>
      </c>
      <c r="AC22" s="63">
        <v>17556</v>
      </c>
      <c r="AD22" s="63">
        <v>17380</v>
      </c>
      <c r="AE22" s="63">
        <v>16371</v>
      </c>
      <c r="AF22" s="63">
        <v>12027</v>
      </c>
      <c r="AG22" s="63">
        <v>11523</v>
      </c>
      <c r="AH22" s="63">
        <v>10335</v>
      </c>
      <c r="AI22" s="63">
        <v>7734</v>
      </c>
      <c r="AJ22" s="63">
        <v>6922</v>
      </c>
      <c r="AK22" s="63">
        <v>7156</v>
      </c>
      <c r="AL22" s="63">
        <v>7921</v>
      </c>
      <c r="AM22" s="63">
        <v>8111</v>
      </c>
      <c r="AN22" s="63">
        <v>8221</v>
      </c>
      <c r="AO22" s="63">
        <v>8427</v>
      </c>
      <c r="AP22" s="63">
        <v>8712</v>
      </c>
      <c r="AQ22" s="63">
        <v>8432</v>
      </c>
      <c r="AR22" s="63">
        <v>8708</v>
      </c>
      <c r="AS22" s="63">
        <v>8098</v>
      </c>
      <c r="AT22" s="63">
        <v>6587</v>
      </c>
      <c r="AU22" s="63">
        <v>6779</v>
      </c>
      <c r="AV22" s="63">
        <v>5246</v>
      </c>
      <c r="AW22" s="63">
        <v>6324</v>
      </c>
      <c r="AX22" s="63">
        <v>7066</v>
      </c>
      <c r="AY22" s="63">
        <v>8390</v>
      </c>
      <c r="AZ22" s="63">
        <v>7831</v>
      </c>
      <c r="BA22" s="63" t="s">
        <v>34</v>
      </c>
      <c r="BB22" s="63">
        <v>10839</v>
      </c>
      <c r="BC22" s="63">
        <v>11801</v>
      </c>
      <c r="BD22" s="63">
        <v>12056</v>
      </c>
      <c r="BE22" s="63">
        <v>11983</v>
      </c>
      <c r="BF22" s="63">
        <v>11529</v>
      </c>
      <c r="BG22" s="63">
        <v>11869</v>
      </c>
      <c r="BH22" s="63">
        <v>11887</v>
      </c>
      <c r="BI22" s="63">
        <v>10192</v>
      </c>
      <c r="BJ22" s="63">
        <v>11212</v>
      </c>
      <c r="BK22" s="63">
        <v>12334</v>
      </c>
      <c r="BL22" s="63">
        <v>14212</v>
      </c>
      <c r="BM22" s="63">
        <v>14978</v>
      </c>
      <c r="BN22" s="63">
        <v>16470</v>
      </c>
      <c r="BO22" s="63">
        <v>17372</v>
      </c>
      <c r="BP22" s="63">
        <v>16883</v>
      </c>
      <c r="BQ22" s="63">
        <v>17746</v>
      </c>
      <c r="BR22" s="63">
        <v>18109</v>
      </c>
    </row>
    <row r="23" spans="1:70" ht="16.5" customHeight="1">
      <c r="A23" s="18"/>
      <c r="B23" s="52" t="s">
        <v>53</v>
      </c>
      <c r="C23" s="52"/>
      <c r="D23" s="52"/>
      <c r="E23" s="63">
        <v>4272</v>
      </c>
      <c r="F23" s="63">
        <v>3475</v>
      </c>
      <c r="G23" s="63">
        <v>3683</v>
      </c>
      <c r="H23" s="63">
        <v>3810</v>
      </c>
      <c r="I23" s="63">
        <v>3753</v>
      </c>
      <c r="J23" s="63">
        <v>3744</v>
      </c>
      <c r="K23" s="63">
        <v>3753</v>
      </c>
      <c r="L23" s="63">
        <v>3696</v>
      </c>
      <c r="M23" s="63">
        <v>3891</v>
      </c>
      <c r="N23" s="63">
        <v>3979</v>
      </c>
      <c r="O23" s="63">
        <v>3904</v>
      </c>
      <c r="P23" s="63">
        <v>3804</v>
      </c>
      <c r="Q23" s="63">
        <v>3804</v>
      </c>
      <c r="R23" s="63">
        <v>3571</v>
      </c>
      <c r="S23" s="63">
        <v>3153</v>
      </c>
      <c r="T23" s="63">
        <v>3139</v>
      </c>
      <c r="U23" s="63">
        <v>3044</v>
      </c>
      <c r="V23" s="63">
        <v>2642</v>
      </c>
      <c r="W23" s="63">
        <v>2601</v>
      </c>
      <c r="X23" s="63">
        <v>2553</v>
      </c>
      <c r="Y23" s="63">
        <v>2326</v>
      </c>
      <c r="Z23" s="63">
        <v>1730</v>
      </c>
      <c r="AA23" s="63">
        <v>1468</v>
      </c>
      <c r="AB23" s="63">
        <v>1313</v>
      </c>
      <c r="AC23" s="63">
        <v>1105</v>
      </c>
      <c r="AD23" s="63">
        <v>1112</v>
      </c>
      <c r="AE23" s="63">
        <v>980</v>
      </c>
      <c r="AF23" s="63">
        <v>1038</v>
      </c>
      <c r="AG23" s="63">
        <v>1101</v>
      </c>
      <c r="AH23" s="63">
        <v>1097</v>
      </c>
      <c r="AI23" s="63">
        <v>1219</v>
      </c>
      <c r="AJ23" s="63">
        <v>1279</v>
      </c>
      <c r="AK23" s="63">
        <v>1379</v>
      </c>
      <c r="AL23" s="63">
        <v>1328</v>
      </c>
      <c r="AM23" s="63">
        <v>1297</v>
      </c>
      <c r="AN23" s="63">
        <v>1316</v>
      </c>
      <c r="AO23" s="63">
        <v>1345</v>
      </c>
      <c r="AP23" s="63">
        <v>1359</v>
      </c>
      <c r="AQ23" s="63">
        <v>1405</v>
      </c>
      <c r="AR23" s="63">
        <v>1274</v>
      </c>
      <c r="AS23" s="63">
        <v>1331</v>
      </c>
      <c r="AT23" s="63">
        <v>1356</v>
      </c>
      <c r="AU23" s="63">
        <v>1419</v>
      </c>
      <c r="AV23" s="63">
        <v>1456</v>
      </c>
      <c r="AW23" s="63">
        <v>1546</v>
      </c>
      <c r="AX23" s="63">
        <v>1637</v>
      </c>
      <c r="AY23" s="63">
        <v>1650</v>
      </c>
      <c r="AZ23" s="63">
        <v>1632</v>
      </c>
      <c r="BA23" s="63">
        <v>63987</v>
      </c>
      <c r="BB23" s="63">
        <v>2058</v>
      </c>
      <c r="BC23" s="63">
        <v>1672</v>
      </c>
      <c r="BD23" s="63">
        <v>1751</v>
      </c>
      <c r="BE23" s="63">
        <v>1802</v>
      </c>
      <c r="BF23" s="63">
        <v>1770</v>
      </c>
      <c r="BG23" s="63">
        <v>1880</v>
      </c>
      <c r="BH23" s="63">
        <v>2126</v>
      </c>
      <c r="BI23" s="63">
        <v>2416</v>
      </c>
      <c r="BJ23" s="63">
        <v>2621</v>
      </c>
      <c r="BK23" s="63">
        <v>2805</v>
      </c>
      <c r="BL23" s="63">
        <v>2978</v>
      </c>
      <c r="BM23" s="63">
        <v>3191</v>
      </c>
      <c r="BN23" s="63">
        <v>3223</v>
      </c>
      <c r="BO23" s="63">
        <v>3335</v>
      </c>
      <c r="BP23" s="63">
        <v>2351</v>
      </c>
      <c r="BQ23" s="63">
        <v>2574</v>
      </c>
      <c r="BR23" s="63">
        <v>2802</v>
      </c>
    </row>
    <row r="24" spans="1:70" s="25" customFormat="1" ht="16.5" customHeight="1">
      <c r="A24" s="24"/>
      <c r="B24" s="56" t="s">
        <v>54</v>
      </c>
      <c r="C24" s="56"/>
      <c r="D24" s="56"/>
      <c r="E24" s="57">
        <f t="shared" ref="E24:P24" si="11">E4+E11</f>
        <v>3154823</v>
      </c>
      <c r="F24" s="57">
        <f t="shared" si="11"/>
        <v>3332632</v>
      </c>
      <c r="G24" s="57">
        <f t="shared" si="11"/>
        <v>3433244</v>
      </c>
      <c r="H24" s="57">
        <f t="shared" si="11"/>
        <v>3497705</v>
      </c>
      <c r="I24" s="57">
        <f t="shared" si="11"/>
        <v>3292028</v>
      </c>
      <c r="J24" s="57">
        <f t="shared" si="11"/>
        <v>3117847</v>
      </c>
      <c r="K24" s="57">
        <f t="shared" si="11"/>
        <v>3042594</v>
      </c>
      <c r="L24" s="57">
        <f t="shared" si="11"/>
        <v>2762600</v>
      </c>
      <c r="M24" s="57">
        <f t="shared" si="11"/>
        <v>2769246</v>
      </c>
      <c r="N24" s="57">
        <f t="shared" si="11"/>
        <v>2819800</v>
      </c>
      <c r="O24" s="57">
        <f t="shared" si="11"/>
        <v>2757738</v>
      </c>
      <c r="P24" s="57">
        <f t="shared" si="11"/>
        <v>2695849</v>
      </c>
      <c r="Q24" s="57">
        <f t="shared" ref="Q24:Y24" si="12">Q4+Q11</f>
        <v>2677370</v>
      </c>
      <c r="R24" s="57">
        <f t="shared" si="12"/>
        <v>2602797</v>
      </c>
      <c r="S24" s="57">
        <f t="shared" si="12"/>
        <v>2575050</v>
      </c>
      <c r="T24" s="57">
        <f t="shared" si="12"/>
        <v>2304687</v>
      </c>
      <c r="U24" s="57">
        <f t="shared" si="12"/>
        <v>2309129</v>
      </c>
      <c r="V24" s="57">
        <f t="shared" si="12"/>
        <v>2292594</v>
      </c>
      <c r="W24" s="57">
        <f t="shared" si="12"/>
        <v>2340065</v>
      </c>
      <c r="X24" s="57">
        <f t="shared" si="12"/>
        <v>2321403</v>
      </c>
      <c r="Y24" s="57">
        <f t="shared" si="12"/>
        <v>2236049</v>
      </c>
      <c r="Z24" s="57">
        <f>Z4+Z11</f>
        <v>2167632</v>
      </c>
      <c r="AA24" s="57">
        <f>AA4+AA11</f>
        <v>2176901</v>
      </c>
      <c r="AB24" s="57">
        <f>AB4+AB11</f>
        <v>1939546</v>
      </c>
      <c r="AC24" s="57">
        <f t="shared" ref="AC24:BR24" si="13">AC4+AC11</f>
        <v>1960094</v>
      </c>
      <c r="AD24" s="57">
        <f t="shared" si="13"/>
        <v>1868279</v>
      </c>
      <c r="AE24" s="57">
        <f t="shared" si="13"/>
        <v>1798507</v>
      </c>
      <c r="AF24" s="57">
        <f t="shared" si="13"/>
        <v>1693084</v>
      </c>
      <c r="AG24" s="57">
        <f t="shared" si="13"/>
        <v>1247367</v>
      </c>
      <c r="AH24" s="57">
        <f t="shared" si="13"/>
        <v>1171491</v>
      </c>
      <c r="AI24" s="57">
        <f t="shared" si="13"/>
        <v>1087083</v>
      </c>
      <c r="AJ24" s="57">
        <f t="shared" si="13"/>
        <v>1052586</v>
      </c>
      <c r="AK24" s="57">
        <f t="shared" si="13"/>
        <v>1028389</v>
      </c>
      <c r="AL24" s="57">
        <f t="shared" si="13"/>
        <v>965327</v>
      </c>
      <c r="AM24" s="57">
        <f t="shared" si="13"/>
        <v>939490</v>
      </c>
      <c r="AN24" s="57">
        <f t="shared" si="13"/>
        <v>888575</v>
      </c>
      <c r="AO24" s="57">
        <f t="shared" si="13"/>
        <v>848505</v>
      </c>
      <c r="AP24" s="57">
        <f t="shared" si="13"/>
        <v>855021</v>
      </c>
      <c r="AQ24" s="57">
        <f t="shared" si="13"/>
        <v>871065</v>
      </c>
      <c r="AR24" s="57">
        <f t="shared" si="13"/>
        <v>888756</v>
      </c>
      <c r="AS24" s="57">
        <f t="shared" si="13"/>
        <v>855325</v>
      </c>
      <c r="AT24" s="57">
        <f t="shared" si="13"/>
        <v>928027</v>
      </c>
      <c r="AU24" s="57">
        <f t="shared" si="13"/>
        <v>959648</v>
      </c>
      <c r="AV24" s="57">
        <f t="shared" si="13"/>
        <v>980195</v>
      </c>
      <c r="AW24" s="57">
        <f t="shared" si="13"/>
        <v>982166</v>
      </c>
      <c r="AX24" s="57">
        <f t="shared" si="13"/>
        <v>988620</v>
      </c>
      <c r="AY24" s="57">
        <f t="shared" si="13"/>
        <v>1102593</v>
      </c>
      <c r="AZ24" s="57">
        <f t="shared" si="13"/>
        <v>1045256</v>
      </c>
      <c r="BA24" s="57">
        <f t="shared" si="13"/>
        <v>1127024</v>
      </c>
      <c r="BB24" s="57">
        <f t="shared" si="13"/>
        <v>1132177</v>
      </c>
      <c r="BC24" s="57">
        <f t="shared" si="13"/>
        <v>1238526</v>
      </c>
      <c r="BD24" s="57">
        <f t="shared" si="13"/>
        <v>1300384</v>
      </c>
      <c r="BE24" s="57">
        <f t="shared" si="13"/>
        <v>1515826</v>
      </c>
      <c r="BF24" s="57">
        <f t="shared" si="13"/>
        <v>1534588</v>
      </c>
      <c r="BG24" s="57">
        <f t="shared" si="13"/>
        <v>1467385</v>
      </c>
      <c r="BH24" s="57">
        <f t="shared" si="13"/>
        <v>1475083</v>
      </c>
      <c r="BI24" s="57">
        <f t="shared" si="13"/>
        <v>1576743</v>
      </c>
      <c r="BJ24" s="57">
        <f t="shared" si="13"/>
        <v>1599815</v>
      </c>
      <c r="BK24" s="57">
        <f t="shared" si="13"/>
        <v>1664719</v>
      </c>
      <c r="BL24" s="57">
        <f t="shared" si="13"/>
        <v>1683850</v>
      </c>
      <c r="BM24" s="57">
        <f t="shared" si="13"/>
        <v>1813329</v>
      </c>
      <c r="BN24" s="57">
        <f t="shared" si="13"/>
        <v>1813317</v>
      </c>
      <c r="BO24" s="57">
        <f t="shared" si="13"/>
        <v>1799696</v>
      </c>
      <c r="BP24" s="57">
        <f t="shared" si="13"/>
        <v>1678408</v>
      </c>
      <c r="BQ24" s="57">
        <f t="shared" si="13"/>
        <v>1577085</v>
      </c>
      <c r="BR24" s="57">
        <f t="shared" si="13"/>
        <v>1445492</v>
      </c>
    </row>
    <row r="25" spans="1:70" s="5" customFormat="1" ht="15.75" customHeight="1">
      <c r="A25" s="10"/>
      <c r="B25" s="47" t="s">
        <v>55</v>
      </c>
      <c r="C25" s="47"/>
      <c r="D25" s="62"/>
      <c r="E25" s="62">
        <f>SUM(E26:E35)</f>
        <v>674956</v>
      </c>
      <c r="F25" s="62">
        <f>SUM(F26:F35)</f>
        <v>864401</v>
      </c>
      <c r="G25" s="62">
        <f>SUM(G26:G35)</f>
        <v>983183</v>
      </c>
      <c r="H25" s="62">
        <f>SUM(H26:H35)</f>
        <v>1018845</v>
      </c>
      <c r="I25" s="62">
        <f t="shared" ref="I25:P25" si="14">+SUM(I26:I36)</f>
        <v>1019795</v>
      </c>
      <c r="J25" s="62">
        <f t="shared" si="14"/>
        <v>734178</v>
      </c>
      <c r="K25" s="62">
        <f t="shared" si="14"/>
        <v>477996</v>
      </c>
      <c r="L25" s="62">
        <f t="shared" si="14"/>
        <v>546547</v>
      </c>
      <c r="M25" s="62">
        <f t="shared" si="14"/>
        <v>799636</v>
      </c>
      <c r="N25" s="62">
        <f t="shared" si="14"/>
        <v>797711</v>
      </c>
      <c r="O25" s="62">
        <f t="shared" si="14"/>
        <v>765567</v>
      </c>
      <c r="P25" s="62">
        <f t="shared" si="14"/>
        <v>719184</v>
      </c>
      <c r="Q25" s="62">
        <v>702450</v>
      </c>
      <c r="R25" s="62">
        <f>+SUM(R26:R36)</f>
        <v>513273</v>
      </c>
      <c r="S25" s="62">
        <f t="shared" ref="S25:AA25" si="15">+SUM(S26:S36)</f>
        <v>423997</v>
      </c>
      <c r="T25" s="62">
        <f t="shared" si="15"/>
        <v>409956</v>
      </c>
      <c r="U25" s="62">
        <f t="shared" si="15"/>
        <v>447192</v>
      </c>
      <c r="V25" s="62">
        <f t="shared" si="15"/>
        <v>446287</v>
      </c>
      <c r="W25" s="62">
        <f t="shared" si="15"/>
        <v>447358</v>
      </c>
      <c r="X25" s="62">
        <f t="shared" si="15"/>
        <v>502429</v>
      </c>
      <c r="Y25" s="62">
        <f t="shared" si="15"/>
        <v>550699</v>
      </c>
      <c r="Z25" s="62">
        <f t="shared" si="15"/>
        <v>460660</v>
      </c>
      <c r="AA25" s="62">
        <f t="shared" si="15"/>
        <v>456727</v>
      </c>
      <c r="AB25" s="62">
        <f t="shared" ref="AB25:BR25" si="16">SUM(AB26:AB36)</f>
        <v>382455</v>
      </c>
      <c r="AC25" s="62">
        <f t="shared" si="16"/>
        <v>435768</v>
      </c>
      <c r="AD25" s="62">
        <f t="shared" si="16"/>
        <v>448778</v>
      </c>
      <c r="AE25" s="62">
        <f t="shared" si="16"/>
        <v>453647</v>
      </c>
      <c r="AF25" s="62">
        <f t="shared" si="16"/>
        <v>368681</v>
      </c>
      <c r="AG25" s="62">
        <f t="shared" si="16"/>
        <v>351515</v>
      </c>
      <c r="AH25" s="62">
        <f t="shared" si="16"/>
        <v>371526</v>
      </c>
      <c r="AI25" s="62">
        <f t="shared" si="16"/>
        <v>328146</v>
      </c>
      <c r="AJ25" s="62">
        <f t="shared" si="16"/>
        <v>250034</v>
      </c>
      <c r="AK25" s="62">
        <f t="shared" si="16"/>
        <v>246636</v>
      </c>
      <c r="AL25" s="62">
        <f t="shared" si="16"/>
        <v>222629</v>
      </c>
      <c r="AM25" s="62">
        <f t="shared" si="16"/>
        <v>233467</v>
      </c>
      <c r="AN25" s="62">
        <f t="shared" si="16"/>
        <v>221805</v>
      </c>
      <c r="AO25" s="62">
        <f t="shared" si="16"/>
        <v>193768</v>
      </c>
      <c r="AP25" s="62">
        <f t="shared" si="16"/>
        <v>205350</v>
      </c>
      <c r="AQ25" s="62">
        <f t="shared" si="16"/>
        <v>234937</v>
      </c>
      <c r="AR25" s="62">
        <f t="shared" si="16"/>
        <v>230892</v>
      </c>
      <c r="AS25" s="62">
        <f t="shared" si="16"/>
        <v>206549</v>
      </c>
      <c r="AT25" s="62">
        <f t="shared" si="16"/>
        <v>237428</v>
      </c>
      <c r="AU25" s="62">
        <f t="shared" si="16"/>
        <v>284492</v>
      </c>
      <c r="AV25" s="62">
        <f t="shared" si="16"/>
        <v>236447</v>
      </c>
      <c r="AW25" s="62">
        <f t="shared" si="16"/>
        <v>259541</v>
      </c>
      <c r="AX25" s="62">
        <f t="shared" si="16"/>
        <v>246796</v>
      </c>
      <c r="AY25" s="62">
        <f t="shared" si="16"/>
        <v>333812</v>
      </c>
      <c r="AZ25" s="62">
        <f t="shared" si="16"/>
        <v>336941</v>
      </c>
      <c r="BA25" s="62">
        <f t="shared" si="16"/>
        <v>405002</v>
      </c>
      <c r="BB25" s="62">
        <f t="shared" si="16"/>
        <v>403939</v>
      </c>
      <c r="BC25" s="62">
        <f t="shared" si="16"/>
        <v>450564</v>
      </c>
      <c r="BD25" s="62">
        <f t="shared" si="16"/>
        <v>507697</v>
      </c>
      <c r="BE25" s="62">
        <f t="shared" si="16"/>
        <v>639301</v>
      </c>
      <c r="BF25" s="62">
        <f t="shared" si="16"/>
        <v>684985</v>
      </c>
      <c r="BG25" s="62">
        <f t="shared" si="16"/>
        <v>678105</v>
      </c>
      <c r="BH25" s="62">
        <f t="shared" si="16"/>
        <v>678827</v>
      </c>
      <c r="BI25" s="62">
        <f t="shared" si="16"/>
        <v>629320</v>
      </c>
      <c r="BJ25" s="62">
        <f t="shared" si="16"/>
        <v>672961</v>
      </c>
      <c r="BK25" s="62">
        <f t="shared" si="16"/>
        <v>683048</v>
      </c>
      <c r="BL25" s="62">
        <f t="shared" si="16"/>
        <v>710880</v>
      </c>
      <c r="BM25" s="62">
        <f t="shared" si="16"/>
        <v>787704</v>
      </c>
      <c r="BN25" s="62">
        <f t="shared" si="16"/>
        <v>685918</v>
      </c>
      <c r="BO25" s="62">
        <f t="shared" si="16"/>
        <v>620947</v>
      </c>
      <c r="BP25" s="62">
        <f t="shared" si="16"/>
        <v>492535</v>
      </c>
      <c r="BQ25" s="62">
        <f t="shared" si="16"/>
        <v>313022</v>
      </c>
      <c r="BR25" s="62">
        <f t="shared" si="16"/>
        <v>271167</v>
      </c>
    </row>
    <row r="26" spans="1:70" ht="16.5" customHeight="1">
      <c r="A26" s="18"/>
      <c r="B26" s="52" t="s">
        <v>56</v>
      </c>
      <c r="C26" s="52"/>
      <c r="D26" s="52"/>
      <c r="E26" s="69">
        <v>66543</v>
      </c>
      <c r="F26" s="69">
        <v>58372</v>
      </c>
      <c r="G26" s="69">
        <v>47136</v>
      </c>
      <c r="H26" s="69">
        <v>73274</v>
      </c>
      <c r="I26" s="69">
        <v>65502</v>
      </c>
      <c r="J26" s="69">
        <v>63740</v>
      </c>
      <c r="K26" s="69">
        <v>66082</v>
      </c>
      <c r="L26" s="69">
        <v>81637</v>
      </c>
      <c r="M26" s="69">
        <v>66300</v>
      </c>
      <c r="N26" s="69">
        <v>54870</v>
      </c>
      <c r="O26" s="69">
        <v>43072</v>
      </c>
      <c r="P26" s="63">
        <v>49923</v>
      </c>
      <c r="Q26" s="63">
        <v>48664</v>
      </c>
      <c r="R26" s="63">
        <v>58766</v>
      </c>
      <c r="S26" s="63">
        <v>42689</v>
      </c>
      <c r="T26" s="63">
        <v>56569</v>
      </c>
      <c r="U26" s="63">
        <v>61802</v>
      </c>
      <c r="V26" s="63">
        <v>54286</v>
      </c>
      <c r="W26" s="63">
        <v>45693</v>
      </c>
      <c r="X26" s="63">
        <v>59355</v>
      </c>
      <c r="Y26" s="63">
        <v>61267</v>
      </c>
      <c r="Z26" s="63">
        <v>65612</v>
      </c>
      <c r="AA26" s="63">
        <v>51292</v>
      </c>
      <c r="AB26" s="63">
        <v>49112</v>
      </c>
      <c r="AC26" s="63">
        <v>50098</v>
      </c>
      <c r="AD26" s="63">
        <v>45413</v>
      </c>
      <c r="AE26" s="63">
        <v>36353</v>
      </c>
      <c r="AF26" s="63">
        <v>40508</v>
      </c>
      <c r="AG26" s="63">
        <v>42691</v>
      </c>
      <c r="AH26" s="63">
        <v>48798</v>
      </c>
      <c r="AI26" s="63">
        <v>29709</v>
      </c>
      <c r="AJ26" s="63">
        <v>30387</v>
      </c>
      <c r="AK26" s="63">
        <v>25663</v>
      </c>
      <c r="AL26" s="63">
        <v>24886</v>
      </c>
      <c r="AM26" s="63">
        <v>24243</v>
      </c>
      <c r="AN26" s="63">
        <v>26552</v>
      </c>
      <c r="AO26" s="63">
        <v>24418</v>
      </c>
      <c r="AP26" s="63">
        <v>23932</v>
      </c>
      <c r="AQ26" s="63">
        <v>17745</v>
      </c>
      <c r="AR26" s="63">
        <v>22323</v>
      </c>
      <c r="AS26" s="63">
        <v>17317</v>
      </c>
      <c r="AT26" s="63">
        <v>18567</v>
      </c>
      <c r="AU26" s="63">
        <v>15622</v>
      </c>
      <c r="AV26" s="63">
        <v>21519</v>
      </c>
      <c r="AW26" s="63">
        <v>22563</v>
      </c>
      <c r="AX26" s="63">
        <v>22593</v>
      </c>
      <c r="AY26" s="63">
        <v>19416</v>
      </c>
      <c r="AZ26" s="63">
        <v>25557</v>
      </c>
      <c r="BA26" s="63">
        <v>21059</v>
      </c>
      <c r="BB26" s="63">
        <v>22314</v>
      </c>
      <c r="BC26" s="63">
        <v>22080</v>
      </c>
      <c r="BD26" s="63">
        <v>26672</v>
      </c>
      <c r="BE26" s="63">
        <v>30185</v>
      </c>
      <c r="BF26" s="63">
        <v>30387</v>
      </c>
      <c r="BG26" s="63">
        <v>26718</v>
      </c>
      <c r="BH26" s="63">
        <v>34959</v>
      </c>
      <c r="BI26" s="63">
        <v>37629</v>
      </c>
      <c r="BJ26" s="63">
        <v>39606</v>
      </c>
      <c r="BK26" s="63">
        <v>31961</v>
      </c>
      <c r="BL26" s="63">
        <v>38656</v>
      </c>
      <c r="BM26" s="63">
        <v>41570</v>
      </c>
      <c r="BN26" s="63">
        <v>41864</v>
      </c>
      <c r="BO26" s="63">
        <v>34435</v>
      </c>
      <c r="BP26" s="63">
        <v>41480</v>
      </c>
      <c r="BQ26" s="63">
        <v>37855</v>
      </c>
      <c r="BR26" s="63">
        <v>32810</v>
      </c>
    </row>
    <row r="27" spans="1:70" ht="16.5" customHeight="1">
      <c r="A27" s="18"/>
      <c r="B27" s="52" t="s">
        <v>98</v>
      </c>
      <c r="C27" s="52"/>
      <c r="D27" s="52"/>
      <c r="E27" s="69">
        <v>166896</v>
      </c>
      <c r="F27" s="69">
        <v>270519</v>
      </c>
      <c r="G27" s="69">
        <v>345604</v>
      </c>
      <c r="H27" s="69">
        <v>384455</v>
      </c>
      <c r="I27" s="69">
        <v>275530</v>
      </c>
      <c r="J27" s="69">
        <v>40175</v>
      </c>
      <c r="K27" s="69">
        <v>64350</v>
      </c>
      <c r="L27" s="69">
        <v>193660</v>
      </c>
      <c r="M27" s="69">
        <v>372392</v>
      </c>
      <c r="N27" s="69">
        <v>342527</v>
      </c>
      <c r="O27" s="69">
        <v>384504</v>
      </c>
      <c r="P27" s="63">
        <v>367323</v>
      </c>
      <c r="Q27" s="63">
        <v>366483</v>
      </c>
      <c r="R27" s="63">
        <v>171282</v>
      </c>
      <c r="S27" s="63">
        <v>124217</v>
      </c>
      <c r="T27" s="63">
        <v>96703</v>
      </c>
      <c r="U27" s="63">
        <v>131687</v>
      </c>
      <c r="V27" s="63">
        <v>91257</v>
      </c>
      <c r="W27" s="63">
        <v>93066</v>
      </c>
      <c r="X27" s="63">
        <v>142190</v>
      </c>
      <c r="Y27" s="63">
        <v>153809</v>
      </c>
      <c r="Z27" s="63">
        <v>109240</v>
      </c>
      <c r="AA27" s="63">
        <v>135051</v>
      </c>
      <c r="AB27" s="63">
        <v>95788</v>
      </c>
      <c r="AC27" s="63">
        <v>95370</v>
      </c>
      <c r="AD27" s="63">
        <v>60100</v>
      </c>
      <c r="AE27" s="63">
        <v>59376</v>
      </c>
      <c r="AF27" s="63">
        <v>119582</v>
      </c>
      <c r="AG27" s="63">
        <v>110579</v>
      </c>
      <c r="AH27" s="63">
        <v>107351</v>
      </c>
      <c r="AI27" s="63">
        <v>130520</v>
      </c>
      <c r="AJ27" s="63">
        <v>74149</v>
      </c>
      <c r="AK27" s="63">
        <v>53046</v>
      </c>
      <c r="AL27" s="63">
        <v>70835</v>
      </c>
      <c r="AM27" s="63">
        <v>73358</v>
      </c>
      <c r="AN27" s="63">
        <v>105544</v>
      </c>
      <c r="AO27" s="63">
        <v>63502</v>
      </c>
      <c r="AP27" s="63">
        <v>76964</v>
      </c>
      <c r="AQ27" s="63">
        <v>103510</v>
      </c>
      <c r="AR27" s="63">
        <v>87295</v>
      </c>
      <c r="AS27" s="63">
        <v>114768</v>
      </c>
      <c r="AT27" s="63">
        <v>140994</v>
      </c>
      <c r="AU27" s="63">
        <v>199180</v>
      </c>
      <c r="AV27" s="63">
        <v>140808</v>
      </c>
      <c r="AW27" s="63">
        <v>145304</v>
      </c>
      <c r="AX27" s="63">
        <v>142371</v>
      </c>
      <c r="AY27" s="63">
        <v>159985</v>
      </c>
      <c r="AZ27" s="63">
        <v>180635</v>
      </c>
      <c r="BA27" s="63">
        <v>172784</v>
      </c>
      <c r="BB27" s="63">
        <v>164595</v>
      </c>
      <c r="BC27" s="63">
        <v>202520</v>
      </c>
      <c r="BD27" s="63">
        <v>231511</v>
      </c>
      <c r="BE27" s="63">
        <v>288743</v>
      </c>
      <c r="BF27" s="63">
        <v>319645</v>
      </c>
      <c r="BG27" s="63">
        <v>302383</v>
      </c>
      <c r="BH27" s="63">
        <v>302430</v>
      </c>
      <c r="BI27" s="63">
        <v>305903</v>
      </c>
      <c r="BJ27" s="63">
        <v>341403</v>
      </c>
      <c r="BK27" s="63">
        <v>419376</v>
      </c>
      <c r="BL27" s="63">
        <v>417908</v>
      </c>
      <c r="BM27" s="63">
        <v>483002</v>
      </c>
      <c r="BN27" s="63">
        <v>416360</v>
      </c>
      <c r="BO27" s="63">
        <v>370433</v>
      </c>
      <c r="BP27" s="63">
        <v>242508</v>
      </c>
      <c r="BQ27" s="63">
        <v>142958</v>
      </c>
      <c r="BR27" s="63">
        <v>127627</v>
      </c>
    </row>
    <row r="28" spans="1:70" ht="16.5" customHeight="1">
      <c r="A28" s="18"/>
      <c r="B28" s="52" t="s">
        <v>99</v>
      </c>
      <c r="C28" s="52"/>
      <c r="D28" s="52"/>
      <c r="E28" s="69">
        <v>20295</v>
      </c>
      <c r="F28" s="69">
        <v>14882</v>
      </c>
      <c r="G28" s="69">
        <v>23691</v>
      </c>
      <c r="H28" s="69">
        <v>21511</v>
      </c>
      <c r="I28" s="69">
        <v>15697</v>
      </c>
      <c r="J28" s="69">
        <v>16022</v>
      </c>
      <c r="K28" s="69">
        <v>22895</v>
      </c>
      <c r="L28" s="69">
        <v>20609</v>
      </c>
      <c r="M28" s="69">
        <v>15500</v>
      </c>
      <c r="N28" s="69">
        <v>11258</v>
      </c>
      <c r="O28" s="69">
        <v>15521</v>
      </c>
      <c r="P28" s="63">
        <v>12993</v>
      </c>
      <c r="Q28" s="63">
        <v>11580</v>
      </c>
      <c r="R28" s="63">
        <v>9691</v>
      </c>
      <c r="S28" s="63">
        <v>10691</v>
      </c>
      <c r="T28" s="63">
        <v>49285</v>
      </c>
      <c r="U28" s="63">
        <v>10129</v>
      </c>
      <c r="V28" s="63">
        <v>9457</v>
      </c>
      <c r="W28" s="63">
        <v>15546</v>
      </c>
      <c r="X28" s="63">
        <v>14397</v>
      </c>
      <c r="Y28" s="63">
        <v>11956</v>
      </c>
      <c r="Z28" s="63">
        <v>10428</v>
      </c>
      <c r="AA28" s="63">
        <v>16609</v>
      </c>
      <c r="AB28" s="63">
        <v>16162</v>
      </c>
      <c r="AC28" s="63">
        <v>12504</v>
      </c>
      <c r="AD28" s="63">
        <v>8400</v>
      </c>
      <c r="AE28" s="63">
        <v>14763</v>
      </c>
      <c r="AF28" s="63">
        <v>13261</v>
      </c>
      <c r="AG28" s="63">
        <v>7577</v>
      </c>
      <c r="AH28" s="63">
        <v>7706</v>
      </c>
      <c r="AI28" s="63">
        <v>8975</v>
      </c>
      <c r="AJ28" s="63">
        <v>9371</v>
      </c>
      <c r="AK28" s="63">
        <v>4956</v>
      </c>
      <c r="AL28" s="63">
        <v>6679</v>
      </c>
      <c r="AM28" s="63">
        <v>6304</v>
      </c>
      <c r="AN28" s="63">
        <v>4558</v>
      </c>
      <c r="AO28" s="63">
        <v>4263</v>
      </c>
      <c r="AP28" s="63">
        <v>4487</v>
      </c>
      <c r="AQ28" s="63">
        <v>5184</v>
      </c>
      <c r="AR28" s="63">
        <v>4292</v>
      </c>
      <c r="AS28" s="63">
        <v>5007</v>
      </c>
      <c r="AT28" s="63">
        <v>5810</v>
      </c>
      <c r="AU28" s="63">
        <v>5386</v>
      </c>
      <c r="AV28" s="63">
        <v>6773</v>
      </c>
      <c r="AW28" s="63">
        <v>7477</v>
      </c>
      <c r="AX28" s="63">
        <v>7872</v>
      </c>
      <c r="AY28" s="63">
        <v>8556</v>
      </c>
      <c r="AZ28" s="63">
        <v>9443</v>
      </c>
      <c r="BA28" s="63">
        <v>9733</v>
      </c>
      <c r="BB28" s="63">
        <v>9956</v>
      </c>
      <c r="BC28" s="63">
        <v>11312</v>
      </c>
      <c r="BD28" s="63">
        <v>13755</v>
      </c>
      <c r="BE28" s="63">
        <v>14331</v>
      </c>
      <c r="BF28" s="63">
        <v>13281</v>
      </c>
      <c r="BG28" s="63">
        <v>14267</v>
      </c>
      <c r="BH28" s="63">
        <v>16137</v>
      </c>
      <c r="BI28" s="63">
        <v>16838</v>
      </c>
      <c r="BJ28" s="63">
        <v>20369</v>
      </c>
      <c r="BK28" s="63">
        <v>19047</v>
      </c>
      <c r="BL28" s="63">
        <v>23177</v>
      </c>
      <c r="BM28" s="63">
        <v>22571</v>
      </c>
      <c r="BN28" s="63">
        <v>20267</v>
      </c>
      <c r="BO28" s="63">
        <v>20010</v>
      </c>
      <c r="BP28" s="63">
        <v>15535</v>
      </c>
      <c r="BQ28" s="63">
        <v>14402</v>
      </c>
      <c r="BR28" s="63">
        <v>13527</v>
      </c>
    </row>
    <row r="29" spans="1:70" ht="16.5" customHeight="1">
      <c r="A29" s="18"/>
      <c r="B29" s="52" t="s">
        <v>100</v>
      </c>
      <c r="C29" s="52"/>
      <c r="D29" s="52"/>
      <c r="E29" s="69">
        <v>31658</v>
      </c>
      <c r="F29" s="69">
        <v>38517</v>
      </c>
      <c r="G29" s="69">
        <v>39250</v>
      </c>
      <c r="H29" s="69">
        <v>38345</v>
      </c>
      <c r="I29" s="69">
        <v>35760</v>
      </c>
      <c r="J29" s="69">
        <v>33992</v>
      </c>
      <c r="K29" s="69">
        <v>30569</v>
      </c>
      <c r="L29" s="69">
        <v>28034</v>
      </c>
      <c r="M29" s="69">
        <v>29861</v>
      </c>
      <c r="N29" s="69">
        <v>29427</v>
      </c>
      <c r="O29" s="69">
        <v>25819</v>
      </c>
      <c r="P29" s="63">
        <v>26737</v>
      </c>
      <c r="Q29" s="63">
        <v>24985</v>
      </c>
      <c r="R29" s="63">
        <v>21003</v>
      </c>
      <c r="S29" s="63">
        <v>17046</v>
      </c>
      <c r="T29" s="63">
        <v>10676</v>
      </c>
      <c r="U29" s="63">
        <v>11277</v>
      </c>
      <c r="V29" s="63">
        <v>12367</v>
      </c>
      <c r="W29" s="63">
        <v>13623</v>
      </c>
      <c r="X29" s="63">
        <v>16479</v>
      </c>
      <c r="Y29" s="63">
        <v>17901</v>
      </c>
      <c r="Z29" s="63">
        <v>17989</v>
      </c>
      <c r="AA29" s="63">
        <v>19601</v>
      </c>
      <c r="AB29" s="63">
        <v>15402</v>
      </c>
      <c r="AC29" s="63">
        <v>16771</v>
      </c>
      <c r="AD29" s="63">
        <v>15485</v>
      </c>
      <c r="AE29" s="63">
        <v>16522</v>
      </c>
      <c r="AF29" s="63">
        <v>17471</v>
      </c>
      <c r="AG29" s="63">
        <v>15944</v>
      </c>
      <c r="AH29" s="63">
        <v>15640</v>
      </c>
      <c r="AI29" s="63">
        <v>14062</v>
      </c>
      <c r="AJ29" s="63">
        <v>16417</v>
      </c>
      <c r="AK29" s="63">
        <v>12071</v>
      </c>
      <c r="AL29" s="63">
        <v>10457</v>
      </c>
      <c r="AM29" s="63">
        <v>10063</v>
      </c>
      <c r="AN29" s="63">
        <v>8417</v>
      </c>
      <c r="AO29" s="63">
        <v>8047</v>
      </c>
      <c r="AP29" s="63">
        <v>9320</v>
      </c>
      <c r="AQ29" s="63">
        <v>9726</v>
      </c>
      <c r="AR29" s="63">
        <v>10061</v>
      </c>
      <c r="AS29" s="63">
        <v>10785</v>
      </c>
      <c r="AT29" s="63">
        <v>11856</v>
      </c>
      <c r="AU29" s="63">
        <v>15581</v>
      </c>
      <c r="AV29" s="63">
        <v>16308</v>
      </c>
      <c r="AW29" s="63">
        <v>15390</v>
      </c>
      <c r="AX29" s="63">
        <v>14463</v>
      </c>
      <c r="AY29" s="63">
        <v>15303</v>
      </c>
      <c r="AZ29" s="63">
        <v>14106</v>
      </c>
      <c r="BA29" s="63">
        <v>16554</v>
      </c>
      <c r="BB29" s="63">
        <v>19838</v>
      </c>
      <c r="BC29" s="63">
        <v>23745</v>
      </c>
      <c r="BD29" s="63">
        <v>26955</v>
      </c>
      <c r="BE29" s="63">
        <v>34555</v>
      </c>
      <c r="BF29" s="63">
        <v>42419</v>
      </c>
      <c r="BG29" s="63">
        <v>44014</v>
      </c>
      <c r="BH29" s="63">
        <v>54917</v>
      </c>
      <c r="BI29" s="63">
        <v>55748</v>
      </c>
      <c r="BJ29" s="63">
        <v>57792</v>
      </c>
      <c r="BK29" s="63">
        <v>46164</v>
      </c>
      <c r="BL29" s="63">
        <v>59395</v>
      </c>
      <c r="BM29" s="63">
        <v>59248</v>
      </c>
      <c r="BN29" s="63">
        <v>56360</v>
      </c>
      <c r="BO29" s="63">
        <v>55084</v>
      </c>
      <c r="BP29" s="63">
        <v>52820</v>
      </c>
      <c r="BQ29" s="63">
        <v>45001</v>
      </c>
      <c r="BR29" s="63">
        <v>39582</v>
      </c>
    </row>
    <row r="30" spans="1:70" ht="16.5" customHeight="1">
      <c r="A30" s="18"/>
      <c r="B30" s="52" t="s">
        <v>101</v>
      </c>
      <c r="C30" s="52"/>
      <c r="D30" s="52"/>
      <c r="E30" s="69">
        <v>57856</v>
      </c>
      <c r="F30" s="69">
        <v>53065</v>
      </c>
      <c r="G30" s="69">
        <v>74853</v>
      </c>
      <c r="H30" s="69">
        <v>73422</v>
      </c>
      <c r="I30" s="69">
        <v>168738</v>
      </c>
      <c r="J30" s="69">
        <v>115135</v>
      </c>
      <c r="K30" s="69">
        <v>34476</v>
      </c>
      <c r="L30" s="69">
        <v>77103</v>
      </c>
      <c r="M30" s="69">
        <v>102721</v>
      </c>
      <c r="N30" s="69">
        <v>145574</v>
      </c>
      <c r="O30" s="69">
        <v>76848</v>
      </c>
      <c r="P30" s="63">
        <v>75066</v>
      </c>
      <c r="Q30" s="63">
        <v>69393</v>
      </c>
      <c r="R30" s="63">
        <v>65212</v>
      </c>
      <c r="S30" s="63">
        <v>69577</v>
      </c>
      <c r="T30" s="63">
        <v>10035</v>
      </c>
      <c r="U30" s="63">
        <v>56724</v>
      </c>
      <c r="V30" s="63">
        <v>95711</v>
      </c>
      <c r="W30" s="63">
        <v>96161</v>
      </c>
      <c r="X30" s="63">
        <v>131754</v>
      </c>
      <c r="Y30" s="63">
        <v>152822</v>
      </c>
      <c r="Z30" s="63">
        <v>121133</v>
      </c>
      <c r="AA30" s="63">
        <v>106837</v>
      </c>
      <c r="AB30" s="63">
        <v>128041</v>
      </c>
      <c r="AC30" s="63">
        <v>159903</v>
      </c>
      <c r="AD30" s="63">
        <v>204459</v>
      </c>
      <c r="AE30" s="63">
        <v>201839</v>
      </c>
      <c r="AF30" s="63">
        <v>71617</v>
      </c>
      <c r="AG30" s="63">
        <v>86122</v>
      </c>
      <c r="AH30" s="63">
        <v>108312</v>
      </c>
      <c r="AI30" s="63">
        <v>67216</v>
      </c>
      <c r="AJ30" s="63">
        <v>57244</v>
      </c>
      <c r="AK30" s="63">
        <v>87897</v>
      </c>
      <c r="AL30" s="63">
        <v>44760</v>
      </c>
      <c r="AM30" s="63">
        <v>51838</v>
      </c>
      <c r="AN30" s="63">
        <v>23121</v>
      </c>
      <c r="AO30" s="63">
        <v>36568</v>
      </c>
      <c r="AP30" s="63">
        <v>43505</v>
      </c>
      <c r="AQ30" s="63">
        <v>52978</v>
      </c>
      <c r="AR30" s="63">
        <v>62173</v>
      </c>
      <c r="AS30" s="63">
        <v>8011</v>
      </c>
      <c r="AT30" s="63">
        <v>15159</v>
      </c>
      <c r="AU30" s="63">
        <v>5977</v>
      </c>
      <c r="AV30" s="63">
        <v>14600</v>
      </c>
      <c r="AW30" s="63">
        <v>26371</v>
      </c>
      <c r="AX30" s="63">
        <v>13903</v>
      </c>
      <c r="AY30" s="63">
        <v>26152</v>
      </c>
      <c r="AZ30" s="63">
        <v>17409</v>
      </c>
      <c r="BA30" s="63">
        <v>28631</v>
      </c>
      <c r="BB30" s="63">
        <v>24331</v>
      </c>
      <c r="BC30" s="63">
        <v>14961</v>
      </c>
      <c r="BD30" s="63">
        <v>34524</v>
      </c>
      <c r="BE30" s="63">
        <v>12384</v>
      </c>
      <c r="BF30" s="63">
        <v>12366</v>
      </c>
      <c r="BG30" s="63">
        <v>34204</v>
      </c>
      <c r="BH30" s="63">
        <v>16838</v>
      </c>
      <c r="BI30" s="63">
        <v>14856</v>
      </c>
      <c r="BJ30" s="63">
        <v>15942</v>
      </c>
      <c r="BK30" s="63">
        <v>19765</v>
      </c>
      <c r="BL30" s="63">
        <v>23748</v>
      </c>
      <c r="BM30" s="63">
        <v>27920</v>
      </c>
      <c r="BN30" s="63">
        <v>17870</v>
      </c>
      <c r="BO30" s="63">
        <v>10837</v>
      </c>
      <c r="BP30" s="63">
        <v>18644</v>
      </c>
      <c r="BQ30" s="63">
        <v>14738</v>
      </c>
      <c r="BR30" s="63">
        <v>15476</v>
      </c>
    </row>
    <row r="31" spans="1:70" ht="16.5" customHeight="1">
      <c r="A31" s="18"/>
      <c r="B31" s="52" t="s">
        <v>102</v>
      </c>
      <c r="C31" s="52"/>
      <c r="D31" s="52"/>
      <c r="E31" s="69">
        <v>178954</v>
      </c>
      <c r="F31" s="69">
        <v>171448</v>
      </c>
      <c r="G31" s="69">
        <v>213958</v>
      </c>
      <c r="H31" s="69">
        <v>307924</v>
      </c>
      <c r="I31" s="69">
        <v>327740</v>
      </c>
      <c r="J31" s="69">
        <v>325123</v>
      </c>
      <c r="K31" s="69">
        <v>131105</v>
      </c>
      <c r="L31" s="69">
        <v>66661</v>
      </c>
      <c r="M31" s="69">
        <v>61107</v>
      </c>
      <c r="N31" s="69">
        <v>66620</v>
      </c>
      <c r="O31" s="69">
        <v>74393</v>
      </c>
      <c r="P31" s="63">
        <v>70666</v>
      </c>
      <c r="Q31" s="63">
        <v>72499</v>
      </c>
      <c r="R31" s="63">
        <v>73832</v>
      </c>
      <c r="S31" s="63">
        <v>70538</v>
      </c>
      <c r="T31" s="63">
        <v>51756</v>
      </c>
      <c r="U31" s="63">
        <v>74082</v>
      </c>
      <c r="V31" s="63">
        <v>81821</v>
      </c>
      <c r="W31" s="63">
        <v>84530</v>
      </c>
      <c r="X31" s="63">
        <v>82178</v>
      </c>
      <c r="Y31" s="63">
        <v>80966</v>
      </c>
      <c r="Z31" s="63">
        <v>60086</v>
      </c>
      <c r="AA31" s="63">
        <v>55655</v>
      </c>
      <c r="AB31" s="63">
        <v>49177</v>
      </c>
      <c r="AC31" s="63">
        <v>48346</v>
      </c>
      <c r="AD31" s="63">
        <v>48730</v>
      </c>
      <c r="AE31" s="63">
        <v>56474</v>
      </c>
      <c r="AF31" s="63">
        <v>54001</v>
      </c>
      <c r="AG31" s="63">
        <v>43253</v>
      </c>
      <c r="AH31" s="63">
        <v>30524</v>
      </c>
      <c r="AI31" s="63">
        <v>31764</v>
      </c>
      <c r="AJ31" s="63">
        <v>35868</v>
      </c>
      <c r="AK31" s="63">
        <v>31855</v>
      </c>
      <c r="AL31" s="63">
        <v>34830</v>
      </c>
      <c r="AM31" s="63">
        <v>38346</v>
      </c>
      <c r="AN31" s="63">
        <v>33638</v>
      </c>
      <c r="AO31" s="63">
        <v>27948</v>
      </c>
      <c r="AP31" s="63">
        <v>24863</v>
      </c>
      <c r="AQ31" s="63">
        <v>24475</v>
      </c>
      <c r="AR31" s="63">
        <v>23620</v>
      </c>
      <c r="AS31" s="63">
        <v>20246</v>
      </c>
      <c r="AT31" s="63">
        <v>18384</v>
      </c>
      <c r="AU31" s="63">
        <v>16536</v>
      </c>
      <c r="AV31" s="63">
        <v>8678</v>
      </c>
      <c r="AW31" s="63">
        <v>9448</v>
      </c>
      <c r="AX31" s="63">
        <v>11367</v>
      </c>
      <c r="AY31" s="63">
        <v>11107</v>
      </c>
      <c r="AZ31" s="63">
        <v>10197</v>
      </c>
      <c r="BA31" s="63">
        <v>9615</v>
      </c>
      <c r="BB31" s="63">
        <v>10671</v>
      </c>
      <c r="BC31" s="63">
        <v>11186</v>
      </c>
      <c r="BD31" s="63">
        <v>7822</v>
      </c>
      <c r="BE31" s="63">
        <v>7172</v>
      </c>
      <c r="BF31" s="63">
        <v>5575</v>
      </c>
      <c r="BG31" s="63">
        <v>9055</v>
      </c>
      <c r="BH31" s="63">
        <v>8896</v>
      </c>
      <c r="BI31" s="63">
        <v>10737</v>
      </c>
      <c r="BJ31" s="63">
        <v>13466</v>
      </c>
      <c r="BK31" s="63">
        <v>15230</v>
      </c>
      <c r="BL31" s="63">
        <v>13320</v>
      </c>
      <c r="BM31" s="63">
        <v>12966</v>
      </c>
      <c r="BN31" s="63">
        <v>11191</v>
      </c>
      <c r="BO31" s="63">
        <v>12830</v>
      </c>
      <c r="BP31" s="63">
        <v>9636</v>
      </c>
      <c r="BQ31" s="63">
        <v>10987</v>
      </c>
      <c r="BR31" s="63">
        <v>8852</v>
      </c>
    </row>
    <row r="32" spans="1:70" ht="16.5" customHeight="1">
      <c r="A32" s="18"/>
      <c r="B32" s="52" t="s">
        <v>103</v>
      </c>
      <c r="C32" s="52"/>
      <c r="D32" s="52"/>
      <c r="E32" s="69">
        <v>59206</v>
      </c>
      <c r="F32" s="69">
        <v>66295</v>
      </c>
      <c r="G32" s="69">
        <v>53036</v>
      </c>
      <c r="H32" s="69">
        <v>46067</v>
      </c>
      <c r="I32" s="69">
        <v>58348</v>
      </c>
      <c r="J32" s="69">
        <v>62428</v>
      </c>
      <c r="K32" s="69">
        <v>52314</v>
      </c>
      <c r="L32" s="69">
        <v>33893</v>
      </c>
      <c r="M32" s="69">
        <v>33277</v>
      </c>
      <c r="N32" s="69">
        <v>28224</v>
      </c>
      <c r="O32" s="69">
        <v>22938</v>
      </c>
      <c r="P32" s="63">
        <v>24377</v>
      </c>
      <c r="Q32" s="63">
        <v>18864</v>
      </c>
      <c r="R32" s="63">
        <v>27558</v>
      </c>
      <c r="S32" s="63">
        <v>20950</v>
      </c>
      <c r="T32" s="63">
        <v>70162</v>
      </c>
      <c r="U32" s="63">
        <v>21100</v>
      </c>
      <c r="V32" s="63">
        <v>12347</v>
      </c>
      <c r="W32" s="63">
        <v>12138</v>
      </c>
      <c r="X32" s="63">
        <v>17964</v>
      </c>
      <c r="Y32" s="63">
        <v>14021</v>
      </c>
      <c r="Z32" s="63">
        <v>20134</v>
      </c>
      <c r="AA32" s="63">
        <v>16550</v>
      </c>
      <c r="AB32" s="63">
        <v>13365</v>
      </c>
      <c r="AC32" s="63">
        <v>14482</v>
      </c>
      <c r="AD32" s="63">
        <v>14676</v>
      </c>
      <c r="AE32" s="63">
        <v>16140</v>
      </c>
      <c r="AF32" s="63">
        <v>31607</v>
      </c>
      <c r="AG32" s="63">
        <v>26433</v>
      </c>
      <c r="AH32" s="63">
        <v>26557</v>
      </c>
      <c r="AI32" s="63">
        <v>25092</v>
      </c>
      <c r="AJ32" s="63">
        <v>20692</v>
      </c>
      <c r="AK32" s="63">
        <v>21097</v>
      </c>
      <c r="AL32" s="63">
        <v>20333</v>
      </c>
      <c r="AM32" s="63">
        <v>19082</v>
      </c>
      <c r="AN32" s="63">
        <v>18116</v>
      </c>
      <c r="AO32" s="63">
        <v>17649</v>
      </c>
      <c r="AP32" s="63">
        <v>19750</v>
      </c>
      <c r="AQ32" s="63">
        <v>18741</v>
      </c>
      <c r="AR32" s="63">
        <v>15227</v>
      </c>
      <c r="AS32" s="63">
        <v>11980</v>
      </c>
      <c r="AT32" s="63">
        <v>12603</v>
      </c>
      <c r="AU32" s="63">
        <v>11614</v>
      </c>
      <c r="AV32" s="63">
        <v>11566</v>
      </c>
      <c r="AW32" s="63">
        <v>10516</v>
      </c>
      <c r="AX32" s="63">
        <v>9542</v>
      </c>
      <c r="AY32" s="63">
        <v>9707</v>
      </c>
      <c r="AZ32" s="63">
        <v>6752</v>
      </c>
      <c r="BA32" s="63">
        <v>8184</v>
      </c>
      <c r="BB32" s="63">
        <v>11657</v>
      </c>
      <c r="BC32" s="63">
        <v>11475</v>
      </c>
      <c r="BD32" s="63">
        <v>13465</v>
      </c>
      <c r="BE32" s="63">
        <v>10513</v>
      </c>
      <c r="BF32" s="63">
        <v>11421</v>
      </c>
      <c r="BG32" s="63">
        <v>16916</v>
      </c>
      <c r="BH32" s="63">
        <v>19846</v>
      </c>
      <c r="BI32" s="63">
        <v>16565</v>
      </c>
      <c r="BJ32" s="63">
        <v>15890</v>
      </c>
      <c r="BK32" s="63">
        <v>12599</v>
      </c>
      <c r="BL32" s="63">
        <v>13594</v>
      </c>
      <c r="BM32" s="63">
        <v>11527</v>
      </c>
      <c r="BN32" s="63">
        <v>11252</v>
      </c>
      <c r="BO32" s="63">
        <v>8753</v>
      </c>
      <c r="BP32" s="63">
        <v>9445</v>
      </c>
      <c r="BQ32" s="63">
        <v>11093</v>
      </c>
      <c r="BR32" s="63">
        <v>6632</v>
      </c>
    </row>
    <row r="33" spans="1:70" ht="16.5" customHeight="1">
      <c r="A33" s="18"/>
      <c r="B33" s="52" t="s">
        <v>96</v>
      </c>
      <c r="C33" s="52"/>
      <c r="D33" s="52"/>
      <c r="E33" s="69">
        <v>13725</v>
      </c>
      <c r="F33" s="69">
        <v>13914</v>
      </c>
      <c r="G33" s="69">
        <v>6622</v>
      </c>
      <c r="H33" s="69">
        <v>1437</v>
      </c>
      <c r="I33" s="69">
        <v>1498</v>
      </c>
      <c r="J33" s="69">
        <v>1698</v>
      </c>
      <c r="K33" s="69">
        <v>725</v>
      </c>
      <c r="L33" s="69">
        <v>6900</v>
      </c>
      <c r="M33" s="69">
        <v>9566</v>
      </c>
      <c r="N33" s="69">
        <v>561</v>
      </c>
      <c r="O33" s="69">
        <v>561</v>
      </c>
      <c r="P33" s="63">
        <v>561</v>
      </c>
      <c r="Q33" s="63">
        <v>8806</v>
      </c>
      <c r="R33" s="63">
        <v>1985</v>
      </c>
      <c r="S33" s="63">
        <v>2235</v>
      </c>
      <c r="T33" s="63">
        <v>15485</v>
      </c>
      <c r="U33" s="63">
        <v>5558</v>
      </c>
      <c r="V33" s="63">
        <v>6066</v>
      </c>
      <c r="W33" s="63">
        <v>4944</v>
      </c>
      <c r="X33" s="63">
        <v>4948</v>
      </c>
      <c r="Y33" s="63">
        <v>5065</v>
      </c>
      <c r="Z33" s="63">
        <v>2768</v>
      </c>
      <c r="AA33" s="63">
        <v>3418</v>
      </c>
      <c r="AB33" s="63">
        <v>3900</v>
      </c>
      <c r="AC33" s="63">
        <v>6767</v>
      </c>
      <c r="AD33" s="63">
        <v>6676</v>
      </c>
      <c r="AE33" s="63">
        <v>7316</v>
      </c>
      <c r="AF33" s="63">
        <v>9013</v>
      </c>
      <c r="AG33" s="63">
        <v>3008</v>
      </c>
      <c r="AH33" s="63">
        <v>3837</v>
      </c>
      <c r="AI33" s="63">
        <v>3721</v>
      </c>
      <c r="AJ33" s="63">
        <v>2896</v>
      </c>
      <c r="AK33" s="63">
        <v>2421</v>
      </c>
      <c r="AL33" s="63">
        <v>1538</v>
      </c>
      <c r="AM33" s="63">
        <v>1922</v>
      </c>
      <c r="AN33" s="63">
        <v>1859</v>
      </c>
      <c r="AO33" s="63">
        <v>1873</v>
      </c>
      <c r="AP33" s="63">
        <v>1913</v>
      </c>
      <c r="AQ33" s="63">
        <v>1962</v>
      </c>
      <c r="AR33" s="63">
        <v>2691</v>
      </c>
      <c r="AS33" s="63">
        <v>10476</v>
      </c>
      <c r="AT33" s="63">
        <v>9516</v>
      </c>
      <c r="AU33" s="63">
        <v>10057</v>
      </c>
      <c r="AV33" s="63">
        <v>16195</v>
      </c>
      <c r="AW33" s="63">
        <v>17472</v>
      </c>
      <c r="AX33" s="63">
        <v>19885</v>
      </c>
      <c r="AY33" s="63">
        <v>16405</v>
      </c>
      <c r="AZ33" s="63">
        <v>12078</v>
      </c>
      <c r="BA33" s="63">
        <v>9447</v>
      </c>
      <c r="BB33" s="63">
        <v>9568</v>
      </c>
      <c r="BC33" s="63">
        <v>9533</v>
      </c>
      <c r="BD33" s="63">
        <v>13400</v>
      </c>
      <c r="BE33" s="63">
        <v>11973</v>
      </c>
      <c r="BF33" s="63">
        <v>12534</v>
      </c>
      <c r="BG33" s="63">
        <v>2961</v>
      </c>
      <c r="BH33" s="63">
        <v>1095</v>
      </c>
      <c r="BI33" s="63">
        <v>184</v>
      </c>
      <c r="BJ33" s="63">
        <v>192</v>
      </c>
      <c r="BK33" s="63">
        <v>184</v>
      </c>
      <c r="BL33" s="63">
        <v>230</v>
      </c>
      <c r="BM33" s="63">
        <v>329</v>
      </c>
      <c r="BN33" s="63">
        <v>336</v>
      </c>
      <c r="BO33" s="63">
        <v>329</v>
      </c>
      <c r="BP33" s="63">
        <v>4632</v>
      </c>
      <c r="BQ33" s="63">
        <v>4633</v>
      </c>
      <c r="BR33" s="63">
        <v>4349</v>
      </c>
    </row>
    <row r="34" spans="1:70" ht="16.5" customHeight="1">
      <c r="A34" s="18"/>
      <c r="B34" s="52" t="s">
        <v>104</v>
      </c>
      <c r="C34" s="52"/>
      <c r="D34" s="52"/>
      <c r="E34" s="69">
        <v>0</v>
      </c>
      <c r="F34" s="69">
        <v>100000</v>
      </c>
      <c r="G34" s="69">
        <v>100000</v>
      </c>
      <c r="H34" s="69">
        <v>0</v>
      </c>
      <c r="I34" s="69">
        <v>0</v>
      </c>
      <c r="J34" s="69">
        <v>40745</v>
      </c>
      <c r="K34" s="69">
        <v>40745</v>
      </c>
      <c r="L34" s="69">
        <v>0</v>
      </c>
      <c r="M34" s="69">
        <v>18000</v>
      </c>
      <c r="N34" s="69">
        <v>29422</v>
      </c>
      <c r="O34" s="69">
        <v>29422</v>
      </c>
      <c r="P34" s="63">
        <v>0</v>
      </c>
      <c r="Q34" s="63">
        <v>12500</v>
      </c>
      <c r="R34" s="63">
        <v>16129</v>
      </c>
      <c r="S34" s="63">
        <v>16129</v>
      </c>
      <c r="T34" s="63">
        <v>0</v>
      </c>
      <c r="U34" s="63">
        <v>20006</v>
      </c>
      <c r="V34" s="63">
        <v>28631</v>
      </c>
      <c r="W34" s="63">
        <v>28631</v>
      </c>
      <c r="X34" s="63" t="s">
        <v>34</v>
      </c>
      <c r="Y34" s="63">
        <v>22500</v>
      </c>
      <c r="Z34" s="63">
        <v>40397</v>
      </c>
      <c r="AA34" s="63">
        <v>40397</v>
      </c>
      <c r="AB34" s="63" t="s">
        <v>34</v>
      </c>
      <c r="AC34" s="63">
        <v>20000</v>
      </c>
      <c r="AD34" s="63">
        <v>33268</v>
      </c>
      <c r="AE34" s="63">
        <v>33268</v>
      </c>
      <c r="AF34" s="63" t="s">
        <v>34</v>
      </c>
      <c r="AG34" s="63">
        <v>10000</v>
      </c>
      <c r="AH34" s="63">
        <v>17087</v>
      </c>
      <c r="AI34" s="63">
        <v>17087</v>
      </c>
      <c r="AJ34" s="63">
        <v>3010</v>
      </c>
      <c r="AK34" s="63">
        <v>7630</v>
      </c>
      <c r="AL34" s="63">
        <v>8311</v>
      </c>
      <c r="AM34" s="63">
        <v>8311</v>
      </c>
      <c r="AN34" s="63" t="s">
        <v>34</v>
      </c>
      <c r="AO34" s="63">
        <v>9500</v>
      </c>
      <c r="AP34" s="63">
        <v>616</v>
      </c>
      <c r="AQ34" s="63">
        <v>616</v>
      </c>
      <c r="AR34" s="63">
        <v>3210</v>
      </c>
      <c r="AS34" s="63">
        <v>7959</v>
      </c>
      <c r="AT34" s="63">
        <v>4539</v>
      </c>
      <c r="AU34" s="63">
        <v>4539</v>
      </c>
      <c r="AV34" s="63" t="s">
        <v>34</v>
      </c>
      <c r="AW34" s="63">
        <v>5000</v>
      </c>
      <c r="AX34" s="63">
        <v>4800</v>
      </c>
      <c r="AY34" s="63">
        <v>4800</v>
      </c>
      <c r="AZ34" s="63" t="s">
        <v>34</v>
      </c>
      <c r="BA34" s="63">
        <v>5000</v>
      </c>
      <c r="BB34" s="63">
        <v>7294</v>
      </c>
      <c r="BC34" s="63">
        <v>7294</v>
      </c>
      <c r="BD34" s="63" t="s">
        <v>34</v>
      </c>
      <c r="BE34" s="63">
        <v>3968</v>
      </c>
      <c r="BF34" s="63">
        <v>13031</v>
      </c>
      <c r="BG34" s="63">
        <v>3968</v>
      </c>
      <c r="BH34" s="63" t="s">
        <v>34</v>
      </c>
      <c r="BI34" s="63" t="s">
        <v>34</v>
      </c>
      <c r="BJ34" s="63" t="s">
        <v>34</v>
      </c>
      <c r="BK34" s="63" t="s">
        <v>34</v>
      </c>
      <c r="BL34" s="63">
        <v>9300</v>
      </c>
      <c r="BM34" s="63">
        <v>9300</v>
      </c>
      <c r="BN34" s="63">
        <v>9300</v>
      </c>
      <c r="BO34" s="63">
        <v>9300</v>
      </c>
      <c r="BP34" s="63">
        <v>10767</v>
      </c>
      <c r="BQ34" s="63">
        <v>10767</v>
      </c>
      <c r="BR34" s="63">
        <v>10767</v>
      </c>
    </row>
    <row r="35" spans="1:70" ht="16.5" customHeight="1">
      <c r="A35" s="18"/>
      <c r="B35" s="52" t="s">
        <v>105</v>
      </c>
      <c r="C35" s="52"/>
      <c r="D35" s="52"/>
      <c r="E35" s="69">
        <v>79823</v>
      </c>
      <c r="F35" s="69">
        <v>77389</v>
      </c>
      <c r="G35" s="69">
        <v>79033</v>
      </c>
      <c r="H35" s="69">
        <v>72410</v>
      </c>
      <c r="I35" s="69">
        <v>70982</v>
      </c>
      <c r="J35" s="69">
        <v>35120</v>
      </c>
      <c r="K35" s="69">
        <v>34735</v>
      </c>
      <c r="L35" s="69">
        <v>38050</v>
      </c>
      <c r="M35" s="69">
        <v>90912</v>
      </c>
      <c r="N35" s="69">
        <v>89228</v>
      </c>
      <c r="O35" s="69">
        <v>92489</v>
      </c>
      <c r="P35" s="63">
        <v>91538</v>
      </c>
      <c r="Q35" s="63">
        <v>68676</v>
      </c>
      <c r="R35" s="63">
        <v>67815</v>
      </c>
      <c r="S35" s="63">
        <v>49925</v>
      </c>
      <c r="T35" s="63">
        <v>49285</v>
      </c>
      <c r="U35" s="63">
        <v>54827</v>
      </c>
      <c r="V35" s="63">
        <v>54344</v>
      </c>
      <c r="W35" s="63">
        <v>53026</v>
      </c>
      <c r="X35" s="63">
        <v>33164</v>
      </c>
      <c r="Y35" s="63">
        <v>30392</v>
      </c>
      <c r="Z35" s="63">
        <v>12873</v>
      </c>
      <c r="AA35" s="63">
        <v>11317</v>
      </c>
      <c r="AB35" s="63">
        <v>11508</v>
      </c>
      <c r="AC35" s="63">
        <v>11527</v>
      </c>
      <c r="AD35" s="63">
        <v>11571</v>
      </c>
      <c r="AE35" s="63">
        <v>11596</v>
      </c>
      <c r="AF35" s="63">
        <v>11621</v>
      </c>
      <c r="AG35" s="63">
        <v>5908</v>
      </c>
      <c r="AH35" s="63">
        <v>5714</v>
      </c>
      <c r="AI35" s="63" t="s">
        <v>34</v>
      </c>
      <c r="AJ35" s="63" t="s">
        <v>34</v>
      </c>
      <c r="AK35" s="63" t="s">
        <v>34</v>
      </c>
      <c r="AL35" s="63" t="s">
        <v>34</v>
      </c>
      <c r="AM35" s="63" t="s">
        <v>34</v>
      </c>
      <c r="AN35" s="63" t="s">
        <v>34</v>
      </c>
      <c r="AO35" s="63" t="s">
        <v>34</v>
      </c>
      <c r="AP35" s="63" t="s">
        <v>34</v>
      </c>
      <c r="AQ35" s="63" t="s">
        <v>34</v>
      </c>
      <c r="AR35" s="63" t="s">
        <v>34</v>
      </c>
      <c r="AS35" s="63" t="s">
        <v>34</v>
      </c>
      <c r="AT35" s="63" t="s">
        <v>34</v>
      </c>
      <c r="AU35" s="63" t="s">
        <v>34</v>
      </c>
      <c r="AV35" s="63" t="s">
        <v>34</v>
      </c>
      <c r="AW35" s="63" t="s">
        <v>34</v>
      </c>
      <c r="AX35" s="63" t="s">
        <v>34</v>
      </c>
      <c r="AY35" s="63">
        <v>62381</v>
      </c>
      <c r="AZ35" s="63">
        <v>60764</v>
      </c>
      <c r="BA35" s="63">
        <v>123995</v>
      </c>
      <c r="BB35" s="63">
        <v>123715</v>
      </c>
      <c r="BC35" s="63">
        <v>136458</v>
      </c>
      <c r="BD35" s="63">
        <v>139593</v>
      </c>
      <c r="BE35" s="63">
        <v>225477</v>
      </c>
      <c r="BF35" s="63">
        <v>224326</v>
      </c>
      <c r="BG35" s="63">
        <v>223619</v>
      </c>
      <c r="BH35" s="63">
        <v>223709</v>
      </c>
      <c r="BI35" s="63">
        <v>170860</v>
      </c>
      <c r="BJ35" s="63">
        <v>168301</v>
      </c>
      <c r="BK35" s="63">
        <v>118722</v>
      </c>
      <c r="BL35" s="63">
        <v>111552</v>
      </c>
      <c r="BM35" s="63">
        <v>114704</v>
      </c>
      <c r="BN35" s="63">
        <v>97056</v>
      </c>
      <c r="BO35" s="63">
        <v>93898</v>
      </c>
      <c r="BP35" s="63">
        <v>80525</v>
      </c>
      <c r="BQ35" s="63">
        <v>13213</v>
      </c>
      <c r="BR35" s="63">
        <v>5241</v>
      </c>
    </row>
    <row r="36" spans="1:70" ht="16.5" customHeight="1">
      <c r="A36" s="18"/>
      <c r="B36" s="52" t="s">
        <v>106</v>
      </c>
      <c r="C36" s="52"/>
      <c r="D36" s="5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 t="s">
        <v>34</v>
      </c>
      <c r="P36" s="63" t="s">
        <v>34</v>
      </c>
      <c r="Q36" s="63" t="s">
        <v>34</v>
      </c>
      <c r="R36" s="63" t="s">
        <v>34</v>
      </c>
      <c r="S36" s="63" t="s">
        <v>34</v>
      </c>
      <c r="T36" s="63" t="s">
        <v>34</v>
      </c>
      <c r="U36" s="63" t="s">
        <v>34</v>
      </c>
      <c r="V36" s="63" t="s">
        <v>34</v>
      </c>
      <c r="W36" s="63" t="s">
        <v>34</v>
      </c>
      <c r="X36" s="63" t="s">
        <v>34</v>
      </c>
      <c r="Y36" s="63" t="s">
        <v>34</v>
      </c>
      <c r="Z36" s="63" t="s">
        <v>34</v>
      </c>
      <c r="AA36" s="63" t="s">
        <v>34</v>
      </c>
      <c r="AB36" s="63" t="s">
        <v>34</v>
      </c>
      <c r="AC36" s="63" t="s">
        <v>34</v>
      </c>
      <c r="AD36" s="63" t="s">
        <v>34</v>
      </c>
      <c r="AE36" s="63" t="s">
        <v>34</v>
      </c>
      <c r="AF36" s="63" t="s">
        <v>34</v>
      </c>
      <c r="AG36" s="63" t="s">
        <v>34</v>
      </c>
      <c r="AH36" s="63" t="s">
        <v>34</v>
      </c>
      <c r="AI36" s="63" t="s">
        <v>34</v>
      </c>
      <c r="AJ36" s="63" t="s">
        <v>34</v>
      </c>
      <c r="AK36" s="63" t="s">
        <v>34</v>
      </c>
      <c r="AL36" s="63" t="s">
        <v>34</v>
      </c>
      <c r="AM36" s="63" t="s">
        <v>34</v>
      </c>
      <c r="AN36" s="63" t="s">
        <v>34</v>
      </c>
      <c r="AO36" s="63" t="s">
        <v>34</v>
      </c>
      <c r="AP36" s="63" t="s">
        <v>34</v>
      </c>
      <c r="AQ36" s="63" t="s">
        <v>34</v>
      </c>
      <c r="AR36" s="63" t="s">
        <v>34</v>
      </c>
      <c r="AS36" s="63" t="s">
        <v>34</v>
      </c>
      <c r="AT36" s="63" t="s">
        <v>34</v>
      </c>
      <c r="AU36" s="63" t="s">
        <v>34</v>
      </c>
      <c r="AV36" s="63" t="s">
        <v>34</v>
      </c>
      <c r="AW36" s="63" t="s">
        <v>34</v>
      </c>
      <c r="AX36" s="63" t="s">
        <v>34</v>
      </c>
      <c r="AY36" s="63" t="s">
        <v>34</v>
      </c>
      <c r="AZ36" s="63" t="s">
        <v>34</v>
      </c>
      <c r="BA36" s="63" t="s">
        <v>34</v>
      </c>
      <c r="BB36" s="63" t="s">
        <v>34</v>
      </c>
      <c r="BC36" s="63" t="s">
        <v>34</v>
      </c>
      <c r="BD36" s="63" t="s">
        <v>34</v>
      </c>
      <c r="BE36" s="63" t="s">
        <v>34</v>
      </c>
      <c r="BF36" s="63" t="s">
        <v>34</v>
      </c>
      <c r="BG36" s="63" t="s">
        <v>34</v>
      </c>
      <c r="BH36" s="63" t="s">
        <v>34</v>
      </c>
      <c r="BI36" s="63" t="s">
        <v>34</v>
      </c>
      <c r="BJ36" s="63" t="s">
        <v>34</v>
      </c>
      <c r="BK36" s="63" t="s">
        <v>34</v>
      </c>
      <c r="BL36" s="63" t="s">
        <v>34</v>
      </c>
      <c r="BM36" s="63">
        <v>4567</v>
      </c>
      <c r="BN36" s="63">
        <v>4062</v>
      </c>
      <c r="BO36" s="63">
        <v>5038</v>
      </c>
      <c r="BP36" s="63">
        <v>6543</v>
      </c>
      <c r="BQ36" s="63">
        <v>7375</v>
      </c>
      <c r="BR36" s="63">
        <v>6304</v>
      </c>
    </row>
    <row r="37" spans="1:70" s="5" customFormat="1" ht="15.75" customHeight="1">
      <c r="A37" s="10"/>
      <c r="B37" s="47" t="s">
        <v>57</v>
      </c>
      <c r="C37" s="47"/>
      <c r="D37" s="62"/>
      <c r="E37" s="62">
        <f t="shared" ref="E37:K37" si="17">SUM(E38:E48)</f>
        <v>949554</v>
      </c>
      <c r="F37" s="62">
        <f t="shared" si="17"/>
        <v>984250</v>
      </c>
      <c r="G37" s="62">
        <f t="shared" si="17"/>
        <v>971856</v>
      </c>
      <c r="H37" s="62">
        <f t="shared" si="17"/>
        <v>862917</v>
      </c>
      <c r="I37" s="62">
        <f t="shared" si="17"/>
        <v>710379</v>
      </c>
      <c r="J37" s="62">
        <f t="shared" si="17"/>
        <v>856773</v>
      </c>
      <c r="K37" s="62">
        <f t="shared" si="17"/>
        <v>1076541</v>
      </c>
      <c r="L37" s="62">
        <f>SUM(L39:L48)</f>
        <v>749441</v>
      </c>
      <c r="M37" s="62">
        <f>SUM(M39:M48)</f>
        <v>537938</v>
      </c>
      <c r="N37" s="62">
        <f>SUM(N39:N48)</f>
        <v>602392</v>
      </c>
      <c r="O37" s="62">
        <f>SUM(O39:O48)</f>
        <v>601113</v>
      </c>
      <c r="P37" s="62">
        <v>602235</v>
      </c>
      <c r="Q37" s="62">
        <v>613364</v>
      </c>
      <c r="R37" s="62">
        <f>SUM(R39:R48)</f>
        <v>748435</v>
      </c>
      <c r="S37" s="62">
        <f>SUM(S39:S48)</f>
        <v>842577</v>
      </c>
      <c r="T37" s="62">
        <f t="shared" ref="T37:BN37" si="18">SUM(T39:T48)</f>
        <v>634372</v>
      </c>
      <c r="U37" s="62">
        <f t="shared" si="18"/>
        <v>570487</v>
      </c>
      <c r="V37" s="62">
        <f t="shared" si="18"/>
        <v>563371</v>
      </c>
      <c r="W37" s="62">
        <f t="shared" si="18"/>
        <v>621530</v>
      </c>
      <c r="X37" s="62">
        <f t="shared" si="18"/>
        <v>518901</v>
      </c>
      <c r="Y37" s="62">
        <f t="shared" si="18"/>
        <v>390997</v>
      </c>
      <c r="Z37" s="62">
        <f t="shared" si="18"/>
        <v>456525</v>
      </c>
      <c r="AA37" s="62">
        <f t="shared" si="18"/>
        <v>507274</v>
      </c>
      <c r="AB37" s="62">
        <f t="shared" si="18"/>
        <v>363366</v>
      </c>
      <c r="AC37" s="62">
        <f t="shared" si="18"/>
        <v>371039</v>
      </c>
      <c r="AD37" s="62">
        <f t="shared" si="18"/>
        <v>292532</v>
      </c>
      <c r="AE37" s="62">
        <f t="shared" si="18"/>
        <v>251728</v>
      </c>
      <c r="AF37" s="62">
        <f t="shared" si="18"/>
        <v>234851</v>
      </c>
      <c r="AG37" s="62">
        <f t="shared" si="18"/>
        <v>229576</v>
      </c>
      <c r="AH37" s="62">
        <f t="shared" si="18"/>
        <v>165965</v>
      </c>
      <c r="AI37" s="62">
        <f t="shared" si="18"/>
        <v>158446</v>
      </c>
      <c r="AJ37" s="62">
        <f t="shared" si="18"/>
        <v>202767</v>
      </c>
      <c r="AK37" s="62">
        <f t="shared" si="18"/>
        <v>202483</v>
      </c>
      <c r="AL37" s="62">
        <f t="shared" si="18"/>
        <v>180978</v>
      </c>
      <c r="AM37" s="62">
        <f t="shared" si="18"/>
        <v>158156</v>
      </c>
      <c r="AN37" s="62">
        <f t="shared" si="18"/>
        <v>135264</v>
      </c>
      <c r="AO37" s="62">
        <f t="shared" si="18"/>
        <v>131876</v>
      </c>
      <c r="AP37" s="62">
        <f t="shared" si="18"/>
        <v>128078</v>
      </c>
      <c r="AQ37" s="62">
        <f t="shared" si="18"/>
        <v>112137</v>
      </c>
      <c r="AR37" s="62">
        <f t="shared" si="18"/>
        <v>134959</v>
      </c>
      <c r="AS37" s="62">
        <f t="shared" si="18"/>
        <v>124620</v>
      </c>
      <c r="AT37" s="62">
        <f t="shared" si="18"/>
        <v>147386</v>
      </c>
      <c r="AU37" s="62">
        <f t="shared" si="18"/>
        <v>128791</v>
      </c>
      <c r="AV37" s="62">
        <f t="shared" si="18"/>
        <v>190296</v>
      </c>
      <c r="AW37" s="62">
        <f t="shared" si="18"/>
        <v>158037</v>
      </c>
      <c r="AX37" s="62">
        <f t="shared" si="18"/>
        <v>172333</v>
      </c>
      <c r="AY37" s="62">
        <f t="shared" si="18"/>
        <v>198555</v>
      </c>
      <c r="AZ37" s="62">
        <f t="shared" si="18"/>
        <v>132934</v>
      </c>
      <c r="BA37" s="62">
        <f t="shared" si="18"/>
        <v>140375</v>
      </c>
      <c r="BB37" s="62">
        <f t="shared" si="18"/>
        <v>140675</v>
      </c>
      <c r="BC37" s="62">
        <f t="shared" si="18"/>
        <v>189048</v>
      </c>
      <c r="BD37" s="62">
        <f t="shared" si="18"/>
        <v>179789</v>
      </c>
      <c r="BE37" s="62">
        <f t="shared" si="18"/>
        <v>271164</v>
      </c>
      <c r="BF37" s="62">
        <f t="shared" si="18"/>
        <v>252380</v>
      </c>
      <c r="BG37" s="62">
        <f t="shared" si="18"/>
        <v>301009</v>
      </c>
      <c r="BH37" s="62">
        <f t="shared" si="18"/>
        <v>312874</v>
      </c>
      <c r="BI37" s="62">
        <f t="shared" si="18"/>
        <v>472120</v>
      </c>
      <c r="BJ37" s="62">
        <f t="shared" si="18"/>
        <v>455659</v>
      </c>
      <c r="BK37" s="62">
        <f t="shared" si="18"/>
        <v>513573</v>
      </c>
      <c r="BL37" s="62">
        <f t="shared" si="18"/>
        <v>506939</v>
      </c>
      <c r="BM37" s="62">
        <f t="shared" si="18"/>
        <v>564394</v>
      </c>
      <c r="BN37" s="62">
        <f t="shared" si="18"/>
        <v>633217</v>
      </c>
      <c r="BO37" s="62">
        <f>SUM(BO39:BO48)</f>
        <v>670336</v>
      </c>
      <c r="BP37" s="62">
        <f>SUM(BP39:BP48)</f>
        <v>655698</v>
      </c>
      <c r="BQ37" s="62">
        <f>SUM(BQ39:BQ48)</f>
        <v>754166</v>
      </c>
      <c r="BR37" s="62">
        <f>SUM(BR39:BR48)</f>
        <v>681342</v>
      </c>
    </row>
    <row r="38" spans="1:70" ht="16.5" customHeight="1">
      <c r="A38" s="18"/>
      <c r="B38" s="52" t="s">
        <v>56</v>
      </c>
      <c r="C38" s="52"/>
      <c r="D38" s="52"/>
      <c r="E38" s="63">
        <v>3643</v>
      </c>
      <c r="F38" s="63">
        <v>3489</v>
      </c>
      <c r="G38" s="63">
        <v>4429</v>
      </c>
      <c r="H38" s="63">
        <v>4820</v>
      </c>
      <c r="I38" s="63">
        <v>5296</v>
      </c>
      <c r="J38" s="63">
        <v>5906</v>
      </c>
      <c r="K38" s="63">
        <v>6055</v>
      </c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</row>
    <row r="39" spans="1:70" ht="16.5" customHeight="1">
      <c r="A39" s="18"/>
      <c r="B39" s="52" t="s">
        <v>98</v>
      </c>
      <c r="C39" s="52"/>
      <c r="D39" s="52"/>
      <c r="E39" s="63">
        <v>266367</v>
      </c>
      <c r="F39" s="63">
        <v>241170</v>
      </c>
      <c r="G39" s="63">
        <v>261157</v>
      </c>
      <c r="H39" s="63">
        <v>184243</v>
      </c>
      <c r="I39" s="63">
        <v>253574</v>
      </c>
      <c r="J39" s="63">
        <v>405343</v>
      </c>
      <c r="K39" s="63">
        <v>328081</v>
      </c>
      <c r="L39" s="63">
        <v>251530</v>
      </c>
      <c r="M39" s="63">
        <v>208099</v>
      </c>
      <c r="N39" s="63">
        <v>263510</v>
      </c>
      <c r="O39" s="63">
        <v>246417</v>
      </c>
      <c r="P39" s="63">
        <v>220547</v>
      </c>
      <c r="Q39" s="63">
        <v>197474</v>
      </c>
      <c r="R39" s="63">
        <v>322515</v>
      </c>
      <c r="S39" s="63">
        <v>330881</v>
      </c>
      <c r="T39" s="63">
        <v>292769</v>
      </c>
      <c r="U39" s="63">
        <v>228700</v>
      </c>
      <c r="V39" s="63">
        <v>210220</v>
      </c>
      <c r="W39" s="63">
        <v>230530</v>
      </c>
      <c r="X39" s="63">
        <v>137772</v>
      </c>
      <c r="Y39" s="63">
        <v>149114</v>
      </c>
      <c r="Z39" s="63">
        <v>188861</v>
      </c>
      <c r="AA39" s="63">
        <v>228698</v>
      </c>
      <c r="AB39" s="63">
        <v>244973</v>
      </c>
      <c r="AC39" s="63">
        <v>264987</v>
      </c>
      <c r="AD39" s="63">
        <v>209758</v>
      </c>
      <c r="AE39" s="63">
        <v>205764</v>
      </c>
      <c r="AF39" s="63">
        <v>194878</v>
      </c>
      <c r="AG39" s="63">
        <v>184229</v>
      </c>
      <c r="AH39" s="63">
        <v>132235</v>
      </c>
      <c r="AI39" s="63">
        <v>146477</v>
      </c>
      <c r="AJ39" s="63">
        <v>196545</v>
      </c>
      <c r="AK39" s="63">
        <v>194183</v>
      </c>
      <c r="AL39" s="63">
        <v>172839</v>
      </c>
      <c r="AM39" s="63">
        <v>150571</v>
      </c>
      <c r="AN39" s="63">
        <v>116740</v>
      </c>
      <c r="AO39" s="63">
        <v>113890</v>
      </c>
      <c r="AP39" s="63">
        <v>110670</v>
      </c>
      <c r="AQ39" s="63">
        <v>93501</v>
      </c>
      <c r="AR39" s="63">
        <v>125162</v>
      </c>
      <c r="AS39" s="63">
        <v>115253</v>
      </c>
      <c r="AT39" s="63">
        <v>138826</v>
      </c>
      <c r="AU39" s="63">
        <v>120080</v>
      </c>
      <c r="AV39" s="63">
        <v>181994</v>
      </c>
      <c r="AW39" s="63">
        <v>149619</v>
      </c>
      <c r="AX39" s="63">
        <v>162188</v>
      </c>
      <c r="AY39" s="63">
        <v>188148</v>
      </c>
      <c r="AZ39" s="63">
        <v>106201</v>
      </c>
      <c r="BA39" s="63">
        <v>128313</v>
      </c>
      <c r="BB39" s="63">
        <v>129345</v>
      </c>
      <c r="BC39" s="63">
        <v>118451</v>
      </c>
      <c r="BD39" s="63">
        <v>109332</v>
      </c>
      <c r="BE39" s="63">
        <v>139789</v>
      </c>
      <c r="BF39" s="63">
        <v>116249</v>
      </c>
      <c r="BG39" s="63">
        <v>98130</v>
      </c>
      <c r="BH39" s="63">
        <v>103441</v>
      </c>
      <c r="BI39" s="63">
        <v>127056</v>
      </c>
      <c r="BJ39" s="63">
        <v>132578</v>
      </c>
      <c r="BK39" s="63">
        <v>110242</v>
      </c>
      <c r="BL39" s="63">
        <v>100516</v>
      </c>
      <c r="BM39" s="63">
        <v>82942</v>
      </c>
      <c r="BN39" s="63">
        <v>132934</v>
      </c>
      <c r="BO39" s="63">
        <v>155296</v>
      </c>
      <c r="BP39" s="63">
        <v>127344</v>
      </c>
      <c r="BQ39" s="63">
        <v>163075</v>
      </c>
      <c r="BR39" s="63">
        <v>123557</v>
      </c>
    </row>
    <row r="40" spans="1:70" ht="16.5" customHeight="1">
      <c r="A40" s="18"/>
      <c r="B40" s="52" t="s">
        <v>101</v>
      </c>
      <c r="C40" s="52"/>
      <c r="D40" s="52"/>
      <c r="E40" s="63">
        <v>213105</v>
      </c>
      <c r="F40" s="63">
        <v>228718</v>
      </c>
      <c r="G40" s="63">
        <v>215583</v>
      </c>
      <c r="H40" s="63">
        <v>211275</v>
      </c>
      <c r="I40" s="63">
        <v>45530</v>
      </c>
      <c r="J40" s="63">
        <v>7960</v>
      </c>
      <c r="K40" s="63">
        <v>108215</v>
      </c>
      <c r="L40" s="63">
        <v>14922</v>
      </c>
      <c r="M40" s="63">
        <v>12180</v>
      </c>
      <c r="N40" s="63">
        <v>7600</v>
      </c>
      <c r="O40" s="63">
        <v>10742</v>
      </c>
      <c r="P40" s="63">
        <v>24399</v>
      </c>
      <c r="Q40" s="63">
        <v>33332</v>
      </c>
      <c r="R40" s="63">
        <v>19288</v>
      </c>
      <c r="S40" s="63">
        <v>74178</v>
      </c>
      <c r="T40" s="63">
        <v>54139</v>
      </c>
      <c r="U40" s="63">
        <v>54012</v>
      </c>
      <c r="V40" s="63">
        <v>45641</v>
      </c>
      <c r="W40" s="63">
        <v>72816</v>
      </c>
      <c r="X40" s="63">
        <v>50651</v>
      </c>
      <c r="Y40" s="63">
        <v>54619</v>
      </c>
      <c r="Z40" s="63">
        <v>70557</v>
      </c>
      <c r="AA40" s="63">
        <v>78194</v>
      </c>
      <c r="AB40" s="63">
        <v>67450</v>
      </c>
      <c r="AC40" s="63">
        <v>53988</v>
      </c>
      <c r="AD40" s="63">
        <v>36358</v>
      </c>
      <c r="AE40" s="63">
        <v>673</v>
      </c>
      <c r="AF40" s="63">
        <v>1667</v>
      </c>
      <c r="AG40" s="63">
        <v>2639</v>
      </c>
      <c r="AH40" s="63" t="s">
        <v>34</v>
      </c>
      <c r="AI40" s="63" t="s">
        <v>34</v>
      </c>
      <c r="AJ40" s="63" t="s">
        <v>34</v>
      </c>
      <c r="AK40" s="63" t="s">
        <v>34</v>
      </c>
      <c r="AL40" s="63" t="s">
        <v>34</v>
      </c>
      <c r="AM40" s="63" t="s">
        <v>34</v>
      </c>
      <c r="AN40" s="63">
        <v>9442</v>
      </c>
      <c r="AO40" s="63">
        <v>9473</v>
      </c>
      <c r="AP40" s="63">
        <v>9698</v>
      </c>
      <c r="AQ40" s="63">
        <v>9792</v>
      </c>
      <c r="AR40" s="63" t="s">
        <v>34</v>
      </c>
      <c r="AS40" s="63" t="s">
        <v>34</v>
      </c>
      <c r="AT40" s="63" t="s">
        <v>34</v>
      </c>
      <c r="AU40" s="63" t="s">
        <v>34</v>
      </c>
      <c r="AV40" s="63" t="s">
        <v>34</v>
      </c>
      <c r="AW40" s="63" t="s">
        <v>34</v>
      </c>
      <c r="AX40" s="63" t="s">
        <v>34</v>
      </c>
      <c r="AY40" s="63" t="s">
        <v>34</v>
      </c>
      <c r="AZ40" s="63">
        <v>13752</v>
      </c>
      <c r="BA40" s="63" t="s">
        <v>34</v>
      </c>
      <c r="BB40" s="63" t="s">
        <v>34</v>
      </c>
      <c r="BC40" s="63" t="s">
        <v>34</v>
      </c>
      <c r="BD40" s="63" t="s">
        <v>34</v>
      </c>
      <c r="BE40" s="63">
        <v>890</v>
      </c>
      <c r="BF40" s="63">
        <v>890</v>
      </c>
      <c r="BG40" s="63">
        <v>1590</v>
      </c>
      <c r="BH40" s="63">
        <v>1590</v>
      </c>
      <c r="BI40" s="63">
        <v>700</v>
      </c>
      <c r="BJ40" s="63">
        <v>700</v>
      </c>
      <c r="BK40" s="63">
        <v>700</v>
      </c>
      <c r="BL40" s="63">
        <v>4290</v>
      </c>
      <c r="BM40" s="63">
        <v>2517</v>
      </c>
      <c r="BN40" s="63">
        <v>3314</v>
      </c>
      <c r="BO40" s="63">
        <v>10525</v>
      </c>
      <c r="BP40" s="63">
        <v>11794</v>
      </c>
      <c r="BQ40" s="63">
        <v>10180</v>
      </c>
      <c r="BR40" s="63">
        <v>8786</v>
      </c>
    </row>
    <row r="41" spans="1:70" ht="16.5" customHeight="1">
      <c r="A41" s="18"/>
      <c r="B41" s="52" t="s">
        <v>103</v>
      </c>
      <c r="C41" s="52"/>
      <c r="D41" s="52"/>
      <c r="E41" s="63">
        <v>13012</v>
      </c>
      <c r="F41" s="63">
        <v>14168</v>
      </c>
      <c r="G41" s="63">
        <v>12090</v>
      </c>
      <c r="H41" s="63">
        <v>12293</v>
      </c>
      <c r="I41" s="63">
        <v>12524</v>
      </c>
      <c r="J41" s="63">
        <v>12512</v>
      </c>
      <c r="K41" s="63">
        <v>24678</v>
      </c>
      <c r="L41" s="63">
        <v>16050</v>
      </c>
      <c r="M41" s="63">
        <v>15661</v>
      </c>
      <c r="N41" s="63">
        <v>15078</v>
      </c>
      <c r="O41" s="63">
        <v>3181</v>
      </c>
      <c r="P41" s="63">
        <v>2356</v>
      </c>
      <c r="Q41" s="63">
        <v>2620</v>
      </c>
      <c r="R41" s="63">
        <v>9232</v>
      </c>
      <c r="S41" s="63">
        <v>14176</v>
      </c>
      <c r="T41" s="63">
        <v>15516</v>
      </c>
      <c r="U41" s="63">
        <v>13434</v>
      </c>
      <c r="V41" s="63">
        <v>14592</v>
      </c>
      <c r="W41" s="63">
        <v>23843</v>
      </c>
      <c r="X41" s="63">
        <v>11109</v>
      </c>
      <c r="Y41" s="63">
        <v>11103</v>
      </c>
      <c r="Z41" s="63">
        <v>7183</v>
      </c>
      <c r="AA41" s="63">
        <v>8593</v>
      </c>
      <c r="AB41" s="63">
        <v>9027</v>
      </c>
      <c r="AC41" s="63">
        <v>8157</v>
      </c>
      <c r="AD41" s="63">
        <v>6824</v>
      </c>
      <c r="AE41" s="63">
        <v>6847</v>
      </c>
      <c r="AF41" s="63">
        <v>3010</v>
      </c>
      <c r="AG41" s="63">
        <v>3722</v>
      </c>
      <c r="AH41" s="63">
        <v>4854</v>
      </c>
      <c r="AI41" s="63">
        <v>6096</v>
      </c>
      <c r="AJ41" s="63">
        <v>1442</v>
      </c>
      <c r="AK41" s="63">
        <v>1252</v>
      </c>
      <c r="AL41" s="63">
        <v>843</v>
      </c>
      <c r="AM41" s="63">
        <v>1250</v>
      </c>
      <c r="AN41" s="63">
        <v>1171</v>
      </c>
      <c r="AO41" s="63">
        <v>1402</v>
      </c>
      <c r="AP41" s="63">
        <v>1137</v>
      </c>
      <c r="AQ41" s="63">
        <v>881</v>
      </c>
      <c r="AR41" s="63">
        <v>948</v>
      </c>
      <c r="AS41" s="63">
        <v>800</v>
      </c>
      <c r="AT41" s="63">
        <v>732</v>
      </c>
      <c r="AU41" s="63">
        <v>779</v>
      </c>
      <c r="AV41" s="63">
        <v>386</v>
      </c>
      <c r="AW41" s="63">
        <v>509</v>
      </c>
      <c r="AX41" s="63">
        <v>934</v>
      </c>
      <c r="AY41" s="63">
        <v>948</v>
      </c>
      <c r="AZ41" s="63">
        <v>1632</v>
      </c>
      <c r="BA41" s="63">
        <v>1468</v>
      </c>
      <c r="BB41" s="63">
        <v>1500</v>
      </c>
      <c r="BC41" s="63">
        <v>2087</v>
      </c>
      <c r="BD41" s="63">
        <v>1151</v>
      </c>
      <c r="BE41" s="63">
        <v>1393</v>
      </c>
      <c r="BF41" s="63">
        <v>2709</v>
      </c>
      <c r="BG41" s="63">
        <v>2022</v>
      </c>
      <c r="BH41" s="63">
        <v>1186</v>
      </c>
      <c r="BI41" s="63">
        <v>1449</v>
      </c>
      <c r="BJ41" s="63">
        <v>1569</v>
      </c>
      <c r="BK41" s="63">
        <v>1816</v>
      </c>
      <c r="BL41" s="63">
        <v>1775</v>
      </c>
      <c r="BM41" s="63">
        <v>1833</v>
      </c>
      <c r="BN41" s="63">
        <v>4079</v>
      </c>
      <c r="BO41" s="63">
        <v>3857</v>
      </c>
      <c r="BP41" s="63">
        <v>3911</v>
      </c>
      <c r="BQ41" s="63">
        <v>2411</v>
      </c>
      <c r="BR41" s="63">
        <v>2422</v>
      </c>
    </row>
    <row r="42" spans="1:70" ht="16.5" customHeight="1">
      <c r="A42" s="18"/>
      <c r="B42" s="52" t="s">
        <v>107</v>
      </c>
      <c r="C42" s="52"/>
      <c r="D42" s="52"/>
      <c r="E42" s="63">
        <v>14272</v>
      </c>
      <c r="F42" s="63">
        <v>14731</v>
      </c>
      <c r="G42" s="63">
        <v>14850</v>
      </c>
      <c r="H42" s="63">
        <v>12850</v>
      </c>
      <c r="I42" s="63">
        <v>11306</v>
      </c>
      <c r="J42" s="63">
        <v>9513</v>
      </c>
      <c r="K42" s="63">
        <v>7713</v>
      </c>
      <c r="L42" s="63">
        <v>7413</v>
      </c>
      <c r="M42" s="63">
        <v>9160</v>
      </c>
      <c r="N42" s="63">
        <v>8810</v>
      </c>
      <c r="O42" s="63">
        <v>7938</v>
      </c>
      <c r="P42" s="63">
        <v>7639</v>
      </c>
      <c r="Q42" s="63">
        <v>8375</v>
      </c>
      <c r="R42" s="63">
        <v>7910</v>
      </c>
      <c r="S42" s="63">
        <v>7535</v>
      </c>
      <c r="T42" s="63">
        <v>8950</v>
      </c>
      <c r="U42" s="63">
        <v>9437</v>
      </c>
      <c r="V42" s="63">
        <v>9590</v>
      </c>
      <c r="W42" s="63">
        <v>13535</v>
      </c>
      <c r="X42" s="63">
        <v>12385</v>
      </c>
      <c r="Y42" s="63">
        <v>12922</v>
      </c>
      <c r="Z42" s="63">
        <v>11823</v>
      </c>
      <c r="AA42" s="63">
        <v>10303</v>
      </c>
      <c r="AB42" s="63">
        <v>8754</v>
      </c>
      <c r="AC42" s="63">
        <v>7398</v>
      </c>
      <c r="AD42" s="63">
        <v>6329</v>
      </c>
      <c r="AE42" s="63">
        <v>5011</v>
      </c>
      <c r="AF42" s="63">
        <v>2883</v>
      </c>
      <c r="AG42" s="63">
        <v>2076</v>
      </c>
      <c r="AH42" s="63">
        <v>1767</v>
      </c>
      <c r="AI42" s="63">
        <v>1767</v>
      </c>
      <c r="AJ42" s="63">
        <v>2046</v>
      </c>
      <c r="AK42" s="63">
        <v>2079</v>
      </c>
      <c r="AL42" s="63">
        <v>2076</v>
      </c>
      <c r="AM42" s="63">
        <v>2069</v>
      </c>
      <c r="AN42" s="63">
        <v>2752</v>
      </c>
      <c r="AO42" s="63">
        <v>2750</v>
      </c>
      <c r="AP42" s="63">
        <v>2745</v>
      </c>
      <c r="AQ42" s="63">
        <v>4644</v>
      </c>
      <c r="AR42" s="63">
        <v>4808</v>
      </c>
      <c r="AS42" s="63">
        <v>4805</v>
      </c>
      <c r="AT42" s="63">
        <v>4803</v>
      </c>
      <c r="AU42" s="63">
        <v>5422</v>
      </c>
      <c r="AV42" s="63">
        <v>5199</v>
      </c>
      <c r="AW42" s="63">
        <v>5196</v>
      </c>
      <c r="AX42" s="63">
        <v>5193</v>
      </c>
      <c r="AY42" s="63">
        <v>5050</v>
      </c>
      <c r="AZ42" s="63">
        <v>4988</v>
      </c>
      <c r="BA42" s="63">
        <v>4952</v>
      </c>
      <c r="BB42" s="63">
        <v>5070</v>
      </c>
      <c r="BC42" s="63">
        <v>5135</v>
      </c>
      <c r="BD42" s="63">
        <v>5099</v>
      </c>
      <c r="BE42" s="63">
        <v>5156</v>
      </c>
      <c r="BF42" s="63">
        <v>6556</v>
      </c>
      <c r="BG42" s="63">
        <v>4788</v>
      </c>
      <c r="BH42" s="63">
        <v>4805</v>
      </c>
      <c r="BI42" s="63">
        <v>6089</v>
      </c>
      <c r="BJ42" s="63">
        <v>5989</v>
      </c>
      <c r="BK42" s="63">
        <v>5757</v>
      </c>
      <c r="BL42" s="63">
        <v>5108</v>
      </c>
      <c r="BM42" s="63">
        <v>4791</v>
      </c>
      <c r="BN42" s="63">
        <v>3928</v>
      </c>
      <c r="BO42" s="63">
        <v>4124</v>
      </c>
      <c r="BP42" s="63">
        <v>5255</v>
      </c>
      <c r="BQ42" s="63">
        <v>5012</v>
      </c>
      <c r="BR42" s="63">
        <v>4763</v>
      </c>
    </row>
    <row r="43" spans="1:70" ht="16.5" customHeight="1">
      <c r="A43" s="18"/>
      <c r="B43" s="52" t="s">
        <v>100</v>
      </c>
      <c r="C43" s="52"/>
      <c r="D43" s="52"/>
      <c r="E43" s="63">
        <v>8223</v>
      </c>
      <c r="F43" s="63">
        <v>7149</v>
      </c>
      <c r="G43" s="63">
        <v>6132</v>
      </c>
      <c r="H43" s="63">
        <v>5505</v>
      </c>
      <c r="I43" s="63">
        <v>4487</v>
      </c>
      <c r="J43" s="63">
        <v>3536</v>
      </c>
      <c r="K43" s="63">
        <v>5076</v>
      </c>
      <c r="L43" s="63">
        <v>7457</v>
      </c>
      <c r="M43" s="63">
        <v>8536</v>
      </c>
      <c r="N43" s="63">
        <v>6578</v>
      </c>
      <c r="O43" s="63">
        <v>4977</v>
      </c>
      <c r="P43" s="63">
        <v>4187</v>
      </c>
      <c r="Q43" s="63">
        <v>4680</v>
      </c>
      <c r="R43" s="63">
        <v>4769</v>
      </c>
      <c r="S43" s="63">
        <v>3750</v>
      </c>
      <c r="T43" s="63">
        <v>6591</v>
      </c>
      <c r="U43" s="63">
        <v>4525</v>
      </c>
      <c r="V43" s="63">
        <v>4426</v>
      </c>
      <c r="W43" s="63">
        <v>3322</v>
      </c>
      <c r="X43" s="63">
        <v>2682</v>
      </c>
      <c r="Y43" s="63">
        <v>2201</v>
      </c>
      <c r="Z43" s="63">
        <v>3665</v>
      </c>
      <c r="AA43" s="63">
        <v>3040</v>
      </c>
      <c r="AB43" s="63">
        <v>6321</v>
      </c>
      <c r="AC43" s="63">
        <v>4802</v>
      </c>
      <c r="AD43" s="63">
        <v>4014</v>
      </c>
      <c r="AE43" s="63">
        <v>4862</v>
      </c>
      <c r="AF43" s="63">
        <v>3842</v>
      </c>
      <c r="AG43" s="63">
        <v>2624</v>
      </c>
      <c r="AH43" s="63">
        <v>2823</v>
      </c>
      <c r="AI43" s="63">
        <v>4106</v>
      </c>
      <c r="AJ43" s="63">
        <v>2734</v>
      </c>
      <c r="AK43" s="63">
        <v>4969</v>
      </c>
      <c r="AL43" s="63">
        <v>5220</v>
      </c>
      <c r="AM43" s="63">
        <v>4266</v>
      </c>
      <c r="AN43" s="63">
        <v>5159</v>
      </c>
      <c r="AO43" s="63">
        <v>4361</v>
      </c>
      <c r="AP43" s="63">
        <v>3828</v>
      </c>
      <c r="AQ43" s="63">
        <v>3319</v>
      </c>
      <c r="AR43" s="63">
        <v>4041</v>
      </c>
      <c r="AS43" s="63">
        <v>3762</v>
      </c>
      <c r="AT43" s="63">
        <v>3025</v>
      </c>
      <c r="AU43" s="63">
        <v>2510</v>
      </c>
      <c r="AV43" s="63">
        <v>2717</v>
      </c>
      <c r="AW43" s="63">
        <v>2713</v>
      </c>
      <c r="AX43" s="63">
        <v>4018</v>
      </c>
      <c r="AY43" s="63">
        <v>4409</v>
      </c>
      <c r="AZ43" s="63">
        <v>6361</v>
      </c>
      <c r="BA43" s="63">
        <v>5642</v>
      </c>
      <c r="BB43" s="63">
        <v>4760</v>
      </c>
      <c r="BC43" s="63">
        <v>3172</v>
      </c>
      <c r="BD43" s="63">
        <v>3866</v>
      </c>
      <c r="BE43" s="63">
        <v>3319</v>
      </c>
      <c r="BF43" s="63">
        <v>2808</v>
      </c>
      <c r="BG43" s="63">
        <v>4032</v>
      </c>
      <c r="BH43" s="63">
        <v>3826</v>
      </c>
      <c r="BI43" s="63">
        <v>4617</v>
      </c>
      <c r="BJ43" s="63">
        <v>4427</v>
      </c>
      <c r="BK43" s="63">
        <v>19829</v>
      </c>
      <c r="BL43" s="63">
        <v>9434</v>
      </c>
      <c r="BM43" s="63">
        <v>10150</v>
      </c>
      <c r="BN43" s="63">
        <v>13144</v>
      </c>
      <c r="BO43" s="63">
        <v>9270</v>
      </c>
      <c r="BP43" s="63">
        <v>8889</v>
      </c>
      <c r="BQ43" s="63">
        <v>7947</v>
      </c>
      <c r="BR43" s="63">
        <v>6480</v>
      </c>
    </row>
    <row r="44" spans="1:70" ht="16.5" customHeight="1">
      <c r="A44" s="18"/>
      <c r="B44" s="52" t="s">
        <v>58</v>
      </c>
      <c r="C44" s="52"/>
      <c r="D44" s="52"/>
      <c r="E44" s="63" t="s">
        <v>34</v>
      </c>
      <c r="F44" s="63" t="s">
        <v>34</v>
      </c>
      <c r="G44" s="63" t="s">
        <v>34</v>
      </c>
      <c r="H44" s="63" t="s">
        <v>34</v>
      </c>
      <c r="I44" s="63" t="s">
        <v>34</v>
      </c>
      <c r="J44" s="63" t="s">
        <v>34</v>
      </c>
      <c r="K44" s="63" t="s">
        <v>34</v>
      </c>
      <c r="L44" s="63" t="s">
        <v>34</v>
      </c>
      <c r="M44" s="63" t="s">
        <v>34</v>
      </c>
      <c r="N44" s="63" t="s">
        <v>34</v>
      </c>
      <c r="O44" s="63" t="s">
        <v>34</v>
      </c>
      <c r="P44" s="63" t="s">
        <v>34</v>
      </c>
      <c r="Q44" s="63" t="s">
        <v>34</v>
      </c>
      <c r="R44" s="63" t="s">
        <v>34</v>
      </c>
      <c r="S44" s="63" t="s">
        <v>34</v>
      </c>
      <c r="T44" s="63" t="s">
        <v>34</v>
      </c>
      <c r="U44" s="63" t="s">
        <v>34</v>
      </c>
      <c r="V44" s="63" t="s">
        <v>34</v>
      </c>
      <c r="W44" s="63" t="s">
        <v>34</v>
      </c>
      <c r="X44" s="63" t="s">
        <v>34</v>
      </c>
      <c r="Y44" s="63" t="s">
        <v>34</v>
      </c>
      <c r="Z44" s="63" t="s">
        <v>34</v>
      </c>
      <c r="AA44" s="63" t="s">
        <v>34</v>
      </c>
      <c r="AB44" s="63" t="s">
        <v>34</v>
      </c>
      <c r="AC44" s="63" t="s">
        <v>34</v>
      </c>
      <c r="AD44" s="63" t="s">
        <v>34</v>
      </c>
      <c r="AE44" s="63" t="s">
        <v>34</v>
      </c>
      <c r="AF44" s="63" t="s">
        <v>34</v>
      </c>
      <c r="AG44" s="63" t="s">
        <v>34</v>
      </c>
      <c r="AH44" s="63" t="s">
        <v>34</v>
      </c>
      <c r="AI44" s="63" t="s">
        <v>34</v>
      </c>
      <c r="AJ44" s="63" t="s">
        <v>34</v>
      </c>
      <c r="AK44" s="63" t="s">
        <v>34</v>
      </c>
      <c r="AL44" s="63" t="s">
        <v>34</v>
      </c>
      <c r="AM44" s="63" t="s">
        <v>34</v>
      </c>
      <c r="AN44" s="63" t="s">
        <v>34</v>
      </c>
      <c r="AO44" s="63" t="s">
        <v>34</v>
      </c>
      <c r="AP44" s="63" t="s">
        <v>34</v>
      </c>
      <c r="AQ44" s="63" t="s">
        <v>34</v>
      </c>
      <c r="AR44" s="63" t="s">
        <v>34</v>
      </c>
      <c r="AS44" s="63" t="s">
        <v>34</v>
      </c>
      <c r="AT44" s="63" t="s">
        <v>34</v>
      </c>
      <c r="AU44" s="63" t="s">
        <v>34</v>
      </c>
      <c r="AV44" s="63" t="s">
        <v>34</v>
      </c>
      <c r="AW44" s="63" t="s">
        <v>34</v>
      </c>
      <c r="AX44" s="63" t="s">
        <v>34</v>
      </c>
      <c r="AY44" s="63" t="s">
        <v>34</v>
      </c>
      <c r="AZ44" s="63" t="s">
        <v>34</v>
      </c>
      <c r="BA44" s="63" t="s">
        <v>34</v>
      </c>
      <c r="BB44" s="63" t="s">
        <v>34</v>
      </c>
      <c r="BC44" s="63" t="s">
        <v>34</v>
      </c>
      <c r="BD44" s="63" t="s">
        <v>34</v>
      </c>
      <c r="BE44" s="63" t="s">
        <v>34</v>
      </c>
      <c r="BF44" s="63" t="s">
        <v>34</v>
      </c>
      <c r="BG44" s="63" t="s">
        <v>34</v>
      </c>
      <c r="BH44" s="63" t="s">
        <v>34</v>
      </c>
      <c r="BI44" s="63" t="s">
        <v>34</v>
      </c>
      <c r="BJ44" s="63" t="s">
        <v>34</v>
      </c>
      <c r="BK44" s="63" t="s">
        <v>34</v>
      </c>
      <c r="BL44" s="63" t="s">
        <v>34</v>
      </c>
      <c r="BM44" s="63" t="s">
        <v>34</v>
      </c>
      <c r="BN44" s="63">
        <v>3975</v>
      </c>
      <c r="BO44" s="63" t="s">
        <v>34</v>
      </c>
      <c r="BP44" s="63">
        <v>7950</v>
      </c>
      <c r="BQ44" s="63">
        <v>7950</v>
      </c>
      <c r="BR44" s="63">
        <v>7950</v>
      </c>
    </row>
    <row r="45" spans="1:70" ht="16.5" customHeight="1">
      <c r="A45" s="18"/>
      <c r="B45" s="52" t="s">
        <v>105</v>
      </c>
      <c r="C45" s="52"/>
      <c r="D45" s="52"/>
      <c r="E45" s="63">
        <v>341131</v>
      </c>
      <c r="F45" s="63">
        <v>376820</v>
      </c>
      <c r="G45" s="63">
        <v>374935</v>
      </c>
      <c r="H45" s="63">
        <v>416448</v>
      </c>
      <c r="I45" s="63">
        <v>365341</v>
      </c>
      <c r="J45" s="63">
        <v>397764</v>
      </c>
      <c r="K45" s="63">
        <v>394552</v>
      </c>
      <c r="L45" s="63">
        <v>446692</v>
      </c>
      <c r="M45" s="63">
        <v>276800</v>
      </c>
      <c r="N45" s="63">
        <v>292357</v>
      </c>
      <c r="O45" s="63">
        <v>317371</v>
      </c>
      <c r="P45" s="63">
        <v>335048</v>
      </c>
      <c r="Q45" s="63">
        <v>359378</v>
      </c>
      <c r="R45" s="63">
        <v>376167</v>
      </c>
      <c r="S45" s="63">
        <v>399093</v>
      </c>
      <c r="T45" s="63">
        <v>241967</v>
      </c>
      <c r="U45" s="63">
        <v>241797</v>
      </c>
      <c r="V45" s="63">
        <v>260379</v>
      </c>
      <c r="W45" s="63">
        <v>265927</v>
      </c>
      <c r="X45" s="63">
        <v>284552</v>
      </c>
      <c r="Y45" s="63">
        <v>141669</v>
      </c>
      <c r="Z45" s="63">
        <v>160346</v>
      </c>
      <c r="AA45" s="63">
        <v>166183</v>
      </c>
      <c r="AB45" s="63">
        <v>17143</v>
      </c>
      <c r="AC45" s="63">
        <v>22857</v>
      </c>
      <c r="AD45" s="63">
        <v>22857</v>
      </c>
      <c r="AE45" s="63">
        <v>28571</v>
      </c>
      <c r="AF45" s="63">
        <v>28571</v>
      </c>
      <c r="AG45" s="63">
        <v>34286</v>
      </c>
      <c r="AH45" s="63">
        <v>24286</v>
      </c>
      <c r="AI45" s="63" t="s">
        <v>34</v>
      </c>
      <c r="AJ45" s="63" t="s">
        <v>34</v>
      </c>
      <c r="AK45" s="63" t="s">
        <v>34</v>
      </c>
      <c r="AL45" s="63" t="s">
        <v>34</v>
      </c>
      <c r="AM45" s="63" t="s">
        <v>34</v>
      </c>
      <c r="AN45" s="63" t="s">
        <v>34</v>
      </c>
      <c r="AO45" s="63" t="s">
        <v>34</v>
      </c>
      <c r="AP45" s="63" t="s">
        <v>34</v>
      </c>
      <c r="AQ45" s="63" t="s">
        <v>34</v>
      </c>
      <c r="AR45" s="63" t="s">
        <v>34</v>
      </c>
      <c r="AS45" s="63" t="s">
        <v>34</v>
      </c>
      <c r="AT45" s="63" t="s">
        <v>34</v>
      </c>
      <c r="AU45" s="63" t="s">
        <v>34</v>
      </c>
      <c r="AV45" s="63" t="s">
        <v>34</v>
      </c>
      <c r="AW45" s="63" t="s">
        <v>34</v>
      </c>
      <c r="AX45" s="63" t="s">
        <v>34</v>
      </c>
      <c r="AY45" s="63" t="s">
        <v>34</v>
      </c>
      <c r="AZ45" s="63" t="s">
        <v>34</v>
      </c>
      <c r="BA45" s="63" t="s">
        <v>34</v>
      </c>
      <c r="BB45" s="63" t="s">
        <v>34</v>
      </c>
      <c r="BC45" s="63">
        <v>59960</v>
      </c>
      <c r="BD45" s="63">
        <v>59836</v>
      </c>
      <c r="BE45" s="63">
        <v>119710</v>
      </c>
      <c r="BF45" s="63">
        <v>122087</v>
      </c>
      <c r="BG45" s="63">
        <v>189451</v>
      </c>
      <c r="BH45" s="63">
        <v>196808</v>
      </c>
      <c r="BI45" s="63">
        <v>330789</v>
      </c>
      <c r="BJ45" s="63">
        <v>308874</v>
      </c>
      <c r="BK45" s="63">
        <v>373552</v>
      </c>
      <c r="BL45" s="63">
        <v>383994</v>
      </c>
      <c r="BM45" s="63">
        <v>460209</v>
      </c>
      <c r="BN45" s="63">
        <v>469765</v>
      </c>
      <c r="BO45" s="63">
        <v>479314</v>
      </c>
      <c r="BP45" s="63">
        <v>485537</v>
      </c>
      <c r="BQ45" s="63">
        <v>556739</v>
      </c>
      <c r="BR45" s="63">
        <v>526696</v>
      </c>
    </row>
    <row r="46" spans="1:70" ht="16.5" customHeight="1">
      <c r="A46" s="18"/>
      <c r="B46" s="52" t="s">
        <v>86</v>
      </c>
      <c r="C46" s="52"/>
      <c r="D46" s="52"/>
      <c r="E46" s="63">
        <v>89801</v>
      </c>
      <c r="F46" s="63">
        <v>98005</v>
      </c>
      <c r="G46" s="63">
        <v>82680</v>
      </c>
      <c r="H46" s="63">
        <v>15483</v>
      </c>
      <c r="I46" s="63">
        <v>12321</v>
      </c>
      <c r="J46" s="63">
        <v>14239</v>
      </c>
      <c r="K46" s="63">
        <v>202171</v>
      </c>
      <c r="L46" s="63">
        <v>5377</v>
      </c>
      <c r="M46" s="63">
        <v>7502</v>
      </c>
      <c r="N46" s="63">
        <v>8459</v>
      </c>
      <c r="O46" s="63">
        <v>10487</v>
      </c>
      <c r="P46" s="63">
        <v>8059</v>
      </c>
      <c r="Q46" s="63">
        <v>7505</v>
      </c>
      <c r="R46" s="63">
        <v>8554</v>
      </c>
      <c r="S46" s="63">
        <v>12964</v>
      </c>
      <c r="T46" s="63">
        <v>14440</v>
      </c>
      <c r="U46" s="63">
        <v>18582</v>
      </c>
      <c r="V46" s="63">
        <v>18523</v>
      </c>
      <c r="W46" s="63">
        <v>11557</v>
      </c>
      <c r="X46" s="63">
        <v>19750</v>
      </c>
      <c r="Y46" s="63">
        <v>19369</v>
      </c>
      <c r="Z46" s="63">
        <v>14090</v>
      </c>
      <c r="AA46" s="63">
        <v>12263</v>
      </c>
      <c r="AB46" s="63">
        <v>9698</v>
      </c>
      <c r="AC46" s="63">
        <v>8850</v>
      </c>
      <c r="AD46" s="63">
        <v>6392</v>
      </c>
      <c r="AE46" s="63" t="s">
        <v>34</v>
      </c>
      <c r="AF46" s="63" t="s">
        <v>34</v>
      </c>
      <c r="AG46" s="63" t="s">
        <v>34</v>
      </c>
      <c r="AH46" s="63" t="s">
        <v>34</v>
      </c>
      <c r="AI46" s="63" t="s">
        <v>34</v>
      </c>
      <c r="AJ46" s="63" t="s">
        <v>34</v>
      </c>
      <c r="AK46" s="63" t="s">
        <v>34</v>
      </c>
      <c r="AL46" s="63" t="s">
        <v>34</v>
      </c>
      <c r="AM46" s="63" t="s">
        <v>34</v>
      </c>
      <c r="AN46" s="63" t="s">
        <v>34</v>
      </c>
      <c r="AO46" s="63" t="s">
        <v>34</v>
      </c>
      <c r="AP46" s="63" t="s">
        <v>34</v>
      </c>
      <c r="AQ46" s="63" t="s">
        <v>34</v>
      </c>
      <c r="AR46" s="63" t="s">
        <v>34</v>
      </c>
      <c r="AS46" s="63" t="s">
        <v>34</v>
      </c>
      <c r="AT46" s="63" t="s">
        <v>34</v>
      </c>
      <c r="AU46" s="63" t="s">
        <v>34</v>
      </c>
      <c r="AV46" s="63" t="s">
        <v>34</v>
      </c>
      <c r="AW46" s="63" t="s">
        <v>34</v>
      </c>
      <c r="AX46" s="63" t="s">
        <v>34</v>
      </c>
      <c r="AY46" s="63" t="s">
        <v>34</v>
      </c>
      <c r="AZ46" s="63" t="s">
        <v>34</v>
      </c>
      <c r="BA46" s="63" t="s">
        <v>34</v>
      </c>
      <c r="BB46" s="63" t="s">
        <v>34</v>
      </c>
      <c r="BC46" s="63" t="s">
        <v>34</v>
      </c>
      <c r="BD46" s="63" t="s">
        <v>34</v>
      </c>
      <c r="BE46" s="63" t="s">
        <v>34</v>
      </c>
      <c r="BF46" s="63" t="s">
        <v>34</v>
      </c>
      <c r="BG46" s="63" t="s">
        <v>34</v>
      </c>
      <c r="BH46" s="63" t="s">
        <v>34</v>
      </c>
      <c r="BI46" s="63" t="s">
        <v>34</v>
      </c>
      <c r="BJ46" s="63" t="s">
        <v>34</v>
      </c>
      <c r="BK46" s="63" t="s">
        <v>34</v>
      </c>
      <c r="BL46" s="63" t="s">
        <v>34</v>
      </c>
      <c r="BM46" s="63" t="s">
        <v>34</v>
      </c>
      <c r="BN46" s="63" t="s">
        <v>34</v>
      </c>
      <c r="BO46" s="63" t="s">
        <v>34</v>
      </c>
      <c r="BP46" s="63" t="s">
        <v>34</v>
      </c>
      <c r="BQ46" s="63" t="s">
        <v>34</v>
      </c>
      <c r="BR46" s="63" t="s">
        <v>34</v>
      </c>
    </row>
    <row r="47" spans="1:70" ht="16.5" customHeight="1">
      <c r="A47" s="18"/>
      <c r="B47" s="52" t="s">
        <v>108</v>
      </c>
      <c r="C47" s="52"/>
      <c r="D47" s="52"/>
      <c r="E47" s="63" t="s">
        <v>34</v>
      </c>
      <c r="F47" s="63" t="s">
        <v>34</v>
      </c>
      <c r="G47" s="63" t="s">
        <v>34</v>
      </c>
      <c r="H47" s="63" t="s">
        <v>34</v>
      </c>
      <c r="I47" s="63" t="s">
        <v>34</v>
      </c>
      <c r="J47" s="63" t="s">
        <v>34</v>
      </c>
      <c r="K47" s="63" t="s">
        <v>34</v>
      </c>
      <c r="L47" s="63" t="s">
        <v>34</v>
      </c>
      <c r="M47" s="63" t="s">
        <v>34</v>
      </c>
      <c r="N47" s="63" t="s">
        <v>34</v>
      </c>
      <c r="O47" s="63" t="s">
        <v>34</v>
      </c>
      <c r="P47" s="63" t="s">
        <v>34</v>
      </c>
      <c r="Q47" s="63" t="s">
        <v>34</v>
      </c>
      <c r="R47" s="63" t="s">
        <v>34</v>
      </c>
      <c r="S47" s="63" t="s">
        <v>34</v>
      </c>
      <c r="T47" s="63" t="s">
        <v>34</v>
      </c>
      <c r="U47" s="63" t="s">
        <v>34</v>
      </c>
      <c r="V47" s="63" t="s">
        <v>34</v>
      </c>
      <c r="W47" s="63" t="s">
        <v>34</v>
      </c>
      <c r="X47" s="63" t="s">
        <v>34</v>
      </c>
      <c r="Y47" s="63" t="s">
        <v>34</v>
      </c>
      <c r="Z47" s="63" t="s">
        <v>34</v>
      </c>
      <c r="AA47" s="63" t="s">
        <v>34</v>
      </c>
      <c r="AB47" s="63" t="s">
        <v>34</v>
      </c>
      <c r="AC47" s="63" t="s">
        <v>34</v>
      </c>
      <c r="AD47" s="63" t="s">
        <v>34</v>
      </c>
      <c r="AE47" s="63" t="s">
        <v>34</v>
      </c>
      <c r="AF47" s="63" t="s">
        <v>34</v>
      </c>
      <c r="AG47" s="63" t="s">
        <v>34</v>
      </c>
      <c r="AH47" s="63" t="s">
        <v>34</v>
      </c>
      <c r="AI47" s="63" t="s">
        <v>34</v>
      </c>
      <c r="AJ47" s="63" t="s">
        <v>34</v>
      </c>
      <c r="AK47" s="63" t="s">
        <v>34</v>
      </c>
      <c r="AL47" s="63" t="s">
        <v>34</v>
      </c>
      <c r="AM47" s="63" t="s">
        <v>34</v>
      </c>
      <c r="AN47" s="63" t="s">
        <v>34</v>
      </c>
      <c r="AO47" s="63" t="s">
        <v>34</v>
      </c>
      <c r="AP47" s="63" t="s">
        <v>34</v>
      </c>
      <c r="AQ47" s="63" t="s">
        <v>34</v>
      </c>
      <c r="AR47" s="63" t="s">
        <v>34</v>
      </c>
      <c r="AS47" s="63" t="s">
        <v>34</v>
      </c>
      <c r="AT47" s="63" t="s">
        <v>34</v>
      </c>
      <c r="AU47" s="63" t="s">
        <v>34</v>
      </c>
      <c r="AV47" s="63" t="s">
        <v>34</v>
      </c>
      <c r="AW47" s="63" t="s">
        <v>34</v>
      </c>
      <c r="AX47" s="63" t="s">
        <v>34</v>
      </c>
      <c r="AY47" s="63" t="s">
        <v>34</v>
      </c>
      <c r="AZ47" s="63" t="s">
        <v>34</v>
      </c>
      <c r="BA47" s="63" t="s">
        <v>34</v>
      </c>
      <c r="BB47" s="63" t="s">
        <v>34</v>
      </c>
      <c r="BC47" s="63">
        <v>243</v>
      </c>
      <c r="BD47" s="63">
        <v>505</v>
      </c>
      <c r="BE47" s="63">
        <v>907</v>
      </c>
      <c r="BF47" s="63">
        <v>1081</v>
      </c>
      <c r="BG47" s="63">
        <v>996</v>
      </c>
      <c r="BH47" s="63">
        <v>1218</v>
      </c>
      <c r="BI47" s="63">
        <v>1420</v>
      </c>
      <c r="BJ47" s="63">
        <v>1522</v>
      </c>
      <c r="BK47" s="63">
        <v>1677</v>
      </c>
      <c r="BL47" s="63">
        <v>1822</v>
      </c>
      <c r="BM47" s="63">
        <v>1952</v>
      </c>
      <c r="BN47" s="63">
        <v>2078</v>
      </c>
      <c r="BO47" s="63">
        <v>7950</v>
      </c>
      <c r="BP47" s="63" t="s">
        <v>34</v>
      </c>
      <c r="BQ47" s="63" t="s">
        <v>34</v>
      </c>
      <c r="BR47" s="63" t="s">
        <v>34</v>
      </c>
    </row>
    <row r="48" spans="1:70" ht="16.5" customHeight="1">
      <c r="A48" s="18"/>
      <c r="B48" s="52" t="s">
        <v>88</v>
      </c>
      <c r="C48" s="52"/>
      <c r="D48" s="52"/>
      <c r="E48" s="63" t="s">
        <v>34</v>
      </c>
      <c r="F48" s="63" t="s">
        <v>34</v>
      </c>
      <c r="G48" s="63" t="s">
        <v>34</v>
      </c>
      <c r="H48" s="63" t="s">
        <v>34</v>
      </c>
      <c r="I48" s="63" t="s">
        <v>34</v>
      </c>
      <c r="J48" s="63" t="s">
        <v>34</v>
      </c>
      <c r="K48" s="63" t="s">
        <v>34</v>
      </c>
      <c r="L48" s="63" t="s">
        <v>34</v>
      </c>
      <c r="M48" s="63" t="s">
        <v>34</v>
      </c>
      <c r="N48" s="63" t="s">
        <v>34</v>
      </c>
      <c r="O48" s="63" t="s">
        <v>34</v>
      </c>
      <c r="P48" s="63" t="s">
        <v>34</v>
      </c>
      <c r="Q48" s="63" t="s">
        <v>34</v>
      </c>
      <c r="R48" s="63" t="s">
        <v>34</v>
      </c>
      <c r="S48" s="63" t="s">
        <v>34</v>
      </c>
      <c r="T48" s="63" t="s">
        <v>34</v>
      </c>
      <c r="U48" s="63" t="s">
        <v>34</v>
      </c>
      <c r="V48" s="63" t="s">
        <v>34</v>
      </c>
      <c r="W48" s="63" t="s">
        <v>34</v>
      </c>
      <c r="X48" s="63" t="s">
        <v>34</v>
      </c>
      <c r="Y48" s="63" t="s">
        <v>34</v>
      </c>
      <c r="Z48" s="63" t="s">
        <v>34</v>
      </c>
      <c r="AA48" s="63" t="s">
        <v>34</v>
      </c>
      <c r="AB48" s="63" t="s">
        <v>34</v>
      </c>
      <c r="AC48" s="63" t="s">
        <v>34</v>
      </c>
      <c r="AD48" s="63" t="s">
        <v>34</v>
      </c>
      <c r="AE48" s="63" t="s">
        <v>34</v>
      </c>
      <c r="AF48" s="63" t="s">
        <v>34</v>
      </c>
      <c r="AG48" s="63" t="s">
        <v>34</v>
      </c>
      <c r="AH48" s="63" t="s">
        <v>34</v>
      </c>
      <c r="AI48" s="63" t="s">
        <v>34</v>
      </c>
      <c r="AJ48" s="63" t="s">
        <v>34</v>
      </c>
      <c r="AK48" s="63" t="s">
        <v>34</v>
      </c>
      <c r="AL48" s="63" t="s">
        <v>34</v>
      </c>
      <c r="AM48" s="63" t="s">
        <v>34</v>
      </c>
      <c r="AN48" s="63" t="s">
        <v>34</v>
      </c>
      <c r="AO48" s="63" t="s">
        <v>34</v>
      </c>
      <c r="AP48" s="63" t="s">
        <v>34</v>
      </c>
      <c r="AQ48" s="63" t="s">
        <v>34</v>
      </c>
      <c r="AR48" s="63" t="s">
        <v>34</v>
      </c>
      <c r="AS48" s="63" t="s">
        <v>34</v>
      </c>
      <c r="AT48" s="63" t="s">
        <v>34</v>
      </c>
      <c r="AU48" s="63" t="s">
        <v>34</v>
      </c>
      <c r="AV48" s="63" t="s">
        <v>34</v>
      </c>
      <c r="AW48" s="63" t="s">
        <v>34</v>
      </c>
      <c r="AX48" s="63" t="s">
        <v>34</v>
      </c>
      <c r="AY48" s="63" t="s">
        <v>34</v>
      </c>
      <c r="AZ48" s="63" t="s">
        <v>34</v>
      </c>
      <c r="BA48" s="63" t="s">
        <v>34</v>
      </c>
      <c r="BB48" s="63" t="s">
        <v>34</v>
      </c>
      <c r="BC48" s="63" t="s">
        <v>34</v>
      </c>
      <c r="BD48" s="63" t="s">
        <v>34</v>
      </c>
      <c r="BE48" s="63" t="s">
        <v>34</v>
      </c>
      <c r="BF48" s="63" t="s">
        <v>34</v>
      </c>
      <c r="BG48" s="63" t="s">
        <v>34</v>
      </c>
      <c r="BH48" s="63" t="s">
        <v>34</v>
      </c>
      <c r="BI48" s="63" t="s">
        <v>34</v>
      </c>
      <c r="BJ48" s="63" t="s">
        <v>34</v>
      </c>
      <c r="BK48" s="63" t="s">
        <v>34</v>
      </c>
      <c r="BL48" s="63" t="s">
        <v>34</v>
      </c>
      <c r="BM48" s="63" t="s">
        <v>34</v>
      </c>
      <c r="BN48" s="63" t="s">
        <v>34</v>
      </c>
      <c r="BO48" s="63" t="s">
        <v>34</v>
      </c>
      <c r="BP48" s="63">
        <v>5018</v>
      </c>
      <c r="BQ48" s="63">
        <v>852</v>
      </c>
      <c r="BR48" s="63">
        <v>688</v>
      </c>
    </row>
    <row r="49" spans="1:70" s="5" customFormat="1" ht="15.75" customHeight="1">
      <c r="A49" s="10"/>
      <c r="B49" s="47" t="s">
        <v>59</v>
      </c>
      <c r="C49" s="47"/>
      <c r="D49" s="62"/>
      <c r="E49" s="62">
        <f t="shared" ref="E49:O49" si="19">SUM(E50:E56)</f>
        <v>1530313</v>
      </c>
      <c r="F49" s="62">
        <f t="shared" si="19"/>
        <v>1483981</v>
      </c>
      <c r="G49" s="62">
        <f t="shared" si="19"/>
        <v>1478205</v>
      </c>
      <c r="H49" s="62">
        <f t="shared" si="19"/>
        <v>1615943</v>
      </c>
      <c r="I49" s="62">
        <f t="shared" si="19"/>
        <v>1561854</v>
      </c>
      <c r="J49" s="62">
        <f t="shared" si="19"/>
        <v>1526896</v>
      </c>
      <c r="K49" s="62">
        <f t="shared" si="19"/>
        <v>1488057</v>
      </c>
      <c r="L49" s="62">
        <f t="shared" si="19"/>
        <v>1466612</v>
      </c>
      <c r="M49" s="62">
        <f t="shared" si="19"/>
        <v>1431672</v>
      </c>
      <c r="N49" s="62">
        <f t="shared" si="19"/>
        <v>1419697</v>
      </c>
      <c r="O49" s="62">
        <f t="shared" si="19"/>
        <v>1391058</v>
      </c>
      <c r="P49" s="62">
        <f>SUM(P50:P56)</f>
        <v>1374430</v>
      </c>
      <c r="Q49" s="62">
        <v>1361556</v>
      </c>
      <c r="R49" s="62">
        <f>SUM(R50:R56)</f>
        <v>1341089</v>
      </c>
      <c r="S49" s="62">
        <f>SUM(S50:S56)</f>
        <v>1308476</v>
      </c>
      <c r="T49" s="62">
        <f>SUM(T50:T56)</f>
        <v>1305627</v>
      </c>
      <c r="U49" s="62">
        <f>SUM(U50:U56)</f>
        <v>1291450</v>
      </c>
      <c r="V49" s="62">
        <f t="shared" ref="V49:AD49" si="20">SUM(V50:V56)</f>
        <v>1282936</v>
      </c>
      <c r="W49" s="62">
        <f t="shared" si="20"/>
        <v>1271177</v>
      </c>
      <c r="X49" s="62">
        <f t="shared" si="20"/>
        <v>1300073</v>
      </c>
      <c r="Y49" s="62">
        <f t="shared" si="20"/>
        <v>1294353</v>
      </c>
      <c r="Z49" s="62">
        <f t="shared" si="20"/>
        <v>1250447</v>
      </c>
      <c r="AA49" s="62">
        <f t="shared" si="20"/>
        <v>1212900</v>
      </c>
      <c r="AB49" s="62">
        <f t="shared" si="20"/>
        <v>1193725</v>
      </c>
      <c r="AC49" s="62">
        <f t="shared" si="20"/>
        <v>1153287</v>
      </c>
      <c r="AD49" s="62">
        <f t="shared" si="20"/>
        <v>1126969</v>
      </c>
      <c r="AE49" s="62">
        <f t="shared" ref="AE49:BR49" si="21">SUM(AE50:AE56)</f>
        <v>1093132</v>
      </c>
      <c r="AF49" s="62">
        <f t="shared" si="21"/>
        <v>1089552</v>
      </c>
      <c r="AG49" s="62">
        <f t="shared" si="21"/>
        <v>666276</v>
      </c>
      <c r="AH49" s="62">
        <f t="shared" si="21"/>
        <v>634000</v>
      </c>
      <c r="AI49" s="62">
        <f t="shared" si="21"/>
        <v>600491</v>
      </c>
      <c r="AJ49" s="62">
        <f t="shared" si="21"/>
        <v>599785</v>
      </c>
      <c r="AK49" s="62">
        <f t="shared" si="21"/>
        <v>579270</v>
      </c>
      <c r="AL49" s="62">
        <f t="shared" si="21"/>
        <v>561720</v>
      </c>
      <c r="AM49" s="62">
        <f t="shared" si="21"/>
        <v>547867</v>
      </c>
      <c r="AN49" s="62">
        <f t="shared" si="21"/>
        <v>531506</v>
      </c>
      <c r="AO49" s="62">
        <f t="shared" si="21"/>
        <v>522861</v>
      </c>
      <c r="AP49" s="62">
        <f t="shared" si="21"/>
        <v>521593</v>
      </c>
      <c r="AQ49" s="62">
        <f t="shared" si="21"/>
        <v>523991</v>
      </c>
      <c r="AR49" s="62">
        <f t="shared" si="21"/>
        <v>522905</v>
      </c>
      <c r="AS49" s="62">
        <f t="shared" si="21"/>
        <v>524156</v>
      </c>
      <c r="AT49" s="62">
        <f t="shared" si="21"/>
        <v>543213</v>
      </c>
      <c r="AU49" s="62">
        <f t="shared" si="21"/>
        <v>546365</v>
      </c>
      <c r="AV49" s="62">
        <f t="shared" si="21"/>
        <v>553452</v>
      </c>
      <c r="AW49" s="62">
        <f t="shared" si="21"/>
        <v>564588</v>
      </c>
      <c r="AX49" s="62">
        <f t="shared" si="21"/>
        <v>569491</v>
      </c>
      <c r="AY49" s="62">
        <f t="shared" si="21"/>
        <v>570226</v>
      </c>
      <c r="AZ49" s="62">
        <f t="shared" si="21"/>
        <v>575381</v>
      </c>
      <c r="BA49" s="62">
        <f t="shared" si="21"/>
        <v>581647</v>
      </c>
      <c r="BB49" s="62">
        <f t="shared" si="21"/>
        <v>587563</v>
      </c>
      <c r="BC49" s="62">
        <f t="shared" si="21"/>
        <v>598914</v>
      </c>
      <c r="BD49" s="62">
        <f t="shared" si="21"/>
        <v>612898</v>
      </c>
      <c r="BE49" s="62">
        <f t="shared" si="21"/>
        <v>605361</v>
      </c>
      <c r="BF49" s="62">
        <f t="shared" si="21"/>
        <v>597223</v>
      </c>
      <c r="BG49" s="62">
        <f t="shared" si="21"/>
        <v>488271</v>
      </c>
      <c r="BH49" s="62">
        <f t="shared" si="21"/>
        <v>483382</v>
      </c>
      <c r="BI49" s="62">
        <f t="shared" si="21"/>
        <v>475303</v>
      </c>
      <c r="BJ49" s="62">
        <f t="shared" si="21"/>
        <v>471195</v>
      </c>
      <c r="BK49" s="62">
        <f t="shared" si="21"/>
        <v>468098</v>
      </c>
      <c r="BL49" s="62">
        <f t="shared" si="21"/>
        <v>466031</v>
      </c>
      <c r="BM49" s="62">
        <f t="shared" si="21"/>
        <v>461231</v>
      </c>
      <c r="BN49" s="62">
        <f t="shared" si="21"/>
        <v>494182</v>
      </c>
      <c r="BO49" s="62">
        <f t="shared" si="21"/>
        <v>508413</v>
      </c>
      <c r="BP49" s="62">
        <f t="shared" si="21"/>
        <v>530175</v>
      </c>
      <c r="BQ49" s="62">
        <f t="shared" si="21"/>
        <v>509897</v>
      </c>
      <c r="BR49" s="62">
        <f t="shared" si="21"/>
        <v>492983</v>
      </c>
    </row>
    <row r="50" spans="1:70" ht="16.5" customHeight="1">
      <c r="A50" s="18"/>
      <c r="B50" s="52" t="s">
        <v>109</v>
      </c>
      <c r="C50" s="52"/>
      <c r="D50" s="52"/>
      <c r="E50" s="63">
        <v>1342080</v>
      </c>
      <c r="F50" s="63">
        <v>1342080</v>
      </c>
      <c r="G50" s="63">
        <v>1342080</v>
      </c>
      <c r="H50" s="63">
        <v>866080</v>
      </c>
      <c r="I50" s="63">
        <v>866080</v>
      </c>
      <c r="J50" s="63">
        <v>866080</v>
      </c>
      <c r="K50" s="63">
        <v>866080</v>
      </c>
      <c r="L50" s="63">
        <v>866080</v>
      </c>
      <c r="M50" s="63">
        <v>866080</v>
      </c>
      <c r="N50" s="63">
        <v>866080</v>
      </c>
      <c r="O50" s="63">
        <v>866080</v>
      </c>
      <c r="P50" s="63">
        <v>866080</v>
      </c>
      <c r="Q50" s="63">
        <v>866080</v>
      </c>
      <c r="R50" s="63">
        <v>866080</v>
      </c>
      <c r="S50" s="63">
        <v>866080</v>
      </c>
      <c r="T50" s="63">
        <v>866080</v>
      </c>
      <c r="U50" s="63">
        <v>866080</v>
      </c>
      <c r="V50" s="63">
        <v>866080</v>
      </c>
      <c r="W50" s="63">
        <v>866080</v>
      </c>
      <c r="X50" s="63">
        <v>866080</v>
      </c>
      <c r="Y50" s="63">
        <v>866080</v>
      </c>
      <c r="Z50" s="63">
        <v>866080</v>
      </c>
      <c r="AA50" s="63">
        <v>866080</v>
      </c>
      <c r="AB50" s="63">
        <v>866080</v>
      </c>
      <c r="AC50" s="63">
        <v>866080</v>
      </c>
      <c r="AD50" s="63">
        <v>866080</v>
      </c>
      <c r="AE50" s="63">
        <v>866080</v>
      </c>
      <c r="AF50" s="63">
        <v>866080</v>
      </c>
      <c r="AG50" s="63">
        <v>461080</v>
      </c>
      <c r="AH50" s="63">
        <v>461080</v>
      </c>
      <c r="AI50" s="63">
        <v>461080</v>
      </c>
      <c r="AJ50" s="63">
        <v>461080</v>
      </c>
      <c r="AK50" s="63">
        <v>461080</v>
      </c>
      <c r="AL50" s="63">
        <v>461080</v>
      </c>
      <c r="AM50" s="63">
        <v>461080</v>
      </c>
      <c r="AN50" s="63">
        <v>461080</v>
      </c>
      <c r="AO50" s="63">
        <v>461080</v>
      </c>
      <c r="AP50" s="63">
        <v>461080</v>
      </c>
      <c r="AQ50" s="63">
        <v>461080</v>
      </c>
      <c r="AR50" s="63">
        <v>461080</v>
      </c>
      <c r="AS50" s="63">
        <v>461080</v>
      </c>
      <c r="AT50" s="63">
        <v>461080</v>
      </c>
      <c r="AU50" s="63">
        <v>461080</v>
      </c>
      <c r="AV50" s="63">
        <v>461080</v>
      </c>
      <c r="AW50" s="63">
        <v>461080</v>
      </c>
      <c r="AX50" s="63">
        <v>461080</v>
      </c>
      <c r="AY50" s="63">
        <v>461080</v>
      </c>
      <c r="AZ50" s="63">
        <v>461080</v>
      </c>
      <c r="BA50" s="63">
        <v>461080</v>
      </c>
      <c r="BB50" s="63">
        <v>461080</v>
      </c>
      <c r="BC50" s="63">
        <v>461080</v>
      </c>
      <c r="BD50" s="63">
        <v>461080</v>
      </c>
      <c r="BE50" s="63">
        <v>461080</v>
      </c>
      <c r="BF50" s="63">
        <v>461080</v>
      </c>
      <c r="BG50" s="63">
        <v>461080</v>
      </c>
      <c r="BH50" s="63">
        <v>461080</v>
      </c>
      <c r="BI50" s="63">
        <v>461080</v>
      </c>
      <c r="BJ50" s="63">
        <v>461080</v>
      </c>
      <c r="BK50" s="63">
        <v>461080</v>
      </c>
      <c r="BL50" s="63">
        <v>461080</v>
      </c>
      <c r="BM50" s="63">
        <v>461080</v>
      </c>
      <c r="BN50" s="63">
        <v>461080</v>
      </c>
      <c r="BO50" s="63">
        <v>461080</v>
      </c>
      <c r="BP50" s="63">
        <v>461080</v>
      </c>
      <c r="BQ50" s="63">
        <v>461080</v>
      </c>
      <c r="BR50" s="63">
        <v>426520</v>
      </c>
    </row>
    <row r="51" spans="1:70" ht="16.5" customHeight="1">
      <c r="A51" s="18"/>
      <c r="B51" s="52" t="s">
        <v>110</v>
      </c>
      <c r="C51" s="52"/>
      <c r="D51" s="52"/>
      <c r="E51" s="63">
        <v>-24585</v>
      </c>
      <c r="F51" s="63">
        <v>-24585</v>
      </c>
      <c r="G51" s="63">
        <v>-24585</v>
      </c>
      <c r="H51" s="63">
        <v>-24585</v>
      </c>
      <c r="I51" s="63">
        <v>-24585</v>
      </c>
      <c r="J51" s="63">
        <v>-24585</v>
      </c>
      <c r="K51" s="63">
        <v>-24585</v>
      </c>
      <c r="L51" s="63">
        <v>-24585</v>
      </c>
      <c r="M51" s="63">
        <v>-24585</v>
      </c>
      <c r="N51" s="63">
        <v>-24585</v>
      </c>
      <c r="O51" s="63">
        <v>-24585</v>
      </c>
      <c r="P51" s="63">
        <v>-24585</v>
      </c>
      <c r="Q51" s="63">
        <v>-24585</v>
      </c>
      <c r="R51" s="63">
        <v>-24585</v>
      </c>
      <c r="S51" s="63">
        <v>-24585</v>
      </c>
      <c r="T51" s="63">
        <v>-24585</v>
      </c>
      <c r="U51" s="63">
        <v>-24585</v>
      </c>
      <c r="V51" s="63">
        <v>-24585</v>
      </c>
      <c r="W51" s="63">
        <v>-24585</v>
      </c>
      <c r="X51" s="63">
        <v>-24585</v>
      </c>
      <c r="Y51" s="63">
        <v>-24585</v>
      </c>
      <c r="Z51" s="63">
        <v>-24585</v>
      </c>
      <c r="AA51" s="63">
        <v>-24585</v>
      </c>
      <c r="AB51" s="63">
        <v>-24585</v>
      </c>
      <c r="AC51" s="63">
        <v>-24585</v>
      </c>
      <c r="AD51" s="63">
        <v>-24585</v>
      </c>
      <c r="AE51" s="63">
        <v>-24585</v>
      </c>
      <c r="AF51" s="63">
        <v>-23150</v>
      </c>
      <c r="AG51" s="63" t="s">
        <v>34</v>
      </c>
      <c r="AH51" s="63" t="s">
        <v>34</v>
      </c>
      <c r="AI51" s="63" t="s">
        <v>34</v>
      </c>
      <c r="AJ51" s="63" t="s">
        <v>34</v>
      </c>
      <c r="AK51" s="63" t="s">
        <v>34</v>
      </c>
      <c r="AL51" s="63" t="s">
        <v>34</v>
      </c>
      <c r="AM51" s="63" t="s">
        <v>34</v>
      </c>
      <c r="AN51" s="63" t="s">
        <v>34</v>
      </c>
      <c r="AO51" s="63" t="s">
        <v>34</v>
      </c>
      <c r="AP51" s="63" t="s">
        <v>34</v>
      </c>
      <c r="AQ51" s="63" t="s">
        <v>34</v>
      </c>
      <c r="AR51" s="63" t="s">
        <v>34</v>
      </c>
      <c r="AS51" s="63" t="s">
        <v>34</v>
      </c>
      <c r="AT51" s="63" t="s">
        <v>34</v>
      </c>
      <c r="AU51" s="63" t="s">
        <v>34</v>
      </c>
      <c r="AV51" s="63" t="s">
        <v>34</v>
      </c>
      <c r="AW51" s="63" t="s">
        <v>34</v>
      </c>
      <c r="AX51" s="63" t="s">
        <v>34</v>
      </c>
      <c r="AY51" s="63" t="s">
        <v>34</v>
      </c>
      <c r="AZ51" s="63" t="s">
        <v>34</v>
      </c>
      <c r="BA51" s="63" t="s">
        <v>34</v>
      </c>
      <c r="BB51" s="63" t="s">
        <v>34</v>
      </c>
      <c r="BC51" s="63" t="s">
        <v>34</v>
      </c>
      <c r="BD51" s="63" t="s">
        <v>34</v>
      </c>
      <c r="BE51" s="63" t="s">
        <v>34</v>
      </c>
      <c r="BF51" s="63" t="s">
        <v>34</v>
      </c>
      <c r="BG51" s="63" t="s">
        <v>34</v>
      </c>
      <c r="BH51" s="63" t="s">
        <v>34</v>
      </c>
      <c r="BI51" s="63" t="s">
        <v>34</v>
      </c>
      <c r="BJ51" s="63" t="s">
        <v>34</v>
      </c>
      <c r="BK51" s="63" t="s">
        <v>34</v>
      </c>
      <c r="BL51" s="63" t="s">
        <v>34</v>
      </c>
      <c r="BM51" s="63" t="s">
        <v>34</v>
      </c>
      <c r="BN51" s="63" t="s">
        <v>34</v>
      </c>
      <c r="BO51" s="63" t="s">
        <v>34</v>
      </c>
      <c r="BP51" s="63" t="s">
        <v>34</v>
      </c>
      <c r="BQ51" s="63" t="s">
        <v>34</v>
      </c>
      <c r="BR51" s="63" t="s">
        <v>34</v>
      </c>
    </row>
    <row r="52" spans="1:70" ht="16.5" customHeight="1">
      <c r="A52" s="18"/>
      <c r="B52" s="52" t="s">
        <v>111</v>
      </c>
      <c r="C52" s="52"/>
      <c r="D52" s="52"/>
      <c r="E52" s="63">
        <v>12629</v>
      </c>
      <c r="F52" s="63">
        <v>12629</v>
      </c>
      <c r="G52" s="63">
        <v>12629</v>
      </c>
      <c r="H52" s="63">
        <v>12629</v>
      </c>
      <c r="I52" s="63">
        <v>12629</v>
      </c>
      <c r="J52" s="63">
        <v>12629</v>
      </c>
      <c r="K52" s="63">
        <v>12629</v>
      </c>
      <c r="L52" s="63">
        <v>12629</v>
      </c>
      <c r="M52" s="63">
        <v>12629</v>
      </c>
      <c r="N52" s="63">
        <v>12629</v>
      </c>
      <c r="O52" s="63">
        <v>12629</v>
      </c>
      <c r="P52" s="63">
        <v>12629</v>
      </c>
      <c r="Q52" s="63">
        <v>12629</v>
      </c>
      <c r="R52" s="63">
        <v>12629</v>
      </c>
      <c r="S52" s="63">
        <v>12629</v>
      </c>
      <c r="T52" s="63">
        <v>12629</v>
      </c>
      <c r="U52" s="63">
        <v>12629</v>
      </c>
      <c r="V52" s="63">
        <v>12629</v>
      </c>
      <c r="W52" s="63">
        <v>12629</v>
      </c>
      <c r="X52" s="63">
        <v>12629</v>
      </c>
      <c r="Y52" s="63">
        <v>12629</v>
      </c>
      <c r="Z52" s="63">
        <v>12629</v>
      </c>
      <c r="AA52" s="63">
        <v>12629</v>
      </c>
      <c r="AB52" s="63">
        <v>12629</v>
      </c>
      <c r="AC52" s="63">
        <v>12629</v>
      </c>
      <c r="AD52" s="63">
        <v>12629</v>
      </c>
      <c r="AE52" s="63">
        <v>12629</v>
      </c>
      <c r="AF52" s="63">
        <v>12629</v>
      </c>
      <c r="AG52" s="63">
        <v>12629</v>
      </c>
      <c r="AH52" s="63">
        <v>12629</v>
      </c>
      <c r="AI52" s="63">
        <v>12629</v>
      </c>
      <c r="AJ52" s="63">
        <v>12564</v>
      </c>
      <c r="AK52" s="63">
        <v>12564</v>
      </c>
      <c r="AL52" s="63">
        <v>12564</v>
      </c>
      <c r="AM52" s="63">
        <v>12564</v>
      </c>
      <c r="AN52" s="63">
        <v>12564</v>
      </c>
      <c r="AO52" s="63">
        <v>12564</v>
      </c>
      <c r="AP52" s="63">
        <v>12564</v>
      </c>
      <c r="AQ52" s="63">
        <v>12564</v>
      </c>
      <c r="AR52" s="63">
        <v>12564</v>
      </c>
      <c r="AS52" s="63">
        <v>12564</v>
      </c>
      <c r="AT52" s="63">
        <v>12564</v>
      </c>
      <c r="AU52" s="63">
        <v>12564</v>
      </c>
      <c r="AV52" s="63">
        <v>12564</v>
      </c>
      <c r="AW52" s="63">
        <v>12564</v>
      </c>
      <c r="AX52" s="63">
        <v>12564</v>
      </c>
      <c r="AY52" s="63">
        <v>12564</v>
      </c>
      <c r="AZ52" s="63">
        <v>12564</v>
      </c>
      <c r="BA52" s="63">
        <v>12564</v>
      </c>
      <c r="BB52" s="63">
        <v>12564</v>
      </c>
      <c r="BC52" s="63">
        <v>12564</v>
      </c>
      <c r="BD52" s="63">
        <v>12564</v>
      </c>
      <c r="BE52" s="63">
        <v>12564</v>
      </c>
      <c r="BF52" s="63">
        <v>12564</v>
      </c>
      <c r="BG52" s="63">
        <v>12556</v>
      </c>
      <c r="BH52" s="63">
        <v>12531</v>
      </c>
      <c r="BI52" s="63">
        <v>12506</v>
      </c>
      <c r="BJ52" s="63">
        <v>12482</v>
      </c>
      <c r="BK52" s="63">
        <v>12448</v>
      </c>
      <c r="BL52" s="63">
        <v>12353</v>
      </c>
      <c r="BM52" s="63">
        <v>12259</v>
      </c>
      <c r="BN52" s="63">
        <v>12163</v>
      </c>
      <c r="BO52" s="63">
        <v>12049</v>
      </c>
      <c r="BP52" s="63">
        <v>11897</v>
      </c>
      <c r="BQ52" s="63">
        <v>11744</v>
      </c>
      <c r="BR52" s="63">
        <v>11591</v>
      </c>
    </row>
    <row r="53" spans="1:70" ht="16.5" customHeight="1">
      <c r="A53" s="18"/>
      <c r="B53" s="52" t="s">
        <v>112</v>
      </c>
      <c r="C53" s="52"/>
      <c r="D53" s="52"/>
      <c r="E53" s="63">
        <v>194114</v>
      </c>
      <c r="F53" s="63">
        <v>194385</v>
      </c>
      <c r="G53" s="63">
        <v>166062</v>
      </c>
      <c r="H53" s="63">
        <v>778961</v>
      </c>
      <c r="I53" s="63">
        <v>727511</v>
      </c>
      <c r="J53" s="63">
        <v>692737</v>
      </c>
      <c r="K53" s="63">
        <v>651532</v>
      </c>
      <c r="L53" s="63">
        <v>619701</v>
      </c>
      <c r="M53" s="63">
        <v>581592</v>
      </c>
      <c r="N53" s="63">
        <v>557697</v>
      </c>
      <c r="O53" s="63">
        <v>527299</v>
      </c>
      <c r="P53" s="63">
        <v>512274</v>
      </c>
      <c r="Q53" s="63">
        <v>489298</v>
      </c>
      <c r="R53" s="63">
        <v>469404</v>
      </c>
      <c r="S53" s="63">
        <v>441695</v>
      </c>
      <c r="T53" s="63">
        <v>430554</v>
      </c>
      <c r="U53" s="63">
        <v>420407</v>
      </c>
      <c r="V53" s="63">
        <v>411306</v>
      </c>
      <c r="W53" s="63">
        <v>401238</v>
      </c>
      <c r="X53" s="63">
        <v>412987</v>
      </c>
      <c r="Y53" s="63">
        <v>379884</v>
      </c>
      <c r="Z53" s="63">
        <v>349012</v>
      </c>
      <c r="AA53" s="63">
        <v>313914</v>
      </c>
      <c r="AB53" s="63">
        <v>298893</v>
      </c>
      <c r="AC53" s="63">
        <v>250860</v>
      </c>
      <c r="AD53" s="63">
        <v>222012</v>
      </c>
      <c r="AE53" s="63">
        <v>190951</v>
      </c>
      <c r="AF53" s="63">
        <v>180489</v>
      </c>
      <c r="AG53" s="63">
        <v>137912</v>
      </c>
      <c r="AH53" s="63">
        <v>113612</v>
      </c>
      <c r="AI53" s="63">
        <v>87052</v>
      </c>
      <c r="AJ53" s="63">
        <v>95817</v>
      </c>
      <c r="AK53" s="63">
        <v>74719</v>
      </c>
      <c r="AL53" s="63">
        <v>61261</v>
      </c>
      <c r="AM53" s="63">
        <v>48370</v>
      </c>
      <c r="AN53" s="63">
        <v>36319</v>
      </c>
      <c r="AO53" s="63">
        <v>26810</v>
      </c>
      <c r="AP53" s="63">
        <v>32793</v>
      </c>
      <c r="AQ53" s="63">
        <v>30573</v>
      </c>
      <c r="AR53" s="63">
        <v>29218</v>
      </c>
      <c r="AS53" s="63">
        <v>27304</v>
      </c>
      <c r="AT53" s="63">
        <v>41145</v>
      </c>
      <c r="AU53" s="63">
        <v>40288</v>
      </c>
      <c r="AV53" s="63">
        <v>46472</v>
      </c>
      <c r="AW53" s="63">
        <v>39613</v>
      </c>
      <c r="AX53" s="63">
        <v>41123</v>
      </c>
      <c r="AY53" s="63">
        <v>48861</v>
      </c>
      <c r="AZ53" s="63">
        <v>50271</v>
      </c>
      <c r="BA53" s="63">
        <v>45834</v>
      </c>
      <c r="BB53" s="63">
        <v>42264</v>
      </c>
      <c r="BC53" s="63">
        <v>36158</v>
      </c>
      <c r="BD53" s="63">
        <v>35229</v>
      </c>
      <c r="BE53" s="63">
        <v>28302</v>
      </c>
      <c r="BF53" s="63">
        <v>20785</v>
      </c>
      <c r="BG53" s="63">
        <v>12739</v>
      </c>
      <c r="BH53" s="63" t="s">
        <v>34</v>
      </c>
      <c r="BI53" s="63" t="s">
        <v>34</v>
      </c>
      <c r="BJ53" s="63" t="s">
        <v>34</v>
      </c>
      <c r="BK53" s="63" t="s">
        <v>34</v>
      </c>
      <c r="BL53" s="63">
        <v>29864</v>
      </c>
      <c r="BM53" s="63">
        <v>-17352</v>
      </c>
      <c r="BN53" s="63">
        <v>16312</v>
      </c>
      <c r="BO53" s="63">
        <v>29864</v>
      </c>
      <c r="BP53" s="63">
        <v>5</v>
      </c>
      <c r="BQ53" s="63">
        <v>5</v>
      </c>
      <c r="BR53" s="63">
        <v>34565</v>
      </c>
    </row>
    <row r="54" spans="1:70" ht="16.5" customHeight="1">
      <c r="A54" s="18"/>
      <c r="B54" s="52" t="s">
        <v>60</v>
      </c>
      <c r="C54" s="52"/>
      <c r="D54" s="52"/>
      <c r="E54" s="63">
        <v>0</v>
      </c>
      <c r="F54" s="63">
        <v>-46633</v>
      </c>
      <c r="G54" s="63">
        <v>-46645</v>
      </c>
      <c r="H54" s="63">
        <v>-46645</v>
      </c>
      <c r="I54" s="63">
        <v>-46639</v>
      </c>
      <c r="J54" s="63">
        <v>-46645</v>
      </c>
      <c r="K54" s="63">
        <v>-46645</v>
      </c>
      <c r="L54" s="63">
        <v>-39238</v>
      </c>
      <c r="M54" s="63">
        <v>-34257</v>
      </c>
      <c r="N54" s="63">
        <v>-34257</v>
      </c>
      <c r="O54" s="63">
        <v>-34257</v>
      </c>
      <c r="P54" s="63">
        <v>-34257</v>
      </c>
      <c r="Q54" s="63">
        <v>-34257</v>
      </c>
      <c r="R54" s="63">
        <v>-34257</v>
      </c>
      <c r="S54" s="63">
        <v>-34257</v>
      </c>
      <c r="T54" s="63">
        <v>-34257</v>
      </c>
      <c r="U54" s="63">
        <v>-34257</v>
      </c>
      <c r="V54" s="63">
        <v>-34257</v>
      </c>
      <c r="W54" s="63">
        <v>-34257</v>
      </c>
      <c r="X54" s="63">
        <v>-25873</v>
      </c>
      <c r="Y54" s="63">
        <v>-6992</v>
      </c>
      <c r="Z54" s="63">
        <v>-6992</v>
      </c>
      <c r="AA54" s="63">
        <v>-6992</v>
      </c>
      <c r="AB54" s="63">
        <v>-6992</v>
      </c>
      <c r="AC54" s="63" t="s">
        <v>34</v>
      </c>
      <c r="AD54" s="63" t="s">
        <v>34</v>
      </c>
      <c r="AE54" s="63" t="s">
        <v>34</v>
      </c>
      <c r="AF54" s="63" t="s">
        <v>34</v>
      </c>
      <c r="AG54" s="63" t="s">
        <v>34</v>
      </c>
      <c r="AH54" s="63"/>
      <c r="AI54" s="63" t="s">
        <v>34</v>
      </c>
      <c r="AJ54" s="63">
        <v>-43</v>
      </c>
      <c r="AK54" s="63">
        <v>-43</v>
      </c>
      <c r="AL54" s="63">
        <v>-43</v>
      </c>
      <c r="AM54" s="63">
        <v>-43</v>
      </c>
      <c r="AN54" s="63">
        <v>-43</v>
      </c>
      <c r="AO54" s="63">
        <v>-43</v>
      </c>
      <c r="AP54" s="63">
        <v>-43</v>
      </c>
      <c r="AQ54" s="63">
        <v>-43</v>
      </c>
      <c r="AR54" s="63">
        <v>-43</v>
      </c>
      <c r="AS54" s="63">
        <v>-43</v>
      </c>
      <c r="AT54" s="63">
        <v>-5351</v>
      </c>
      <c r="AU54" s="63">
        <v>-3877</v>
      </c>
      <c r="AV54" s="63">
        <v>-5741</v>
      </c>
      <c r="AW54" s="63">
        <v>-5741</v>
      </c>
      <c r="AX54" s="63">
        <v>-2293</v>
      </c>
      <c r="AY54" s="63">
        <v>-10015</v>
      </c>
      <c r="AZ54" s="63">
        <v>-7118</v>
      </c>
      <c r="BA54" s="63">
        <v>-6341</v>
      </c>
      <c r="BB54" s="63">
        <v>-6119</v>
      </c>
      <c r="BC54" s="63">
        <v>-724</v>
      </c>
      <c r="BD54" s="63" t="s">
        <v>34</v>
      </c>
      <c r="BE54" s="63" t="s">
        <v>34</v>
      </c>
      <c r="BF54" s="63" t="s">
        <v>34</v>
      </c>
      <c r="BG54" s="63" t="s">
        <v>34</v>
      </c>
      <c r="BH54" s="63" t="s">
        <v>34</v>
      </c>
      <c r="BI54" s="63" t="s">
        <v>34</v>
      </c>
      <c r="BJ54" s="63" t="s">
        <v>34</v>
      </c>
      <c r="BK54" s="63" t="s">
        <v>34</v>
      </c>
      <c r="BL54" s="63" t="s">
        <v>34</v>
      </c>
      <c r="BM54" s="63" t="s">
        <v>34</v>
      </c>
      <c r="BN54" s="63" t="s">
        <v>34</v>
      </c>
      <c r="BO54" s="63" t="s">
        <v>34</v>
      </c>
      <c r="BP54" s="63" t="s">
        <v>34</v>
      </c>
      <c r="BQ54" s="63" t="s">
        <v>34</v>
      </c>
      <c r="BR54" s="63" t="s">
        <v>34</v>
      </c>
    </row>
    <row r="55" spans="1:70" ht="16.5" customHeight="1">
      <c r="A55" s="18"/>
      <c r="B55" s="52" t="s">
        <v>113</v>
      </c>
      <c r="C55" s="52"/>
      <c r="D55" s="52"/>
      <c r="E55" s="63" t="s">
        <v>34</v>
      </c>
      <c r="F55" s="63" t="s">
        <v>34</v>
      </c>
      <c r="G55" s="63" t="s">
        <v>34</v>
      </c>
      <c r="H55" s="63" t="s">
        <v>34</v>
      </c>
      <c r="I55" s="63" t="s">
        <v>34</v>
      </c>
      <c r="J55" s="63" t="s">
        <v>34</v>
      </c>
      <c r="K55" s="63" t="s">
        <v>34</v>
      </c>
      <c r="L55" s="63" t="s">
        <v>34</v>
      </c>
      <c r="M55" s="63" t="s">
        <v>34</v>
      </c>
      <c r="N55" s="63" t="s">
        <v>34</v>
      </c>
      <c r="O55" s="63" t="s">
        <v>34</v>
      </c>
      <c r="P55" s="63" t="s">
        <v>34</v>
      </c>
      <c r="Q55" s="63" t="s">
        <v>34</v>
      </c>
      <c r="R55" s="63" t="s">
        <v>34</v>
      </c>
      <c r="S55" s="63" t="s">
        <v>34</v>
      </c>
      <c r="T55" s="63" t="s">
        <v>34</v>
      </c>
      <c r="U55" s="63" t="s">
        <v>34</v>
      </c>
      <c r="V55" s="63" t="s">
        <v>34</v>
      </c>
      <c r="W55" s="63" t="s">
        <v>34</v>
      </c>
      <c r="X55" s="63" t="s">
        <v>34</v>
      </c>
      <c r="Y55" s="63" t="s">
        <v>34</v>
      </c>
      <c r="Z55" s="63" t="s">
        <v>34</v>
      </c>
      <c r="AA55" s="63" t="s">
        <v>34</v>
      </c>
      <c r="AB55" s="63" t="s">
        <v>34</v>
      </c>
      <c r="AC55" s="63" t="s">
        <v>34</v>
      </c>
      <c r="AD55" s="63" t="s">
        <v>34</v>
      </c>
      <c r="AE55" s="63" t="s">
        <v>34</v>
      </c>
      <c r="AF55" s="63" t="s">
        <v>34</v>
      </c>
      <c r="AG55" s="63" t="s">
        <v>34</v>
      </c>
      <c r="AH55" s="63" t="s">
        <v>34</v>
      </c>
      <c r="AI55" s="63" t="s">
        <v>34</v>
      </c>
      <c r="AJ55" s="63" t="s">
        <v>34</v>
      </c>
      <c r="AK55" s="63" t="s">
        <v>34</v>
      </c>
      <c r="AL55" s="63" t="s">
        <v>34</v>
      </c>
      <c r="AM55" s="63" t="s">
        <v>34</v>
      </c>
      <c r="AN55" s="63" t="s">
        <v>34</v>
      </c>
      <c r="AO55" s="63" t="s">
        <v>34</v>
      </c>
      <c r="AP55" s="63" t="s">
        <v>34</v>
      </c>
      <c r="AQ55" s="63" t="s">
        <v>34</v>
      </c>
      <c r="AR55" s="63" t="s">
        <v>34</v>
      </c>
      <c r="AS55" s="63" t="s">
        <v>34</v>
      </c>
      <c r="AT55" s="63" t="s">
        <v>34</v>
      </c>
      <c r="AU55" s="63" t="s">
        <v>34</v>
      </c>
      <c r="AV55" s="63" t="s">
        <v>34</v>
      </c>
      <c r="AW55" s="63" t="s">
        <v>34</v>
      </c>
      <c r="AX55" s="63" t="s">
        <v>34</v>
      </c>
      <c r="AY55" s="63" t="s">
        <v>34</v>
      </c>
      <c r="AZ55" s="63" t="s">
        <v>34</v>
      </c>
      <c r="BA55" s="63" t="s">
        <v>34</v>
      </c>
      <c r="BB55" s="63" t="s">
        <v>34</v>
      </c>
      <c r="BC55" s="63" t="s">
        <v>34</v>
      </c>
      <c r="BD55" s="63" t="s">
        <v>34</v>
      </c>
      <c r="BE55" s="63" t="s">
        <v>34</v>
      </c>
      <c r="BF55" s="63" t="s">
        <v>34</v>
      </c>
      <c r="BG55" s="63" t="s">
        <v>34</v>
      </c>
      <c r="BH55" s="63">
        <v>4981</v>
      </c>
      <c r="BI55" s="63">
        <v>-3532</v>
      </c>
      <c r="BJ55" s="63">
        <v>-7543</v>
      </c>
      <c r="BK55" s="63">
        <v>-10558</v>
      </c>
      <c r="BL55" s="63">
        <v>-43147</v>
      </c>
      <c r="BM55" s="63" t="s">
        <v>34</v>
      </c>
      <c r="BN55" s="63" t="s">
        <v>34</v>
      </c>
      <c r="BO55" s="63" t="s">
        <v>34</v>
      </c>
      <c r="BP55" s="63">
        <v>57193</v>
      </c>
      <c r="BQ55" s="63">
        <v>37068</v>
      </c>
      <c r="BR55" s="63">
        <v>20307</v>
      </c>
    </row>
    <row r="56" spans="1:70" ht="16.5" customHeight="1">
      <c r="A56" s="18"/>
      <c r="B56" s="52" t="s">
        <v>89</v>
      </c>
      <c r="C56" s="52"/>
      <c r="D56" s="52"/>
      <c r="E56" s="63">
        <v>6075</v>
      </c>
      <c r="F56" s="63">
        <v>6105</v>
      </c>
      <c r="G56" s="63">
        <v>28664</v>
      </c>
      <c r="H56" s="63">
        <v>29503</v>
      </c>
      <c r="I56" s="63">
        <v>26858</v>
      </c>
      <c r="J56" s="63">
        <v>26680</v>
      </c>
      <c r="K56" s="63">
        <v>29046</v>
      </c>
      <c r="L56" s="63">
        <v>32025</v>
      </c>
      <c r="M56" s="63">
        <v>30213</v>
      </c>
      <c r="N56" s="63">
        <v>42133</v>
      </c>
      <c r="O56" s="63">
        <v>43892</v>
      </c>
      <c r="P56" s="63">
        <v>42289</v>
      </c>
      <c r="Q56" s="63">
        <v>52391</v>
      </c>
      <c r="R56" s="63">
        <v>51818</v>
      </c>
      <c r="S56" s="63">
        <v>46914</v>
      </c>
      <c r="T56" s="63">
        <v>55206</v>
      </c>
      <c r="U56" s="63">
        <v>51176</v>
      </c>
      <c r="V56" s="63">
        <v>51763</v>
      </c>
      <c r="W56" s="63">
        <v>50072</v>
      </c>
      <c r="X56" s="63">
        <v>58835</v>
      </c>
      <c r="Y56" s="63">
        <v>67337</v>
      </c>
      <c r="Z56" s="63">
        <v>54303</v>
      </c>
      <c r="AA56" s="63">
        <v>51854</v>
      </c>
      <c r="AB56" s="63">
        <v>47700</v>
      </c>
      <c r="AC56" s="63">
        <v>48303</v>
      </c>
      <c r="AD56" s="63">
        <v>50833</v>
      </c>
      <c r="AE56" s="63">
        <v>48057</v>
      </c>
      <c r="AF56" s="63">
        <v>53504</v>
      </c>
      <c r="AG56" s="63">
        <v>54655</v>
      </c>
      <c r="AH56" s="63">
        <v>46679</v>
      </c>
      <c r="AI56" s="63">
        <v>39730</v>
      </c>
      <c r="AJ56" s="63">
        <v>30367</v>
      </c>
      <c r="AK56" s="63">
        <v>30950</v>
      </c>
      <c r="AL56" s="63">
        <v>26858</v>
      </c>
      <c r="AM56" s="63">
        <v>25896</v>
      </c>
      <c r="AN56" s="63">
        <v>21586</v>
      </c>
      <c r="AO56" s="63">
        <v>22450</v>
      </c>
      <c r="AP56" s="63">
        <v>15199</v>
      </c>
      <c r="AQ56" s="63">
        <v>19817</v>
      </c>
      <c r="AR56" s="63">
        <v>20086</v>
      </c>
      <c r="AS56" s="63">
        <v>23251</v>
      </c>
      <c r="AT56" s="63">
        <v>33775</v>
      </c>
      <c r="AU56" s="63">
        <v>36310</v>
      </c>
      <c r="AV56" s="63">
        <v>39077</v>
      </c>
      <c r="AW56" s="63">
        <v>57072</v>
      </c>
      <c r="AX56" s="63">
        <v>57017</v>
      </c>
      <c r="AY56" s="63">
        <v>57736</v>
      </c>
      <c r="AZ56" s="63">
        <v>58584</v>
      </c>
      <c r="BA56" s="63">
        <v>68510</v>
      </c>
      <c r="BB56" s="63">
        <v>77774</v>
      </c>
      <c r="BC56" s="63">
        <v>89836</v>
      </c>
      <c r="BD56" s="63">
        <v>104025</v>
      </c>
      <c r="BE56" s="63">
        <v>103415</v>
      </c>
      <c r="BF56" s="63">
        <v>102794</v>
      </c>
      <c r="BG56" s="63">
        <v>1896</v>
      </c>
      <c r="BH56" s="63">
        <v>4790</v>
      </c>
      <c r="BI56" s="63">
        <v>5249</v>
      </c>
      <c r="BJ56" s="63">
        <v>5176</v>
      </c>
      <c r="BK56" s="63">
        <v>5128</v>
      </c>
      <c r="BL56" s="63">
        <v>5881</v>
      </c>
      <c r="BM56" s="63">
        <v>5244</v>
      </c>
      <c r="BN56" s="63">
        <v>4627</v>
      </c>
      <c r="BO56" s="63">
        <v>5420</v>
      </c>
      <c r="BP56" s="63" t="s">
        <v>34</v>
      </c>
      <c r="BQ56" s="63" t="s">
        <v>34</v>
      </c>
      <c r="BR56" s="63" t="s">
        <v>34</v>
      </c>
    </row>
    <row r="57" spans="1:70" s="25" customFormat="1" ht="16.5" customHeight="1">
      <c r="A57" s="24"/>
      <c r="B57" s="56" t="s">
        <v>61</v>
      </c>
      <c r="C57" s="56"/>
      <c r="D57" s="56"/>
      <c r="E57" s="57">
        <f t="shared" ref="E57:S57" si="22">E25+E37+E49</f>
        <v>3154823</v>
      </c>
      <c r="F57" s="57">
        <f t="shared" si="22"/>
        <v>3332632</v>
      </c>
      <c r="G57" s="57">
        <f t="shared" si="22"/>
        <v>3433244</v>
      </c>
      <c r="H57" s="57">
        <f t="shared" si="22"/>
        <v>3497705</v>
      </c>
      <c r="I57" s="57">
        <f t="shared" si="22"/>
        <v>3292028</v>
      </c>
      <c r="J57" s="57">
        <f t="shared" si="22"/>
        <v>3117847</v>
      </c>
      <c r="K57" s="57">
        <f t="shared" si="22"/>
        <v>3042594</v>
      </c>
      <c r="L57" s="57">
        <f t="shared" si="22"/>
        <v>2762600</v>
      </c>
      <c r="M57" s="57">
        <f t="shared" si="22"/>
        <v>2769246</v>
      </c>
      <c r="N57" s="57">
        <f t="shared" si="22"/>
        <v>2819800</v>
      </c>
      <c r="O57" s="57">
        <f t="shared" si="22"/>
        <v>2757738</v>
      </c>
      <c r="P57" s="57">
        <f>P25+P37+P49</f>
        <v>2695849</v>
      </c>
      <c r="Q57" s="57">
        <f t="shared" si="22"/>
        <v>2677370</v>
      </c>
      <c r="R57" s="57">
        <f t="shared" si="22"/>
        <v>2602797</v>
      </c>
      <c r="S57" s="57">
        <f t="shared" si="22"/>
        <v>2575050</v>
      </c>
      <c r="T57" s="57">
        <f t="shared" ref="T57:BB57" si="23">T25+T37+T49</f>
        <v>2349955</v>
      </c>
      <c r="U57" s="57">
        <f t="shared" si="23"/>
        <v>2309129</v>
      </c>
      <c r="V57" s="57">
        <f t="shared" si="23"/>
        <v>2292594</v>
      </c>
      <c r="W57" s="57">
        <f t="shared" si="23"/>
        <v>2340065</v>
      </c>
      <c r="X57" s="57">
        <f t="shared" si="23"/>
        <v>2321403</v>
      </c>
      <c r="Y57" s="57">
        <f t="shared" si="23"/>
        <v>2236049</v>
      </c>
      <c r="Z57" s="57">
        <f t="shared" si="23"/>
        <v>2167632</v>
      </c>
      <c r="AA57" s="57">
        <f t="shared" si="23"/>
        <v>2176901</v>
      </c>
      <c r="AB57" s="57">
        <f t="shared" si="23"/>
        <v>1939546</v>
      </c>
      <c r="AC57" s="57">
        <f t="shared" si="23"/>
        <v>1960094</v>
      </c>
      <c r="AD57" s="57">
        <f t="shared" si="23"/>
        <v>1868279</v>
      </c>
      <c r="AE57" s="57">
        <f t="shared" si="23"/>
        <v>1798507</v>
      </c>
      <c r="AF57" s="57">
        <f t="shared" si="23"/>
        <v>1693084</v>
      </c>
      <c r="AG57" s="57">
        <f t="shared" si="23"/>
        <v>1247367</v>
      </c>
      <c r="AH57" s="57">
        <f t="shared" si="23"/>
        <v>1171491</v>
      </c>
      <c r="AI57" s="57">
        <f t="shared" si="23"/>
        <v>1087083</v>
      </c>
      <c r="AJ57" s="57">
        <f t="shared" si="23"/>
        <v>1052586</v>
      </c>
      <c r="AK57" s="57">
        <f t="shared" si="23"/>
        <v>1028389</v>
      </c>
      <c r="AL57" s="57">
        <f t="shared" si="23"/>
        <v>965327</v>
      </c>
      <c r="AM57" s="57">
        <f t="shared" si="23"/>
        <v>939490</v>
      </c>
      <c r="AN57" s="57">
        <f t="shared" si="23"/>
        <v>888575</v>
      </c>
      <c r="AO57" s="57">
        <f t="shared" si="23"/>
        <v>848505</v>
      </c>
      <c r="AP57" s="57">
        <f t="shared" si="23"/>
        <v>855021</v>
      </c>
      <c r="AQ57" s="57">
        <f t="shared" si="23"/>
        <v>871065</v>
      </c>
      <c r="AR57" s="57">
        <f t="shared" si="23"/>
        <v>888756</v>
      </c>
      <c r="AS57" s="57">
        <f t="shared" si="23"/>
        <v>855325</v>
      </c>
      <c r="AT57" s="57">
        <f t="shared" si="23"/>
        <v>928027</v>
      </c>
      <c r="AU57" s="57">
        <f t="shared" si="23"/>
        <v>959648</v>
      </c>
      <c r="AV57" s="57">
        <f t="shared" si="23"/>
        <v>980195</v>
      </c>
      <c r="AW57" s="57">
        <f t="shared" si="23"/>
        <v>982166</v>
      </c>
      <c r="AX57" s="57">
        <f t="shared" si="23"/>
        <v>988620</v>
      </c>
      <c r="AY57" s="57">
        <f t="shared" si="23"/>
        <v>1102593</v>
      </c>
      <c r="AZ57" s="57">
        <f t="shared" si="23"/>
        <v>1045256</v>
      </c>
      <c r="BA57" s="57">
        <f t="shared" si="23"/>
        <v>1127024</v>
      </c>
      <c r="BB57" s="57">
        <f t="shared" si="23"/>
        <v>1132177</v>
      </c>
      <c r="BC57" s="57">
        <f t="shared" ref="BC57:BR57" si="24">BC25+BC37+BC49</f>
        <v>1238526</v>
      </c>
      <c r="BD57" s="57">
        <f t="shared" si="24"/>
        <v>1300384</v>
      </c>
      <c r="BE57" s="57">
        <f t="shared" si="24"/>
        <v>1515826</v>
      </c>
      <c r="BF57" s="57">
        <f t="shared" si="24"/>
        <v>1534588</v>
      </c>
      <c r="BG57" s="57">
        <f t="shared" si="24"/>
        <v>1467385</v>
      </c>
      <c r="BH57" s="57">
        <f t="shared" si="24"/>
        <v>1475083</v>
      </c>
      <c r="BI57" s="57">
        <f t="shared" si="24"/>
        <v>1576743</v>
      </c>
      <c r="BJ57" s="57">
        <f t="shared" si="24"/>
        <v>1599815</v>
      </c>
      <c r="BK57" s="57">
        <f t="shared" si="24"/>
        <v>1664719</v>
      </c>
      <c r="BL57" s="57">
        <f t="shared" si="24"/>
        <v>1683850</v>
      </c>
      <c r="BM57" s="57">
        <f t="shared" si="24"/>
        <v>1813329</v>
      </c>
      <c r="BN57" s="57">
        <f t="shared" si="24"/>
        <v>1813317</v>
      </c>
      <c r="BO57" s="57">
        <f t="shared" si="24"/>
        <v>1799696</v>
      </c>
      <c r="BP57" s="57">
        <f t="shared" si="24"/>
        <v>1678408</v>
      </c>
      <c r="BQ57" s="57">
        <f t="shared" si="24"/>
        <v>1577085</v>
      </c>
      <c r="BR57" s="57">
        <f t="shared" si="24"/>
        <v>1445492</v>
      </c>
    </row>
    <row r="58" spans="1:70">
      <c r="V58" s="40"/>
      <c r="W58" s="40"/>
      <c r="X58" s="40"/>
      <c r="Y58" s="40"/>
      <c r="Z58" s="40">
        <f>Z57-Z24</f>
        <v>0</v>
      </c>
      <c r="AA58" s="40">
        <f t="shared" ref="AA58:BQ58" si="25">AA57-AA24</f>
        <v>0</v>
      </c>
      <c r="AB58" s="40">
        <f t="shared" si="25"/>
        <v>0</v>
      </c>
      <c r="AC58" s="40">
        <f t="shared" si="25"/>
        <v>0</v>
      </c>
      <c r="AD58" s="40">
        <f t="shared" si="25"/>
        <v>0</v>
      </c>
      <c r="AE58" s="40">
        <f t="shared" si="25"/>
        <v>0</v>
      </c>
      <c r="AF58" s="40">
        <f t="shared" si="25"/>
        <v>0</v>
      </c>
      <c r="AG58" s="40">
        <f t="shared" si="25"/>
        <v>0</v>
      </c>
      <c r="AH58" s="40">
        <f t="shared" si="25"/>
        <v>0</v>
      </c>
      <c r="AI58" s="40">
        <f t="shared" si="25"/>
        <v>0</v>
      </c>
      <c r="AJ58" s="40">
        <f t="shared" si="25"/>
        <v>0</v>
      </c>
      <c r="AK58" s="40">
        <f t="shared" si="25"/>
        <v>0</v>
      </c>
      <c r="AL58" s="40">
        <f t="shared" si="25"/>
        <v>0</v>
      </c>
      <c r="AM58" s="40">
        <f t="shared" si="25"/>
        <v>0</v>
      </c>
      <c r="AN58" s="40">
        <f t="shared" si="25"/>
        <v>0</v>
      </c>
      <c r="AO58" s="40">
        <f t="shared" si="25"/>
        <v>0</v>
      </c>
      <c r="AP58" s="40">
        <f t="shared" si="25"/>
        <v>0</v>
      </c>
      <c r="AQ58" s="40">
        <f t="shared" si="25"/>
        <v>0</v>
      </c>
      <c r="AR58" s="40">
        <f t="shared" si="25"/>
        <v>0</v>
      </c>
      <c r="AS58" s="40">
        <f t="shared" si="25"/>
        <v>0</v>
      </c>
      <c r="AT58" s="40">
        <f t="shared" si="25"/>
        <v>0</v>
      </c>
      <c r="AU58" s="40">
        <f t="shared" si="25"/>
        <v>0</v>
      </c>
      <c r="AV58" s="40">
        <f t="shared" si="25"/>
        <v>0</v>
      </c>
      <c r="AW58" s="40">
        <f t="shared" si="25"/>
        <v>0</v>
      </c>
      <c r="AX58" s="40">
        <f t="shared" si="25"/>
        <v>0</v>
      </c>
      <c r="AY58" s="40">
        <f t="shared" si="25"/>
        <v>0</v>
      </c>
      <c r="AZ58" s="40">
        <f t="shared" si="25"/>
        <v>0</v>
      </c>
      <c r="BA58" s="40">
        <f t="shared" si="25"/>
        <v>0</v>
      </c>
      <c r="BB58" s="40">
        <f t="shared" si="25"/>
        <v>0</v>
      </c>
      <c r="BC58" s="40">
        <f t="shared" si="25"/>
        <v>0</v>
      </c>
      <c r="BD58" s="40">
        <f t="shared" si="25"/>
        <v>0</v>
      </c>
      <c r="BE58" s="40">
        <f t="shared" si="25"/>
        <v>0</v>
      </c>
      <c r="BF58" s="40">
        <f t="shared" si="25"/>
        <v>0</v>
      </c>
      <c r="BG58" s="40">
        <f t="shared" si="25"/>
        <v>0</v>
      </c>
      <c r="BH58" s="40">
        <f t="shared" si="25"/>
        <v>0</v>
      </c>
      <c r="BI58" s="40">
        <f t="shared" si="25"/>
        <v>0</v>
      </c>
      <c r="BJ58" s="40">
        <f t="shared" si="25"/>
        <v>0</v>
      </c>
      <c r="BK58" s="40">
        <f t="shared" si="25"/>
        <v>0</v>
      </c>
      <c r="BL58" s="40">
        <f t="shared" si="25"/>
        <v>0</v>
      </c>
      <c r="BM58" s="40">
        <f t="shared" si="25"/>
        <v>0</v>
      </c>
      <c r="BN58" s="40">
        <f t="shared" si="25"/>
        <v>0</v>
      </c>
      <c r="BO58" s="40">
        <f t="shared" si="25"/>
        <v>0</v>
      </c>
      <c r="BP58" s="40">
        <f t="shared" si="25"/>
        <v>0</v>
      </c>
      <c r="BQ58" s="40">
        <f t="shared" si="25"/>
        <v>0</v>
      </c>
      <c r="BR58" s="40">
        <f>BR57-BR24</f>
        <v>0</v>
      </c>
    </row>
    <row r="1048505" spans="38:38">
      <c r="AL1048505" s="37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Q19 M12 K25:N25 K12 K19 F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90"/>
  <sheetViews>
    <sheetView showGridLines="0" zoomScaleNormal="100" workbookViewId="0">
      <pane xSplit="3" ySplit="3" topLeftCell="D20" activePane="bottomRight" state="frozen"/>
      <selection pane="topRight" activeCell="E1" sqref="E1"/>
      <selection pane="bottomLeft" activeCell="A4" sqref="A4"/>
      <selection pane="bottomRight" activeCell="D1" sqref="D1"/>
    </sheetView>
  </sheetViews>
  <sheetFormatPr defaultColWidth="8.85546875" defaultRowHeight="12.75"/>
  <cols>
    <col min="1" max="1" width="1.42578125" style="31" customWidth="1"/>
    <col min="2" max="2" width="73" style="32" bestFit="1" customWidth="1"/>
    <col min="3" max="3" width="18.28515625" style="31" customWidth="1"/>
    <col min="4" max="18" width="10.5703125" style="31" customWidth="1"/>
    <col min="19" max="19" width="10.7109375" style="31" customWidth="1"/>
    <col min="20" max="20" width="10.42578125" style="37" customWidth="1"/>
    <col min="21" max="25" width="10.140625" style="37" customWidth="1"/>
    <col min="26" max="27" width="10.140625" style="37" bestFit="1" customWidth="1"/>
    <col min="28" max="28" width="10.5703125" style="37" bestFit="1" customWidth="1"/>
    <col min="29" max="30" width="10.140625" style="37" bestFit="1" customWidth="1"/>
    <col min="31" max="31" width="10.5703125" style="37" bestFit="1" customWidth="1"/>
    <col min="32" max="32" width="9.7109375" style="37" customWidth="1"/>
    <col min="33" max="33" width="10.140625" style="37" bestFit="1" customWidth="1"/>
    <col min="34" max="34" width="9.7109375" style="37" customWidth="1"/>
    <col min="35" max="35" width="10.140625" style="37" bestFit="1" customWidth="1"/>
    <col min="36" max="36" width="9.7109375" style="37" customWidth="1"/>
    <col min="37" max="37" width="9.28515625" style="37" bestFit="1" customWidth="1"/>
    <col min="38" max="38" width="8.85546875" style="37"/>
    <col min="39" max="40" width="9.7109375" style="37" customWidth="1"/>
    <col min="41" max="42" width="10.5703125" style="37" bestFit="1" customWidth="1"/>
    <col min="43" max="43" width="11" style="37" bestFit="1" customWidth="1"/>
    <col min="44" max="44" width="10.140625" style="37" bestFit="1" customWidth="1"/>
    <col min="45" max="45" width="10.5703125" style="37" bestFit="1" customWidth="1"/>
    <col min="46" max="47" width="9.7109375" style="37" customWidth="1"/>
    <col min="48" max="49" width="10.5703125" style="37" bestFit="1" customWidth="1"/>
    <col min="50" max="51" width="10.140625" style="37" bestFit="1" customWidth="1"/>
    <col min="52" max="53" width="11" style="37" bestFit="1" customWidth="1"/>
    <col min="54" max="54" width="11.42578125" style="37" bestFit="1" customWidth="1"/>
    <col min="55" max="55" width="10.140625" style="37" bestFit="1" customWidth="1"/>
    <col min="56" max="56" width="11" style="37" bestFit="1" customWidth="1"/>
    <col min="57" max="57" width="11.42578125" style="37" bestFit="1" customWidth="1"/>
    <col min="58" max="58" width="11" style="37" bestFit="1" customWidth="1"/>
    <col min="59" max="59" width="10.140625" style="37" bestFit="1" customWidth="1"/>
    <col min="60" max="61" width="9.7109375" style="37" customWidth="1"/>
    <col min="62" max="62" width="11" style="37" bestFit="1" customWidth="1"/>
    <col min="63" max="64" width="10.140625" style="37" bestFit="1" customWidth="1"/>
    <col min="65" max="66" width="11.42578125" style="37" bestFit="1" customWidth="1"/>
    <col min="67" max="67" width="11" style="37" bestFit="1" customWidth="1"/>
    <col min="68" max="69" width="10.140625" style="37" customWidth="1"/>
    <col min="70" max="16384" width="8.85546875" style="31"/>
  </cols>
  <sheetData>
    <row r="1" spans="1:69" ht="52.15" customHeight="1" thickBot="1">
      <c r="A1" s="33"/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8.25" customHeight="1">
      <c r="A2" s="14"/>
      <c r="B2" s="30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</row>
    <row r="3" spans="1:69" s="21" customFormat="1" ht="21.95" customHeight="1">
      <c r="A3" s="23"/>
      <c r="B3" s="44" t="s">
        <v>84</v>
      </c>
      <c r="C3" s="44"/>
      <c r="D3" s="45" t="s">
        <v>212</v>
      </c>
      <c r="E3" s="45" t="s">
        <v>211</v>
      </c>
      <c r="F3" s="45" t="s">
        <v>210</v>
      </c>
      <c r="G3" s="45" t="s">
        <v>209</v>
      </c>
      <c r="H3" s="45" t="s">
        <v>208</v>
      </c>
      <c r="I3" s="45" t="s">
        <v>207</v>
      </c>
      <c r="J3" s="45" t="s">
        <v>205</v>
      </c>
      <c r="K3" s="45" t="s">
        <v>204</v>
      </c>
      <c r="L3" s="45" t="s">
        <v>201</v>
      </c>
      <c r="M3" s="45" t="s">
        <v>200</v>
      </c>
      <c r="N3" s="45" t="s">
        <v>198</v>
      </c>
      <c r="O3" s="45" t="s">
        <v>197</v>
      </c>
      <c r="P3" s="45" t="s">
        <v>196</v>
      </c>
      <c r="Q3" s="45" t="s">
        <v>187</v>
      </c>
      <c r="R3" s="45" t="s">
        <v>186</v>
      </c>
      <c r="S3" s="45" t="s">
        <v>185</v>
      </c>
      <c r="T3" s="45" t="s">
        <v>184</v>
      </c>
      <c r="U3" s="45" t="s">
        <v>183</v>
      </c>
      <c r="V3" s="45" t="s">
        <v>182</v>
      </c>
      <c r="W3" s="45" t="s">
        <v>181</v>
      </c>
      <c r="X3" s="45" t="s">
        <v>180</v>
      </c>
      <c r="Y3" s="45" t="s">
        <v>179</v>
      </c>
      <c r="Z3" s="45" t="s">
        <v>178</v>
      </c>
      <c r="AA3" s="45" t="s">
        <v>177</v>
      </c>
      <c r="AB3" s="45" t="s">
        <v>176</v>
      </c>
      <c r="AC3" s="45" t="s">
        <v>85</v>
      </c>
      <c r="AD3" s="45" t="s">
        <v>83</v>
      </c>
      <c r="AE3" s="45" t="s">
        <v>81</v>
      </c>
      <c r="AF3" s="45" t="s">
        <v>74</v>
      </c>
      <c r="AG3" s="45" t="s">
        <v>71</v>
      </c>
      <c r="AH3" s="45" t="s">
        <v>70</v>
      </c>
      <c r="AI3" s="45" t="s">
        <v>36</v>
      </c>
      <c r="AJ3" s="45" t="s">
        <v>35</v>
      </c>
      <c r="AK3" s="45" t="s">
        <v>33</v>
      </c>
      <c r="AL3" s="45" t="s">
        <v>16</v>
      </c>
      <c r="AM3" s="45" t="s">
        <v>15</v>
      </c>
      <c r="AN3" s="45" t="s">
        <v>14</v>
      </c>
      <c r="AO3" s="45" t="s">
        <v>13</v>
      </c>
      <c r="AP3" s="45" t="s">
        <v>11</v>
      </c>
      <c r="AQ3" s="45" t="s">
        <v>10</v>
      </c>
      <c r="AR3" s="45" t="s">
        <v>9</v>
      </c>
      <c r="AS3" s="45" t="s">
        <v>8</v>
      </c>
      <c r="AT3" s="45" t="s">
        <v>7</v>
      </c>
      <c r="AU3" s="45" t="s">
        <v>6</v>
      </c>
      <c r="AV3" s="45" t="s">
        <v>5</v>
      </c>
      <c r="AW3" s="45" t="s">
        <v>4</v>
      </c>
      <c r="AX3" s="45" t="s">
        <v>3</v>
      </c>
      <c r="AY3" s="45" t="s">
        <v>2</v>
      </c>
      <c r="AZ3" s="45" t="s">
        <v>1</v>
      </c>
      <c r="BA3" s="45" t="s">
        <v>0</v>
      </c>
      <c r="BB3" s="45" t="s">
        <v>17</v>
      </c>
      <c r="BC3" s="45" t="s">
        <v>18</v>
      </c>
      <c r="BD3" s="45" t="s">
        <v>19</v>
      </c>
      <c r="BE3" s="45" t="s">
        <v>20</v>
      </c>
      <c r="BF3" s="45" t="s">
        <v>21</v>
      </c>
      <c r="BG3" s="45" t="s">
        <v>22</v>
      </c>
      <c r="BH3" s="45" t="s">
        <v>23</v>
      </c>
      <c r="BI3" s="45" t="s">
        <v>24</v>
      </c>
      <c r="BJ3" s="45" t="s">
        <v>25</v>
      </c>
      <c r="BK3" s="45" t="s">
        <v>26</v>
      </c>
      <c r="BL3" s="45" t="s">
        <v>27</v>
      </c>
      <c r="BM3" s="45" t="s">
        <v>28</v>
      </c>
      <c r="BN3" s="45" t="s">
        <v>29</v>
      </c>
      <c r="BO3" s="45" t="s">
        <v>30</v>
      </c>
      <c r="BP3" s="45" t="s">
        <v>31</v>
      </c>
      <c r="BQ3" s="45" t="s">
        <v>32</v>
      </c>
    </row>
    <row r="4" spans="1:69" s="5" customFormat="1" ht="15.75" customHeight="1">
      <c r="A4" s="10"/>
      <c r="B4" s="47" t="s">
        <v>75</v>
      </c>
      <c r="C4" s="47"/>
      <c r="D4" s="62">
        <v>54720</v>
      </c>
      <c r="E4" s="62">
        <v>37767</v>
      </c>
      <c r="F4" s="62">
        <v>76086</v>
      </c>
      <c r="G4" s="62">
        <v>66242</v>
      </c>
      <c r="H4" s="62">
        <v>59406</v>
      </c>
      <c r="I4" s="62">
        <v>51407</v>
      </c>
      <c r="J4" s="62">
        <v>83941</v>
      </c>
      <c r="K4" s="62">
        <v>47387</v>
      </c>
      <c r="L4" s="62">
        <v>39041</v>
      </c>
      <c r="M4" s="62">
        <v>39130</v>
      </c>
      <c r="N4" s="62">
        <v>52960</v>
      </c>
      <c r="O4" s="62">
        <v>31259</v>
      </c>
      <c r="P4" s="62">
        <v>36660</v>
      </c>
      <c r="Q4" s="62">
        <v>37464</v>
      </c>
      <c r="R4" s="62">
        <v>32450</v>
      </c>
      <c r="S4" s="62">
        <v>15771</v>
      </c>
      <c r="T4" s="62">
        <f t="shared" ref="T4:BJ4" si="0">T5</f>
        <v>27504</v>
      </c>
      <c r="U4" s="62">
        <f t="shared" si="0"/>
        <v>15775</v>
      </c>
      <c r="V4" s="62">
        <f t="shared" si="0"/>
        <v>21488</v>
      </c>
      <c r="W4" s="62">
        <f t="shared" si="0"/>
        <v>40651</v>
      </c>
      <c r="X4" s="62">
        <f t="shared" si="0"/>
        <v>43682</v>
      </c>
      <c r="Y4" s="62">
        <f t="shared" si="0"/>
        <v>43599</v>
      </c>
      <c r="Z4" s="62">
        <f t="shared" si="0"/>
        <v>66021</v>
      </c>
      <c r="AA4" s="62">
        <f t="shared" si="0"/>
        <v>56791</v>
      </c>
      <c r="AB4" s="62">
        <f t="shared" si="0"/>
        <v>42374</v>
      </c>
      <c r="AC4" s="62">
        <f t="shared" si="0"/>
        <v>36333</v>
      </c>
      <c r="AD4" s="62">
        <f t="shared" si="0"/>
        <v>52625</v>
      </c>
      <c r="AE4" s="62">
        <f t="shared" si="0"/>
        <v>50297</v>
      </c>
      <c r="AF4" s="62">
        <f t="shared" si="0"/>
        <v>32793</v>
      </c>
      <c r="AG4" s="62">
        <f t="shared" si="0"/>
        <v>32590</v>
      </c>
      <c r="AH4" s="62">
        <f t="shared" si="0"/>
        <v>26837</v>
      </c>
      <c r="AI4" s="62">
        <f t="shared" si="0"/>
        <v>26029</v>
      </c>
      <c r="AJ4" s="62">
        <f t="shared" si="0"/>
        <v>20389</v>
      </c>
      <c r="AK4" s="62">
        <f t="shared" si="0"/>
        <v>16208</v>
      </c>
      <c r="AL4" s="62">
        <f t="shared" si="0"/>
        <v>45028</v>
      </c>
      <c r="AM4" s="62">
        <f t="shared" si="0"/>
        <v>11846</v>
      </c>
      <c r="AN4" s="62">
        <f t="shared" si="0"/>
        <v>4518</v>
      </c>
      <c r="AO4" s="62">
        <f t="shared" si="0"/>
        <v>4320</v>
      </c>
      <c r="AP4" s="62">
        <f t="shared" si="0"/>
        <v>9348</v>
      </c>
      <c r="AQ4" s="62">
        <f t="shared" si="0"/>
        <v>5890</v>
      </c>
      <c r="AR4" s="62">
        <f t="shared" si="0"/>
        <v>994</v>
      </c>
      <c r="AS4" s="62">
        <f t="shared" si="0"/>
        <v>1230</v>
      </c>
      <c r="AT4" s="62">
        <f t="shared" si="0"/>
        <v>33018</v>
      </c>
      <c r="AU4" s="62">
        <f t="shared" si="0"/>
        <v>10070</v>
      </c>
      <c r="AV4" s="62">
        <f t="shared" si="0"/>
        <v>6763</v>
      </c>
      <c r="AW4" s="62">
        <f t="shared" si="0"/>
        <v>7361</v>
      </c>
      <c r="AX4" s="62">
        <f t="shared" si="0"/>
        <v>49050</v>
      </c>
      <c r="AY4" s="62">
        <f t="shared" si="0"/>
        <v>12960</v>
      </c>
      <c r="AZ4" s="62">
        <f t="shared" si="0"/>
        <v>11112</v>
      </c>
      <c r="BA4" s="62">
        <f t="shared" si="0"/>
        <v>16453</v>
      </c>
      <c r="BB4" s="62">
        <f t="shared" si="0"/>
        <v>70973</v>
      </c>
      <c r="BC4" s="62">
        <f t="shared" si="0"/>
        <v>16732</v>
      </c>
      <c r="BD4" s="62">
        <f t="shared" si="0"/>
        <v>17536</v>
      </c>
      <c r="BE4" s="62">
        <f t="shared" si="0"/>
        <v>20230</v>
      </c>
      <c r="BF4" s="62">
        <f t="shared" si="0"/>
        <v>46109</v>
      </c>
      <c r="BG4" s="62">
        <f t="shared" si="0"/>
        <v>32399</v>
      </c>
      <c r="BH4" s="62">
        <f t="shared" si="0"/>
        <v>18769</v>
      </c>
      <c r="BI4" s="62">
        <f t="shared" si="0"/>
        <v>10032</v>
      </c>
      <c r="BJ4" s="62">
        <f t="shared" si="0"/>
        <v>9876</v>
      </c>
      <c r="BK4" s="62">
        <f>BK5</f>
        <v>12609</v>
      </c>
      <c r="BL4" s="62">
        <f>BL5</f>
        <v>-26270</v>
      </c>
      <c r="BM4" s="62">
        <f>BM5</f>
        <v>-5775</v>
      </c>
      <c r="BN4" s="62">
        <f>BN5</f>
        <v>69051</v>
      </c>
      <c r="BO4" s="62">
        <f>BO5</f>
        <v>57193</v>
      </c>
      <c r="BP4" s="62">
        <f>BP5</f>
        <v>37068</v>
      </c>
      <c r="BQ4" s="62">
        <f>BQ5</f>
        <v>20307</v>
      </c>
    </row>
    <row r="5" spans="1:69" s="21" customFormat="1" ht="16.5" customHeight="1">
      <c r="A5" s="18"/>
      <c r="B5" s="52" t="s">
        <v>127</v>
      </c>
      <c r="C5" s="52"/>
      <c r="D5" s="63">
        <v>54720</v>
      </c>
      <c r="E5" s="63">
        <v>37767</v>
      </c>
      <c r="F5" s="63">
        <v>76086</v>
      </c>
      <c r="G5" s="63">
        <v>66242</v>
      </c>
      <c r="H5" s="63">
        <v>59406</v>
      </c>
      <c r="I5" s="63">
        <v>51407</v>
      </c>
      <c r="J5" s="63">
        <v>83941</v>
      </c>
      <c r="K5" s="63">
        <v>47387</v>
      </c>
      <c r="L5" s="63">
        <v>39041</v>
      </c>
      <c r="M5" s="63">
        <f>+M4</f>
        <v>39130</v>
      </c>
      <c r="N5" s="63">
        <v>52960</v>
      </c>
      <c r="O5" s="63">
        <v>31259</v>
      </c>
      <c r="P5" s="63">
        <v>36660</v>
      </c>
      <c r="Q5" s="63">
        <f>Q4</f>
        <v>37464</v>
      </c>
      <c r="R5" s="63">
        <f>R4</f>
        <v>32450</v>
      </c>
      <c r="S5" s="63">
        <f>S4</f>
        <v>15771</v>
      </c>
      <c r="T5" s="63">
        <v>27504</v>
      </c>
      <c r="U5" s="63">
        <v>15775</v>
      </c>
      <c r="V5" s="63">
        <v>21488</v>
      </c>
      <c r="W5" s="63">
        <v>40651</v>
      </c>
      <c r="X5" s="63">
        <v>43682</v>
      </c>
      <c r="Y5" s="63">
        <v>43599</v>
      </c>
      <c r="Z5" s="63">
        <v>66021</v>
      </c>
      <c r="AA5" s="63">
        <v>56791</v>
      </c>
      <c r="AB5" s="63">
        <v>42374</v>
      </c>
      <c r="AC5" s="63">
        <v>36333</v>
      </c>
      <c r="AD5" s="63">
        <v>52625</v>
      </c>
      <c r="AE5" s="63">
        <v>50297</v>
      </c>
      <c r="AF5" s="63">
        <v>32793</v>
      </c>
      <c r="AG5" s="63">
        <v>32590</v>
      </c>
      <c r="AH5" s="63">
        <v>26837</v>
      </c>
      <c r="AI5" s="63">
        <v>26029</v>
      </c>
      <c r="AJ5" s="63">
        <v>20389</v>
      </c>
      <c r="AK5" s="63">
        <v>16208</v>
      </c>
      <c r="AL5" s="63">
        <v>45028</v>
      </c>
      <c r="AM5" s="63">
        <v>11846</v>
      </c>
      <c r="AN5" s="63">
        <v>4518</v>
      </c>
      <c r="AO5" s="63">
        <v>4320</v>
      </c>
      <c r="AP5" s="63">
        <v>9348</v>
      </c>
      <c r="AQ5" s="63">
        <v>5890</v>
      </c>
      <c r="AR5" s="63">
        <v>994</v>
      </c>
      <c r="AS5" s="63">
        <v>1230</v>
      </c>
      <c r="AT5" s="63">
        <v>33018</v>
      </c>
      <c r="AU5" s="63">
        <v>10070</v>
      </c>
      <c r="AV5" s="63">
        <v>6763</v>
      </c>
      <c r="AW5" s="63">
        <v>7361</v>
      </c>
      <c r="AX5" s="63">
        <v>49050</v>
      </c>
      <c r="AY5" s="63">
        <v>12960</v>
      </c>
      <c r="AZ5" s="63">
        <v>11112</v>
      </c>
      <c r="BA5" s="63">
        <v>16453</v>
      </c>
      <c r="BB5" s="63">
        <v>70973</v>
      </c>
      <c r="BC5" s="63">
        <v>16732</v>
      </c>
      <c r="BD5" s="63">
        <v>17536</v>
      </c>
      <c r="BE5" s="63">
        <v>20230</v>
      </c>
      <c r="BF5" s="63">
        <v>46109</v>
      </c>
      <c r="BG5" s="63">
        <v>32399</v>
      </c>
      <c r="BH5" s="63">
        <v>18769</v>
      </c>
      <c r="BI5" s="63">
        <v>10032</v>
      </c>
      <c r="BJ5" s="63">
        <v>9876</v>
      </c>
      <c r="BK5" s="63">
        <v>12609</v>
      </c>
      <c r="BL5" s="63">
        <v>-26270</v>
      </c>
      <c r="BM5" s="63">
        <v>-5775</v>
      </c>
      <c r="BN5" s="63">
        <v>69051</v>
      </c>
      <c r="BO5" s="63">
        <v>57193</v>
      </c>
      <c r="BP5" s="63">
        <v>37068</v>
      </c>
      <c r="BQ5" s="63">
        <v>20307</v>
      </c>
    </row>
    <row r="6" spans="1:69" s="5" customFormat="1" ht="15.75" customHeight="1">
      <c r="A6" s="10"/>
      <c r="B6" s="47" t="s">
        <v>128</v>
      </c>
      <c r="C6" s="47"/>
      <c r="D6" s="62">
        <f t="shared" ref="D6:N6" si="1">SUM(D7:D19)</f>
        <v>56911</v>
      </c>
      <c r="E6" s="62">
        <f t="shared" si="1"/>
        <v>68272</v>
      </c>
      <c r="F6" s="62">
        <f t="shared" si="1"/>
        <v>33572</v>
      </c>
      <c r="G6" s="62">
        <f t="shared" si="1"/>
        <v>30999</v>
      </c>
      <c r="H6" s="62">
        <f t="shared" si="1"/>
        <v>29238</v>
      </c>
      <c r="I6" s="62">
        <f t="shared" si="1"/>
        <v>25855</v>
      </c>
      <c r="J6" s="62">
        <f t="shared" si="1"/>
        <v>41811</v>
      </c>
      <c r="K6" s="62">
        <f t="shared" si="1"/>
        <v>31616</v>
      </c>
      <c r="L6" s="62">
        <f t="shared" si="1"/>
        <v>26650</v>
      </c>
      <c r="M6" s="62">
        <f t="shared" si="1"/>
        <v>23804</v>
      </c>
      <c r="N6" s="62">
        <f t="shared" si="1"/>
        <v>-5403</v>
      </c>
      <c r="O6" s="62">
        <f>SUM(O7:O18)</f>
        <v>16684</v>
      </c>
      <c r="P6" s="62">
        <f>SUM(P7:P18)</f>
        <v>29750</v>
      </c>
      <c r="Q6" s="62">
        <f t="shared" ref="Q6:V6" si="2">SUM(Q7:Q18)</f>
        <v>19577</v>
      </c>
      <c r="R6" s="62">
        <f t="shared" si="2"/>
        <v>10930</v>
      </c>
      <c r="S6" s="62">
        <f t="shared" si="2"/>
        <v>24096</v>
      </c>
      <c r="T6" s="62">
        <f t="shared" si="2"/>
        <v>15884</v>
      </c>
      <c r="U6" s="62">
        <f t="shared" si="2"/>
        <v>18914</v>
      </c>
      <c r="V6" s="62">
        <f t="shared" si="2"/>
        <v>10004</v>
      </c>
      <c r="W6" s="62">
        <f t="shared" ref="W6:BJ6" si="3">SUM(W7:W18)</f>
        <v>11874</v>
      </c>
      <c r="X6" s="62">
        <f t="shared" si="3"/>
        <v>8919</v>
      </c>
      <c r="Y6" s="62">
        <f t="shared" si="3"/>
        <v>4501</v>
      </c>
      <c r="Z6" s="62">
        <f t="shared" si="3"/>
        <v>8687</v>
      </c>
      <c r="AA6" s="62">
        <f t="shared" si="3"/>
        <v>4305</v>
      </c>
      <c r="AB6" s="62">
        <f t="shared" si="3"/>
        <v>5392</v>
      </c>
      <c r="AC6" s="62">
        <f t="shared" si="3"/>
        <v>3993</v>
      </c>
      <c r="AD6" s="62">
        <f t="shared" si="3"/>
        <v>1120</v>
      </c>
      <c r="AE6" s="62">
        <f t="shared" si="3"/>
        <v>7285</v>
      </c>
      <c r="AF6" s="62">
        <f t="shared" si="3"/>
        <v>5912</v>
      </c>
      <c r="AG6" s="62">
        <f t="shared" si="3"/>
        <v>1944</v>
      </c>
      <c r="AH6" s="62">
        <f t="shared" si="3"/>
        <v>2439</v>
      </c>
      <c r="AI6" s="62">
        <f t="shared" si="3"/>
        <v>5293</v>
      </c>
      <c r="AJ6" s="62">
        <f t="shared" si="3"/>
        <v>5039</v>
      </c>
      <c r="AK6" s="62">
        <f t="shared" si="3"/>
        <v>1994</v>
      </c>
      <c r="AL6" s="62">
        <f t="shared" si="3"/>
        <v>14217</v>
      </c>
      <c r="AM6" s="62">
        <f t="shared" si="3"/>
        <v>7841</v>
      </c>
      <c r="AN6" s="62">
        <f t="shared" si="3"/>
        <v>3820</v>
      </c>
      <c r="AO6" s="62">
        <f t="shared" si="3"/>
        <v>2297</v>
      </c>
      <c r="AP6" s="62">
        <f t="shared" si="3"/>
        <v>16467</v>
      </c>
      <c r="AQ6" s="62">
        <f t="shared" si="3"/>
        <v>10769</v>
      </c>
      <c r="AR6" s="62">
        <f t="shared" si="3"/>
        <v>6497</v>
      </c>
      <c r="AS6" s="62">
        <f t="shared" si="3"/>
        <v>735</v>
      </c>
      <c r="AT6" s="62">
        <f t="shared" si="3"/>
        <v>9247</v>
      </c>
      <c r="AU6" s="62">
        <f t="shared" si="3"/>
        <v>861</v>
      </c>
      <c r="AV6" s="62">
        <f t="shared" si="3"/>
        <v>2201</v>
      </c>
      <c r="AW6" s="62">
        <f t="shared" si="3"/>
        <v>3061</v>
      </c>
      <c r="AX6" s="62">
        <f t="shared" si="3"/>
        <v>15204</v>
      </c>
      <c r="AY6" s="62">
        <f t="shared" si="3"/>
        <v>3168</v>
      </c>
      <c r="AZ6" s="62">
        <f t="shared" si="3"/>
        <v>-1759</v>
      </c>
      <c r="BA6" s="62">
        <f t="shared" si="3"/>
        <v>5432</v>
      </c>
      <c r="BB6" s="62">
        <f t="shared" si="3"/>
        <v>12709</v>
      </c>
      <c r="BC6" s="62">
        <f t="shared" si="3"/>
        <v>2886</v>
      </c>
      <c r="BD6" s="62">
        <f t="shared" si="3"/>
        <v>3178</v>
      </c>
      <c r="BE6" s="62">
        <f t="shared" si="3"/>
        <v>4419</v>
      </c>
      <c r="BF6" s="62">
        <f t="shared" si="3"/>
        <v>48455</v>
      </c>
      <c r="BG6" s="62">
        <f t="shared" si="3"/>
        <v>35668</v>
      </c>
      <c r="BH6" s="62">
        <f t="shared" si="3"/>
        <v>25434</v>
      </c>
      <c r="BI6" s="62">
        <f t="shared" si="3"/>
        <v>12895</v>
      </c>
      <c r="BJ6" s="62">
        <f t="shared" si="3"/>
        <v>6595</v>
      </c>
      <c r="BK6" s="62">
        <f t="shared" ref="BK6:BQ6" si="4">SUM(BK7:BK18)</f>
        <v>23582</v>
      </c>
      <c r="BL6" s="62">
        <f t="shared" si="4"/>
        <v>25171</v>
      </c>
      <c r="BM6" s="62">
        <f t="shared" si="4"/>
        <v>25336</v>
      </c>
      <c r="BN6" s="62">
        <f t="shared" si="4"/>
        <v>81619</v>
      </c>
      <c r="BO6" s="62">
        <f t="shared" si="4"/>
        <v>75928</v>
      </c>
      <c r="BP6" s="62">
        <f t="shared" si="4"/>
        <v>42846</v>
      </c>
      <c r="BQ6" s="62">
        <f t="shared" si="4"/>
        <v>18274</v>
      </c>
    </row>
    <row r="7" spans="1:69" s="21" customFormat="1" ht="16.5" customHeight="1">
      <c r="A7" s="18"/>
      <c r="B7" s="52" t="s">
        <v>129</v>
      </c>
      <c r="C7" s="52"/>
      <c r="D7" s="63">
        <v>23728</v>
      </c>
      <c r="E7" s="63">
        <v>14905</v>
      </c>
      <c r="F7" s="63">
        <v>12444</v>
      </c>
      <c r="G7" s="63">
        <v>-2271</v>
      </c>
      <c r="H7" s="63">
        <v>1551</v>
      </c>
      <c r="I7" s="63">
        <v>-9933</v>
      </c>
      <c r="J7" s="63">
        <v>28089</v>
      </c>
      <c r="K7" s="63">
        <v>9350</v>
      </c>
      <c r="L7" s="63">
        <v>-4024</v>
      </c>
      <c r="M7" s="63">
        <v>-309</v>
      </c>
      <c r="N7" s="63">
        <v>6795</v>
      </c>
      <c r="O7" s="63">
        <v>-1446</v>
      </c>
      <c r="P7" s="63">
        <v>-5689</v>
      </c>
      <c r="Q7" s="63">
        <v>4849</v>
      </c>
      <c r="R7" s="63">
        <v>4523</v>
      </c>
      <c r="S7" s="63">
        <v>2737</v>
      </c>
      <c r="T7" s="63">
        <v>-1956</v>
      </c>
      <c r="U7" s="63">
        <v>-859</v>
      </c>
      <c r="V7" s="63">
        <v>-1668</v>
      </c>
      <c r="W7" s="63">
        <v>-134</v>
      </c>
      <c r="X7" s="63">
        <v>-357</v>
      </c>
      <c r="Y7" s="63">
        <v>-3854</v>
      </c>
      <c r="Z7" s="63">
        <v>730</v>
      </c>
      <c r="AA7" s="63">
        <v>424</v>
      </c>
      <c r="AB7" s="63">
        <v>1557</v>
      </c>
      <c r="AC7" s="63">
        <v>3914</v>
      </c>
      <c r="AD7" s="63">
        <v>659</v>
      </c>
      <c r="AE7" s="63">
        <v>673</v>
      </c>
      <c r="AF7" s="63" t="s">
        <v>34</v>
      </c>
      <c r="AG7" s="63">
        <v>195</v>
      </c>
      <c r="AH7" s="63">
        <v>-790</v>
      </c>
      <c r="AI7" s="63">
        <v>0</v>
      </c>
      <c r="AJ7" s="63">
        <v>-112</v>
      </c>
      <c r="AK7" s="63">
        <v>-964</v>
      </c>
      <c r="AL7" s="63" t="s">
        <v>34</v>
      </c>
      <c r="AM7" s="63" t="s">
        <v>34</v>
      </c>
      <c r="AN7" s="63" t="s">
        <v>34</v>
      </c>
      <c r="AO7" s="63" t="s">
        <v>34</v>
      </c>
      <c r="AP7" s="63">
        <v>-581</v>
      </c>
      <c r="AQ7" s="63">
        <v>-581</v>
      </c>
      <c r="AR7" s="63" t="s">
        <v>34</v>
      </c>
      <c r="AS7" s="63" t="s">
        <v>34</v>
      </c>
      <c r="AT7" s="63">
        <v>-3734</v>
      </c>
      <c r="AU7" s="63">
        <v>23</v>
      </c>
      <c r="AV7" s="63">
        <v>-1419</v>
      </c>
      <c r="AW7" s="63">
        <v>-3316</v>
      </c>
      <c r="AX7" s="63">
        <v>-1472</v>
      </c>
      <c r="AY7" s="63">
        <v>-856</v>
      </c>
      <c r="AZ7" s="63">
        <v>-1068</v>
      </c>
      <c r="BA7" s="63">
        <v>453</v>
      </c>
      <c r="BB7" s="63">
        <v>1658</v>
      </c>
      <c r="BC7" s="63">
        <v>634</v>
      </c>
      <c r="BD7" s="63">
        <v>142</v>
      </c>
      <c r="BE7" s="63">
        <v>698</v>
      </c>
      <c r="BF7" s="63">
        <v>1190</v>
      </c>
      <c r="BG7" s="63">
        <v>570</v>
      </c>
      <c r="BH7" s="63">
        <v>195</v>
      </c>
      <c r="BI7" s="63">
        <v>401</v>
      </c>
      <c r="BJ7" s="63">
        <v>563</v>
      </c>
      <c r="BK7" s="63">
        <v>523</v>
      </c>
      <c r="BL7" s="63">
        <v>414</v>
      </c>
      <c r="BM7" s="63">
        <v>396</v>
      </c>
      <c r="BN7" s="63">
        <v>2783</v>
      </c>
      <c r="BO7" s="63">
        <v>1911</v>
      </c>
      <c r="BP7" s="63">
        <v>1050</v>
      </c>
      <c r="BQ7" s="63">
        <v>450</v>
      </c>
    </row>
    <row r="8" spans="1:69" s="21" customFormat="1" ht="16.5" customHeight="1">
      <c r="A8" s="18"/>
      <c r="B8" s="52" t="s">
        <v>195</v>
      </c>
      <c r="C8" s="52"/>
      <c r="D8" s="63">
        <v>-13693</v>
      </c>
      <c r="E8" s="63">
        <v>-6985</v>
      </c>
      <c r="F8" s="63">
        <v>-8168</v>
      </c>
      <c r="G8" s="63">
        <v>268</v>
      </c>
      <c r="H8" s="63">
        <v>-827</v>
      </c>
      <c r="I8" s="63">
        <v>7176</v>
      </c>
      <c r="J8" s="63">
        <v>-18333</v>
      </c>
      <c r="K8" s="63">
        <v>-3762</v>
      </c>
      <c r="L8" s="63">
        <v>1917</v>
      </c>
      <c r="M8" s="63">
        <v>-458</v>
      </c>
      <c r="N8" s="63">
        <v>-5213</v>
      </c>
      <c r="O8" s="63">
        <v>1272</v>
      </c>
      <c r="P8" s="63">
        <v>4380</v>
      </c>
      <c r="Q8" s="63">
        <v>-3349</v>
      </c>
      <c r="R8" s="63">
        <v>1011</v>
      </c>
      <c r="S8" s="63" t="s">
        <v>34</v>
      </c>
      <c r="T8" s="63" t="s">
        <v>34</v>
      </c>
      <c r="U8" s="63" t="s">
        <v>34</v>
      </c>
      <c r="V8" s="63" t="s">
        <v>34</v>
      </c>
      <c r="W8" s="63" t="s">
        <v>34</v>
      </c>
      <c r="X8" s="63" t="s">
        <v>34</v>
      </c>
      <c r="Y8" s="63" t="s">
        <v>34</v>
      </c>
      <c r="Z8" s="63" t="s">
        <v>34</v>
      </c>
      <c r="AA8" s="63" t="s">
        <v>34</v>
      </c>
      <c r="AB8" s="63" t="s">
        <v>34</v>
      </c>
      <c r="AC8" s="63" t="s">
        <v>34</v>
      </c>
      <c r="AD8" s="63" t="s">
        <v>34</v>
      </c>
      <c r="AE8" s="63" t="s">
        <v>34</v>
      </c>
      <c r="AF8" s="63" t="s">
        <v>34</v>
      </c>
      <c r="AG8" s="63" t="s">
        <v>34</v>
      </c>
      <c r="AH8" s="63" t="s">
        <v>34</v>
      </c>
      <c r="AI8" s="63" t="s">
        <v>34</v>
      </c>
      <c r="AJ8" s="63" t="s">
        <v>34</v>
      </c>
      <c r="AK8" s="63" t="s">
        <v>34</v>
      </c>
      <c r="AL8" s="63" t="s">
        <v>34</v>
      </c>
      <c r="AM8" s="63" t="s">
        <v>34</v>
      </c>
      <c r="AN8" s="63" t="s">
        <v>34</v>
      </c>
      <c r="AO8" s="63" t="s">
        <v>34</v>
      </c>
      <c r="AP8" s="63" t="s">
        <v>34</v>
      </c>
      <c r="AQ8" s="63" t="s">
        <v>34</v>
      </c>
      <c r="AR8" s="63" t="s">
        <v>34</v>
      </c>
      <c r="AS8" s="63" t="s">
        <v>34</v>
      </c>
      <c r="AT8" s="63" t="s">
        <v>34</v>
      </c>
      <c r="AU8" s="63" t="s">
        <v>34</v>
      </c>
      <c r="AV8" s="63" t="s">
        <v>34</v>
      </c>
      <c r="AW8" s="63" t="s">
        <v>34</v>
      </c>
      <c r="AX8" s="63" t="s">
        <v>34</v>
      </c>
      <c r="AY8" s="63" t="s">
        <v>34</v>
      </c>
      <c r="AZ8" s="63" t="s">
        <v>34</v>
      </c>
      <c r="BA8" s="63" t="s">
        <v>34</v>
      </c>
      <c r="BB8" s="63" t="s">
        <v>34</v>
      </c>
      <c r="BC8" s="63" t="s">
        <v>34</v>
      </c>
      <c r="BD8" s="63" t="s">
        <v>34</v>
      </c>
      <c r="BE8" s="63" t="s">
        <v>34</v>
      </c>
      <c r="BF8" s="63" t="s">
        <v>34</v>
      </c>
      <c r="BG8" s="63" t="s">
        <v>34</v>
      </c>
      <c r="BH8" s="63" t="s">
        <v>34</v>
      </c>
      <c r="BI8" s="63" t="s">
        <v>34</v>
      </c>
      <c r="BJ8" s="63" t="s">
        <v>34</v>
      </c>
      <c r="BK8" s="63" t="s">
        <v>34</v>
      </c>
      <c r="BL8" s="63" t="s">
        <v>34</v>
      </c>
      <c r="BM8" s="63" t="s">
        <v>34</v>
      </c>
      <c r="BN8" s="63" t="s">
        <v>34</v>
      </c>
      <c r="BO8" s="63" t="s">
        <v>34</v>
      </c>
      <c r="BP8" s="63" t="s">
        <v>34</v>
      </c>
      <c r="BQ8" s="63" t="s">
        <v>34</v>
      </c>
    </row>
    <row r="9" spans="1:69" s="21" customFormat="1" ht="16.5" customHeight="1">
      <c r="A9" s="18"/>
      <c r="B9" s="52" t="s">
        <v>130</v>
      </c>
      <c r="C9" s="52"/>
      <c r="D9" s="63">
        <v>959</v>
      </c>
      <c r="E9" s="63">
        <v>949</v>
      </c>
      <c r="F9" s="63">
        <v>951</v>
      </c>
      <c r="G9" s="63">
        <v>941</v>
      </c>
      <c r="H9" s="63">
        <v>931</v>
      </c>
      <c r="I9" s="63">
        <v>925</v>
      </c>
      <c r="J9" s="63">
        <v>903</v>
      </c>
      <c r="K9" s="63">
        <v>884</v>
      </c>
      <c r="L9" s="63">
        <v>869</v>
      </c>
      <c r="M9" s="63">
        <v>724</v>
      </c>
      <c r="N9" s="63">
        <v>1329</v>
      </c>
      <c r="O9" s="63">
        <v>1432</v>
      </c>
      <c r="P9" s="63">
        <v>1399</v>
      </c>
      <c r="Q9" s="63">
        <v>1313</v>
      </c>
      <c r="R9" s="63">
        <v>414</v>
      </c>
      <c r="S9" s="63">
        <v>395</v>
      </c>
      <c r="T9" s="63">
        <v>381</v>
      </c>
      <c r="U9" s="63">
        <v>343</v>
      </c>
      <c r="V9" s="63">
        <v>387</v>
      </c>
      <c r="W9" s="63">
        <v>350</v>
      </c>
      <c r="X9" s="63">
        <v>283</v>
      </c>
      <c r="Y9" s="63">
        <v>213</v>
      </c>
      <c r="Z9" s="63">
        <v>154</v>
      </c>
      <c r="AA9" s="63">
        <v>149</v>
      </c>
      <c r="AB9" s="63">
        <v>204</v>
      </c>
      <c r="AC9" s="63">
        <v>306</v>
      </c>
      <c r="AD9" s="63">
        <v>-843</v>
      </c>
      <c r="AE9" s="63">
        <v>725</v>
      </c>
      <c r="AF9" s="63">
        <v>647</v>
      </c>
      <c r="AG9" s="63">
        <v>676</v>
      </c>
      <c r="AH9" s="63">
        <v>-4</v>
      </c>
      <c r="AI9" s="63">
        <v>479</v>
      </c>
      <c r="AJ9" s="63">
        <v>501</v>
      </c>
      <c r="AK9" s="63">
        <v>264</v>
      </c>
      <c r="AL9" s="63">
        <v>1057</v>
      </c>
      <c r="AM9" s="63">
        <v>264</v>
      </c>
      <c r="AN9" s="63">
        <v>267</v>
      </c>
      <c r="AO9" s="63">
        <v>264</v>
      </c>
      <c r="AP9" s="63">
        <v>1264</v>
      </c>
      <c r="AQ9" s="63">
        <v>962</v>
      </c>
      <c r="AR9" s="63">
        <v>658</v>
      </c>
      <c r="AS9" s="63">
        <v>332</v>
      </c>
      <c r="AT9" s="63">
        <v>1345</v>
      </c>
      <c r="AU9" s="63">
        <v>364</v>
      </c>
      <c r="AV9" s="63">
        <v>249</v>
      </c>
      <c r="AW9" s="63">
        <v>381</v>
      </c>
      <c r="AX9" s="63">
        <v>2285</v>
      </c>
      <c r="AY9" s="63">
        <v>667</v>
      </c>
      <c r="AZ9" s="63">
        <v>480</v>
      </c>
      <c r="BA9" s="63">
        <v>517</v>
      </c>
      <c r="BB9" s="63">
        <v>2156</v>
      </c>
      <c r="BC9" s="63">
        <v>517</v>
      </c>
      <c r="BD9" s="63">
        <v>547</v>
      </c>
      <c r="BE9" s="63">
        <v>552</v>
      </c>
      <c r="BF9" s="63">
        <v>2920</v>
      </c>
      <c r="BG9" s="63">
        <v>2357</v>
      </c>
      <c r="BH9" s="63">
        <v>1766</v>
      </c>
      <c r="BI9" s="63">
        <v>878</v>
      </c>
      <c r="BJ9" s="63">
        <v>903</v>
      </c>
      <c r="BK9" s="63">
        <v>827</v>
      </c>
      <c r="BL9" s="63">
        <v>762</v>
      </c>
      <c r="BM9" s="63">
        <v>799</v>
      </c>
      <c r="BN9" s="63">
        <v>2505</v>
      </c>
      <c r="BO9" s="63">
        <v>1815</v>
      </c>
      <c r="BP9" s="63">
        <v>1174</v>
      </c>
      <c r="BQ9" s="63">
        <v>570</v>
      </c>
    </row>
    <row r="10" spans="1:69" s="21" customFormat="1" ht="16.5" customHeight="1">
      <c r="A10" s="18"/>
      <c r="B10" s="52" t="s">
        <v>131</v>
      </c>
      <c r="C10" s="52"/>
      <c r="D10" s="63">
        <v>7638</v>
      </c>
      <c r="E10" s="63">
        <v>11630</v>
      </c>
      <c r="F10" s="63">
        <v>-176</v>
      </c>
      <c r="G10" s="63">
        <v>1415</v>
      </c>
      <c r="H10" s="63">
        <v>-3661</v>
      </c>
      <c r="I10" s="63">
        <v>888</v>
      </c>
      <c r="J10" s="63">
        <v>5236</v>
      </c>
      <c r="K10" s="63">
        <v>4634</v>
      </c>
      <c r="L10" s="63">
        <v>2922</v>
      </c>
      <c r="M10" s="63">
        <v>885</v>
      </c>
      <c r="N10" s="63">
        <v>-866</v>
      </c>
      <c r="O10" s="63">
        <v>-3628</v>
      </c>
      <c r="P10" s="63">
        <v>223</v>
      </c>
      <c r="Q10" s="63">
        <v>936</v>
      </c>
      <c r="R10" s="63">
        <v>1710</v>
      </c>
      <c r="S10" s="63">
        <v>2480</v>
      </c>
      <c r="T10" s="63">
        <v>2100</v>
      </c>
      <c r="U10" s="63">
        <v>412</v>
      </c>
      <c r="V10" s="63">
        <v>789</v>
      </c>
      <c r="W10" s="63">
        <v>864</v>
      </c>
      <c r="X10" s="63">
        <v>-149</v>
      </c>
      <c r="Y10" s="63">
        <v>-332</v>
      </c>
      <c r="Z10" s="63">
        <v>1608</v>
      </c>
      <c r="AA10" s="63">
        <v>1653</v>
      </c>
      <c r="AB10" s="63">
        <v>1392</v>
      </c>
      <c r="AC10" s="63">
        <v>-1380</v>
      </c>
      <c r="AD10" s="63">
        <v>-2179</v>
      </c>
      <c r="AE10" s="63">
        <v>580</v>
      </c>
      <c r="AF10" s="63">
        <v>1717</v>
      </c>
      <c r="AG10" s="63">
        <v>-1153</v>
      </c>
      <c r="AH10" s="63">
        <v>-887</v>
      </c>
      <c r="AI10" s="63">
        <v>-1339</v>
      </c>
      <c r="AJ10" s="63">
        <v>914</v>
      </c>
      <c r="AK10" s="63">
        <v>-1469</v>
      </c>
      <c r="AL10" s="63">
        <v>520</v>
      </c>
      <c r="AM10" s="63">
        <v>3108</v>
      </c>
      <c r="AN10" s="63">
        <v>-5</v>
      </c>
      <c r="AO10" s="63">
        <v>-311</v>
      </c>
      <c r="AP10" s="63">
        <v>3136</v>
      </c>
      <c r="AQ10" s="63">
        <v>656</v>
      </c>
      <c r="AR10" s="63">
        <v>-119</v>
      </c>
      <c r="AS10" s="63">
        <v>-1337</v>
      </c>
      <c r="AT10" s="63">
        <v>-2103</v>
      </c>
      <c r="AU10" s="63">
        <v>-2558</v>
      </c>
      <c r="AV10" s="63">
        <v>282</v>
      </c>
      <c r="AW10" s="63">
        <v>1683</v>
      </c>
      <c r="AX10" s="63">
        <v>2467</v>
      </c>
      <c r="AY10" s="63">
        <v>174</v>
      </c>
      <c r="AZ10" s="63">
        <v>1577</v>
      </c>
      <c r="BA10" s="63">
        <v>215</v>
      </c>
      <c r="BB10" s="63">
        <v>-1131</v>
      </c>
      <c r="BC10" s="63">
        <v>238</v>
      </c>
      <c r="BD10" s="63">
        <v>501</v>
      </c>
      <c r="BE10" s="63">
        <v>-1761</v>
      </c>
      <c r="BF10" s="63">
        <v>-8515</v>
      </c>
      <c r="BG10" s="63">
        <v>-8534</v>
      </c>
      <c r="BH10" s="63">
        <v>-5614</v>
      </c>
      <c r="BI10" s="63">
        <v>-3159</v>
      </c>
      <c r="BJ10" s="63" t="s">
        <v>34</v>
      </c>
      <c r="BK10" s="63" t="s">
        <v>34</v>
      </c>
      <c r="BL10" s="63" t="s">
        <v>34</v>
      </c>
      <c r="BM10" s="63" t="s">
        <v>34</v>
      </c>
      <c r="BN10" s="63" t="s">
        <v>34</v>
      </c>
      <c r="BO10" s="63" t="s">
        <v>34</v>
      </c>
      <c r="BP10" s="63" t="s">
        <v>34</v>
      </c>
      <c r="BQ10" s="63" t="s">
        <v>34</v>
      </c>
    </row>
    <row r="11" spans="1:69" s="21" customFormat="1" ht="16.5" customHeight="1">
      <c r="A11" s="18"/>
      <c r="B11" s="52" t="s">
        <v>132</v>
      </c>
      <c r="C11" s="52"/>
      <c r="D11" s="63" t="s">
        <v>34</v>
      </c>
      <c r="E11" s="63" t="s">
        <v>34</v>
      </c>
      <c r="F11" s="63" t="s">
        <v>34</v>
      </c>
      <c r="G11" s="63" t="s">
        <v>34</v>
      </c>
      <c r="H11" s="63" t="s">
        <v>34</v>
      </c>
      <c r="I11" s="63" t="s">
        <v>34</v>
      </c>
      <c r="J11" s="63" t="s">
        <v>34</v>
      </c>
      <c r="K11" s="63" t="s">
        <v>34</v>
      </c>
      <c r="L11" s="63" t="s">
        <v>34</v>
      </c>
      <c r="M11" s="63" t="s">
        <v>34</v>
      </c>
      <c r="N11" s="63" t="s">
        <v>34</v>
      </c>
      <c r="O11" s="63" t="s">
        <v>34</v>
      </c>
      <c r="P11" s="63" t="s">
        <v>34</v>
      </c>
      <c r="Q11" s="63" t="s">
        <v>34</v>
      </c>
      <c r="R11" s="63" t="s">
        <v>34</v>
      </c>
      <c r="S11" s="63" t="s">
        <v>34</v>
      </c>
      <c r="T11" s="63" t="s">
        <v>34</v>
      </c>
      <c r="U11" s="63" t="s">
        <v>34</v>
      </c>
      <c r="V11" s="63" t="s">
        <v>34</v>
      </c>
      <c r="W11" s="63" t="s">
        <v>34</v>
      </c>
      <c r="X11" s="63" t="s">
        <v>34</v>
      </c>
      <c r="Y11" s="63" t="s">
        <v>34</v>
      </c>
      <c r="Z11" s="63" t="s">
        <v>34</v>
      </c>
      <c r="AA11" s="63" t="s">
        <v>34</v>
      </c>
      <c r="AB11" s="63" t="s">
        <v>34</v>
      </c>
      <c r="AC11" s="63" t="s">
        <v>34</v>
      </c>
      <c r="AD11" s="63">
        <v>16</v>
      </c>
      <c r="AE11" s="63" t="s">
        <v>34</v>
      </c>
      <c r="AF11" s="63">
        <v>167</v>
      </c>
      <c r="AG11" s="63" t="s">
        <v>34</v>
      </c>
      <c r="AH11" s="63" t="s">
        <v>34</v>
      </c>
      <c r="AI11" s="63" t="s">
        <v>34</v>
      </c>
      <c r="AJ11" s="63" t="s">
        <v>34</v>
      </c>
      <c r="AK11" s="63" t="s">
        <v>34</v>
      </c>
      <c r="AL11" s="63" t="s">
        <v>34</v>
      </c>
      <c r="AM11" s="63" t="s">
        <v>34</v>
      </c>
      <c r="AN11" s="63" t="s">
        <v>34</v>
      </c>
      <c r="AO11" s="63" t="s">
        <v>34</v>
      </c>
      <c r="AP11" s="63" t="s">
        <v>34</v>
      </c>
      <c r="AQ11" s="63" t="s">
        <v>34</v>
      </c>
      <c r="AR11" s="63" t="s">
        <v>34</v>
      </c>
      <c r="AS11" s="63" t="s">
        <v>34</v>
      </c>
      <c r="AT11" s="63" t="s">
        <v>34</v>
      </c>
      <c r="AU11" s="63" t="s">
        <v>34</v>
      </c>
      <c r="AV11" s="63" t="s">
        <v>34</v>
      </c>
      <c r="AW11" s="63" t="s">
        <v>34</v>
      </c>
      <c r="AX11" s="63" t="s">
        <v>34</v>
      </c>
      <c r="AY11" s="63" t="s">
        <v>34</v>
      </c>
      <c r="AZ11" s="63" t="s">
        <v>34</v>
      </c>
      <c r="BA11" s="63" t="s">
        <v>34</v>
      </c>
      <c r="BB11" s="63" t="s">
        <v>34</v>
      </c>
      <c r="BC11" s="63" t="s">
        <v>34</v>
      </c>
      <c r="BD11" s="63" t="s">
        <v>34</v>
      </c>
      <c r="BE11" s="63" t="s">
        <v>34</v>
      </c>
      <c r="BF11" s="63" t="s">
        <v>34</v>
      </c>
      <c r="BG11" s="63" t="s">
        <v>34</v>
      </c>
      <c r="BH11" s="63" t="s">
        <v>34</v>
      </c>
      <c r="BI11" s="63" t="s">
        <v>34</v>
      </c>
      <c r="BJ11" s="63" t="s">
        <v>34</v>
      </c>
      <c r="BK11" s="63" t="s">
        <v>34</v>
      </c>
      <c r="BL11" s="63" t="s">
        <v>34</v>
      </c>
      <c r="BM11" s="63" t="s">
        <v>34</v>
      </c>
      <c r="BN11" s="63" t="s">
        <v>34</v>
      </c>
      <c r="BO11" s="63" t="s">
        <v>34</v>
      </c>
      <c r="BP11" s="63" t="s">
        <v>34</v>
      </c>
      <c r="BQ11" s="63" t="s">
        <v>34</v>
      </c>
    </row>
    <row r="12" spans="1:69" s="21" customFormat="1" ht="16.5" customHeight="1">
      <c r="A12" s="18"/>
      <c r="B12" s="52" t="s">
        <v>133</v>
      </c>
      <c r="C12" s="52"/>
      <c r="D12" s="63">
        <v>1232</v>
      </c>
      <c r="E12" s="63">
        <v>1013</v>
      </c>
      <c r="F12" s="63">
        <v>920</v>
      </c>
      <c r="G12" s="63">
        <v>920</v>
      </c>
      <c r="H12" s="63">
        <v>920</v>
      </c>
      <c r="I12" s="63">
        <v>920</v>
      </c>
      <c r="J12" s="63">
        <v>880</v>
      </c>
      <c r="K12" s="63">
        <v>880</v>
      </c>
      <c r="L12" s="63">
        <v>880</v>
      </c>
      <c r="M12" s="63">
        <v>587</v>
      </c>
      <c r="N12" s="63" t="s">
        <v>34</v>
      </c>
      <c r="O12" s="63" t="s">
        <v>34</v>
      </c>
      <c r="P12" s="63" t="s">
        <v>34</v>
      </c>
      <c r="Q12" s="63" t="s">
        <v>34</v>
      </c>
      <c r="R12" s="63">
        <v>294</v>
      </c>
      <c r="S12" s="63">
        <v>294</v>
      </c>
      <c r="T12" s="63">
        <v>294</v>
      </c>
      <c r="U12" s="63">
        <v>294</v>
      </c>
      <c r="V12" s="63">
        <v>294</v>
      </c>
      <c r="W12" s="63">
        <v>374</v>
      </c>
      <c r="X12" s="63">
        <v>352</v>
      </c>
      <c r="Y12" s="63">
        <v>409</v>
      </c>
      <c r="Z12" s="63">
        <v>409</v>
      </c>
      <c r="AA12" s="63">
        <v>409</v>
      </c>
      <c r="AB12" s="63">
        <v>409</v>
      </c>
      <c r="AC12" s="63">
        <v>409</v>
      </c>
      <c r="AD12" s="63">
        <v>1491</v>
      </c>
      <c r="AE12" s="63" t="s">
        <v>34</v>
      </c>
      <c r="AF12" s="63" t="s">
        <v>34</v>
      </c>
      <c r="AG12" s="63" t="s">
        <v>34</v>
      </c>
      <c r="AH12" s="63" t="s">
        <v>34</v>
      </c>
      <c r="AI12" s="63" t="s">
        <v>34</v>
      </c>
      <c r="AJ12" s="63" t="s">
        <v>34</v>
      </c>
      <c r="AK12" s="63" t="s">
        <v>34</v>
      </c>
      <c r="AL12" s="63" t="s">
        <v>34</v>
      </c>
      <c r="AM12" s="63" t="s">
        <v>34</v>
      </c>
      <c r="AN12" s="63" t="s">
        <v>34</v>
      </c>
      <c r="AO12" s="63" t="s">
        <v>34</v>
      </c>
      <c r="AP12" s="63" t="s">
        <v>34</v>
      </c>
      <c r="AQ12" s="63" t="s">
        <v>34</v>
      </c>
      <c r="AR12" s="63" t="s">
        <v>34</v>
      </c>
      <c r="AS12" s="63" t="s">
        <v>34</v>
      </c>
      <c r="AT12" s="63" t="s">
        <v>34</v>
      </c>
      <c r="AU12" s="63" t="s">
        <v>34</v>
      </c>
      <c r="AV12" s="63" t="s">
        <v>34</v>
      </c>
      <c r="AW12" s="63" t="s">
        <v>34</v>
      </c>
      <c r="AX12" s="63" t="s">
        <v>34</v>
      </c>
      <c r="AY12" s="63" t="s">
        <v>34</v>
      </c>
      <c r="AZ12" s="63" t="s">
        <v>34</v>
      </c>
      <c r="BA12" s="63" t="s">
        <v>34</v>
      </c>
      <c r="BB12" s="63" t="s">
        <v>34</v>
      </c>
      <c r="BC12" s="63" t="s">
        <v>34</v>
      </c>
      <c r="BD12" s="63" t="s">
        <v>34</v>
      </c>
      <c r="BE12" s="63" t="s">
        <v>34</v>
      </c>
      <c r="BF12" s="63" t="s">
        <v>34</v>
      </c>
      <c r="BG12" s="63" t="s">
        <v>34</v>
      </c>
      <c r="BH12" s="63" t="s">
        <v>34</v>
      </c>
      <c r="BI12" s="63" t="s">
        <v>34</v>
      </c>
      <c r="BJ12" s="63" t="s">
        <v>34</v>
      </c>
      <c r="BK12" s="63" t="s">
        <v>34</v>
      </c>
      <c r="BL12" s="63" t="s">
        <v>34</v>
      </c>
      <c r="BM12" s="63" t="s">
        <v>34</v>
      </c>
      <c r="BN12" s="63" t="s">
        <v>34</v>
      </c>
      <c r="BO12" s="63" t="s">
        <v>34</v>
      </c>
      <c r="BP12" s="63" t="s">
        <v>34</v>
      </c>
      <c r="BQ12" s="63" t="s">
        <v>34</v>
      </c>
    </row>
    <row r="13" spans="1:69" s="21" customFormat="1" ht="16.5" customHeight="1">
      <c r="A13" s="18"/>
      <c r="B13" s="52" t="s">
        <v>134</v>
      </c>
      <c r="C13" s="52"/>
      <c r="D13" s="63" t="s">
        <v>34</v>
      </c>
      <c r="E13" s="63" t="s">
        <v>34</v>
      </c>
      <c r="F13" s="63" t="s">
        <v>34</v>
      </c>
      <c r="G13" s="63" t="s">
        <v>34</v>
      </c>
      <c r="H13" s="63" t="s">
        <v>34</v>
      </c>
      <c r="I13" s="63" t="s">
        <v>34</v>
      </c>
      <c r="J13" s="63" t="s">
        <v>34</v>
      </c>
      <c r="K13" s="63" t="s">
        <v>34</v>
      </c>
      <c r="L13" s="63" t="s">
        <v>34</v>
      </c>
      <c r="M13" s="63" t="s">
        <v>34</v>
      </c>
      <c r="N13" s="63" t="s">
        <v>34</v>
      </c>
      <c r="O13" s="63" t="s">
        <v>34</v>
      </c>
      <c r="P13" s="63" t="s">
        <v>34</v>
      </c>
      <c r="Q13" s="63" t="s">
        <v>34</v>
      </c>
      <c r="R13" s="63" t="s">
        <v>34</v>
      </c>
      <c r="S13" s="63" t="s">
        <v>34</v>
      </c>
      <c r="T13" s="63" t="s">
        <v>34</v>
      </c>
      <c r="U13" s="63" t="s">
        <v>34</v>
      </c>
      <c r="V13" s="63" t="s">
        <v>34</v>
      </c>
      <c r="W13" s="63" t="s">
        <v>34</v>
      </c>
      <c r="X13" s="63" t="s">
        <v>34</v>
      </c>
      <c r="Y13" s="63" t="s">
        <v>34</v>
      </c>
      <c r="Z13" s="63" t="s">
        <v>34</v>
      </c>
      <c r="AA13" s="63" t="s">
        <v>34</v>
      </c>
      <c r="AB13" s="63" t="s">
        <v>34</v>
      </c>
      <c r="AC13" s="63" t="s">
        <v>34</v>
      </c>
      <c r="AD13" s="63" t="s">
        <v>34</v>
      </c>
      <c r="AE13" s="63" t="s">
        <v>34</v>
      </c>
      <c r="AF13" s="63" t="s">
        <v>34</v>
      </c>
      <c r="AG13" s="63" t="s">
        <v>34</v>
      </c>
      <c r="AH13" s="63" t="s">
        <v>34</v>
      </c>
      <c r="AI13" s="63" t="s">
        <v>34</v>
      </c>
      <c r="AJ13" s="63" t="s">
        <v>34</v>
      </c>
      <c r="AK13" s="63" t="s">
        <v>34</v>
      </c>
      <c r="AL13" s="63" t="s">
        <v>34</v>
      </c>
      <c r="AM13" s="63" t="s">
        <v>34</v>
      </c>
      <c r="AN13" s="63" t="s">
        <v>34</v>
      </c>
      <c r="AO13" s="63" t="s">
        <v>34</v>
      </c>
      <c r="AP13" s="63" t="s">
        <v>34</v>
      </c>
      <c r="AQ13" s="63" t="s">
        <v>34</v>
      </c>
      <c r="AR13" s="63" t="s">
        <v>34</v>
      </c>
      <c r="AS13" s="63" t="s">
        <v>34</v>
      </c>
      <c r="AT13" s="63" t="s">
        <v>34</v>
      </c>
      <c r="AU13" s="63" t="s">
        <v>34</v>
      </c>
      <c r="AV13" s="63" t="s">
        <v>34</v>
      </c>
      <c r="AW13" s="63" t="s">
        <v>34</v>
      </c>
      <c r="AX13" s="63" t="s">
        <v>34</v>
      </c>
      <c r="AY13" s="63" t="s">
        <v>34</v>
      </c>
      <c r="AZ13" s="63" t="s">
        <v>34</v>
      </c>
      <c r="BA13" s="63" t="s">
        <v>34</v>
      </c>
      <c r="BB13" s="63">
        <v>82</v>
      </c>
      <c r="BC13" s="63" t="s">
        <v>34</v>
      </c>
      <c r="BD13" s="63" t="s">
        <v>34</v>
      </c>
      <c r="BE13" s="63">
        <v>82</v>
      </c>
      <c r="BF13" s="63">
        <v>493</v>
      </c>
      <c r="BG13" s="63">
        <v>370</v>
      </c>
      <c r="BH13" s="63">
        <v>246</v>
      </c>
      <c r="BI13" s="63">
        <v>123</v>
      </c>
      <c r="BJ13" s="63">
        <v>123</v>
      </c>
      <c r="BK13" s="63">
        <v>124</v>
      </c>
      <c r="BL13" s="63">
        <v>123</v>
      </c>
      <c r="BM13" s="63">
        <v>123</v>
      </c>
      <c r="BN13" s="63">
        <v>940</v>
      </c>
      <c r="BO13" s="63">
        <v>816</v>
      </c>
      <c r="BP13" s="63">
        <v>503</v>
      </c>
      <c r="BQ13" s="63">
        <v>272</v>
      </c>
    </row>
    <row r="14" spans="1:69" s="21" customFormat="1" ht="16.5" customHeight="1">
      <c r="A14" s="18"/>
      <c r="B14" s="52" t="s">
        <v>135</v>
      </c>
      <c r="C14" s="52"/>
      <c r="D14" s="63">
        <v>7236</v>
      </c>
      <c r="E14" s="63">
        <v>6846</v>
      </c>
      <c r="F14" s="63">
        <v>6046</v>
      </c>
      <c r="G14" s="63">
        <v>5348</v>
      </c>
      <c r="H14" s="63">
        <v>5247</v>
      </c>
      <c r="I14" s="63">
        <v>4361</v>
      </c>
      <c r="J14" s="63">
        <v>5176</v>
      </c>
      <c r="K14" s="63">
        <v>4083</v>
      </c>
      <c r="L14" s="63">
        <v>4455</v>
      </c>
      <c r="M14" s="63">
        <v>4418</v>
      </c>
      <c r="N14" s="63">
        <v>4592</v>
      </c>
      <c r="O14" s="63">
        <v>5393</v>
      </c>
      <c r="P14" s="63">
        <v>5174</v>
      </c>
      <c r="Q14" s="63">
        <v>5072</v>
      </c>
      <c r="R14" s="63">
        <v>5246</v>
      </c>
      <c r="S14" s="63">
        <v>5273</v>
      </c>
      <c r="T14" s="63">
        <v>4860</v>
      </c>
      <c r="U14" s="63">
        <v>5241</v>
      </c>
      <c r="V14" s="63">
        <v>4388</v>
      </c>
      <c r="W14" s="63">
        <v>3834</v>
      </c>
      <c r="X14" s="63">
        <v>3241</v>
      </c>
      <c r="Y14" s="63">
        <v>3789</v>
      </c>
      <c r="Z14" s="63">
        <v>3785</v>
      </c>
      <c r="AA14" s="63">
        <v>3470</v>
      </c>
      <c r="AB14" s="63">
        <v>3097</v>
      </c>
      <c r="AC14" s="63">
        <v>2921</v>
      </c>
      <c r="AD14" s="63">
        <v>2458</v>
      </c>
      <c r="AE14" s="63">
        <v>2262</v>
      </c>
      <c r="AF14" s="63">
        <v>2047</v>
      </c>
      <c r="AG14" s="63">
        <v>1866</v>
      </c>
      <c r="AH14" s="63">
        <v>2450</v>
      </c>
      <c r="AI14" s="63">
        <v>3558</v>
      </c>
      <c r="AJ14" s="63">
        <v>1349</v>
      </c>
      <c r="AK14" s="63">
        <v>1746</v>
      </c>
      <c r="AL14" s="63">
        <v>6865</v>
      </c>
      <c r="AM14" s="63">
        <v>1708</v>
      </c>
      <c r="AN14" s="63">
        <v>1788</v>
      </c>
      <c r="AO14" s="63">
        <v>1560</v>
      </c>
      <c r="AP14" s="63">
        <v>4504</v>
      </c>
      <c r="AQ14" s="63">
        <v>3232</v>
      </c>
      <c r="AR14" s="63">
        <v>2052</v>
      </c>
      <c r="AS14" s="63">
        <v>963</v>
      </c>
      <c r="AT14" s="63">
        <v>3354</v>
      </c>
      <c r="AU14" s="63">
        <v>751</v>
      </c>
      <c r="AV14" s="63">
        <v>751</v>
      </c>
      <c r="AW14" s="63">
        <v>1106</v>
      </c>
      <c r="AX14" s="63">
        <v>4264</v>
      </c>
      <c r="AY14" s="63">
        <v>1081</v>
      </c>
      <c r="AZ14" s="63">
        <v>1037</v>
      </c>
      <c r="BA14" s="63">
        <v>949</v>
      </c>
      <c r="BB14" s="63">
        <v>3198</v>
      </c>
      <c r="BC14" s="63">
        <v>896</v>
      </c>
      <c r="BD14" s="63">
        <v>630</v>
      </c>
      <c r="BE14" s="63">
        <v>578</v>
      </c>
      <c r="BF14" s="63">
        <v>1805</v>
      </c>
      <c r="BG14" s="63">
        <v>1266</v>
      </c>
      <c r="BH14" s="63">
        <v>626</v>
      </c>
      <c r="BI14" s="63">
        <v>325</v>
      </c>
      <c r="BJ14" s="63">
        <v>945</v>
      </c>
      <c r="BK14" s="63">
        <v>567</v>
      </c>
      <c r="BL14" s="63">
        <v>1012</v>
      </c>
      <c r="BM14" s="63">
        <v>1175</v>
      </c>
      <c r="BN14" s="63">
        <v>4805</v>
      </c>
      <c r="BO14" s="63">
        <v>3604</v>
      </c>
      <c r="BP14" s="63">
        <v>2551</v>
      </c>
      <c r="BQ14" s="63">
        <v>1144</v>
      </c>
    </row>
    <row r="15" spans="1:69" s="21" customFormat="1" ht="16.5" customHeight="1">
      <c r="A15" s="18"/>
      <c r="B15" s="52" t="s">
        <v>136</v>
      </c>
      <c r="C15" s="52"/>
      <c r="D15" s="63">
        <v>33130</v>
      </c>
      <c r="E15" s="63">
        <v>34080</v>
      </c>
      <c r="F15" s="63">
        <v>17531</v>
      </c>
      <c r="G15" s="63">
        <v>17485</v>
      </c>
      <c r="H15" s="63">
        <v>16646</v>
      </c>
      <c r="I15" s="63">
        <v>15410</v>
      </c>
      <c r="J15" s="63">
        <v>16307</v>
      </c>
      <c r="K15" s="63">
        <v>15593</v>
      </c>
      <c r="L15" s="63">
        <v>17459</v>
      </c>
      <c r="M15" s="63">
        <v>14843</v>
      </c>
      <c r="N15" s="63">
        <v>15862</v>
      </c>
      <c r="O15" s="63">
        <v>15300</v>
      </c>
      <c r="P15" s="63">
        <v>18614</v>
      </c>
      <c r="Q15" s="63">
        <v>13393</v>
      </c>
      <c r="R15" s="63">
        <v>15572</v>
      </c>
      <c r="S15" s="63">
        <v>15890</v>
      </c>
      <c r="T15" s="63">
        <v>10154</v>
      </c>
      <c r="U15" s="63">
        <v>14105</v>
      </c>
      <c r="V15" s="63">
        <v>10931</v>
      </c>
      <c r="W15" s="63">
        <v>6949</v>
      </c>
      <c r="X15" s="63">
        <v>5074</v>
      </c>
      <c r="Y15" s="63">
        <v>4541</v>
      </c>
      <c r="Z15" s="63">
        <v>1017</v>
      </c>
      <c r="AA15" s="63">
        <v>2763</v>
      </c>
      <c r="AB15" s="63">
        <v>2957</v>
      </c>
      <c r="AC15" s="63">
        <v>3062</v>
      </c>
      <c r="AD15" s="63">
        <v>3575</v>
      </c>
      <c r="AE15" s="63">
        <v>3766</v>
      </c>
      <c r="AF15" s="63">
        <v>3532</v>
      </c>
      <c r="AG15" s="63">
        <v>2165</v>
      </c>
      <c r="AH15" s="63">
        <v>3271</v>
      </c>
      <c r="AI15" s="63">
        <v>2568</v>
      </c>
      <c r="AJ15" s="63">
        <v>3239</v>
      </c>
      <c r="AK15" s="63">
        <v>2670</v>
      </c>
      <c r="AL15" s="63">
        <v>11761</v>
      </c>
      <c r="AM15" s="63">
        <v>2675</v>
      </c>
      <c r="AN15" s="63">
        <v>3074</v>
      </c>
      <c r="AO15" s="63">
        <v>3779</v>
      </c>
      <c r="AP15" s="63">
        <v>11867</v>
      </c>
      <c r="AQ15" s="63">
        <v>9012</v>
      </c>
      <c r="AR15" s="63">
        <v>5883</v>
      </c>
      <c r="AS15" s="63">
        <v>2690</v>
      </c>
      <c r="AT15" s="63">
        <v>13158</v>
      </c>
      <c r="AU15" s="63">
        <v>3226</v>
      </c>
      <c r="AV15" s="63">
        <v>3605</v>
      </c>
      <c r="AW15" s="63">
        <v>3337</v>
      </c>
      <c r="AX15" s="63">
        <v>16064</v>
      </c>
      <c r="AY15" s="63">
        <v>2038</v>
      </c>
      <c r="AZ15" s="63">
        <v>2101</v>
      </c>
      <c r="BA15" s="63">
        <v>7254</v>
      </c>
      <c r="BB15" s="63">
        <v>39979</v>
      </c>
      <c r="BC15" s="63">
        <v>8747</v>
      </c>
      <c r="BD15" s="63">
        <v>12012</v>
      </c>
      <c r="BE15" s="63">
        <v>11237</v>
      </c>
      <c r="BF15" s="63">
        <v>61992</v>
      </c>
      <c r="BG15" s="63">
        <v>45397</v>
      </c>
      <c r="BH15" s="63">
        <v>31745</v>
      </c>
      <c r="BI15" s="63">
        <v>16656</v>
      </c>
      <c r="BJ15" s="63">
        <v>5156</v>
      </c>
      <c r="BK15" s="63">
        <v>21621</v>
      </c>
      <c r="BL15" s="63">
        <v>21635</v>
      </c>
      <c r="BM15" s="63">
        <v>20180</v>
      </c>
      <c r="BN15" s="63">
        <v>58192</v>
      </c>
      <c r="BO15" s="63">
        <v>40560</v>
      </c>
      <c r="BP15" s="63">
        <v>23662</v>
      </c>
      <c r="BQ15" s="63">
        <v>9373</v>
      </c>
    </row>
    <row r="16" spans="1:69" s="21" customFormat="1" ht="16.5" customHeight="1">
      <c r="A16" s="18"/>
      <c r="B16" s="52" t="s">
        <v>137</v>
      </c>
      <c r="C16" s="52"/>
      <c r="D16" s="63">
        <v>-1389</v>
      </c>
      <c r="E16" s="63">
        <v>-490</v>
      </c>
      <c r="F16" s="63">
        <v>887</v>
      </c>
      <c r="G16" s="63">
        <v>1405</v>
      </c>
      <c r="H16" s="63">
        <v>1266</v>
      </c>
      <c r="I16" s="63">
        <v>187</v>
      </c>
      <c r="J16" s="63">
        <v>-521</v>
      </c>
      <c r="K16" s="63">
        <v>-1358</v>
      </c>
      <c r="L16" s="63">
        <v>1238</v>
      </c>
      <c r="M16" s="63">
        <v>2513</v>
      </c>
      <c r="N16" s="63">
        <v>-10</v>
      </c>
      <c r="O16" s="63">
        <v>979</v>
      </c>
      <c r="P16" s="63">
        <v>1979</v>
      </c>
      <c r="Q16" s="63">
        <v>2255</v>
      </c>
      <c r="R16" s="63">
        <v>1999</v>
      </c>
      <c r="S16" s="63">
        <v>704</v>
      </c>
      <c r="T16" s="63">
        <v>-624</v>
      </c>
      <c r="U16" s="63">
        <v>-495</v>
      </c>
      <c r="V16" s="63">
        <v>-1170</v>
      </c>
      <c r="W16" s="63">
        <v>-695</v>
      </c>
      <c r="X16" s="63">
        <v>-968</v>
      </c>
      <c r="Y16" s="63">
        <v>-485</v>
      </c>
      <c r="Z16" s="63">
        <v>447</v>
      </c>
      <c r="AA16" s="63">
        <v>284</v>
      </c>
      <c r="AB16" s="63">
        <v>982</v>
      </c>
      <c r="AC16" s="63">
        <v>-1086</v>
      </c>
      <c r="AD16" s="63">
        <v>34</v>
      </c>
      <c r="AE16" s="63">
        <v>1378</v>
      </c>
      <c r="AF16" s="63">
        <v>-25</v>
      </c>
      <c r="AG16" s="63">
        <v>97</v>
      </c>
      <c r="AH16" s="63">
        <v>-576</v>
      </c>
      <c r="AI16" s="63">
        <v>998</v>
      </c>
      <c r="AJ16" s="63">
        <v>860</v>
      </c>
      <c r="AK16" s="63">
        <v>646</v>
      </c>
      <c r="AL16" s="63">
        <v>639</v>
      </c>
      <c r="AM16" s="63">
        <v>600</v>
      </c>
      <c r="AN16" s="63">
        <v>-355</v>
      </c>
      <c r="AO16" s="63">
        <v>36</v>
      </c>
      <c r="AP16" s="63">
        <v>-2610</v>
      </c>
      <c r="AQ16" s="63">
        <v>-2043</v>
      </c>
      <c r="AR16" s="63">
        <v>-1813</v>
      </c>
      <c r="AS16" s="63">
        <v>-1712</v>
      </c>
      <c r="AT16" s="63">
        <v>-867</v>
      </c>
      <c r="AU16" s="63">
        <v>503</v>
      </c>
      <c r="AV16" s="63">
        <v>-157</v>
      </c>
      <c r="AW16" s="63">
        <v>-645</v>
      </c>
      <c r="AX16" s="63">
        <v>-3728</v>
      </c>
      <c r="AY16" s="63">
        <v>-894</v>
      </c>
      <c r="AZ16" s="63">
        <v>-1266</v>
      </c>
      <c r="BA16" s="63">
        <v>-1153</v>
      </c>
      <c r="BB16" s="63">
        <v>-13119</v>
      </c>
      <c r="BC16" s="63">
        <v>-3737</v>
      </c>
      <c r="BD16" s="63">
        <v>-4008</v>
      </c>
      <c r="BE16" s="63">
        <v>-3261</v>
      </c>
      <c r="BF16" s="63">
        <v>-10461</v>
      </c>
      <c r="BG16" s="63">
        <v>-4806</v>
      </c>
      <c r="BH16" s="63">
        <v>-3862</v>
      </c>
      <c r="BI16" s="63">
        <v>-2561</v>
      </c>
      <c r="BJ16" s="63">
        <v>-1744</v>
      </c>
      <c r="BK16" s="63" t="s">
        <v>34</v>
      </c>
      <c r="BL16" s="63">
        <v>331</v>
      </c>
      <c r="BM16" s="63">
        <v>2425</v>
      </c>
      <c r="BN16" s="63">
        <v>12642</v>
      </c>
      <c r="BO16" s="63">
        <v>22089</v>
      </c>
      <c r="BP16" s="63">
        <v>13328</v>
      </c>
      <c r="BQ16" s="63">
        <v>6442</v>
      </c>
    </row>
    <row r="17" spans="1:69" s="21" customFormat="1" ht="16.5" customHeight="1">
      <c r="A17" s="18"/>
      <c r="B17" s="52" t="s">
        <v>138</v>
      </c>
      <c r="C17" s="52"/>
      <c r="D17" s="63">
        <v>4876</v>
      </c>
      <c r="E17" s="63">
        <v>5983</v>
      </c>
      <c r="F17" s="63">
        <v>5415</v>
      </c>
      <c r="G17" s="63">
        <v>5389</v>
      </c>
      <c r="H17" s="63">
        <v>4841</v>
      </c>
      <c r="I17" s="63">
        <v>4413</v>
      </c>
      <c r="J17" s="63">
        <v>2956</v>
      </c>
      <c r="K17" s="63">
        <v>2654</v>
      </c>
      <c r="L17" s="63">
        <v>3171</v>
      </c>
      <c r="M17" s="63">
        <v>4589</v>
      </c>
      <c r="N17" s="63">
        <v>1670</v>
      </c>
      <c r="O17" s="63">
        <v>1615</v>
      </c>
      <c r="P17" s="63">
        <v>1008</v>
      </c>
      <c r="Q17" s="63">
        <v>1509</v>
      </c>
      <c r="R17" s="63">
        <v>-1153</v>
      </c>
      <c r="S17" s="63">
        <v>-148</v>
      </c>
      <c r="T17" s="63">
        <v>281</v>
      </c>
      <c r="U17" s="63">
        <v>24</v>
      </c>
      <c r="V17" s="63">
        <v>42</v>
      </c>
      <c r="W17" s="63">
        <v>650</v>
      </c>
      <c r="X17" s="63">
        <v>1099</v>
      </c>
      <c r="Y17" s="63">
        <v>1520</v>
      </c>
      <c r="Z17" s="63">
        <v>1549</v>
      </c>
      <c r="AA17" s="63">
        <v>1356</v>
      </c>
      <c r="AB17" s="63">
        <v>1069</v>
      </c>
      <c r="AC17" s="63">
        <v>1318</v>
      </c>
      <c r="AD17" s="63">
        <v>2128</v>
      </c>
      <c r="AE17" s="63">
        <v>807</v>
      </c>
      <c r="AF17" s="63">
        <v>309</v>
      </c>
      <c r="AG17" s="63" t="s">
        <v>34</v>
      </c>
      <c r="AH17" s="63">
        <v>-279</v>
      </c>
      <c r="AI17" s="63">
        <v>-33</v>
      </c>
      <c r="AJ17" s="63">
        <v>3</v>
      </c>
      <c r="AK17" s="63">
        <v>7</v>
      </c>
      <c r="AL17" s="63">
        <v>-2575</v>
      </c>
      <c r="AM17" s="63">
        <v>2</v>
      </c>
      <c r="AN17" s="63">
        <v>5</v>
      </c>
      <c r="AO17" s="63">
        <v>-1899</v>
      </c>
      <c r="AP17" s="63">
        <v>-156</v>
      </c>
      <c r="AQ17" s="63">
        <v>8</v>
      </c>
      <c r="AR17" s="63">
        <v>5</v>
      </c>
      <c r="AS17" s="63">
        <v>3</v>
      </c>
      <c r="AT17" s="63">
        <v>372</v>
      </c>
      <c r="AU17" s="63">
        <v>3</v>
      </c>
      <c r="AV17" s="63">
        <v>3</v>
      </c>
      <c r="AW17" s="63">
        <v>143</v>
      </c>
      <c r="AX17" s="63">
        <v>-85</v>
      </c>
      <c r="AY17" s="63">
        <v>36</v>
      </c>
      <c r="AZ17" s="63">
        <v>-118</v>
      </c>
      <c r="BA17" s="63">
        <v>-65</v>
      </c>
      <c r="BB17" s="63">
        <v>-1263</v>
      </c>
      <c r="BC17" s="63">
        <v>-57</v>
      </c>
      <c r="BD17" s="63">
        <v>-1400</v>
      </c>
      <c r="BE17" s="63">
        <v>158</v>
      </c>
      <c r="BF17" s="63">
        <v>-969</v>
      </c>
      <c r="BG17" s="63">
        <v>-952</v>
      </c>
      <c r="BH17" s="63">
        <v>332</v>
      </c>
      <c r="BI17" s="63">
        <v>232</v>
      </c>
      <c r="BJ17" s="63">
        <v>649</v>
      </c>
      <c r="BK17" s="63">
        <v>317</v>
      </c>
      <c r="BL17" s="63">
        <v>863</v>
      </c>
      <c r="BM17" s="63">
        <v>238</v>
      </c>
      <c r="BN17" s="63">
        <v>-248</v>
      </c>
      <c r="BO17" s="63">
        <v>791</v>
      </c>
      <c r="BP17" s="63">
        <v>402</v>
      </c>
      <c r="BQ17" s="63">
        <v>11</v>
      </c>
    </row>
    <row r="18" spans="1:69" s="21" customFormat="1" ht="16.5" customHeight="1">
      <c r="A18" s="18"/>
      <c r="B18" s="52" t="s">
        <v>167</v>
      </c>
      <c r="C18" s="52"/>
      <c r="D18" s="63">
        <f>-3831-2975</f>
        <v>-6806</v>
      </c>
      <c r="E18" s="63">
        <f>2117-1776</f>
        <v>341</v>
      </c>
      <c r="F18" s="63">
        <f>-5208+2930</f>
        <v>-2278</v>
      </c>
      <c r="G18" s="63">
        <f>2511-2412</f>
        <v>99</v>
      </c>
      <c r="H18" s="63">
        <f>182+2142</f>
        <v>2324</v>
      </c>
      <c r="I18" s="63">
        <f>-342+1850</f>
        <v>1508</v>
      </c>
      <c r="J18" s="63">
        <f>-2390+3508</f>
        <v>1118</v>
      </c>
      <c r="K18" s="63">
        <f>-4093+2751</f>
        <v>-1342</v>
      </c>
      <c r="L18" s="63">
        <f>-5396+3159</f>
        <v>-2237</v>
      </c>
      <c r="M18" s="63">
        <f>-7034+3046</f>
        <v>-3988</v>
      </c>
      <c r="N18" s="63">
        <f>3186-26070</f>
        <v>-22884</v>
      </c>
      <c r="O18" s="63">
        <f>2878-7111</f>
        <v>-4233</v>
      </c>
      <c r="P18" s="63">
        <f>8691-6029</f>
        <v>2662</v>
      </c>
      <c r="Q18" s="63">
        <f>-8429+2028</f>
        <v>-6401</v>
      </c>
      <c r="R18" s="63">
        <f>-10463+3589-11812</f>
        <v>-18686</v>
      </c>
      <c r="S18" s="63">
        <f>-3677+148</f>
        <v>-3529</v>
      </c>
      <c r="T18" s="63">
        <v>394</v>
      </c>
      <c r="U18" s="63">
        <f>375-2250+1724</f>
        <v>-151</v>
      </c>
      <c r="V18" s="63">
        <f>-5853-1361+3225</f>
        <v>-3989</v>
      </c>
      <c r="W18" s="63">
        <f>-2940+2622</f>
        <v>-318</v>
      </c>
      <c r="X18" s="63">
        <f>-1259+1603</f>
        <v>344</v>
      </c>
      <c r="Y18" s="63">
        <f>-2884+1584</f>
        <v>-1300</v>
      </c>
      <c r="Z18" s="63">
        <f>-8295+7283</f>
        <v>-1012</v>
      </c>
      <c r="AA18" s="63">
        <v>-6203</v>
      </c>
      <c r="AB18" s="63">
        <v>-6275</v>
      </c>
      <c r="AC18" s="63">
        <v>-5471</v>
      </c>
      <c r="AD18" s="63">
        <v>-6219</v>
      </c>
      <c r="AE18" s="63">
        <v>-2906</v>
      </c>
      <c r="AF18" s="63">
        <v>-2482</v>
      </c>
      <c r="AG18" s="63">
        <v>-1902</v>
      </c>
      <c r="AH18" s="63">
        <v>-746</v>
      </c>
      <c r="AI18" s="63">
        <v>-938</v>
      </c>
      <c r="AJ18" s="63">
        <v>-1715</v>
      </c>
      <c r="AK18" s="63">
        <v>-906</v>
      </c>
      <c r="AL18" s="63">
        <v>-4050</v>
      </c>
      <c r="AM18" s="63">
        <v>-516</v>
      </c>
      <c r="AN18" s="63">
        <v>-954</v>
      </c>
      <c r="AO18" s="63">
        <v>-1132</v>
      </c>
      <c r="AP18" s="63">
        <v>-957</v>
      </c>
      <c r="AQ18" s="63">
        <v>-477</v>
      </c>
      <c r="AR18" s="63">
        <v>-169</v>
      </c>
      <c r="AS18" s="63">
        <v>-204</v>
      </c>
      <c r="AT18" s="63">
        <v>-2278</v>
      </c>
      <c r="AU18" s="63">
        <v>-1451</v>
      </c>
      <c r="AV18" s="63">
        <v>-1113</v>
      </c>
      <c r="AW18" s="63">
        <v>372</v>
      </c>
      <c r="AX18" s="63">
        <v>-4591</v>
      </c>
      <c r="AY18" s="63">
        <v>922</v>
      </c>
      <c r="AZ18" s="63">
        <v>-4502</v>
      </c>
      <c r="BA18" s="63">
        <v>-2738</v>
      </c>
      <c r="BB18" s="63">
        <v>-18851</v>
      </c>
      <c r="BC18" s="63">
        <v>-4352</v>
      </c>
      <c r="BD18" s="63">
        <v>-5246</v>
      </c>
      <c r="BE18" s="63">
        <v>-3864</v>
      </c>
      <c r="BF18" s="63" t="s">
        <v>34</v>
      </c>
      <c r="BG18" s="63" t="s">
        <v>34</v>
      </c>
      <c r="BH18" s="63" t="s">
        <v>34</v>
      </c>
      <c r="BI18" s="63" t="s">
        <v>34</v>
      </c>
      <c r="BJ18" s="63" t="s">
        <v>34</v>
      </c>
      <c r="BK18" s="63">
        <v>-397</v>
      </c>
      <c r="BL18" s="63">
        <v>31</v>
      </c>
      <c r="BM18" s="63" t="s">
        <v>34</v>
      </c>
      <c r="BN18" s="63" t="s">
        <v>34</v>
      </c>
      <c r="BO18" s="63">
        <v>4342</v>
      </c>
      <c r="BP18" s="63">
        <v>176</v>
      </c>
      <c r="BQ18" s="63">
        <v>12</v>
      </c>
    </row>
    <row r="19" spans="1:69" s="21" customFormat="1" ht="16.5" customHeight="1">
      <c r="A19" s="18"/>
      <c r="B19" s="70" t="s">
        <v>199</v>
      </c>
      <c r="C19" s="70"/>
      <c r="D19" s="71" t="s">
        <v>34</v>
      </c>
      <c r="E19" s="71" t="s">
        <v>34</v>
      </c>
      <c r="F19" s="71" t="s">
        <v>34</v>
      </c>
      <c r="G19" s="71" t="s">
        <v>34</v>
      </c>
      <c r="H19" s="71" t="s">
        <v>34</v>
      </c>
      <c r="I19" s="71" t="s">
        <v>34</v>
      </c>
      <c r="J19" s="71" t="s">
        <v>34</v>
      </c>
      <c r="K19" s="71" t="s">
        <v>34</v>
      </c>
      <c r="L19" s="71"/>
      <c r="M19" s="71" t="s">
        <v>34</v>
      </c>
      <c r="N19" s="71">
        <v>-6678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</row>
    <row r="20" spans="1:69" s="25" customFormat="1" ht="16.5" customHeight="1">
      <c r="A20" s="24"/>
      <c r="B20" s="56" t="s">
        <v>139</v>
      </c>
      <c r="C20" s="56"/>
      <c r="D20" s="57">
        <f t="shared" ref="D20:AM20" si="5">SUM(D21:D25)</f>
        <v>65375</v>
      </c>
      <c r="E20" s="57">
        <f t="shared" si="5"/>
        <v>55350</v>
      </c>
      <c r="F20" s="57">
        <f t="shared" si="5"/>
        <v>64015</v>
      </c>
      <c r="G20" s="57">
        <f t="shared" si="5"/>
        <v>-80331</v>
      </c>
      <c r="H20" s="57">
        <f t="shared" si="5"/>
        <v>-30281</v>
      </c>
      <c r="I20" s="57">
        <f t="shared" si="5"/>
        <v>-27638</v>
      </c>
      <c r="J20" s="57">
        <f t="shared" si="5"/>
        <v>104553</v>
      </c>
      <c r="K20" s="57">
        <f t="shared" si="5"/>
        <v>97377</v>
      </c>
      <c r="L20" s="57">
        <f t="shared" si="5"/>
        <v>-13962</v>
      </c>
      <c r="M20" s="57">
        <f t="shared" si="5"/>
        <v>-38558</v>
      </c>
      <c r="N20" s="57">
        <f t="shared" si="5"/>
        <v>79474</v>
      </c>
      <c r="O20" s="57">
        <f t="shared" si="5"/>
        <v>-18930</v>
      </c>
      <c r="P20" s="57">
        <f t="shared" si="5"/>
        <v>-37496</v>
      </c>
      <c r="Q20" s="57">
        <f t="shared" si="5"/>
        <v>-79241</v>
      </c>
      <c r="R20" s="57">
        <f t="shared" si="5"/>
        <v>-121624</v>
      </c>
      <c r="S20" s="57">
        <f t="shared" si="5"/>
        <v>-79009</v>
      </c>
      <c r="T20" s="57">
        <f t="shared" si="5"/>
        <v>5909</v>
      </c>
      <c r="U20" s="57">
        <f t="shared" si="5"/>
        <v>-8506</v>
      </c>
      <c r="V20" s="57">
        <f t="shared" si="5"/>
        <v>48404</v>
      </c>
      <c r="W20" s="57">
        <f t="shared" si="5"/>
        <v>28803</v>
      </c>
      <c r="X20" s="57">
        <f t="shared" si="5"/>
        <v>45489</v>
      </c>
      <c r="Y20" s="57">
        <f t="shared" si="5"/>
        <v>31625</v>
      </c>
      <c r="Z20" s="57">
        <f t="shared" si="5"/>
        <v>-2426</v>
      </c>
      <c r="AA20" s="57">
        <f t="shared" si="5"/>
        <v>15149</v>
      </c>
      <c r="AB20" s="57">
        <f t="shared" si="5"/>
        <v>-56464</v>
      </c>
      <c r="AC20" s="57">
        <f t="shared" si="5"/>
        <v>30871</v>
      </c>
      <c r="AD20" s="57">
        <f t="shared" si="5"/>
        <v>48303</v>
      </c>
      <c r="AE20" s="57">
        <f t="shared" si="5"/>
        <v>-34613</v>
      </c>
      <c r="AF20" s="57">
        <f t="shared" si="5"/>
        <v>-103523</v>
      </c>
      <c r="AG20" s="57">
        <f t="shared" si="5"/>
        <v>-13103</v>
      </c>
      <c r="AH20" s="57">
        <f t="shared" si="5"/>
        <v>6154</v>
      </c>
      <c r="AI20" s="57">
        <f t="shared" si="5"/>
        <v>-5320</v>
      </c>
      <c r="AJ20" s="57">
        <f t="shared" si="5"/>
        <v>-2008</v>
      </c>
      <c r="AK20" s="57">
        <f t="shared" si="5"/>
        <v>-28555</v>
      </c>
      <c r="AL20" s="57">
        <f t="shared" si="5"/>
        <v>10588</v>
      </c>
      <c r="AM20" s="57">
        <f t="shared" si="5"/>
        <v>-402</v>
      </c>
      <c r="AN20" s="57">
        <f t="shared" ref="AN20:BQ20" si="6">SUM(AN21:AN25)</f>
        <v>31817</v>
      </c>
      <c r="AO20" s="57">
        <f t="shared" si="6"/>
        <v>28283</v>
      </c>
      <c r="AP20" s="57">
        <f t="shared" si="6"/>
        <v>167183</v>
      </c>
      <c r="AQ20" s="57">
        <f t="shared" si="6"/>
        <v>132989</v>
      </c>
      <c r="AR20" s="57">
        <f t="shared" si="6"/>
        <v>94823</v>
      </c>
      <c r="AS20" s="57">
        <f t="shared" si="6"/>
        <v>50102</v>
      </c>
      <c r="AT20" s="57">
        <f t="shared" si="6"/>
        <v>72163</v>
      </c>
      <c r="AU20" s="57">
        <f t="shared" si="6"/>
        <v>-2774</v>
      </c>
      <c r="AV20" s="57">
        <f t="shared" si="6"/>
        <v>22366</v>
      </c>
      <c r="AW20" s="57">
        <f t="shared" si="6"/>
        <v>42130</v>
      </c>
      <c r="AX20" s="57">
        <f t="shared" si="6"/>
        <v>191220</v>
      </c>
      <c r="AY20" s="57">
        <f t="shared" si="6"/>
        <v>32484</v>
      </c>
      <c r="AZ20" s="57">
        <f t="shared" si="6"/>
        <v>58843</v>
      </c>
      <c r="BA20" s="57">
        <f t="shared" si="6"/>
        <v>61410</v>
      </c>
      <c r="BB20" s="57">
        <f t="shared" si="6"/>
        <v>442456</v>
      </c>
      <c r="BC20" s="57">
        <f t="shared" si="6"/>
        <v>129615</v>
      </c>
      <c r="BD20" s="57">
        <f t="shared" si="6"/>
        <v>140390</v>
      </c>
      <c r="BE20" s="57">
        <f t="shared" si="6"/>
        <v>65408</v>
      </c>
      <c r="BF20" s="57">
        <f t="shared" si="6"/>
        <v>180530</v>
      </c>
      <c r="BG20" s="57">
        <f t="shared" si="6"/>
        <v>123508</v>
      </c>
      <c r="BH20" s="57">
        <f t="shared" si="6"/>
        <v>61118</v>
      </c>
      <c r="BI20" s="57">
        <f t="shared" si="6"/>
        <v>51203</v>
      </c>
      <c r="BJ20" s="57">
        <f t="shared" si="6"/>
        <v>36032</v>
      </c>
      <c r="BK20" s="57">
        <f t="shared" si="6"/>
        <v>50683</v>
      </c>
      <c r="BL20" s="57">
        <f t="shared" si="6"/>
        <v>19789</v>
      </c>
      <c r="BM20" s="57">
        <f t="shared" si="6"/>
        <v>-71864</v>
      </c>
      <c r="BN20" s="57">
        <f t="shared" si="6"/>
        <v>-588476</v>
      </c>
      <c r="BO20" s="57">
        <f t="shared" si="6"/>
        <v>-347757</v>
      </c>
      <c r="BP20" s="57">
        <f t="shared" si="6"/>
        <v>-205262</v>
      </c>
      <c r="BQ20" s="57">
        <f t="shared" si="6"/>
        <v>-91200</v>
      </c>
    </row>
    <row r="21" spans="1:69" s="21" customFormat="1" ht="16.5" customHeight="1">
      <c r="A21" s="18"/>
      <c r="B21" s="52" t="s">
        <v>49</v>
      </c>
      <c r="C21" s="52"/>
      <c r="D21" s="63" t="s">
        <v>34</v>
      </c>
      <c r="E21" s="63" t="s">
        <v>34</v>
      </c>
      <c r="F21" s="63" t="s">
        <v>34</v>
      </c>
      <c r="G21" s="63">
        <v>4762</v>
      </c>
      <c r="H21" s="63">
        <v>-5159</v>
      </c>
      <c r="I21" s="63">
        <v>1717</v>
      </c>
      <c r="J21" s="63">
        <v>-27346</v>
      </c>
      <c r="K21" s="63">
        <v>-692</v>
      </c>
      <c r="L21" s="63">
        <v>-680</v>
      </c>
      <c r="M21" s="63">
        <v>-650</v>
      </c>
      <c r="N21" s="63">
        <v>-12695</v>
      </c>
      <c r="O21" s="63" t="s">
        <v>34</v>
      </c>
      <c r="P21" s="63" t="s">
        <v>34</v>
      </c>
      <c r="Q21" s="63" t="s">
        <v>34</v>
      </c>
      <c r="R21" s="63" t="s">
        <v>34</v>
      </c>
      <c r="S21" s="63" t="s">
        <v>34</v>
      </c>
      <c r="T21" s="63" t="s">
        <v>34</v>
      </c>
      <c r="U21" s="63" t="s">
        <v>34</v>
      </c>
      <c r="V21" s="63" t="s">
        <v>34</v>
      </c>
      <c r="W21" s="63" t="s">
        <v>34</v>
      </c>
      <c r="X21" s="63" t="s">
        <v>34</v>
      </c>
      <c r="Y21" s="63" t="s">
        <v>34</v>
      </c>
      <c r="Z21" s="63" t="s">
        <v>34</v>
      </c>
      <c r="AA21" s="63" t="s">
        <v>34</v>
      </c>
      <c r="AB21" s="63" t="s">
        <v>34</v>
      </c>
      <c r="AC21" s="63" t="s">
        <v>34</v>
      </c>
      <c r="AD21" s="63" t="s">
        <v>34</v>
      </c>
      <c r="AE21" s="63" t="s">
        <v>34</v>
      </c>
      <c r="AF21" s="63" t="s">
        <v>34</v>
      </c>
      <c r="AG21" s="63" t="s">
        <v>34</v>
      </c>
      <c r="AH21" s="63" t="s">
        <v>34</v>
      </c>
      <c r="AI21" s="63" t="s">
        <v>34</v>
      </c>
      <c r="AJ21" s="63" t="s">
        <v>34</v>
      </c>
      <c r="AK21" s="63" t="s">
        <v>34</v>
      </c>
      <c r="AL21" s="63" t="s">
        <v>34</v>
      </c>
      <c r="AM21" s="63" t="s">
        <v>34</v>
      </c>
      <c r="AN21" s="63" t="s">
        <v>34</v>
      </c>
      <c r="AO21" s="63" t="s">
        <v>34</v>
      </c>
      <c r="AP21" s="63" t="s">
        <v>34</v>
      </c>
      <c r="AQ21" s="63" t="s">
        <v>34</v>
      </c>
      <c r="AR21" s="63" t="s">
        <v>34</v>
      </c>
      <c r="AS21" s="63" t="s">
        <v>34</v>
      </c>
      <c r="AT21" s="63" t="s">
        <v>34</v>
      </c>
      <c r="AU21" s="63" t="s">
        <v>34</v>
      </c>
      <c r="AV21" s="63" t="s">
        <v>34</v>
      </c>
      <c r="AW21" s="63" t="s">
        <v>34</v>
      </c>
      <c r="AX21" s="63" t="s">
        <v>34</v>
      </c>
      <c r="AY21" s="63" t="s">
        <v>34</v>
      </c>
      <c r="AZ21" s="63" t="s">
        <v>34</v>
      </c>
      <c r="BA21" s="63" t="s">
        <v>34</v>
      </c>
      <c r="BB21" s="63" t="s">
        <v>34</v>
      </c>
      <c r="BC21" s="63" t="s">
        <v>34</v>
      </c>
      <c r="BD21" s="63" t="s">
        <v>34</v>
      </c>
      <c r="BE21" s="63" t="s">
        <v>34</v>
      </c>
      <c r="BF21" s="63">
        <v>25276</v>
      </c>
      <c r="BG21" s="63">
        <v>25044</v>
      </c>
      <c r="BH21" s="63">
        <v>-6451</v>
      </c>
      <c r="BI21" s="63">
        <v>6246</v>
      </c>
      <c r="BJ21" s="63">
        <v>7144</v>
      </c>
      <c r="BK21" s="63">
        <v>37093</v>
      </c>
      <c r="BL21" s="63">
        <v>21107</v>
      </c>
      <c r="BM21" s="63">
        <v>10094</v>
      </c>
      <c r="BN21" s="63">
        <v>-185206</v>
      </c>
      <c r="BO21" s="63">
        <v>1699</v>
      </c>
      <c r="BP21" s="63">
        <v>1542</v>
      </c>
      <c r="BQ21" s="63">
        <v>904</v>
      </c>
    </row>
    <row r="22" spans="1:69" s="21" customFormat="1" ht="16.5" customHeight="1">
      <c r="A22" s="18"/>
      <c r="B22" s="52" t="s">
        <v>91</v>
      </c>
      <c r="C22" s="52"/>
      <c r="D22" s="63">
        <v>-23096</v>
      </c>
      <c r="E22" s="63">
        <v>-21940</v>
      </c>
      <c r="F22" s="63">
        <v>-51470</v>
      </c>
      <c r="G22" s="63">
        <v>-82478</v>
      </c>
      <c r="H22" s="63">
        <v>-97328</v>
      </c>
      <c r="I22" s="63">
        <v>-22893</v>
      </c>
      <c r="J22" s="63">
        <v>-65055</v>
      </c>
      <c r="K22" s="63">
        <v>73266</v>
      </c>
      <c r="L22" s="63">
        <v>-70968</v>
      </c>
      <c r="M22" s="63">
        <v>-105803</v>
      </c>
      <c r="N22" s="63">
        <v>23469</v>
      </c>
      <c r="O22" s="63">
        <v>-48070</v>
      </c>
      <c r="P22" s="63">
        <v>-102709</v>
      </c>
      <c r="Q22" s="63">
        <v>-131927</v>
      </c>
      <c r="R22" s="63">
        <v>-87660</v>
      </c>
      <c r="S22" s="63">
        <v>-42079</v>
      </c>
      <c r="T22" s="63">
        <v>22921</v>
      </c>
      <c r="U22" s="63">
        <v>21717</v>
      </c>
      <c r="V22" s="63">
        <v>60346</v>
      </c>
      <c r="W22" s="63">
        <v>20072</v>
      </c>
      <c r="X22" s="63">
        <v>40212</v>
      </c>
      <c r="Y22" s="63">
        <v>15959</v>
      </c>
      <c r="Z22" s="63">
        <v>-30597</v>
      </c>
      <c r="AA22" s="63">
        <v>-18123</v>
      </c>
      <c r="AB22" s="63">
        <v>-53420</v>
      </c>
      <c r="AC22" s="63">
        <v>-4629</v>
      </c>
      <c r="AD22" s="63">
        <v>54</v>
      </c>
      <c r="AE22" s="63">
        <v>-69508</v>
      </c>
      <c r="AF22" s="63">
        <v>-9991</v>
      </c>
      <c r="AG22" s="63">
        <v>-21566</v>
      </c>
      <c r="AH22" s="63">
        <v>16307</v>
      </c>
      <c r="AI22" s="63">
        <v>-12477</v>
      </c>
      <c r="AJ22" s="63">
        <v>-28785</v>
      </c>
      <c r="AK22" s="63">
        <v>-34439</v>
      </c>
      <c r="AL22" s="63">
        <v>-40951</v>
      </c>
      <c r="AM22" s="63">
        <v>-29967</v>
      </c>
      <c r="AN22" s="63">
        <v>8211</v>
      </c>
      <c r="AO22" s="63">
        <v>-3724</v>
      </c>
      <c r="AP22" s="63">
        <v>112997</v>
      </c>
      <c r="AQ22" s="63">
        <v>84597</v>
      </c>
      <c r="AR22" s="63">
        <v>75473</v>
      </c>
      <c r="AS22" s="63">
        <v>32382</v>
      </c>
      <c r="AT22" s="63">
        <v>2422</v>
      </c>
      <c r="AU22" s="63">
        <v>-38847</v>
      </c>
      <c r="AV22" s="63">
        <v>13434</v>
      </c>
      <c r="AW22" s="63">
        <v>20868</v>
      </c>
      <c r="AX22" s="63">
        <v>171189</v>
      </c>
      <c r="AY22" s="63">
        <v>32793</v>
      </c>
      <c r="AZ22" s="63">
        <v>57692</v>
      </c>
      <c r="BA22" s="63">
        <v>49447</v>
      </c>
      <c r="BB22" s="63">
        <v>346564</v>
      </c>
      <c r="BC22" s="63">
        <v>131417</v>
      </c>
      <c r="BD22" s="63">
        <v>104901</v>
      </c>
      <c r="BE22" s="63">
        <v>17051</v>
      </c>
      <c r="BF22" s="63">
        <v>117022</v>
      </c>
      <c r="BG22" s="63">
        <v>84671</v>
      </c>
      <c r="BH22" s="63">
        <v>54347</v>
      </c>
      <c r="BI22" s="63">
        <v>40708</v>
      </c>
      <c r="BJ22" s="63">
        <v>45646</v>
      </c>
      <c r="BK22" s="63">
        <v>23360</v>
      </c>
      <c r="BL22" s="63">
        <v>-6703</v>
      </c>
      <c r="BM22" s="63">
        <v>-72002</v>
      </c>
      <c r="BN22" s="63">
        <v>-375082</v>
      </c>
      <c r="BO22" s="63">
        <v>-334307</v>
      </c>
      <c r="BP22" s="63">
        <v>-208240</v>
      </c>
      <c r="BQ22" s="63">
        <v>-102574</v>
      </c>
    </row>
    <row r="23" spans="1:69" s="21" customFormat="1" ht="16.5" customHeight="1">
      <c r="A23" s="18"/>
      <c r="B23" s="52" t="s">
        <v>140</v>
      </c>
      <c r="C23" s="52"/>
      <c r="D23" s="63">
        <v>84448</v>
      </c>
      <c r="E23" s="63">
        <v>78240</v>
      </c>
      <c r="F23" s="63">
        <v>121930</v>
      </c>
      <c r="G23" s="63">
        <v>1905</v>
      </c>
      <c r="H23" s="63">
        <v>73363</v>
      </c>
      <c r="I23" s="63">
        <v>-7798</v>
      </c>
      <c r="J23" s="63">
        <v>194122</v>
      </c>
      <c r="K23" s="63">
        <v>28123</v>
      </c>
      <c r="L23" s="63">
        <v>67438</v>
      </c>
      <c r="M23" s="63">
        <v>65822</v>
      </c>
      <c r="N23" s="63">
        <v>85631</v>
      </c>
      <c r="O23" s="63">
        <v>40034</v>
      </c>
      <c r="P23" s="63">
        <v>68860</v>
      </c>
      <c r="Q23" s="63">
        <v>29248</v>
      </c>
      <c r="R23" s="63">
        <v>-13271</v>
      </c>
      <c r="S23" s="63">
        <v>-39906</v>
      </c>
      <c r="T23" s="63">
        <v>-16885</v>
      </c>
      <c r="U23" s="63">
        <v>-30463</v>
      </c>
      <c r="V23" s="63">
        <v>-12770</v>
      </c>
      <c r="W23" s="63">
        <v>8920</v>
      </c>
      <c r="X23" s="63">
        <v>6241</v>
      </c>
      <c r="Y23" s="63">
        <v>12436</v>
      </c>
      <c r="Z23" s="63">
        <v>24361</v>
      </c>
      <c r="AA23" s="63">
        <v>30336</v>
      </c>
      <c r="AB23" s="63">
        <v>-2490</v>
      </c>
      <c r="AC23" s="63">
        <v>34553</v>
      </c>
      <c r="AD23" s="63">
        <v>33901</v>
      </c>
      <c r="AE23" s="63">
        <v>33247</v>
      </c>
      <c r="AF23" s="63">
        <v>-93670</v>
      </c>
      <c r="AG23" s="63">
        <v>8623</v>
      </c>
      <c r="AH23" s="63">
        <v>-10608</v>
      </c>
      <c r="AI23" s="63">
        <v>5108</v>
      </c>
      <c r="AJ23" s="63">
        <v>26712</v>
      </c>
      <c r="AK23" s="63">
        <v>8590</v>
      </c>
      <c r="AL23" s="63">
        <v>47319</v>
      </c>
      <c r="AM23" s="63">
        <v>26820</v>
      </c>
      <c r="AN23" s="63">
        <v>23342</v>
      </c>
      <c r="AO23" s="63">
        <v>32916</v>
      </c>
      <c r="AP23" s="63">
        <v>78993</v>
      </c>
      <c r="AQ23" s="63">
        <v>70241</v>
      </c>
      <c r="AR23" s="63">
        <v>41290</v>
      </c>
      <c r="AS23" s="63">
        <v>19076</v>
      </c>
      <c r="AT23" s="63">
        <v>61211</v>
      </c>
      <c r="AU23" s="63">
        <v>34614</v>
      </c>
      <c r="AV23" s="63">
        <v>10305</v>
      </c>
      <c r="AW23" s="63">
        <v>12692</v>
      </c>
      <c r="AX23" s="63">
        <v>16413</v>
      </c>
      <c r="AY23" s="63">
        <v>94</v>
      </c>
      <c r="AZ23" s="63">
        <v>-116</v>
      </c>
      <c r="BA23" s="63">
        <v>9735</v>
      </c>
      <c r="BB23" s="63">
        <v>86454</v>
      </c>
      <c r="BC23" s="63">
        <v>4145</v>
      </c>
      <c r="BD23" s="63">
        <v>29398</v>
      </c>
      <c r="BE23" s="63">
        <v>39771</v>
      </c>
      <c r="BF23" s="63">
        <v>25431</v>
      </c>
      <c r="BG23" s="63">
        <v>5889</v>
      </c>
      <c r="BH23" s="63">
        <v>2449</v>
      </c>
      <c r="BI23" s="63">
        <v>210</v>
      </c>
      <c r="BJ23" s="63">
        <v>-6200</v>
      </c>
      <c r="BK23" s="63">
        <v>-20822</v>
      </c>
      <c r="BL23" s="63">
        <v>26657</v>
      </c>
      <c r="BM23" s="63">
        <v>-7803</v>
      </c>
      <c r="BN23" s="63">
        <v>-25341</v>
      </c>
      <c r="BO23" s="63">
        <v>-13231</v>
      </c>
      <c r="BP23" s="63">
        <v>785</v>
      </c>
      <c r="BQ23" s="63">
        <v>10136</v>
      </c>
    </row>
    <row r="24" spans="1:69" s="21" customFormat="1" ht="16.5" customHeight="1">
      <c r="A24" s="18"/>
      <c r="B24" s="52" t="s">
        <v>141</v>
      </c>
      <c r="C24" s="52"/>
      <c r="D24" s="63">
        <v>-125</v>
      </c>
      <c r="E24" s="63">
        <v>-214</v>
      </c>
      <c r="F24" s="63">
        <v>-994</v>
      </c>
      <c r="G24" s="63">
        <v>-2981</v>
      </c>
      <c r="H24" s="63">
        <v>-238</v>
      </c>
      <c r="I24" s="63">
        <v>2296</v>
      </c>
      <c r="J24" s="63">
        <v>-658</v>
      </c>
      <c r="K24" s="63">
        <v>1578</v>
      </c>
      <c r="L24" s="63">
        <v>-3565</v>
      </c>
      <c r="M24" s="63">
        <v>-403</v>
      </c>
      <c r="N24" s="63">
        <v>-1239</v>
      </c>
      <c r="O24" s="63">
        <v>-1655</v>
      </c>
      <c r="P24" s="63">
        <v>-575</v>
      </c>
      <c r="Q24" s="63">
        <v>522</v>
      </c>
      <c r="R24" s="63">
        <v>804</v>
      </c>
      <c r="S24" s="63">
        <v>512</v>
      </c>
      <c r="T24" s="63">
        <v>-346</v>
      </c>
      <c r="U24" s="63">
        <v>-477</v>
      </c>
      <c r="V24" s="63">
        <v>-315</v>
      </c>
      <c r="W24" s="63">
        <v>-350</v>
      </c>
      <c r="X24" s="63">
        <v>-199</v>
      </c>
      <c r="Y24" s="63">
        <v>-153</v>
      </c>
      <c r="Z24" s="63">
        <v>114</v>
      </c>
      <c r="AA24" s="63">
        <v>-347</v>
      </c>
      <c r="AB24" s="63">
        <v>-233</v>
      </c>
      <c r="AC24" s="63">
        <v>-652</v>
      </c>
      <c r="AD24" s="63">
        <v>-123</v>
      </c>
      <c r="AE24" s="63">
        <v>-16</v>
      </c>
      <c r="AF24" s="63">
        <v>-31</v>
      </c>
      <c r="AG24" s="63">
        <v>-32</v>
      </c>
      <c r="AH24" s="63">
        <v>-66</v>
      </c>
      <c r="AI24" s="63">
        <v>-48</v>
      </c>
      <c r="AJ24" s="63">
        <v>-59</v>
      </c>
      <c r="AK24" s="63">
        <v>-151</v>
      </c>
      <c r="AL24" s="63">
        <v>3511</v>
      </c>
      <c r="AM24" s="63">
        <v>126</v>
      </c>
      <c r="AN24" s="63">
        <v>1082</v>
      </c>
      <c r="AO24" s="63">
        <v>297</v>
      </c>
      <c r="AP24" s="63">
        <v>392</v>
      </c>
      <c r="AQ24" s="63">
        <v>334</v>
      </c>
      <c r="AR24" s="63">
        <v>574</v>
      </c>
      <c r="AS24" s="63">
        <v>566</v>
      </c>
      <c r="AT24" s="63">
        <v>801</v>
      </c>
      <c r="AU24" s="63">
        <v>135</v>
      </c>
      <c r="AV24" s="63">
        <v>154</v>
      </c>
      <c r="AW24" s="63">
        <v>353</v>
      </c>
      <c r="AX24" s="63">
        <v>2605</v>
      </c>
      <c r="AY24" s="63">
        <v>397</v>
      </c>
      <c r="AZ24" s="63">
        <v>1369</v>
      </c>
      <c r="BA24" s="63">
        <v>576</v>
      </c>
      <c r="BB24" s="63">
        <v>916</v>
      </c>
      <c r="BC24" s="63">
        <v>-121</v>
      </c>
      <c r="BD24" s="63">
        <v>469</v>
      </c>
      <c r="BE24" s="63">
        <v>696</v>
      </c>
      <c r="BF24" s="63">
        <v>822</v>
      </c>
      <c r="BG24" s="63">
        <v>518</v>
      </c>
      <c r="BH24" s="63">
        <v>623</v>
      </c>
      <c r="BI24" s="63">
        <v>445</v>
      </c>
      <c r="BJ24" s="63">
        <v>464</v>
      </c>
      <c r="BK24" s="63">
        <v>236</v>
      </c>
      <c r="BL24" s="63">
        <v>-209</v>
      </c>
      <c r="BM24" s="63">
        <v>-1441</v>
      </c>
      <c r="BN24" s="63">
        <v>-619</v>
      </c>
      <c r="BO24" s="63">
        <v>1017</v>
      </c>
      <c r="BP24" s="63">
        <v>534</v>
      </c>
      <c r="BQ24" s="63">
        <v>533</v>
      </c>
    </row>
    <row r="25" spans="1:69" s="21" customFormat="1" ht="16.5" customHeight="1">
      <c r="A25" s="18"/>
      <c r="B25" s="52" t="s">
        <v>93</v>
      </c>
      <c r="C25" s="52"/>
      <c r="D25" s="63">
        <v>4148</v>
      </c>
      <c r="E25" s="63">
        <v>-736</v>
      </c>
      <c r="F25" s="63">
        <v>-5451</v>
      </c>
      <c r="G25" s="63">
        <v>-1539</v>
      </c>
      <c r="H25" s="63">
        <v>-919</v>
      </c>
      <c r="I25" s="63">
        <v>-960</v>
      </c>
      <c r="J25" s="63">
        <v>3490</v>
      </c>
      <c r="K25" s="63">
        <v>-4898</v>
      </c>
      <c r="L25" s="63">
        <v>-6187</v>
      </c>
      <c r="M25" s="63">
        <v>2476</v>
      </c>
      <c r="N25" s="63">
        <v>-15692</v>
      </c>
      <c r="O25" s="63">
        <v>-9239</v>
      </c>
      <c r="P25" s="63">
        <v>-3072</v>
      </c>
      <c r="Q25" s="63">
        <v>22916</v>
      </c>
      <c r="R25" s="63">
        <v>-21497</v>
      </c>
      <c r="S25" s="63">
        <v>2464</v>
      </c>
      <c r="T25" s="63">
        <v>219</v>
      </c>
      <c r="U25" s="63">
        <v>717</v>
      </c>
      <c r="V25" s="63">
        <v>1143</v>
      </c>
      <c r="W25" s="63">
        <v>161</v>
      </c>
      <c r="X25" s="63">
        <v>-765</v>
      </c>
      <c r="Y25" s="63">
        <v>3383</v>
      </c>
      <c r="Z25" s="63">
        <v>3696</v>
      </c>
      <c r="AA25" s="63">
        <v>3283</v>
      </c>
      <c r="AB25" s="63">
        <v>-321</v>
      </c>
      <c r="AC25" s="63">
        <v>1599</v>
      </c>
      <c r="AD25" s="63">
        <v>14471</v>
      </c>
      <c r="AE25" s="63">
        <v>1664</v>
      </c>
      <c r="AF25" s="63">
        <v>169</v>
      </c>
      <c r="AG25" s="63">
        <v>-128</v>
      </c>
      <c r="AH25" s="63">
        <v>521</v>
      </c>
      <c r="AI25" s="63">
        <v>2097</v>
      </c>
      <c r="AJ25" s="63">
        <v>124</v>
      </c>
      <c r="AK25" s="63">
        <v>-2555</v>
      </c>
      <c r="AL25" s="63">
        <v>709</v>
      </c>
      <c r="AM25" s="63">
        <v>2619</v>
      </c>
      <c r="AN25" s="63">
        <v>-818</v>
      </c>
      <c r="AO25" s="63">
        <v>-1206</v>
      </c>
      <c r="AP25" s="63">
        <v>-25199</v>
      </c>
      <c r="AQ25" s="63">
        <v>-22183</v>
      </c>
      <c r="AR25" s="63">
        <v>-22514</v>
      </c>
      <c r="AS25" s="63">
        <v>-1922</v>
      </c>
      <c r="AT25" s="63">
        <v>7729</v>
      </c>
      <c r="AU25" s="63">
        <v>1324</v>
      </c>
      <c r="AV25" s="63">
        <v>-1527</v>
      </c>
      <c r="AW25" s="63">
        <v>8217</v>
      </c>
      <c r="AX25" s="63">
        <v>1013</v>
      </c>
      <c r="AY25" s="63">
        <v>-800</v>
      </c>
      <c r="AZ25" s="63">
        <v>-102</v>
      </c>
      <c r="BA25" s="63">
        <v>1652</v>
      </c>
      <c r="BB25" s="63">
        <v>8522</v>
      </c>
      <c r="BC25" s="63">
        <v>-5826</v>
      </c>
      <c r="BD25" s="63">
        <v>5622</v>
      </c>
      <c r="BE25" s="63">
        <v>7890</v>
      </c>
      <c r="BF25" s="63">
        <v>11979</v>
      </c>
      <c r="BG25" s="63">
        <v>7386</v>
      </c>
      <c r="BH25" s="63">
        <v>10150</v>
      </c>
      <c r="BI25" s="63">
        <v>3594</v>
      </c>
      <c r="BJ25" s="63">
        <v>-11022</v>
      </c>
      <c r="BK25" s="63">
        <v>10816</v>
      </c>
      <c r="BL25" s="63">
        <v>-21063</v>
      </c>
      <c r="BM25" s="63">
        <v>-712</v>
      </c>
      <c r="BN25" s="63">
        <v>-2228</v>
      </c>
      <c r="BO25" s="63">
        <v>-2935</v>
      </c>
      <c r="BP25" s="63">
        <v>117</v>
      </c>
      <c r="BQ25" s="63">
        <v>-199</v>
      </c>
    </row>
    <row r="26" spans="1:69" s="25" customFormat="1" ht="16.5" customHeight="1">
      <c r="A26" s="24"/>
      <c r="B26" s="56" t="s">
        <v>142</v>
      </c>
      <c r="C26" s="56"/>
      <c r="D26" s="57">
        <f t="shared" ref="D26:P26" si="7">SUM(D27:D32)</f>
        <v>-12135</v>
      </c>
      <c r="E26" s="57">
        <f t="shared" si="7"/>
        <v>-30959</v>
      </c>
      <c r="F26" s="57">
        <f t="shared" si="7"/>
        <v>-80439</v>
      </c>
      <c r="G26" s="57">
        <f t="shared" si="7"/>
        <v>-32776</v>
      </c>
      <c r="H26" s="57">
        <f t="shared" si="7"/>
        <v>-19123</v>
      </c>
      <c r="I26" s="57">
        <f t="shared" si="7"/>
        <v>-29620</v>
      </c>
      <c r="J26" s="57">
        <f t="shared" si="7"/>
        <v>-10761</v>
      </c>
      <c r="K26" s="57">
        <f t="shared" si="7"/>
        <v>6670</v>
      </c>
      <c r="L26" s="57">
        <f t="shared" si="7"/>
        <v>-34983</v>
      </c>
      <c r="M26" s="57">
        <f t="shared" si="7"/>
        <v>-42043</v>
      </c>
      <c r="N26" s="57">
        <f t="shared" si="7"/>
        <v>-18569</v>
      </c>
      <c r="O26" s="57">
        <f t="shared" si="7"/>
        <v>-23124</v>
      </c>
      <c r="P26" s="57">
        <f t="shared" si="7"/>
        <v>-52012</v>
      </c>
      <c r="Q26" s="57">
        <f>SUM(Q27:Q32)</f>
        <v>11053</v>
      </c>
      <c r="R26" s="57">
        <f>SUM(R27:R32)</f>
        <v>-34607</v>
      </c>
      <c r="S26" s="57">
        <f>SUM(S27:S32)</f>
        <v>-43319</v>
      </c>
      <c r="T26" s="57">
        <f>SUM(T27:T32)</f>
        <v>-38639</v>
      </c>
      <c r="U26" s="57">
        <f t="shared" ref="U26:BJ26" si="8">SUM(U27:U32)</f>
        <v>-45218</v>
      </c>
      <c r="V26" s="57">
        <f t="shared" si="8"/>
        <v>-110915</v>
      </c>
      <c r="W26" s="57">
        <f t="shared" si="8"/>
        <v>-88597</v>
      </c>
      <c r="X26" s="57">
        <f t="shared" si="8"/>
        <v>-84849</v>
      </c>
      <c r="Y26" s="57">
        <f t="shared" si="8"/>
        <v>-89105</v>
      </c>
      <c r="Z26" s="57">
        <f t="shared" si="8"/>
        <v>-61766</v>
      </c>
      <c r="AA26" s="57">
        <f t="shared" si="8"/>
        <v>-71179</v>
      </c>
      <c r="AB26" s="57">
        <f t="shared" si="8"/>
        <v>-86580</v>
      </c>
      <c r="AC26" s="57">
        <f t="shared" si="8"/>
        <v>-141734</v>
      </c>
      <c r="AD26" s="57">
        <f t="shared" si="8"/>
        <v>-56336</v>
      </c>
      <c r="AE26" s="57">
        <f t="shared" si="8"/>
        <v>-22472</v>
      </c>
      <c r="AF26" s="57">
        <f t="shared" si="8"/>
        <v>48356</v>
      </c>
      <c r="AG26" s="57">
        <f t="shared" si="8"/>
        <v>6778</v>
      </c>
      <c r="AH26" s="57">
        <f t="shared" si="8"/>
        <v>-25738</v>
      </c>
      <c r="AI26" s="57">
        <f t="shared" si="8"/>
        <v>-18822</v>
      </c>
      <c r="AJ26" s="57">
        <f t="shared" si="8"/>
        <v>-46658</v>
      </c>
      <c r="AK26" s="57">
        <f t="shared" si="8"/>
        <v>3253</v>
      </c>
      <c r="AL26" s="57">
        <f t="shared" si="8"/>
        <v>-5441</v>
      </c>
      <c r="AM26" s="57">
        <f t="shared" si="8"/>
        <v>-7956</v>
      </c>
      <c r="AN26" s="57">
        <f t="shared" si="8"/>
        <v>-30120</v>
      </c>
      <c r="AO26" s="57">
        <f t="shared" si="8"/>
        <v>-12547</v>
      </c>
      <c r="AP26" s="57">
        <f t="shared" si="8"/>
        <v>-22606</v>
      </c>
      <c r="AQ26" s="57">
        <f t="shared" si="8"/>
        <v>-1345</v>
      </c>
      <c r="AR26" s="57">
        <f t="shared" si="8"/>
        <v>-9038</v>
      </c>
      <c r="AS26" s="57">
        <f t="shared" si="8"/>
        <v>-1468</v>
      </c>
      <c r="AT26" s="57">
        <f t="shared" si="8"/>
        <v>-55298</v>
      </c>
      <c r="AU26" s="57">
        <f t="shared" si="8"/>
        <v>-14084</v>
      </c>
      <c r="AV26" s="57">
        <f t="shared" si="8"/>
        <v>-15002</v>
      </c>
      <c r="AW26" s="57">
        <f t="shared" si="8"/>
        <v>-18274</v>
      </c>
      <c r="AX26" s="57">
        <f t="shared" si="8"/>
        <v>-83934</v>
      </c>
      <c r="AY26" s="57">
        <f t="shared" si="8"/>
        <v>-10481</v>
      </c>
      <c r="AZ26" s="57">
        <f t="shared" si="8"/>
        <v>-20228</v>
      </c>
      <c r="BA26" s="57">
        <f t="shared" si="8"/>
        <v>-25951</v>
      </c>
      <c r="BB26" s="57">
        <f t="shared" si="8"/>
        <v>-73602</v>
      </c>
      <c r="BC26" s="57">
        <f t="shared" si="8"/>
        <v>-9537</v>
      </c>
      <c r="BD26" s="57">
        <f t="shared" si="8"/>
        <v>-4318</v>
      </c>
      <c r="BE26" s="57">
        <f t="shared" si="8"/>
        <v>-27073</v>
      </c>
      <c r="BF26" s="57">
        <f t="shared" si="8"/>
        <v>-31769</v>
      </c>
      <c r="BG26" s="57">
        <f t="shared" si="8"/>
        <v>-5865</v>
      </c>
      <c r="BH26" s="57">
        <f t="shared" si="8"/>
        <v>-829</v>
      </c>
      <c r="BI26" s="57">
        <f t="shared" si="8"/>
        <v>6216</v>
      </c>
      <c r="BJ26" s="57">
        <f t="shared" si="8"/>
        <v>-17790</v>
      </c>
      <c r="BK26" s="57">
        <f t="shared" ref="BK26:BQ26" si="9">SUM(BK27:BK32)</f>
        <v>-18399</v>
      </c>
      <c r="BL26" s="57">
        <f t="shared" si="9"/>
        <v>-16586</v>
      </c>
      <c r="BM26" s="57">
        <f t="shared" si="9"/>
        <v>2085</v>
      </c>
      <c r="BN26" s="57">
        <f t="shared" si="9"/>
        <v>-18293</v>
      </c>
      <c r="BO26" s="57">
        <f t="shared" si="9"/>
        <v>-1081</v>
      </c>
      <c r="BP26" s="57">
        <f t="shared" si="9"/>
        <v>2577</v>
      </c>
      <c r="BQ26" s="57">
        <f t="shared" si="9"/>
        <v>-3422</v>
      </c>
    </row>
    <row r="27" spans="1:69" s="21" customFormat="1" ht="16.5" customHeight="1">
      <c r="A27" s="18"/>
      <c r="B27" s="52" t="s">
        <v>76</v>
      </c>
      <c r="C27" s="52"/>
      <c r="D27" s="63">
        <v>8325</v>
      </c>
      <c r="E27" s="63">
        <v>10296</v>
      </c>
      <c r="F27" s="63">
        <v>-26529</v>
      </c>
      <c r="G27" s="63">
        <v>7296</v>
      </c>
      <c r="H27" s="63">
        <v>1152</v>
      </c>
      <c r="I27" s="63">
        <v>-2491</v>
      </c>
      <c r="J27" s="63">
        <v>-9500</v>
      </c>
      <c r="K27" s="63">
        <v>15337</v>
      </c>
      <c r="L27" s="63">
        <v>11430</v>
      </c>
      <c r="M27" s="63">
        <v>11798</v>
      </c>
      <c r="N27" s="63">
        <v>-6851</v>
      </c>
      <c r="O27" s="63">
        <v>1259</v>
      </c>
      <c r="P27" s="63">
        <v>-10102</v>
      </c>
      <c r="Q27" s="63">
        <v>16077</v>
      </c>
      <c r="R27" s="63">
        <v>-13880</v>
      </c>
      <c r="S27" s="63">
        <v>-5233</v>
      </c>
      <c r="T27" s="63">
        <v>7516</v>
      </c>
      <c r="U27" s="63">
        <v>8593</v>
      </c>
      <c r="V27" s="63">
        <v>-13662</v>
      </c>
      <c r="W27" s="63">
        <v>-1912</v>
      </c>
      <c r="X27" s="63">
        <v>-4345</v>
      </c>
      <c r="Y27" s="63">
        <v>14320</v>
      </c>
      <c r="Z27" s="63">
        <v>2180</v>
      </c>
      <c r="AA27" s="63">
        <v>-986</v>
      </c>
      <c r="AB27" s="63">
        <v>4685</v>
      </c>
      <c r="AC27" s="63">
        <v>9060</v>
      </c>
      <c r="AD27" s="63">
        <v>-4155</v>
      </c>
      <c r="AE27" s="63">
        <v>-2183</v>
      </c>
      <c r="AF27" s="63">
        <v>-6107</v>
      </c>
      <c r="AG27" s="63">
        <v>19089</v>
      </c>
      <c r="AH27" s="63">
        <v>-678</v>
      </c>
      <c r="AI27" s="63">
        <v>4724</v>
      </c>
      <c r="AJ27" s="63">
        <v>777</v>
      </c>
      <c r="AK27" s="63">
        <v>643</v>
      </c>
      <c r="AL27" s="63">
        <v>6498</v>
      </c>
      <c r="AM27" s="63">
        <v>2134</v>
      </c>
      <c r="AN27" s="63">
        <v>486</v>
      </c>
      <c r="AO27" s="63">
        <v>6187</v>
      </c>
      <c r="AP27" s="63">
        <v>2123</v>
      </c>
      <c r="AQ27" s="63">
        <v>6701</v>
      </c>
      <c r="AR27" s="63">
        <v>1695</v>
      </c>
      <c r="AS27" s="63">
        <v>2945</v>
      </c>
      <c r="AT27" s="63">
        <v>-3794</v>
      </c>
      <c r="AU27" s="63">
        <v>-1044</v>
      </c>
      <c r="AV27" s="63">
        <v>-30</v>
      </c>
      <c r="AW27" s="63">
        <v>3177</v>
      </c>
      <c r="AX27" s="63">
        <v>-2664</v>
      </c>
      <c r="AY27" s="63">
        <v>4498</v>
      </c>
      <c r="AZ27" s="63">
        <v>-1255</v>
      </c>
      <c r="BA27" s="63">
        <v>234</v>
      </c>
      <c r="BB27" s="63">
        <v>-6087</v>
      </c>
      <c r="BC27" s="63">
        <v>-3513</v>
      </c>
      <c r="BD27" s="63">
        <v>-202</v>
      </c>
      <c r="BE27" s="63">
        <v>2220</v>
      </c>
      <c r="BF27" s="63">
        <v>-5243</v>
      </c>
      <c r="BG27" s="63">
        <v>2998</v>
      </c>
      <c r="BH27" s="63">
        <v>5668</v>
      </c>
      <c r="BI27" s="63">
        <v>7645</v>
      </c>
      <c r="BJ27" s="63">
        <v>-6695</v>
      </c>
      <c r="BK27" s="63">
        <v>-2914</v>
      </c>
      <c r="BL27" s="63">
        <v>-294</v>
      </c>
      <c r="BM27" s="63">
        <v>7429</v>
      </c>
      <c r="BN27" s="63">
        <v>10250</v>
      </c>
      <c r="BO27" s="63">
        <v>17295</v>
      </c>
      <c r="BP27" s="63">
        <v>13670</v>
      </c>
      <c r="BQ27" s="63">
        <v>8625</v>
      </c>
    </row>
    <row r="28" spans="1:69" s="21" customFormat="1" ht="16.5" customHeight="1">
      <c r="A28" s="18"/>
      <c r="B28" s="52" t="s">
        <v>99</v>
      </c>
      <c r="C28" s="52"/>
      <c r="D28" s="63">
        <v>3118</v>
      </c>
      <c r="E28" s="63">
        <v>-8127</v>
      </c>
      <c r="F28" s="63">
        <v>2158</v>
      </c>
      <c r="G28" s="63">
        <v>4746</v>
      </c>
      <c r="H28" s="63">
        <v>-572</v>
      </c>
      <c r="I28" s="63">
        <v>-6237</v>
      </c>
      <c r="J28" s="63">
        <v>2223</v>
      </c>
      <c r="K28" s="63">
        <v>4345</v>
      </c>
      <c r="L28" s="63">
        <v>3678</v>
      </c>
      <c r="M28" s="63">
        <v>-3412</v>
      </c>
      <c r="N28" s="63">
        <v>2540</v>
      </c>
      <c r="O28" s="63">
        <v>706</v>
      </c>
      <c r="P28" s="63">
        <v>1637</v>
      </c>
      <c r="Q28" s="63">
        <v>-1183</v>
      </c>
      <c r="R28" s="63">
        <v>369</v>
      </c>
      <c r="S28" s="63">
        <v>839</v>
      </c>
      <c r="T28" s="63">
        <v>123</v>
      </c>
      <c r="U28" s="63">
        <v>-5259</v>
      </c>
      <c r="V28" s="63">
        <v>456</v>
      </c>
      <c r="W28" s="63">
        <v>2496</v>
      </c>
      <c r="X28" s="63">
        <v>1842</v>
      </c>
      <c r="Y28" s="63">
        <v>-6508</v>
      </c>
      <c r="Z28" s="63">
        <v>712</v>
      </c>
      <c r="AA28" s="63">
        <v>3110</v>
      </c>
      <c r="AB28" s="63">
        <v>3576</v>
      </c>
      <c r="AC28" s="63">
        <v>-5616</v>
      </c>
      <c r="AD28" s="63">
        <v>1234</v>
      </c>
      <c r="AE28" s="63">
        <v>5002</v>
      </c>
      <c r="AF28" s="63">
        <v>107</v>
      </c>
      <c r="AG28" s="63">
        <v>-1385</v>
      </c>
      <c r="AH28" s="63">
        <v>-746</v>
      </c>
      <c r="AI28" s="63">
        <v>4743</v>
      </c>
      <c r="AJ28" s="63">
        <v>-1615</v>
      </c>
      <c r="AK28" s="63">
        <v>403</v>
      </c>
      <c r="AL28" s="63">
        <v>1286</v>
      </c>
      <c r="AM28" s="63">
        <v>382</v>
      </c>
      <c r="AN28" s="63">
        <v>-235</v>
      </c>
      <c r="AO28" s="63">
        <v>-338</v>
      </c>
      <c r="AP28" s="63">
        <v>-436</v>
      </c>
      <c r="AQ28" s="63">
        <v>-714</v>
      </c>
      <c r="AR28" s="63">
        <v>-279</v>
      </c>
      <c r="AS28" s="63">
        <v>200</v>
      </c>
      <c r="AT28" s="63">
        <v>-2654</v>
      </c>
      <c r="AU28" s="63">
        <v>-729</v>
      </c>
      <c r="AV28" s="63">
        <v>-83</v>
      </c>
      <c r="AW28" s="63">
        <v>-383</v>
      </c>
      <c r="AX28" s="63">
        <v>-1170</v>
      </c>
      <c r="AY28" s="63">
        <v>196</v>
      </c>
      <c r="AZ28" s="63">
        <v>53</v>
      </c>
      <c r="BA28" s="63">
        <v>-614</v>
      </c>
      <c r="BB28" s="63">
        <v>-2070</v>
      </c>
      <c r="BC28" s="63">
        <v>335</v>
      </c>
      <c r="BD28" s="63">
        <v>374</v>
      </c>
      <c r="BE28" s="63">
        <v>-391</v>
      </c>
      <c r="BF28" s="63">
        <v>-2959</v>
      </c>
      <c r="BG28" s="63">
        <v>-1219</v>
      </c>
      <c r="BH28" s="63">
        <v>-694</v>
      </c>
      <c r="BI28" s="63">
        <v>1114</v>
      </c>
      <c r="BJ28" s="63">
        <v>-4164</v>
      </c>
      <c r="BK28" s="63">
        <v>528</v>
      </c>
      <c r="BL28" s="63">
        <v>-61</v>
      </c>
      <c r="BM28" s="63">
        <v>2335</v>
      </c>
      <c r="BN28" s="63">
        <v>3192</v>
      </c>
      <c r="BO28" s="63">
        <v>1081</v>
      </c>
      <c r="BP28" s="63">
        <v>-52</v>
      </c>
      <c r="BQ28" s="63">
        <v>-927</v>
      </c>
    </row>
    <row r="29" spans="1:69" s="21" customFormat="1" ht="16.5" customHeight="1">
      <c r="A29" s="18"/>
      <c r="B29" s="52" t="s">
        <v>101</v>
      </c>
      <c r="C29" s="52"/>
      <c r="D29" s="63">
        <v>-12805</v>
      </c>
      <c r="E29" s="63">
        <v>-9834</v>
      </c>
      <c r="F29" s="63">
        <v>-9254</v>
      </c>
      <c r="G29" s="63">
        <v>-13357</v>
      </c>
      <c r="H29" s="63">
        <v>-8361</v>
      </c>
      <c r="I29" s="63">
        <v>-19737</v>
      </c>
      <c r="J29" s="63">
        <v>26838</v>
      </c>
      <c r="K29" s="63">
        <v>-10052</v>
      </c>
      <c r="L29" s="63">
        <v>-40510</v>
      </c>
      <c r="M29" s="63">
        <v>-31853</v>
      </c>
      <c r="N29" s="63">
        <v>-4309</v>
      </c>
      <c r="O29" s="63">
        <v>-21430</v>
      </c>
      <c r="P29" s="63">
        <v>-13517</v>
      </c>
      <c r="Q29" s="63">
        <v>-4850</v>
      </c>
      <c r="R29" s="63">
        <v>-11556</v>
      </c>
      <c r="S29" s="63">
        <v>-26561</v>
      </c>
      <c r="T29" s="63">
        <v>-32382</v>
      </c>
      <c r="U29" s="63">
        <v>-38074</v>
      </c>
      <c r="V29" s="63">
        <v>-70534</v>
      </c>
      <c r="W29" s="63">
        <v>-90914</v>
      </c>
      <c r="X29" s="63">
        <v>-83128</v>
      </c>
      <c r="Y29" s="63">
        <v>-95945</v>
      </c>
      <c r="Z29" s="63">
        <v>-35784</v>
      </c>
      <c r="AA29" s="63">
        <v>-74735</v>
      </c>
      <c r="AB29" s="63">
        <v>-98054</v>
      </c>
      <c r="AC29" s="63">
        <v>-142339</v>
      </c>
      <c r="AD29" s="63">
        <v>-40299</v>
      </c>
      <c r="AE29" s="63">
        <v>-40501</v>
      </c>
      <c r="AF29" s="63">
        <v>42883</v>
      </c>
      <c r="AG29" s="63">
        <v>-7515</v>
      </c>
      <c r="AH29" s="63">
        <v>-29264</v>
      </c>
      <c r="AI29" s="63">
        <v>-32087</v>
      </c>
      <c r="AJ29" s="63">
        <v>-44018</v>
      </c>
      <c r="AK29" s="63">
        <v>4879</v>
      </c>
      <c r="AL29" s="63">
        <v>-27806</v>
      </c>
      <c r="AM29" s="63">
        <v>-16398</v>
      </c>
      <c r="AN29" s="63">
        <v>-31620</v>
      </c>
      <c r="AO29" s="63">
        <v>-20049</v>
      </c>
      <c r="AP29" s="63">
        <v>-38839</v>
      </c>
      <c r="AQ29" s="63">
        <v>-17576</v>
      </c>
      <c r="AR29" s="63">
        <v>-13929</v>
      </c>
      <c r="AS29" s="63">
        <v>-6781</v>
      </c>
      <c r="AT29" s="63">
        <v>-56017</v>
      </c>
      <c r="AU29" s="63">
        <v>-12468</v>
      </c>
      <c r="AV29" s="63">
        <v>-13519</v>
      </c>
      <c r="AW29" s="63">
        <v>-21149</v>
      </c>
      <c r="AX29" s="63">
        <v>-77114</v>
      </c>
      <c r="AY29" s="63">
        <v>-14489</v>
      </c>
      <c r="AZ29" s="63">
        <v>-14465</v>
      </c>
      <c r="BA29" s="63">
        <v>-24651</v>
      </c>
      <c r="BB29" s="63">
        <v>-66132</v>
      </c>
      <c r="BC29" s="63">
        <v>-9719</v>
      </c>
      <c r="BD29" s="63">
        <v>-3863</v>
      </c>
      <c r="BE29" s="63">
        <v>-24546</v>
      </c>
      <c r="BF29" s="63">
        <v>-21915</v>
      </c>
      <c r="BG29" s="63">
        <v>-7927</v>
      </c>
      <c r="BH29" s="63">
        <v>-4909</v>
      </c>
      <c r="BI29" s="63">
        <v>-3823</v>
      </c>
      <c r="BJ29" s="63">
        <v>-7887</v>
      </c>
      <c r="BK29" s="63">
        <v>-13809</v>
      </c>
      <c r="BL29" s="63">
        <v>-12565</v>
      </c>
      <c r="BM29" s="63">
        <v>-3376</v>
      </c>
      <c r="BN29" s="63">
        <v>-34722</v>
      </c>
      <c r="BO29" s="63">
        <v>-21593</v>
      </c>
      <c r="BP29" s="63">
        <v>-15654</v>
      </c>
      <c r="BQ29" s="63">
        <v>-8219</v>
      </c>
    </row>
    <row r="30" spans="1:69" s="21" customFormat="1" ht="16.5" customHeight="1">
      <c r="A30" s="18"/>
      <c r="B30" s="52" t="s">
        <v>86</v>
      </c>
      <c r="C30" s="52"/>
      <c r="D30" s="69">
        <v>-698</v>
      </c>
      <c r="E30" s="69">
        <v>-27185</v>
      </c>
      <c r="F30" s="69">
        <v>-47108</v>
      </c>
      <c r="G30" s="69">
        <v>-12654</v>
      </c>
      <c r="H30" s="69">
        <v>-1896</v>
      </c>
      <c r="I30" s="69">
        <v>6086</v>
      </c>
      <c r="J30" s="69">
        <v>-41543</v>
      </c>
      <c r="K30" s="69">
        <v>3429</v>
      </c>
      <c r="L30" s="63">
        <v>-9237</v>
      </c>
      <c r="M30" s="63">
        <v>-13743</v>
      </c>
      <c r="N30" s="63">
        <v>-4778</v>
      </c>
      <c r="O30" s="63">
        <v>-3679</v>
      </c>
      <c r="P30" s="63">
        <v>-5490</v>
      </c>
      <c r="Q30" s="63">
        <v>-1116</v>
      </c>
      <c r="R30" s="63">
        <v>-9814</v>
      </c>
      <c r="S30" s="63">
        <v>-8062</v>
      </c>
      <c r="T30" s="63">
        <v>-17940</v>
      </c>
      <c r="U30" s="63">
        <v>-8029</v>
      </c>
      <c r="V30" s="63">
        <v>-19680</v>
      </c>
      <c r="W30" s="63">
        <v>1593</v>
      </c>
      <c r="X30" s="63">
        <v>4578</v>
      </c>
      <c r="Y30" s="63">
        <v>-1562</v>
      </c>
      <c r="Z30" s="63">
        <v>-24342</v>
      </c>
      <c r="AA30" s="63">
        <v>1679</v>
      </c>
      <c r="AB30" s="63">
        <v>2074</v>
      </c>
      <c r="AC30" s="63">
        <v>-1352</v>
      </c>
      <c r="AD30" s="63">
        <v>2473</v>
      </c>
      <c r="AE30" s="63">
        <v>10748</v>
      </c>
      <c r="AF30" s="63">
        <v>12729</v>
      </c>
      <c r="AG30" s="63">
        <v>-1240</v>
      </c>
      <c r="AH30" s="63">
        <v>-4104</v>
      </c>
      <c r="AI30" s="63">
        <v>4013</v>
      </c>
      <c r="AJ30" s="63">
        <v>-2975</v>
      </c>
      <c r="AK30" s="63">
        <v>-3516</v>
      </c>
      <c r="AL30" s="63">
        <v>13871</v>
      </c>
      <c r="AM30" s="63">
        <v>5690</v>
      </c>
      <c r="AN30" s="63">
        <v>3085</v>
      </c>
      <c r="AO30" s="63">
        <v>388</v>
      </c>
      <c r="AP30" s="63">
        <v>7939</v>
      </c>
      <c r="AQ30" s="63">
        <v>7084</v>
      </c>
      <c r="AR30" s="63">
        <v>3710</v>
      </c>
      <c r="AS30" s="63">
        <v>1848</v>
      </c>
      <c r="AT30" s="63">
        <v>5429</v>
      </c>
      <c r="AU30" s="63">
        <v>-770</v>
      </c>
      <c r="AV30" s="63">
        <v>-1919</v>
      </c>
      <c r="AW30" s="63">
        <v>260</v>
      </c>
      <c r="AX30" s="63">
        <v>-79</v>
      </c>
      <c r="AY30" s="63">
        <v>582</v>
      </c>
      <c r="AZ30" s="63">
        <v>-1056</v>
      </c>
      <c r="BA30" s="63">
        <v>-515</v>
      </c>
      <c r="BB30" s="63">
        <v>5581</v>
      </c>
      <c r="BC30" s="63">
        <v>650</v>
      </c>
      <c r="BD30" s="63">
        <v>1597</v>
      </c>
      <c r="BE30" s="63">
        <v>-30</v>
      </c>
      <c r="BF30" s="63">
        <v>-6175</v>
      </c>
      <c r="BG30" s="63">
        <v>-6334</v>
      </c>
      <c r="BH30" s="63">
        <v>-4493</v>
      </c>
      <c r="BI30" s="63">
        <v>-1764</v>
      </c>
      <c r="BJ30" s="63">
        <v>1910</v>
      </c>
      <c r="BK30" s="63">
        <v>-4213</v>
      </c>
      <c r="BL30" s="63">
        <v>2280</v>
      </c>
      <c r="BM30" s="63">
        <v>-2615</v>
      </c>
      <c r="BN30" s="63">
        <v>-739</v>
      </c>
      <c r="BO30" s="63">
        <v>-2428</v>
      </c>
      <c r="BP30" s="63">
        <v>-245</v>
      </c>
      <c r="BQ30" s="63">
        <v>-3451</v>
      </c>
    </row>
    <row r="31" spans="1:69" s="21" customFormat="1" ht="16.5" customHeight="1">
      <c r="A31" s="18"/>
      <c r="B31" s="52" t="s">
        <v>143</v>
      </c>
      <c r="C31" s="52"/>
      <c r="D31" s="69">
        <v>-4740</v>
      </c>
      <c r="E31" s="69">
        <v>9993</v>
      </c>
      <c r="F31" s="69">
        <v>3709</v>
      </c>
      <c r="G31" s="69">
        <v>-14962</v>
      </c>
      <c r="H31" s="69">
        <v>-6398</v>
      </c>
      <c r="I31" s="69">
        <v>-4628</v>
      </c>
      <c r="J31" s="69">
        <v>13877</v>
      </c>
      <c r="K31" s="69">
        <v>-1988</v>
      </c>
      <c r="L31" s="63">
        <v>2477</v>
      </c>
      <c r="M31" s="63">
        <v>-1116</v>
      </c>
      <c r="N31" s="63">
        <v>-3800</v>
      </c>
      <c r="O31" s="63">
        <v>2371</v>
      </c>
      <c r="P31" s="63">
        <v>-23997</v>
      </c>
      <c r="Q31" s="63">
        <v>3259</v>
      </c>
      <c r="R31" s="63">
        <v>536</v>
      </c>
      <c r="S31" s="63">
        <v>-3963</v>
      </c>
      <c r="T31" s="63">
        <v>4478</v>
      </c>
      <c r="U31" s="63">
        <v>-458</v>
      </c>
      <c r="V31" s="63">
        <v>-6625</v>
      </c>
      <c r="W31" s="63">
        <v>1327</v>
      </c>
      <c r="X31" s="63">
        <v>-3796</v>
      </c>
      <c r="Y31" s="63">
        <v>590</v>
      </c>
      <c r="Z31" s="63">
        <v>-4532</v>
      </c>
      <c r="AA31" s="63">
        <v>-247</v>
      </c>
      <c r="AB31" s="63">
        <v>1139</v>
      </c>
      <c r="AC31" s="63">
        <v>-1487</v>
      </c>
      <c r="AD31" s="63">
        <v>-15589</v>
      </c>
      <c r="AE31" s="63">
        <v>4462</v>
      </c>
      <c r="AF31" s="63">
        <v>-1256</v>
      </c>
      <c r="AG31" s="63">
        <v>-2171</v>
      </c>
      <c r="AH31" s="63">
        <v>9054</v>
      </c>
      <c r="AI31" s="63">
        <v>-215</v>
      </c>
      <c r="AJ31" s="63">
        <v>1173</v>
      </c>
      <c r="AK31" s="63">
        <v>844</v>
      </c>
      <c r="AL31" s="63">
        <v>710</v>
      </c>
      <c r="AM31" s="63">
        <v>236</v>
      </c>
      <c r="AN31" s="63">
        <v>-1836</v>
      </c>
      <c r="AO31" s="63" t="s">
        <v>34</v>
      </c>
      <c r="AP31" s="63">
        <v>7229</v>
      </c>
      <c r="AQ31" s="63">
        <v>3782</v>
      </c>
      <c r="AR31" s="63">
        <v>387</v>
      </c>
      <c r="AS31" s="63">
        <v>942</v>
      </c>
      <c r="AT31" s="63">
        <v>1738</v>
      </c>
      <c r="AU31" s="63">
        <v>927</v>
      </c>
      <c r="AV31" s="63">
        <v>549</v>
      </c>
      <c r="AW31" s="63">
        <v>-179</v>
      </c>
      <c r="AX31" s="63">
        <v>-2907</v>
      </c>
      <c r="AY31" s="63">
        <v>-1268</v>
      </c>
      <c r="AZ31" s="63">
        <v>-3505</v>
      </c>
      <c r="BA31" s="63">
        <v>-405</v>
      </c>
      <c r="BB31" s="63">
        <v>-4894</v>
      </c>
      <c r="BC31" s="63">
        <v>2710</v>
      </c>
      <c r="BD31" s="63">
        <v>-2224</v>
      </c>
      <c r="BE31" s="63">
        <v>-4326</v>
      </c>
      <c r="BF31" s="63">
        <v>4523</v>
      </c>
      <c r="BG31" s="63">
        <v>6617</v>
      </c>
      <c r="BH31" s="63">
        <v>3599</v>
      </c>
      <c r="BI31" s="63">
        <v>3044</v>
      </c>
      <c r="BJ31" s="63">
        <v>-954</v>
      </c>
      <c r="BK31" s="63">
        <v>2009</v>
      </c>
      <c r="BL31" s="63">
        <v>-5946</v>
      </c>
      <c r="BM31" s="63">
        <v>-1254</v>
      </c>
      <c r="BN31" s="63">
        <v>4106</v>
      </c>
      <c r="BO31" s="63">
        <v>4710</v>
      </c>
      <c r="BP31" s="63">
        <v>4858</v>
      </c>
      <c r="BQ31" s="63">
        <v>550</v>
      </c>
    </row>
    <row r="32" spans="1:69" s="21" customFormat="1" ht="16.5" customHeight="1">
      <c r="A32" s="18"/>
      <c r="B32" s="52" t="s">
        <v>144</v>
      </c>
      <c r="C32" s="52"/>
      <c r="D32" s="63">
        <v>-5335</v>
      </c>
      <c r="E32" s="63">
        <v>-6102</v>
      </c>
      <c r="F32" s="63">
        <v>-3415</v>
      </c>
      <c r="G32" s="63">
        <v>-3845</v>
      </c>
      <c r="H32" s="63">
        <v>-3048</v>
      </c>
      <c r="I32" s="63">
        <v>-2613</v>
      </c>
      <c r="J32" s="63">
        <v>-2656</v>
      </c>
      <c r="K32" s="63">
        <v>-4401</v>
      </c>
      <c r="L32" s="63">
        <v>-2821</v>
      </c>
      <c r="M32" s="63">
        <v>-3717</v>
      </c>
      <c r="N32" s="63">
        <v>-1371</v>
      </c>
      <c r="O32" s="63">
        <v>-2351</v>
      </c>
      <c r="P32" s="63">
        <v>-543</v>
      </c>
      <c r="Q32" s="63">
        <v>-1134</v>
      </c>
      <c r="R32" s="63">
        <v>-262</v>
      </c>
      <c r="S32" s="63">
        <v>-339</v>
      </c>
      <c r="T32" s="63">
        <v>-434</v>
      </c>
      <c r="U32" s="63">
        <v>-1991</v>
      </c>
      <c r="V32" s="63">
        <v>-870</v>
      </c>
      <c r="W32" s="63">
        <v>-1187</v>
      </c>
      <c r="X32" s="63" t="s">
        <v>34</v>
      </c>
      <c r="Y32" s="63" t="s">
        <v>34</v>
      </c>
      <c r="Z32" s="63" t="s">
        <v>34</v>
      </c>
      <c r="AA32" s="63" t="s">
        <v>34</v>
      </c>
      <c r="AB32" s="63" t="s">
        <v>34</v>
      </c>
      <c r="AC32" s="63" t="s">
        <v>34</v>
      </c>
      <c r="AD32" s="63" t="s">
        <v>34</v>
      </c>
      <c r="AE32" s="63" t="s">
        <v>34</v>
      </c>
      <c r="AF32" s="63" t="s">
        <v>34</v>
      </c>
      <c r="AG32" s="63" t="s">
        <v>34</v>
      </c>
      <c r="AH32" s="63" t="s">
        <v>34</v>
      </c>
      <c r="AI32" s="63" t="s">
        <v>34</v>
      </c>
      <c r="AJ32" s="63" t="s">
        <v>34</v>
      </c>
      <c r="AK32" s="63" t="s">
        <v>34</v>
      </c>
      <c r="AL32" s="63" t="s">
        <v>34</v>
      </c>
      <c r="AM32" s="63" t="s">
        <v>34</v>
      </c>
      <c r="AN32" s="63" t="s">
        <v>34</v>
      </c>
      <c r="AO32" s="63">
        <v>1265</v>
      </c>
      <c r="AP32" s="63">
        <v>-622</v>
      </c>
      <c r="AQ32" s="63">
        <v>-622</v>
      </c>
      <c r="AR32" s="63">
        <v>-622</v>
      </c>
      <c r="AS32" s="63">
        <v>-622</v>
      </c>
      <c r="AT32" s="63" t="s">
        <v>34</v>
      </c>
      <c r="AU32" s="63" t="s">
        <v>34</v>
      </c>
      <c r="AV32" s="63" t="s">
        <v>34</v>
      </c>
      <c r="AW32" s="63" t="s">
        <v>34</v>
      </c>
      <c r="AX32" s="63" t="s">
        <v>34</v>
      </c>
      <c r="AY32" s="63" t="s">
        <v>34</v>
      </c>
      <c r="AZ32" s="63" t="s">
        <v>34</v>
      </c>
      <c r="BA32" s="63" t="s">
        <v>34</v>
      </c>
      <c r="BB32" s="63" t="s">
        <v>34</v>
      </c>
      <c r="BC32" s="63" t="s">
        <v>34</v>
      </c>
      <c r="BD32" s="63" t="s">
        <v>34</v>
      </c>
      <c r="BE32" s="63" t="s">
        <v>34</v>
      </c>
      <c r="BF32" s="63" t="s">
        <v>34</v>
      </c>
      <c r="BG32" s="63" t="s">
        <v>34</v>
      </c>
      <c r="BH32" s="63" t="s">
        <v>34</v>
      </c>
      <c r="BI32" s="63" t="s">
        <v>34</v>
      </c>
      <c r="BJ32" s="63" t="s">
        <v>34</v>
      </c>
      <c r="BK32" s="63" t="s">
        <v>34</v>
      </c>
      <c r="BL32" s="63" t="s">
        <v>34</v>
      </c>
      <c r="BM32" s="63">
        <v>-434</v>
      </c>
      <c r="BN32" s="63">
        <v>-380</v>
      </c>
      <c r="BO32" s="63">
        <v>-146</v>
      </c>
      <c r="BP32" s="63" t="s">
        <v>34</v>
      </c>
      <c r="BQ32" s="63" t="s">
        <v>34</v>
      </c>
    </row>
    <row r="33" spans="1:69" s="25" customFormat="1" ht="16.5" customHeight="1">
      <c r="A33" s="24"/>
      <c r="B33" s="56" t="s">
        <v>145</v>
      </c>
      <c r="C33" s="56"/>
      <c r="D33" s="57">
        <f t="shared" ref="D33:AS33" si="10">D6+D20+D26+D4</f>
        <v>164871</v>
      </c>
      <c r="E33" s="57">
        <f t="shared" si="10"/>
        <v>130430</v>
      </c>
      <c r="F33" s="57">
        <f t="shared" si="10"/>
        <v>93234</v>
      </c>
      <c r="G33" s="57">
        <f t="shared" si="10"/>
        <v>-15866</v>
      </c>
      <c r="H33" s="57">
        <f t="shared" si="10"/>
        <v>39240</v>
      </c>
      <c r="I33" s="57">
        <f t="shared" si="10"/>
        <v>20004</v>
      </c>
      <c r="J33" s="57">
        <f t="shared" si="10"/>
        <v>219544</v>
      </c>
      <c r="K33" s="57">
        <f t="shared" si="10"/>
        <v>183050</v>
      </c>
      <c r="L33" s="57">
        <f t="shared" si="10"/>
        <v>16746</v>
      </c>
      <c r="M33" s="57">
        <f t="shared" si="10"/>
        <v>-17667</v>
      </c>
      <c r="N33" s="57">
        <f t="shared" si="10"/>
        <v>108462</v>
      </c>
      <c r="O33" s="57">
        <f t="shared" si="10"/>
        <v>5889</v>
      </c>
      <c r="P33" s="57">
        <f t="shared" si="10"/>
        <v>-23098</v>
      </c>
      <c r="Q33" s="57">
        <f t="shared" si="10"/>
        <v>-11147</v>
      </c>
      <c r="R33" s="57">
        <f t="shared" si="10"/>
        <v>-112851</v>
      </c>
      <c r="S33" s="57">
        <f t="shared" si="10"/>
        <v>-82461</v>
      </c>
      <c r="T33" s="57">
        <f t="shared" si="10"/>
        <v>10658</v>
      </c>
      <c r="U33" s="57">
        <f t="shared" si="10"/>
        <v>-19035</v>
      </c>
      <c r="V33" s="57">
        <f t="shared" si="10"/>
        <v>-31019</v>
      </c>
      <c r="W33" s="57">
        <f t="shared" si="10"/>
        <v>-7269</v>
      </c>
      <c r="X33" s="57">
        <f t="shared" si="10"/>
        <v>13241</v>
      </c>
      <c r="Y33" s="57">
        <f t="shared" si="10"/>
        <v>-9380</v>
      </c>
      <c r="Z33" s="57">
        <f t="shared" si="10"/>
        <v>10516</v>
      </c>
      <c r="AA33" s="57">
        <f t="shared" si="10"/>
        <v>5066</v>
      </c>
      <c r="AB33" s="57">
        <f t="shared" si="10"/>
        <v>-95278</v>
      </c>
      <c r="AC33" s="57">
        <f t="shared" si="10"/>
        <v>-70537</v>
      </c>
      <c r="AD33" s="57">
        <f t="shared" si="10"/>
        <v>45712</v>
      </c>
      <c r="AE33" s="57">
        <f t="shared" si="10"/>
        <v>497</v>
      </c>
      <c r="AF33" s="57">
        <f t="shared" si="10"/>
        <v>-16462</v>
      </c>
      <c r="AG33" s="57">
        <f t="shared" si="10"/>
        <v>28209</v>
      </c>
      <c r="AH33" s="57">
        <f t="shared" si="10"/>
        <v>9692</v>
      </c>
      <c r="AI33" s="57">
        <f t="shared" si="10"/>
        <v>7180</v>
      </c>
      <c r="AJ33" s="57">
        <f t="shared" si="10"/>
        <v>-23238</v>
      </c>
      <c r="AK33" s="57">
        <f t="shared" si="10"/>
        <v>-7100</v>
      </c>
      <c r="AL33" s="57">
        <f t="shared" si="10"/>
        <v>64392</v>
      </c>
      <c r="AM33" s="57">
        <f t="shared" si="10"/>
        <v>11329</v>
      </c>
      <c r="AN33" s="57">
        <f t="shared" si="10"/>
        <v>10035</v>
      </c>
      <c r="AO33" s="57">
        <f t="shared" si="10"/>
        <v>22353</v>
      </c>
      <c r="AP33" s="57">
        <f t="shared" si="10"/>
        <v>170392</v>
      </c>
      <c r="AQ33" s="57">
        <f t="shared" si="10"/>
        <v>148303</v>
      </c>
      <c r="AR33" s="57">
        <f t="shared" si="10"/>
        <v>93276</v>
      </c>
      <c r="AS33" s="57">
        <f t="shared" si="10"/>
        <v>50599</v>
      </c>
      <c r="AT33" s="57">
        <v>56340</v>
      </c>
      <c r="AU33" s="57">
        <v>4278</v>
      </c>
      <c r="AV33" s="57">
        <f>AV6+AV20+AV26+AV4</f>
        <v>16328</v>
      </c>
      <c r="AW33" s="57">
        <f>AW6+AW20+AW26+AW4</f>
        <v>34278</v>
      </c>
      <c r="AX33" s="57">
        <v>189557</v>
      </c>
      <c r="AY33" s="57">
        <f t="shared" ref="AY33:BQ33" si="11">AY6+AY20+AY26+AY4</f>
        <v>38131</v>
      </c>
      <c r="AZ33" s="57">
        <f t="shared" si="11"/>
        <v>47968</v>
      </c>
      <c r="BA33" s="57">
        <f t="shared" si="11"/>
        <v>57344</v>
      </c>
      <c r="BB33" s="57">
        <f t="shared" si="11"/>
        <v>452536</v>
      </c>
      <c r="BC33" s="57">
        <f t="shared" si="11"/>
        <v>139696</v>
      </c>
      <c r="BD33" s="57">
        <f t="shared" si="11"/>
        <v>156786</v>
      </c>
      <c r="BE33" s="57">
        <f t="shared" si="11"/>
        <v>62984</v>
      </c>
      <c r="BF33" s="57">
        <f t="shared" si="11"/>
        <v>243325</v>
      </c>
      <c r="BG33" s="57">
        <f t="shared" si="11"/>
        <v>185710</v>
      </c>
      <c r="BH33" s="57">
        <f t="shared" si="11"/>
        <v>104492</v>
      </c>
      <c r="BI33" s="57">
        <f t="shared" si="11"/>
        <v>80346</v>
      </c>
      <c r="BJ33" s="57">
        <f t="shared" si="11"/>
        <v>34713</v>
      </c>
      <c r="BK33" s="57">
        <f t="shared" si="11"/>
        <v>68475</v>
      </c>
      <c r="BL33" s="57">
        <f t="shared" si="11"/>
        <v>2104</v>
      </c>
      <c r="BM33" s="57">
        <f t="shared" si="11"/>
        <v>-50218</v>
      </c>
      <c r="BN33" s="57">
        <f t="shared" si="11"/>
        <v>-456099</v>
      </c>
      <c r="BO33" s="57">
        <f t="shared" si="11"/>
        <v>-215717</v>
      </c>
      <c r="BP33" s="57">
        <f t="shared" si="11"/>
        <v>-122771</v>
      </c>
      <c r="BQ33" s="57">
        <f t="shared" si="11"/>
        <v>-56041</v>
      </c>
    </row>
    <row r="34" spans="1:69" s="21" customFormat="1" ht="16.5" customHeight="1">
      <c r="A34" s="18"/>
      <c r="B34" s="52" t="s">
        <v>146</v>
      </c>
      <c r="C34" s="52"/>
      <c r="D34" s="63">
        <v>-11884</v>
      </c>
      <c r="E34" s="63">
        <v>-9412</v>
      </c>
      <c r="F34" s="63">
        <v>-10162</v>
      </c>
      <c r="G34" s="63">
        <v>-8067</v>
      </c>
      <c r="H34" s="63">
        <v>-7757</v>
      </c>
      <c r="I34" s="63">
        <v>-7367</v>
      </c>
      <c r="J34" s="63">
        <v>-9911</v>
      </c>
      <c r="K34" s="63">
        <v>-8721</v>
      </c>
      <c r="L34" s="63">
        <v>-6304</v>
      </c>
      <c r="M34" s="63">
        <v>-6202</v>
      </c>
      <c r="N34" s="63">
        <v>-7413</v>
      </c>
      <c r="O34" s="63">
        <v>-6226</v>
      </c>
      <c r="P34" s="63">
        <v>-5044</v>
      </c>
      <c r="Q34" s="63">
        <v>-3538</v>
      </c>
      <c r="R34" s="63">
        <v>-3799</v>
      </c>
      <c r="S34" s="63">
        <v>-5721</v>
      </c>
      <c r="T34" s="63">
        <v>-5597</v>
      </c>
      <c r="U34" s="63">
        <v>-5295</v>
      </c>
      <c r="V34" s="63">
        <v>-4491</v>
      </c>
      <c r="W34" s="63">
        <v>-4725</v>
      </c>
      <c r="X34" s="63">
        <v>-5395</v>
      </c>
      <c r="Y34" s="63">
        <v>-4571</v>
      </c>
      <c r="Z34" s="63">
        <v>-5242</v>
      </c>
      <c r="AA34" s="63">
        <v>-4943</v>
      </c>
      <c r="AB34" s="63">
        <v>-2708</v>
      </c>
      <c r="AC34" s="63">
        <v>-4306</v>
      </c>
      <c r="AD34" s="63">
        <v>-4366</v>
      </c>
      <c r="AE34" s="63">
        <v>-3139</v>
      </c>
      <c r="AF34" s="63">
        <v>-3890</v>
      </c>
      <c r="AG34" s="63">
        <v>-3327</v>
      </c>
      <c r="AH34" s="63">
        <v>-2748</v>
      </c>
      <c r="AI34" s="63">
        <v>-3640</v>
      </c>
      <c r="AJ34" s="63">
        <v>-2326</v>
      </c>
      <c r="AK34" s="63">
        <v>-1955</v>
      </c>
      <c r="AL34" s="63">
        <v>-9101</v>
      </c>
      <c r="AM34" s="63">
        <v>-2204</v>
      </c>
      <c r="AN34" s="63">
        <v>-2337</v>
      </c>
      <c r="AO34" s="63">
        <v>-2310</v>
      </c>
      <c r="AP34" s="63">
        <v>-8684</v>
      </c>
      <c r="AQ34" s="63">
        <v>-7351</v>
      </c>
      <c r="AR34" s="63">
        <v>-4834</v>
      </c>
      <c r="AS34" s="63">
        <v>-2280</v>
      </c>
      <c r="AT34" s="63">
        <v>-9508</v>
      </c>
      <c r="AU34" s="63">
        <v>-1846</v>
      </c>
      <c r="AV34" s="63">
        <v>-2518</v>
      </c>
      <c r="AW34" s="63">
        <v>-2890</v>
      </c>
      <c r="AX34" s="63">
        <v>-15845</v>
      </c>
      <c r="AY34" s="63">
        <v>-3494</v>
      </c>
      <c r="AZ34" s="63">
        <v>-3977</v>
      </c>
      <c r="BA34" s="63">
        <v>-5101</v>
      </c>
      <c r="BB34" s="63">
        <v>-25107</v>
      </c>
      <c r="BC34" s="63">
        <v>-7275</v>
      </c>
      <c r="BD34" s="63">
        <v>-6033</v>
      </c>
      <c r="BE34" s="63">
        <v>-6259</v>
      </c>
      <c r="BF34" s="63">
        <v>-28467</v>
      </c>
      <c r="BG34" s="63">
        <v>-22157</v>
      </c>
      <c r="BH34" s="63">
        <v>-15932</v>
      </c>
      <c r="BI34" s="63">
        <v>-7878</v>
      </c>
      <c r="BJ34" s="63">
        <v>-7978</v>
      </c>
      <c r="BK34" s="63">
        <v>-8119</v>
      </c>
      <c r="BL34" s="63">
        <v>-5116</v>
      </c>
      <c r="BM34" s="63">
        <v>-4665</v>
      </c>
      <c r="BN34" s="63">
        <v>-14606</v>
      </c>
      <c r="BO34" s="63" t="s">
        <v>34</v>
      </c>
      <c r="BP34" s="63" t="s">
        <v>34</v>
      </c>
      <c r="BQ34" s="63" t="s">
        <v>34</v>
      </c>
    </row>
    <row r="35" spans="1:69" s="21" customFormat="1" ht="16.5" customHeight="1">
      <c r="A35" s="18"/>
      <c r="B35" s="52" t="s">
        <v>136</v>
      </c>
      <c r="C35" s="52"/>
      <c r="D35" s="63">
        <v>-27996</v>
      </c>
      <c r="E35" s="63">
        <v>-31843</v>
      </c>
      <c r="F35" s="63">
        <v>-16421</v>
      </c>
      <c r="G35" s="63">
        <v>-14138</v>
      </c>
      <c r="H35" s="63">
        <v>-13207</v>
      </c>
      <c r="I35" s="63">
        <v>-11900</v>
      </c>
      <c r="J35" s="63">
        <v>-15551</v>
      </c>
      <c r="K35" s="63">
        <v>-15058</v>
      </c>
      <c r="L35" s="63">
        <v>-11238</v>
      </c>
      <c r="M35" s="63">
        <v>-15976</v>
      </c>
      <c r="N35" s="63">
        <v>-13837</v>
      </c>
      <c r="O35" s="63">
        <v>-18754</v>
      </c>
      <c r="P35" s="63">
        <v>-15808</v>
      </c>
      <c r="Q35" s="63">
        <v>-12877</v>
      </c>
      <c r="R35" s="63">
        <v>-13343</v>
      </c>
      <c r="S35" s="63">
        <v>-15876</v>
      </c>
      <c r="T35" s="63">
        <v>-9191</v>
      </c>
      <c r="U35" s="63">
        <v>-9449</v>
      </c>
      <c r="V35" s="63">
        <v>-8746</v>
      </c>
      <c r="W35" s="63">
        <v>-3727</v>
      </c>
      <c r="X35" s="63">
        <v>-6328</v>
      </c>
      <c r="Y35" s="63">
        <v>-2723</v>
      </c>
      <c r="Z35" s="63">
        <v>-11740</v>
      </c>
      <c r="AA35" s="63" t="s">
        <v>34</v>
      </c>
      <c r="AB35" s="63" t="s">
        <v>34</v>
      </c>
      <c r="AC35" s="63" t="s">
        <v>34</v>
      </c>
      <c r="AD35" s="63" t="s">
        <v>34</v>
      </c>
      <c r="AE35" s="63" t="s">
        <v>34</v>
      </c>
      <c r="AF35" s="63" t="s">
        <v>34</v>
      </c>
      <c r="AG35" s="63" t="s">
        <v>34</v>
      </c>
      <c r="AH35" s="63" t="s">
        <v>34</v>
      </c>
      <c r="AI35" s="63" t="s">
        <v>34</v>
      </c>
      <c r="AJ35" s="63" t="s">
        <v>34</v>
      </c>
      <c r="AK35" s="63" t="s">
        <v>34</v>
      </c>
      <c r="AL35" s="63" t="s">
        <v>34</v>
      </c>
      <c r="AM35" s="63" t="s">
        <v>34</v>
      </c>
      <c r="AN35" s="63" t="s">
        <v>34</v>
      </c>
      <c r="AO35" s="63" t="s">
        <v>34</v>
      </c>
      <c r="AP35" s="63" t="s">
        <v>34</v>
      </c>
      <c r="AQ35" s="63" t="s">
        <v>34</v>
      </c>
      <c r="AR35" s="63" t="s">
        <v>34</v>
      </c>
      <c r="AS35" s="63" t="s">
        <v>34</v>
      </c>
      <c r="AT35" s="63" t="s">
        <v>34</v>
      </c>
      <c r="AU35" s="63" t="s">
        <v>34</v>
      </c>
      <c r="AV35" s="63" t="s">
        <v>34</v>
      </c>
      <c r="AW35" s="63" t="s">
        <v>34</v>
      </c>
      <c r="AX35" s="63" t="s">
        <v>34</v>
      </c>
      <c r="AY35" s="63" t="s">
        <v>34</v>
      </c>
      <c r="AZ35" s="63" t="s">
        <v>34</v>
      </c>
      <c r="BA35" s="63" t="s">
        <v>34</v>
      </c>
      <c r="BB35" s="63" t="s">
        <v>34</v>
      </c>
      <c r="BC35" s="63" t="s">
        <v>34</v>
      </c>
      <c r="BD35" s="63" t="s">
        <v>34</v>
      </c>
      <c r="BE35" s="63" t="s">
        <v>34</v>
      </c>
      <c r="BF35" s="63" t="s">
        <v>34</v>
      </c>
      <c r="BG35" s="63" t="s">
        <v>34</v>
      </c>
      <c r="BH35" s="63" t="s">
        <v>34</v>
      </c>
      <c r="BI35" s="63" t="s">
        <v>34</v>
      </c>
      <c r="BJ35" s="63" t="s">
        <v>34</v>
      </c>
      <c r="BK35" s="63" t="s">
        <v>34</v>
      </c>
      <c r="BL35" s="63" t="s">
        <v>34</v>
      </c>
      <c r="BM35" s="63" t="s">
        <v>34</v>
      </c>
      <c r="BN35" s="63" t="s">
        <v>34</v>
      </c>
      <c r="BO35" s="63" t="s">
        <v>34</v>
      </c>
      <c r="BP35" s="63" t="s">
        <v>34</v>
      </c>
      <c r="BQ35" s="63" t="s">
        <v>34</v>
      </c>
    </row>
    <row r="36" spans="1:69" s="25" customFormat="1" ht="16.5" customHeight="1">
      <c r="A36" s="24"/>
      <c r="B36" s="56" t="s">
        <v>147</v>
      </c>
      <c r="C36" s="56"/>
      <c r="D36" s="57">
        <f>SUM(D33:D35)</f>
        <v>124991</v>
      </c>
      <c r="E36" s="57">
        <f>SUM(E33:E35)</f>
        <v>89175</v>
      </c>
      <c r="F36" s="57">
        <f>SUM(F33:F35)</f>
        <v>66651</v>
      </c>
      <c r="G36" s="57">
        <f>SUM(G33:G35)</f>
        <v>-38071</v>
      </c>
      <c r="H36" s="57">
        <f>SUM(H33:H35)</f>
        <v>18276</v>
      </c>
      <c r="I36" s="57">
        <f>SUM(I33:I35)</f>
        <v>737</v>
      </c>
      <c r="J36" s="57">
        <f t="shared" ref="J36:T36" si="12">SUM(J33:J35)</f>
        <v>194082</v>
      </c>
      <c r="K36" s="57">
        <f t="shared" si="12"/>
        <v>159271</v>
      </c>
      <c r="L36" s="57">
        <f t="shared" si="12"/>
        <v>-796</v>
      </c>
      <c r="M36" s="57">
        <f t="shared" si="12"/>
        <v>-39845</v>
      </c>
      <c r="N36" s="57">
        <f t="shared" si="12"/>
        <v>87212</v>
      </c>
      <c r="O36" s="57">
        <f>SUM(O33:O35)</f>
        <v>-19091</v>
      </c>
      <c r="P36" s="57">
        <f t="shared" si="12"/>
        <v>-43950</v>
      </c>
      <c r="Q36" s="57">
        <f t="shared" si="12"/>
        <v>-27562</v>
      </c>
      <c r="R36" s="57">
        <f t="shared" si="12"/>
        <v>-129993</v>
      </c>
      <c r="S36" s="57">
        <f t="shared" si="12"/>
        <v>-104058</v>
      </c>
      <c r="T36" s="57">
        <f t="shared" si="12"/>
        <v>-4130</v>
      </c>
      <c r="U36" s="57">
        <f t="shared" ref="U36:Z36" si="13">SUM(U33:U35)</f>
        <v>-33779</v>
      </c>
      <c r="V36" s="57">
        <f t="shared" si="13"/>
        <v>-44256</v>
      </c>
      <c r="W36" s="57">
        <f t="shared" si="13"/>
        <v>-15721</v>
      </c>
      <c r="X36" s="57">
        <f t="shared" si="13"/>
        <v>1518</v>
      </c>
      <c r="Y36" s="57">
        <f t="shared" si="13"/>
        <v>-16674</v>
      </c>
      <c r="Z36" s="57">
        <f t="shared" si="13"/>
        <v>-6466</v>
      </c>
      <c r="AA36" s="57">
        <f>SUM(AA33:AA34)</f>
        <v>123</v>
      </c>
      <c r="AB36" s="57">
        <f>SUM(AB33:AB34)</f>
        <v>-97986</v>
      </c>
      <c r="AC36" s="57">
        <f>SUM(AC33:AC34)</f>
        <v>-74843</v>
      </c>
      <c r="AD36" s="57">
        <f>SUM(AD33:AD34)</f>
        <v>41346</v>
      </c>
      <c r="AE36" s="57">
        <f>SUM(AE33:AE34)+13</f>
        <v>-2629</v>
      </c>
      <c r="AF36" s="57">
        <f t="shared" ref="AF36:AS36" si="14">SUM(AF33:AF34)</f>
        <v>-20352</v>
      </c>
      <c r="AG36" s="57">
        <f t="shared" si="14"/>
        <v>24882</v>
      </c>
      <c r="AH36" s="57">
        <f t="shared" si="14"/>
        <v>6944</v>
      </c>
      <c r="AI36" s="57">
        <f t="shared" si="14"/>
        <v>3540</v>
      </c>
      <c r="AJ36" s="57">
        <f t="shared" si="14"/>
        <v>-25564</v>
      </c>
      <c r="AK36" s="57">
        <f t="shared" si="14"/>
        <v>-9055</v>
      </c>
      <c r="AL36" s="57">
        <f t="shared" si="14"/>
        <v>55291</v>
      </c>
      <c r="AM36" s="57">
        <f t="shared" si="14"/>
        <v>9125</v>
      </c>
      <c r="AN36" s="57">
        <f t="shared" si="14"/>
        <v>7698</v>
      </c>
      <c r="AO36" s="57">
        <f t="shared" si="14"/>
        <v>20043</v>
      </c>
      <c r="AP36" s="57">
        <f t="shared" si="14"/>
        <v>161708</v>
      </c>
      <c r="AQ36" s="57">
        <f t="shared" si="14"/>
        <v>140952</v>
      </c>
      <c r="AR36" s="57">
        <f t="shared" si="14"/>
        <v>88442</v>
      </c>
      <c r="AS36" s="57">
        <f t="shared" si="14"/>
        <v>48319</v>
      </c>
      <c r="AT36" s="57">
        <f>SUM(AT33:AT34)</f>
        <v>46832</v>
      </c>
      <c r="AU36" s="57">
        <f>SUM(AU33:AU34)</f>
        <v>2432</v>
      </c>
      <c r="AV36" s="57">
        <f>SUM(AV33:AV34)</f>
        <v>13810</v>
      </c>
      <c r="AW36" s="57">
        <f>SUM(AW33:AW34)</f>
        <v>31388</v>
      </c>
      <c r="AX36" s="57">
        <f>SUM(AX33:AX34)</f>
        <v>173712</v>
      </c>
      <c r="AY36" s="57">
        <f t="shared" ref="AY36:BH36" si="15">SUM(AY33:AY34)</f>
        <v>34637</v>
      </c>
      <c r="AZ36" s="57">
        <f t="shared" si="15"/>
        <v>43991</v>
      </c>
      <c r="BA36" s="57">
        <f t="shared" si="15"/>
        <v>52243</v>
      </c>
      <c r="BB36" s="57">
        <f t="shared" si="15"/>
        <v>427429</v>
      </c>
      <c r="BC36" s="57">
        <f t="shared" si="15"/>
        <v>132421</v>
      </c>
      <c r="BD36" s="57">
        <f t="shared" si="15"/>
        <v>150753</v>
      </c>
      <c r="BE36" s="57">
        <f t="shared" si="15"/>
        <v>56725</v>
      </c>
      <c r="BF36" s="57">
        <f t="shared" si="15"/>
        <v>214858</v>
      </c>
      <c r="BG36" s="57">
        <f t="shared" si="15"/>
        <v>163553</v>
      </c>
      <c r="BH36" s="57">
        <f t="shared" si="15"/>
        <v>88560</v>
      </c>
      <c r="BI36" s="57">
        <f t="shared" ref="BI36:BQ36" si="16">SUM(BI33:BI34)</f>
        <v>72468</v>
      </c>
      <c r="BJ36" s="57">
        <f t="shared" si="16"/>
        <v>26735</v>
      </c>
      <c r="BK36" s="57">
        <f t="shared" si="16"/>
        <v>60356</v>
      </c>
      <c r="BL36" s="57">
        <f t="shared" si="16"/>
        <v>-3012</v>
      </c>
      <c r="BM36" s="57">
        <f t="shared" si="16"/>
        <v>-54883</v>
      </c>
      <c r="BN36" s="57">
        <f t="shared" si="16"/>
        <v>-470705</v>
      </c>
      <c r="BO36" s="57">
        <f t="shared" si="16"/>
        <v>-215717</v>
      </c>
      <c r="BP36" s="57">
        <f t="shared" si="16"/>
        <v>-122771</v>
      </c>
      <c r="BQ36" s="57">
        <f t="shared" si="16"/>
        <v>-56041</v>
      </c>
    </row>
    <row r="37" spans="1:69" s="68" customFormat="1" ht="16.5" customHeight="1">
      <c r="A37" s="67"/>
      <c r="B37" s="59" t="s">
        <v>148</v>
      </c>
      <c r="C37" s="59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</row>
    <row r="38" spans="1:69" s="68" customFormat="1" ht="16.5" customHeight="1">
      <c r="A38" s="67"/>
      <c r="B38" s="59" t="s">
        <v>49</v>
      </c>
      <c r="C38" s="59"/>
      <c r="D38" s="65">
        <v>-71</v>
      </c>
      <c r="E38" s="65">
        <v>8333</v>
      </c>
      <c r="F38" s="65">
        <v>-10628</v>
      </c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</row>
    <row r="39" spans="1:69" s="21" customFormat="1" ht="16.5" customHeight="1">
      <c r="A39" s="18"/>
      <c r="B39" s="52" t="s">
        <v>149</v>
      </c>
      <c r="C39" s="52"/>
      <c r="D39" s="63">
        <v>-2101</v>
      </c>
      <c r="E39" s="63">
        <v>-3301</v>
      </c>
      <c r="F39" s="63">
        <v>-7895</v>
      </c>
      <c r="G39" s="63">
        <v>679</v>
      </c>
      <c r="H39" s="63">
        <v>1021</v>
      </c>
      <c r="I39" s="63">
        <v>15190</v>
      </c>
      <c r="J39" s="63">
        <v>7287</v>
      </c>
      <c r="K39" s="63">
        <v>8454</v>
      </c>
      <c r="L39" s="63">
        <v>22814</v>
      </c>
      <c r="M39" s="63">
        <v>1071</v>
      </c>
      <c r="N39" s="63">
        <v>3441</v>
      </c>
      <c r="O39" s="63">
        <v>-5860</v>
      </c>
      <c r="P39" s="63">
        <v>-982</v>
      </c>
      <c r="Q39" s="63">
        <v>-26901</v>
      </c>
      <c r="R39" s="63">
        <v>1211</v>
      </c>
      <c r="S39" s="63">
        <v>1725</v>
      </c>
      <c r="T39" s="63">
        <v>1004</v>
      </c>
      <c r="U39" s="63">
        <v>5999</v>
      </c>
      <c r="V39" s="63">
        <v>19321</v>
      </c>
      <c r="W39" s="63">
        <v>-19305</v>
      </c>
      <c r="X39" s="63">
        <v>2886</v>
      </c>
      <c r="Y39" s="63">
        <v>6203</v>
      </c>
      <c r="Z39" s="63">
        <v>7401</v>
      </c>
      <c r="AA39" s="63">
        <v>6327</v>
      </c>
      <c r="AB39" s="63">
        <v>453</v>
      </c>
      <c r="AC39" s="63">
        <v>481</v>
      </c>
      <c r="AD39" s="63">
        <v>-10227</v>
      </c>
      <c r="AE39" s="63">
        <v>868</v>
      </c>
      <c r="AF39" s="63">
        <v>-1179</v>
      </c>
      <c r="AG39" s="63">
        <v>-4803</v>
      </c>
      <c r="AH39" s="63">
        <v>-190</v>
      </c>
      <c r="AI39" s="63">
        <v>2845</v>
      </c>
      <c r="AJ39" s="63">
        <v>325</v>
      </c>
      <c r="AK39" s="63">
        <v>1116</v>
      </c>
      <c r="AL39" s="63">
        <v>-196</v>
      </c>
      <c r="AM39" s="63">
        <v>126</v>
      </c>
      <c r="AN39" s="63">
        <v>142</v>
      </c>
      <c r="AO39" s="63">
        <v>-1536</v>
      </c>
      <c r="AP39" s="63">
        <v>5392</v>
      </c>
      <c r="AQ39" s="63">
        <v>7825</v>
      </c>
      <c r="AR39" s="63">
        <v>1539</v>
      </c>
      <c r="AS39" s="63">
        <v>1100</v>
      </c>
      <c r="AT39" s="63">
        <v>17812</v>
      </c>
      <c r="AU39" s="63">
        <v>5599</v>
      </c>
      <c r="AV39" s="63">
        <v>1185</v>
      </c>
      <c r="AW39" s="63">
        <v>2765</v>
      </c>
      <c r="AX39" s="63">
        <v>20372</v>
      </c>
      <c r="AY39" s="63">
        <v>2504</v>
      </c>
      <c r="AZ39" s="63">
        <v>7198</v>
      </c>
      <c r="BA39" s="63">
        <v>3176</v>
      </c>
      <c r="BB39" s="63">
        <v>33677</v>
      </c>
      <c r="BC39" s="63">
        <v>2817</v>
      </c>
      <c r="BD39" s="63">
        <v>8300</v>
      </c>
      <c r="BE39" s="63">
        <v>10442</v>
      </c>
      <c r="BF39" s="63" t="s">
        <v>34</v>
      </c>
      <c r="BG39" s="63" t="s">
        <v>34</v>
      </c>
      <c r="BH39" s="63" t="s">
        <v>34</v>
      </c>
      <c r="BI39" s="63" t="s">
        <v>34</v>
      </c>
      <c r="BJ39" s="63" t="s">
        <v>34</v>
      </c>
      <c r="BK39" s="63" t="s">
        <v>34</v>
      </c>
      <c r="BL39" s="63" t="s">
        <v>34</v>
      </c>
      <c r="BM39" s="63" t="s">
        <v>34</v>
      </c>
      <c r="BN39" s="63" t="s">
        <v>34</v>
      </c>
      <c r="BO39" s="63" t="s">
        <v>34</v>
      </c>
      <c r="BP39" s="63" t="s">
        <v>34</v>
      </c>
      <c r="BQ39" s="63" t="s">
        <v>34</v>
      </c>
    </row>
    <row r="40" spans="1:69" s="21" customFormat="1" ht="16.5" customHeight="1">
      <c r="A40" s="18"/>
      <c r="B40" s="52" t="s">
        <v>150</v>
      </c>
      <c r="C40" s="52"/>
      <c r="D40" s="63">
        <v>-5263</v>
      </c>
      <c r="E40" s="63">
        <v>-7683</v>
      </c>
      <c r="F40" s="63">
        <v>-12465</v>
      </c>
      <c r="G40" s="63">
        <v>-18368</v>
      </c>
      <c r="H40" s="63">
        <v>-3614</v>
      </c>
      <c r="I40" s="63">
        <v>-4916</v>
      </c>
      <c r="J40" s="63">
        <v>-6985</v>
      </c>
      <c r="K40" s="63">
        <v>-9841</v>
      </c>
      <c r="L40" s="63">
        <v>-3535</v>
      </c>
      <c r="M40" s="63">
        <v>41706</v>
      </c>
      <c r="N40" s="63">
        <v>-3762</v>
      </c>
      <c r="O40" s="63">
        <v>-5651</v>
      </c>
      <c r="P40" s="63">
        <v>-2883</v>
      </c>
      <c r="Q40" s="63">
        <v>-5440</v>
      </c>
      <c r="R40" s="63">
        <v>-10005</v>
      </c>
      <c r="S40" s="63">
        <v>-4217</v>
      </c>
      <c r="T40" s="63">
        <v>-4839</v>
      </c>
      <c r="U40" s="63">
        <v>-3513</v>
      </c>
      <c r="V40" s="63">
        <v>-7868</v>
      </c>
      <c r="W40" s="63">
        <v>-3988</v>
      </c>
      <c r="X40" s="63">
        <v>-7696</v>
      </c>
      <c r="Y40" s="63">
        <v>-5847</v>
      </c>
      <c r="Z40" s="63">
        <v>-6024</v>
      </c>
      <c r="AA40" s="63">
        <v>-3399</v>
      </c>
      <c r="AB40" s="63">
        <v>-3761</v>
      </c>
      <c r="AC40" s="63">
        <v>-4445</v>
      </c>
      <c r="AD40" s="63">
        <v>-3352</v>
      </c>
      <c r="AE40" s="63">
        <v>-3349</v>
      </c>
      <c r="AF40" s="63">
        <v>-3898</v>
      </c>
      <c r="AG40" s="63">
        <v>-2603</v>
      </c>
      <c r="AH40" s="63">
        <v>-2933</v>
      </c>
      <c r="AI40" s="63">
        <v>-3803</v>
      </c>
      <c r="AJ40" s="63">
        <v>-984</v>
      </c>
      <c r="AK40" s="63">
        <v>-1750</v>
      </c>
      <c r="AL40" s="63">
        <v>-7508</v>
      </c>
      <c r="AM40" s="63">
        <v>-1756</v>
      </c>
      <c r="AN40" s="63">
        <v>-1778</v>
      </c>
      <c r="AO40" s="63">
        <v>-2041</v>
      </c>
      <c r="AP40" s="63">
        <v>-7493</v>
      </c>
      <c r="AQ40" s="63">
        <v>-6207</v>
      </c>
      <c r="AR40" s="63">
        <v>-4170</v>
      </c>
      <c r="AS40" s="63">
        <v>-1185</v>
      </c>
      <c r="AT40" s="63">
        <v>-3071</v>
      </c>
      <c r="AU40" s="63">
        <v>-8</v>
      </c>
      <c r="AV40" s="63">
        <v>-353</v>
      </c>
      <c r="AW40" s="63">
        <v>-148</v>
      </c>
      <c r="AX40" s="63">
        <v>-4317</v>
      </c>
      <c r="AY40" s="63">
        <v>-452</v>
      </c>
      <c r="AZ40" s="63">
        <v>-269</v>
      </c>
      <c r="BA40" s="63">
        <v>-1036</v>
      </c>
      <c r="BB40" s="63">
        <v>-4465</v>
      </c>
      <c r="BC40" s="63">
        <v>-1437</v>
      </c>
      <c r="BD40" s="63">
        <v>-1527</v>
      </c>
      <c r="BE40" s="63">
        <v>-213</v>
      </c>
      <c r="BF40" s="63">
        <v>-4432</v>
      </c>
      <c r="BG40" s="63">
        <v>-3211</v>
      </c>
      <c r="BH40" s="63">
        <v>-390</v>
      </c>
      <c r="BI40" s="63">
        <v>-55</v>
      </c>
      <c r="BJ40" s="63">
        <v>-180</v>
      </c>
      <c r="BK40" s="63">
        <v>-799</v>
      </c>
      <c r="BL40" s="63">
        <v>-198</v>
      </c>
      <c r="BM40" s="63">
        <v>-1077</v>
      </c>
      <c r="BN40" s="63">
        <v>-6499</v>
      </c>
      <c r="BO40" s="63">
        <v>-4213</v>
      </c>
      <c r="BP40" s="63">
        <v>-3455</v>
      </c>
      <c r="BQ40" s="63">
        <v>-1872</v>
      </c>
    </row>
    <row r="41" spans="1:69" s="21" customFormat="1" ht="16.5" customHeight="1">
      <c r="A41" s="18"/>
      <c r="B41" s="52" t="s">
        <v>151</v>
      </c>
      <c r="C41" s="52"/>
      <c r="D41" s="63">
        <v>-1156</v>
      </c>
      <c r="E41" s="63">
        <v>-155</v>
      </c>
      <c r="F41" s="63">
        <v>-240</v>
      </c>
      <c r="G41" s="63">
        <v>-420</v>
      </c>
      <c r="H41" s="63">
        <v>-363</v>
      </c>
      <c r="I41" s="63">
        <v>-336</v>
      </c>
      <c r="J41" s="63">
        <v>-386</v>
      </c>
      <c r="K41" s="63">
        <v>-122</v>
      </c>
      <c r="L41" s="63">
        <v>-224</v>
      </c>
      <c r="M41" s="63">
        <v>-280</v>
      </c>
      <c r="N41" s="63">
        <v>-97</v>
      </c>
      <c r="O41" s="63">
        <v>-593</v>
      </c>
      <c r="P41" s="63">
        <v>-492</v>
      </c>
      <c r="Q41" s="63">
        <v>-663</v>
      </c>
      <c r="R41" s="63">
        <v>-239</v>
      </c>
      <c r="S41" s="63">
        <v>-308</v>
      </c>
      <c r="T41" s="63">
        <v>-602</v>
      </c>
      <c r="U41" s="63">
        <v>-242</v>
      </c>
      <c r="V41" s="63">
        <v>-263</v>
      </c>
      <c r="W41" s="63">
        <v>-424</v>
      </c>
      <c r="X41" s="63">
        <v>-734</v>
      </c>
      <c r="Y41" s="63">
        <v>-360</v>
      </c>
      <c r="Z41" s="63">
        <v>-244</v>
      </c>
      <c r="AA41" s="63">
        <v>-286</v>
      </c>
      <c r="AB41" s="63">
        <v>-118</v>
      </c>
      <c r="AC41" s="63">
        <v>-332</v>
      </c>
      <c r="AD41" s="63">
        <v>-96</v>
      </c>
      <c r="AE41" s="63">
        <v>-92</v>
      </c>
      <c r="AF41" s="63">
        <v>-155</v>
      </c>
      <c r="AG41" s="63">
        <v>-24</v>
      </c>
      <c r="AH41" s="63">
        <v>-264</v>
      </c>
      <c r="AI41" s="63">
        <v>100</v>
      </c>
      <c r="AJ41" s="63">
        <v>-152</v>
      </c>
      <c r="AK41" s="63">
        <v>-101</v>
      </c>
      <c r="AL41" s="63">
        <v>-150</v>
      </c>
      <c r="AM41" s="63">
        <v>-36</v>
      </c>
      <c r="AN41" s="63">
        <v>-50</v>
      </c>
      <c r="AO41" s="63">
        <v>-17</v>
      </c>
      <c r="AP41" s="63">
        <v>-227</v>
      </c>
      <c r="AQ41" s="63">
        <v>-34</v>
      </c>
      <c r="AR41" s="63">
        <v>-34</v>
      </c>
      <c r="AS41" s="63">
        <v>-2</v>
      </c>
      <c r="AT41" s="63">
        <v>-128</v>
      </c>
      <c r="AU41" s="63" t="s">
        <v>34</v>
      </c>
      <c r="AV41" s="63">
        <v>-4</v>
      </c>
      <c r="AW41" s="63">
        <v>-83</v>
      </c>
      <c r="AX41" s="63">
        <v>-637</v>
      </c>
      <c r="AY41" s="63" t="s">
        <v>34</v>
      </c>
      <c r="AZ41" s="63">
        <v>-11</v>
      </c>
      <c r="BA41" s="63">
        <v>-497</v>
      </c>
      <c r="BB41" s="63">
        <v>-265</v>
      </c>
      <c r="BC41" s="63">
        <v>-43</v>
      </c>
      <c r="BD41" s="63">
        <v>-136</v>
      </c>
      <c r="BE41" s="63">
        <v>-74</v>
      </c>
      <c r="BF41" s="63">
        <v>-138</v>
      </c>
      <c r="BG41" s="63">
        <v>-117</v>
      </c>
      <c r="BH41" s="63">
        <v>-88</v>
      </c>
      <c r="BI41" s="63">
        <v>-55</v>
      </c>
      <c r="BJ41" s="63">
        <v>-66</v>
      </c>
      <c r="BK41" s="63">
        <v>-20</v>
      </c>
      <c r="BL41" s="63">
        <v>-206</v>
      </c>
      <c r="BM41" s="63">
        <v>-130</v>
      </c>
      <c r="BN41" s="63">
        <v>-1551</v>
      </c>
      <c r="BO41" s="63">
        <v>-349</v>
      </c>
      <c r="BP41" s="63">
        <v>-186</v>
      </c>
      <c r="BQ41" s="63">
        <v>-118</v>
      </c>
    </row>
    <row r="42" spans="1:69" s="21" customFormat="1" ht="16.5" customHeight="1">
      <c r="A42" s="18"/>
      <c r="B42" s="52" t="s">
        <v>152</v>
      </c>
      <c r="C42" s="52"/>
      <c r="D42" s="63" t="s">
        <v>34</v>
      </c>
      <c r="E42" s="63" t="s">
        <v>34</v>
      </c>
      <c r="F42" s="63" t="s">
        <v>34</v>
      </c>
      <c r="G42" s="63" t="s">
        <v>34</v>
      </c>
      <c r="H42" s="63" t="s">
        <v>34</v>
      </c>
      <c r="I42" s="63" t="s">
        <v>34</v>
      </c>
      <c r="J42" s="63" t="s">
        <v>34</v>
      </c>
      <c r="K42" s="63" t="s">
        <v>34</v>
      </c>
      <c r="L42" s="63" t="s">
        <v>34</v>
      </c>
      <c r="M42" s="63" t="s">
        <v>34</v>
      </c>
      <c r="N42" s="63" t="s">
        <v>34</v>
      </c>
      <c r="O42" s="63" t="s">
        <v>34</v>
      </c>
      <c r="P42" s="63" t="s">
        <v>34</v>
      </c>
      <c r="Q42" s="63" t="s">
        <v>34</v>
      </c>
      <c r="R42" s="63" t="s">
        <v>34</v>
      </c>
      <c r="S42" s="63" t="s">
        <v>34</v>
      </c>
      <c r="T42" s="63" t="s">
        <v>34</v>
      </c>
      <c r="U42" s="63" t="s">
        <v>34</v>
      </c>
      <c r="V42" s="63" t="s">
        <v>34</v>
      </c>
      <c r="W42" s="63" t="s">
        <v>34</v>
      </c>
      <c r="X42" s="63" t="s">
        <v>34</v>
      </c>
      <c r="Y42" s="63" t="s">
        <v>34</v>
      </c>
      <c r="Z42" s="63" t="s">
        <v>34</v>
      </c>
      <c r="AA42" s="63">
        <v>-6992</v>
      </c>
      <c r="AB42" s="63" t="s">
        <v>34</v>
      </c>
      <c r="AC42" s="63" t="s">
        <v>34</v>
      </c>
      <c r="AD42" s="63" t="s">
        <v>34</v>
      </c>
      <c r="AE42" s="63" t="s">
        <v>34</v>
      </c>
      <c r="AF42" s="63" t="s">
        <v>34</v>
      </c>
      <c r="AG42" s="63" t="s">
        <v>34</v>
      </c>
      <c r="AH42" s="63" t="s">
        <v>34</v>
      </c>
      <c r="AI42" s="63" t="s">
        <v>34</v>
      </c>
      <c r="AJ42" s="63" t="s">
        <v>34</v>
      </c>
      <c r="AK42" s="63" t="s">
        <v>34</v>
      </c>
      <c r="AL42" s="63" t="s">
        <v>34</v>
      </c>
      <c r="AM42" s="63" t="s">
        <v>34</v>
      </c>
      <c r="AN42" s="63" t="s">
        <v>34</v>
      </c>
      <c r="AO42" s="63" t="s">
        <v>34</v>
      </c>
      <c r="AP42" s="63">
        <v>-2898</v>
      </c>
      <c r="AQ42" s="63">
        <v>-2898</v>
      </c>
      <c r="AR42" s="63">
        <v>-2898</v>
      </c>
      <c r="AS42" s="63">
        <v>-1474</v>
      </c>
      <c r="AT42" s="63">
        <v>-11807</v>
      </c>
      <c r="AU42" s="63">
        <v>-5741</v>
      </c>
      <c r="AV42" s="63">
        <v>-3448</v>
      </c>
      <c r="AW42" s="63">
        <v>-2293</v>
      </c>
      <c r="AX42" s="63">
        <v>-9291</v>
      </c>
      <c r="AY42" s="63">
        <v>-777</v>
      </c>
      <c r="AZ42" s="63">
        <v>-222</v>
      </c>
      <c r="BA42" s="63">
        <v>-5395</v>
      </c>
      <c r="BB42" s="63" t="s">
        <v>34</v>
      </c>
      <c r="BC42" s="63" t="s">
        <v>34</v>
      </c>
      <c r="BD42" s="63" t="s">
        <v>34</v>
      </c>
      <c r="BE42" s="63" t="s">
        <v>34</v>
      </c>
      <c r="BF42" s="63" t="s">
        <v>34</v>
      </c>
      <c r="BG42" s="63" t="s">
        <v>34</v>
      </c>
      <c r="BH42" s="63" t="s">
        <v>34</v>
      </c>
      <c r="BI42" s="63" t="s">
        <v>34</v>
      </c>
      <c r="BJ42" s="63" t="s">
        <v>34</v>
      </c>
      <c r="BK42" s="63" t="s">
        <v>34</v>
      </c>
      <c r="BL42" s="63" t="s">
        <v>34</v>
      </c>
      <c r="BM42" s="63" t="s">
        <v>34</v>
      </c>
      <c r="BN42" s="63" t="s">
        <v>34</v>
      </c>
      <c r="BO42" s="63">
        <v>10153</v>
      </c>
      <c r="BP42" s="63">
        <v>10153</v>
      </c>
      <c r="BQ42" s="63">
        <v>10153</v>
      </c>
    </row>
    <row r="43" spans="1:69" s="21" customFormat="1" ht="16.5" customHeight="1">
      <c r="A43" s="18"/>
      <c r="B43" s="52" t="s">
        <v>153</v>
      </c>
      <c r="C43" s="52"/>
      <c r="D43" s="63" t="s">
        <v>34</v>
      </c>
      <c r="E43" s="63" t="s">
        <v>34</v>
      </c>
      <c r="F43" s="63" t="s">
        <v>34</v>
      </c>
      <c r="G43" s="63" t="s">
        <v>34</v>
      </c>
      <c r="H43" s="63" t="s">
        <v>34</v>
      </c>
      <c r="I43" s="63" t="s">
        <v>34</v>
      </c>
      <c r="J43" s="63" t="s">
        <v>34</v>
      </c>
      <c r="K43" s="63" t="s">
        <v>34</v>
      </c>
      <c r="L43" s="63" t="s">
        <v>34</v>
      </c>
      <c r="M43" s="63" t="s">
        <v>34</v>
      </c>
      <c r="N43" s="63" t="s">
        <v>34</v>
      </c>
      <c r="O43" s="63" t="s">
        <v>34</v>
      </c>
      <c r="P43" s="63" t="s">
        <v>34</v>
      </c>
      <c r="Q43" s="63" t="s">
        <v>34</v>
      </c>
      <c r="R43" s="63" t="s">
        <v>34</v>
      </c>
      <c r="S43" s="63" t="s">
        <v>34</v>
      </c>
      <c r="T43" s="63" t="s">
        <v>34</v>
      </c>
      <c r="U43" s="63" t="s">
        <v>34</v>
      </c>
      <c r="V43" s="63" t="s">
        <v>34</v>
      </c>
      <c r="W43" s="63" t="s">
        <v>34</v>
      </c>
      <c r="X43" s="63" t="s">
        <v>34</v>
      </c>
      <c r="Y43" s="63" t="s">
        <v>34</v>
      </c>
      <c r="Z43" s="63" t="s">
        <v>34</v>
      </c>
      <c r="AA43" s="63">
        <v>-20000</v>
      </c>
      <c r="AB43" s="63">
        <v>-20000</v>
      </c>
      <c r="AC43" s="63" t="s">
        <v>34</v>
      </c>
      <c r="AD43" s="63" t="s">
        <v>34</v>
      </c>
      <c r="AE43" s="63">
        <v>-10000</v>
      </c>
      <c r="AF43" s="63">
        <v>-10000</v>
      </c>
      <c r="AG43" s="63" t="s">
        <v>34</v>
      </c>
      <c r="AH43" s="63">
        <v>-3010</v>
      </c>
      <c r="AI43" s="63">
        <v>-4620</v>
      </c>
      <c r="AJ43" s="63">
        <v>-4620</v>
      </c>
      <c r="AK43" s="63" t="s">
        <v>34</v>
      </c>
      <c r="AL43" s="63">
        <v>-9500</v>
      </c>
      <c r="AM43" s="63">
        <v>-9500</v>
      </c>
      <c r="AN43" s="63" t="s">
        <v>34</v>
      </c>
      <c r="AO43" s="63" t="s">
        <v>34</v>
      </c>
      <c r="AP43" s="63">
        <v>-9500</v>
      </c>
      <c r="AQ43" s="63">
        <v>-6290</v>
      </c>
      <c r="AR43" s="63">
        <v>-1541</v>
      </c>
      <c r="AS43" s="63" t="s">
        <v>34</v>
      </c>
      <c r="AT43" s="63">
        <v>-10000</v>
      </c>
      <c r="AU43" s="63">
        <v>-5000</v>
      </c>
      <c r="AV43" s="63">
        <v>-5000</v>
      </c>
      <c r="AW43" s="63" t="s">
        <v>34</v>
      </c>
      <c r="AX43" s="63">
        <v>-10000</v>
      </c>
      <c r="AY43" s="63">
        <v>-5000</v>
      </c>
      <c r="AZ43" s="63">
        <v>-5000</v>
      </c>
      <c r="BA43" s="63" t="s">
        <v>34</v>
      </c>
      <c r="BB43" s="63">
        <v>-20305</v>
      </c>
      <c r="BC43" s="63">
        <v>-3968</v>
      </c>
      <c r="BD43" s="63">
        <v>-9063</v>
      </c>
      <c r="BE43" s="63">
        <v>-7274</v>
      </c>
      <c r="BF43" s="63" t="s">
        <v>34</v>
      </c>
      <c r="BG43" s="63" t="s">
        <v>34</v>
      </c>
      <c r="BH43" s="63" t="s">
        <v>34</v>
      </c>
      <c r="BI43" s="63" t="s">
        <v>34</v>
      </c>
      <c r="BJ43" s="63" t="s">
        <v>34</v>
      </c>
      <c r="BK43" s="63" t="s">
        <v>34</v>
      </c>
      <c r="BL43" s="63" t="s">
        <v>34</v>
      </c>
      <c r="BM43" s="63" t="s">
        <v>34</v>
      </c>
      <c r="BN43" s="63" t="s">
        <v>34</v>
      </c>
      <c r="BO43" s="63" t="s">
        <v>34</v>
      </c>
      <c r="BP43" s="63" t="s">
        <v>34</v>
      </c>
      <c r="BQ43" s="63" t="s">
        <v>34</v>
      </c>
    </row>
    <row r="44" spans="1:69" s="21" customFormat="1" ht="16.5" customHeight="1">
      <c r="A44" s="18"/>
      <c r="B44" s="52" t="s">
        <v>154</v>
      </c>
      <c r="C44" s="52"/>
      <c r="D44" s="63" t="s">
        <v>34</v>
      </c>
      <c r="E44" s="63" t="s">
        <v>34</v>
      </c>
      <c r="F44" s="63" t="s">
        <v>34</v>
      </c>
      <c r="G44" s="63" t="s">
        <v>34</v>
      </c>
      <c r="H44" s="63" t="s">
        <v>34</v>
      </c>
      <c r="I44" s="63" t="s">
        <v>34</v>
      </c>
      <c r="J44" s="63" t="s">
        <v>34</v>
      </c>
      <c r="K44" s="63" t="s">
        <v>34</v>
      </c>
      <c r="L44" s="63" t="s">
        <v>34</v>
      </c>
      <c r="M44" s="63" t="s">
        <v>34</v>
      </c>
      <c r="N44" s="63" t="s">
        <v>34</v>
      </c>
      <c r="O44" s="63" t="s">
        <v>34</v>
      </c>
      <c r="P44" s="63" t="s">
        <v>34</v>
      </c>
      <c r="Q44" s="63" t="s">
        <v>34</v>
      </c>
      <c r="R44" s="63" t="s">
        <v>34</v>
      </c>
      <c r="S44" s="63" t="s">
        <v>34</v>
      </c>
      <c r="T44" s="63" t="s">
        <v>34</v>
      </c>
      <c r="U44" s="63" t="s">
        <v>34</v>
      </c>
      <c r="V44" s="63" t="s">
        <v>34</v>
      </c>
      <c r="W44" s="63" t="s">
        <v>34</v>
      </c>
      <c r="X44" s="63" t="s">
        <v>34</v>
      </c>
      <c r="Y44" s="63" t="s">
        <v>34</v>
      </c>
      <c r="Z44" s="63" t="s">
        <v>34</v>
      </c>
      <c r="AA44" s="63" t="s">
        <v>34</v>
      </c>
      <c r="AB44" s="63" t="s">
        <v>34</v>
      </c>
      <c r="AC44" s="63" t="s">
        <v>34</v>
      </c>
      <c r="AD44" s="63" t="s">
        <v>34</v>
      </c>
      <c r="AE44" s="63" t="s">
        <v>34</v>
      </c>
      <c r="AF44" s="63" t="s">
        <v>34</v>
      </c>
      <c r="AG44" s="63" t="s">
        <v>34</v>
      </c>
      <c r="AH44" s="63">
        <v>108</v>
      </c>
      <c r="AI44" s="63" t="s">
        <v>34</v>
      </c>
      <c r="AJ44" s="63" t="s">
        <v>34</v>
      </c>
      <c r="AK44" s="63" t="s">
        <v>34</v>
      </c>
      <c r="AL44" s="63" t="s">
        <v>34</v>
      </c>
      <c r="AM44" s="63" t="s">
        <v>34</v>
      </c>
      <c r="AN44" s="63" t="s">
        <v>34</v>
      </c>
      <c r="AO44" s="63" t="s">
        <v>34</v>
      </c>
      <c r="AP44" s="63" t="s">
        <v>34</v>
      </c>
      <c r="AQ44" s="63" t="s">
        <v>34</v>
      </c>
      <c r="AR44" s="63" t="s">
        <v>34</v>
      </c>
      <c r="AS44" s="63" t="s">
        <v>34</v>
      </c>
      <c r="AT44" s="63" t="s">
        <v>34</v>
      </c>
      <c r="AU44" s="63" t="s">
        <v>34</v>
      </c>
      <c r="AV44" s="63" t="s">
        <v>34</v>
      </c>
      <c r="AW44" s="63" t="s">
        <v>34</v>
      </c>
      <c r="AX44" s="63" t="s">
        <v>34</v>
      </c>
      <c r="AY44" s="63" t="s">
        <v>34</v>
      </c>
      <c r="AZ44" s="63" t="s">
        <v>34</v>
      </c>
      <c r="BA44" s="63" t="s">
        <v>34</v>
      </c>
      <c r="BB44" s="63">
        <v>45</v>
      </c>
      <c r="BC44" s="63" t="s">
        <v>34</v>
      </c>
      <c r="BD44" s="63" t="s">
        <v>34</v>
      </c>
      <c r="BE44" s="63" t="s">
        <v>34</v>
      </c>
      <c r="BF44" s="63" t="s">
        <v>34</v>
      </c>
      <c r="BG44" s="63" t="s">
        <v>34</v>
      </c>
      <c r="BH44" s="63" t="s">
        <v>34</v>
      </c>
      <c r="BI44" s="63" t="s">
        <v>34</v>
      </c>
      <c r="BJ44" s="63" t="s">
        <v>34</v>
      </c>
      <c r="BK44" s="63" t="s">
        <v>34</v>
      </c>
      <c r="BL44" s="63" t="s">
        <v>34</v>
      </c>
      <c r="BM44" s="63" t="s">
        <v>34</v>
      </c>
      <c r="BN44" s="63" t="s">
        <v>34</v>
      </c>
      <c r="BO44" s="63" t="s">
        <v>34</v>
      </c>
      <c r="BP44" s="63" t="s">
        <v>34</v>
      </c>
      <c r="BQ44" s="63" t="s">
        <v>34</v>
      </c>
    </row>
    <row r="45" spans="1:69" s="21" customFormat="1" ht="16.5" customHeight="1">
      <c r="A45" s="18"/>
      <c r="B45" s="52" t="s">
        <v>155</v>
      </c>
      <c r="C45" s="52"/>
      <c r="D45" s="63" t="s">
        <v>34</v>
      </c>
      <c r="E45" s="63" t="s">
        <v>34</v>
      </c>
      <c r="F45" s="63" t="s">
        <v>34</v>
      </c>
      <c r="G45" s="63" t="s">
        <v>34</v>
      </c>
      <c r="H45" s="63" t="s">
        <v>34</v>
      </c>
      <c r="I45" s="63" t="s">
        <v>34</v>
      </c>
      <c r="J45" s="63" t="s">
        <v>34</v>
      </c>
      <c r="K45" s="63" t="s">
        <v>34</v>
      </c>
      <c r="L45" s="63" t="s">
        <v>34</v>
      </c>
      <c r="M45" s="63" t="s">
        <v>34</v>
      </c>
      <c r="N45" s="63" t="s">
        <v>34</v>
      </c>
      <c r="O45" s="63" t="s">
        <v>34</v>
      </c>
      <c r="P45" s="63" t="s">
        <v>34</v>
      </c>
      <c r="Q45" s="63" t="s">
        <v>34</v>
      </c>
      <c r="R45" s="63" t="s">
        <v>34</v>
      </c>
      <c r="S45" s="63" t="s">
        <v>34</v>
      </c>
      <c r="T45" s="63" t="s">
        <v>34</v>
      </c>
      <c r="U45" s="63" t="s">
        <v>34</v>
      </c>
      <c r="V45" s="63" t="s">
        <v>34</v>
      </c>
      <c r="W45" s="63" t="s">
        <v>34</v>
      </c>
      <c r="X45" s="63" t="s">
        <v>34</v>
      </c>
      <c r="Y45" s="63" t="s">
        <v>34</v>
      </c>
      <c r="Z45" s="63" t="s">
        <v>34</v>
      </c>
      <c r="AA45" s="63" t="s">
        <v>34</v>
      </c>
      <c r="AB45" s="63" t="s">
        <v>34</v>
      </c>
      <c r="AC45" s="63" t="s">
        <v>34</v>
      </c>
      <c r="AD45" s="63" t="s">
        <v>34</v>
      </c>
      <c r="AE45" s="63" t="s">
        <v>34</v>
      </c>
      <c r="AF45" s="63" t="s">
        <v>34</v>
      </c>
      <c r="AG45" s="63" t="s">
        <v>34</v>
      </c>
      <c r="AH45" s="63" t="s">
        <v>34</v>
      </c>
      <c r="AI45" s="63" t="s">
        <v>34</v>
      </c>
      <c r="AJ45" s="63" t="s">
        <v>34</v>
      </c>
      <c r="AK45" s="63" t="s">
        <v>34</v>
      </c>
      <c r="AL45" s="63">
        <v>165</v>
      </c>
      <c r="AM45" s="63">
        <v>55</v>
      </c>
      <c r="AN45" s="63">
        <v>72</v>
      </c>
      <c r="AO45" s="63" t="s">
        <v>34</v>
      </c>
      <c r="AP45" s="63">
        <v>313</v>
      </c>
      <c r="AQ45" s="63">
        <v>263</v>
      </c>
      <c r="AR45" s="63">
        <v>263</v>
      </c>
      <c r="AS45" s="63">
        <v>147</v>
      </c>
      <c r="AT45" s="63">
        <v>342</v>
      </c>
      <c r="AU45" s="63">
        <v>61</v>
      </c>
      <c r="AV45" s="63">
        <v>190</v>
      </c>
      <c r="AW45" s="63">
        <v>81</v>
      </c>
      <c r="AX45" s="63">
        <v>1618</v>
      </c>
      <c r="AY45" s="63">
        <v>276</v>
      </c>
      <c r="AZ45" s="63">
        <v>405</v>
      </c>
      <c r="BA45" s="63">
        <v>643</v>
      </c>
      <c r="BB45" s="63" t="s">
        <v>34</v>
      </c>
      <c r="BC45" s="63">
        <v>45</v>
      </c>
      <c r="BD45" s="63" t="s">
        <v>34</v>
      </c>
      <c r="BE45" s="63" t="s">
        <v>34</v>
      </c>
      <c r="BF45" s="63">
        <v>621</v>
      </c>
      <c r="BG45" s="63">
        <v>377</v>
      </c>
      <c r="BH45" s="63">
        <v>371</v>
      </c>
      <c r="BI45" s="63">
        <v>90</v>
      </c>
      <c r="BJ45" s="63">
        <v>326</v>
      </c>
      <c r="BK45" s="63">
        <v>280</v>
      </c>
      <c r="BL45" s="63" t="s">
        <v>34</v>
      </c>
      <c r="BM45" s="63">
        <v>124</v>
      </c>
      <c r="BN45" s="63" t="s">
        <v>34</v>
      </c>
      <c r="BO45" s="63" t="s">
        <v>34</v>
      </c>
      <c r="BP45" s="63" t="s">
        <v>34</v>
      </c>
      <c r="BQ45" s="63" t="s">
        <v>34</v>
      </c>
    </row>
    <row r="46" spans="1:69" s="21" customFormat="1" ht="16.5" customHeight="1">
      <c r="A46" s="18"/>
      <c r="B46" s="52" t="s">
        <v>156</v>
      </c>
      <c r="C46" s="52"/>
      <c r="D46" s="63" t="s">
        <v>34</v>
      </c>
      <c r="E46" s="63" t="s">
        <v>34</v>
      </c>
      <c r="F46" s="63" t="s">
        <v>34</v>
      </c>
      <c r="G46" s="63" t="s">
        <v>34</v>
      </c>
      <c r="H46" s="63" t="s">
        <v>34</v>
      </c>
      <c r="I46" s="63" t="s">
        <v>34</v>
      </c>
      <c r="J46" s="63" t="s">
        <v>34</v>
      </c>
      <c r="K46" s="63" t="s">
        <v>34</v>
      </c>
      <c r="L46" s="63" t="s">
        <v>34</v>
      </c>
      <c r="M46" s="63" t="s">
        <v>34</v>
      </c>
      <c r="N46" s="63" t="s">
        <v>34</v>
      </c>
      <c r="O46" s="63" t="s">
        <v>34</v>
      </c>
      <c r="P46" s="63" t="s">
        <v>34</v>
      </c>
      <c r="Q46" s="63" t="s">
        <v>34</v>
      </c>
      <c r="R46" s="63" t="s">
        <v>34</v>
      </c>
      <c r="S46" s="63" t="s">
        <v>34</v>
      </c>
      <c r="T46" s="63" t="s">
        <v>34</v>
      </c>
      <c r="U46" s="63" t="s">
        <v>34</v>
      </c>
      <c r="V46" s="63" t="s">
        <v>34</v>
      </c>
      <c r="W46" s="63" t="s">
        <v>34</v>
      </c>
      <c r="X46" s="63" t="s">
        <v>34</v>
      </c>
      <c r="Y46" s="63" t="s">
        <v>34</v>
      </c>
      <c r="Z46" s="63" t="s">
        <v>34</v>
      </c>
      <c r="AA46" s="63" t="s">
        <v>34</v>
      </c>
      <c r="AB46" s="63" t="s">
        <v>34</v>
      </c>
      <c r="AC46" s="63" t="s">
        <v>34</v>
      </c>
      <c r="AD46" s="63" t="s">
        <v>34</v>
      </c>
      <c r="AE46" s="63" t="s">
        <v>34</v>
      </c>
      <c r="AF46" s="63" t="s">
        <v>34</v>
      </c>
      <c r="AG46" s="63" t="s">
        <v>34</v>
      </c>
      <c r="AH46" s="63" t="s">
        <v>34</v>
      </c>
      <c r="AI46" s="63" t="s">
        <v>34</v>
      </c>
      <c r="AJ46" s="63" t="s">
        <v>34</v>
      </c>
      <c r="AK46" s="63" t="s">
        <v>34</v>
      </c>
      <c r="AL46" s="63" t="s">
        <v>34</v>
      </c>
      <c r="AM46" s="63" t="s">
        <v>34</v>
      </c>
      <c r="AN46" s="63" t="s">
        <v>34</v>
      </c>
      <c r="AO46" s="63" t="s">
        <v>34</v>
      </c>
      <c r="AP46" s="63" t="s">
        <v>34</v>
      </c>
      <c r="AQ46" s="63" t="s">
        <v>34</v>
      </c>
      <c r="AR46" s="63" t="s">
        <v>34</v>
      </c>
      <c r="AS46" s="63" t="s">
        <v>34</v>
      </c>
      <c r="AT46" s="63" t="s">
        <v>34</v>
      </c>
      <c r="AU46" s="63" t="s">
        <v>34</v>
      </c>
      <c r="AV46" s="63" t="s">
        <v>34</v>
      </c>
      <c r="AW46" s="63" t="s">
        <v>34</v>
      </c>
      <c r="AX46" s="63">
        <v>220</v>
      </c>
      <c r="AY46" s="63">
        <v>220</v>
      </c>
      <c r="AZ46" s="63" t="s">
        <v>34</v>
      </c>
      <c r="BA46" s="63" t="s">
        <v>34</v>
      </c>
      <c r="BB46" s="63">
        <v>-724</v>
      </c>
      <c r="BC46" s="63" t="s">
        <v>34</v>
      </c>
      <c r="BD46" s="63" t="s">
        <v>34</v>
      </c>
      <c r="BE46" s="63" t="s">
        <v>34</v>
      </c>
      <c r="BF46" s="63">
        <v>120</v>
      </c>
      <c r="BG46" s="63">
        <v>84</v>
      </c>
      <c r="BH46" s="63" t="s">
        <v>34</v>
      </c>
      <c r="BI46" s="63" t="s">
        <v>34</v>
      </c>
      <c r="BJ46" s="63" t="s">
        <v>34</v>
      </c>
      <c r="BK46" s="63" t="s">
        <v>34</v>
      </c>
      <c r="BL46" s="63" t="s">
        <v>34</v>
      </c>
      <c r="BM46" s="63" t="s">
        <v>34</v>
      </c>
      <c r="BN46" s="63" t="s">
        <v>34</v>
      </c>
      <c r="BO46" s="63" t="s">
        <v>34</v>
      </c>
      <c r="BP46" s="63" t="s">
        <v>34</v>
      </c>
      <c r="BQ46" s="63" t="s">
        <v>34</v>
      </c>
    </row>
    <row r="47" spans="1:69" s="25" customFormat="1" ht="16.5" customHeight="1">
      <c r="A47" s="24"/>
      <c r="B47" s="56" t="s">
        <v>157</v>
      </c>
      <c r="C47" s="56"/>
      <c r="D47" s="57">
        <f>SUM(D38:D46)</f>
        <v>-8591</v>
      </c>
      <c r="E47" s="57">
        <f>SUM(E38:E46)</f>
        <v>-2806</v>
      </c>
      <c r="F47" s="57">
        <f>SUM(F38:F46)</f>
        <v>-31228</v>
      </c>
      <c r="G47" s="57">
        <f t="shared" ref="G47:Q47" si="17">SUM(G39:G46)</f>
        <v>-18109</v>
      </c>
      <c r="H47" s="57">
        <f t="shared" si="17"/>
        <v>-2956</v>
      </c>
      <c r="I47" s="57">
        <f t="shared" si="17"/>
        <v>9938</v>
      </c>
      <c r="J47" s="57">
        <f t="shared" si="17"/>
        <v>-84</v>
      </c>
      <c r="K47" s="57">
        <f t="shared" si="17"/>
        <v>-1509</v>
      </c>
      <c r="L47" s="57">
        <f t="shared" si="17"/>
        <v>19055</v>
      </c>
      <c r="M47" s="57">
        <f t="shared" si="17"/>
        <v>42497</v>
      </c>
      <c r="N47" s="57">
        <f t="shared" si="17"/>
        <v>-418</v>
      </c>
      <c r="O47" s="57">
        <f t="shared" si="17"/>
        <v>-12104</v>
      </c>
      <c r="P47" s="57">
        <f t="shared" si="17"/>
        <v>-4357</v>
      </c>
      <c r="Q47" s="57">
        <f t="shared" si="17"/>
        <v>-33004</v>
      </c>
      <c r="R47" s="57">
        <f>SUM(R39:R46)</f>
        <v>-9033</v>
      </c>
      <c r="S47" s="57">
        <f>SUM(S39:S46)</f>
        <v>-2800</v>
      </c>
      <c r="T47" s="57">
        <f>SUM(T39:T46)</f>
        <v>-4437</v>
      </c>
      <c r="U47" s="57">
        <f t="shared" ref="U47:BJ47" si="18">SUM(U39:U46)</f>
        <v>2244</v>
      </c>
      <c r="V47" s="57">
        <f t="shared" si="18"/>
        <v>11190</v>
      </c>
      <c r="W47" s="57">
        <f t="shared" si="18"/>
        <v>-23717</v>
      </c>
      <c r="X47" s="57">
        <f t="shared" si="18"/>
        <v>-5544</v>
      </c>
      <c r="Y47" s="57">
        <f t="shared" si="18"/>
        <v>-4</v>
      </c>
      <c r="Z47" s="57">
        <f t="shared" si="18"/>
        <v>1133</v>
      </c>
      <c r="AA47" s="57">
        <f t="shared" si="18"/>
        <v>-24350</v>
      </c>
      <c r="AB47" s="57">
        <f t="shared" si="18"/>
        <v>-23426</v>
      </c>
      <c r="AC47" s="57">
        <f t="shared" si="18"/>
        <v>-4296</v>
      </c>
      <c r="AD47" s="57">
        <f t="shared" si="18"/>
        <v>-13675</v>
      </c>
      <c r="AE47" s="57">
        <f t="shared" si="18"/>
        <v>-12573</v>
      </c>
      <c r="AF47" s="57">
        <f t="shared" si="18"/>
        <v>-15232</v>
      </c>
      <c r="AG47" s="57">
        <f t="shared" si="18"/>
        <v>-7430</v>
      </c>
      <c r="AH47" s="57">
        <f t="shared" si="18"/>
        <v>-6289</v>
      </c>
      <c r="AI47" s="57">
        <f t="shared" si="18"/>
        <v>-5478</v>
      </c>
      <c r="AJ47" s="57">
        <f t="shared" si="18"/>
        <v>-5431</v>
      </c>
      <c r="AK47" s="57">
        <f t="shared" si="18"/>
        <v>-735</v>
      </c>
      <c r="AL47" s="57">
        <f t="shared" si="18"/>
        <v>-17189</v>
      </c>
      <c r="AM47" s="57">
        <f t="shared" si="18"/>
        <v>-11111</v>
      </c>
      <c r="AN47" s="57">
        <f t="shared" si="18"/>
        <v>-1614</v>
      </c>
      <c r="AO47" s="57">
        <f t="shared" si="18"/>
        <v>-3594</v>
      </c>
      <c r="AP47" s="57">
        <f t="shared" si="18"/>
        <v>-14413</v>
      </c>
      <c r="AQ47" s="57">
        <f t="shared" si="18"/>
        <v>-7341</v>
      </c>
      <c r="AR47" s="57">
        <f t="shared" si="18"/>
        <v>-6841</v>
      </c>
      <c r="AS47" s="57">
        <f t="shared" si="18"/>
        <v>-1414</v>
      </c>
      <c r="AT47" s="57">
        <f t="shared" si="18"/>
        <v>-6852</v>
      </c>
      <c r="AU47" s="57">
        <f t="shared" si="18"/>
        <v>-5089</v>
      </c>
      <c r="AV47" s="57">
        <f t="shared" si="18"/>
        <v>-7430</v>
      </c>
      <c r="AW47" s="57">
        <f t="shared" si="18"/>
        <v>322</v>
      </c>
      <c r="AX47" s="57">
        <f t="shared" si="18"/>
        <v>-2035</v>
      </c>
      <c r="AY47" s="57">
        <f t="shared" si="18"/>
        <v>-3229</v>
      </c>
      <c r="AZ47" s="57">
        <f t="shared" si="18"/>
        <v>2101</v>
      </c>
      <c r="BA47" s="57">
        <f t="shared" si="18"/>
        <v>-3109</v>
      </c>
      <c r="BB47" s="57">
        <f t="shared" si="18"/>
        <v>7963</v>
      </c>
      <c r="BC47" s="57">
        <f t="shared" si="18"/>
        <v>-2586</v>
      </c>
      <c r="BD47" s="57">
        <f t="shared" si="18"/>
        <v>-2426</v>
      </c>
      <c r="BE47" s="57">
        <f t="shared" si="18"/>
        <v>2881</v>
      </c>
      <c r="BF47" s="57">
        <f t="shared" si="18"/>
        <v>-3829</v>
      </c>
      <c r="BG47" s="57">
        <f t="shared" si="18"/>
        <v>-2867</v>
      </c>
      <c r="BH47" s="57">
        <f t="shared" si="18"/>
        <v>-107</v>
      </c>
      <c r="BI47" s="57">
        <f t="shared" si="18"/>
        <v>-20</v>
      </c>
      <c r="BJ47" s="57">
        <f t="shared" si="18"/>
        <v>80</v>
      </c>
      <c r="BK47" s="57">
        <f t="shared" ref="BK47:BQ47" si="19">SUM(BK39:BK46)</f>
        <v>-539</v>
      </c>
      <c r="BL47" s="57">
        <f t="shared" si="19"/>
        <v>-404</v>
      </c>
      <c r="BM47" s="57">
        <f t="shared" si="19"/>
        <v>-1083</v>
      </c>
      <c r="BN47" s="57">
        <f t="shared" si="19"/>
        <v>-8050</v>
      </c>
      <c r="BO47" s="57">
        <f t="shared" si="19"/>
        <v>5591</v>
      </c>
      <c r="BP47" s="57">
        <f t="shared" si="19"/>
        <v>6512</v>
      </c>
      <c r="BQ47" s="57">
        <f t="shared" si="19"/>
        <v>8163</v>
      </c>
    </row>
    <row r="48" spans="1:69" s="68" customFormat="1" ht="16.5" customHeight="1">
      <c r="A48" s="67"/>
      <c r="B48" s="59" t="s">
        <v>158</v>
      </c>
      <c r="C48" s="59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</row>
    <row r="49" spans="1:69" s="21" customFormat="1" ht="16.5" customHeight="1">
      <c r="A49" s="18"/>
      <c r="B49" s="52" t="s">
        <v>82</v>
      </c>
      <c r="C49" s="52"/>
      <c r="D49" s="63" t="s">
        <v>34</v>
      </c>
      <c r="E49" s="63" t="s">
        <v>34</v>
      </c>
      <c r="F49" s="63" t="s">
        <v>34</v>
      </c>
      <c r="G49" s="63" t="s">
        <v>34</v>
      </c>
      <c r="H49" s="63" t="s">
        <v>34</v>
      </c>
      <c r="I49" s="63" t="s">
        <v>34</v>
      </c>
      <c r="J49" s="63" t="s">
        <v>34</v>
      </c>
      <c r="K49" s="63" t="s">
        <v>34</v>
      </c>
      <c r="L49" s="63" t="s">
        <v>34</v>
      </c>
      <c r="M49" s="63" t="s">
        <v>34</v>
      </c>
      <c r="N49" s="63" t="s">
        <v>34</v>
      </c>
      <c r="O49" s="63" t="s">
        <v>34</v>
      </c>
      <c r="P49" s="63" t="s">
        <v>34</v>
      </c>
      <c r="Q49" s="63" t="s">
        <v>34</v>
      </c>
      <c r="R49" s="63" t="s">
        <v>34</v>
      </c>
      <c r="S49" s="63" t="s">
        <v>34</v>
      </c>
      <c r="T49" s="63" t="s">
        <v>34</v>
      </c>
      <c r="U49" s="63" t="s">
        <v>34</v>
      </c>
      <c r="V49" s="63" t="s">
        <v>34</v>
      </c>
      <c r="W49" s="63" t="s">
        <v>34</v>
      </c>
      <c r="X49" s="63" t="s">
        <v>34</v>
      </c>
      <c r="Y49" s="63" t="s">
        <v>34</v>
      </c>
      <c r="Z49" s="63" t="s">
        <v>34</v>
      </c>
      <c r="AA49" s="63" t="s">
        <v>34</v>
      </c>
      <c r="AB49" s="63" t="s">
        <v>34</v>
      </c>
      <c r="AC49" s="63" t="s">
        <v>34</v>
      </c>
      <c r="AD49" s="63" t="s">
        <v>34</v>
      </c>
      <c r="AE49" s="63">
        <v>405000</v>
      </c>
      <c r="AF49" s="63" t="s">
        <v>34</v>
      </c>
      <c r="AG49" s="63" t="s">
        <v>34</v>
      </c>
      <c r="AH49" s="63" t="s">
        <v>34</v>
      </c>
      <c r="AI49" s="63" t="s">
        <v>34</v>
      </c>
      <c r="AJ49" s="63" t="s">
        <v>34</v>
      </c>
      <c r="AK49" s="63" t="s">
        <v>34</v>
      </c>
      <c r="AL49" s="63" t="s">
        <v>34</v>
      </c>
      <c r="AM49" s="63" t="s">
        <v>34</v>
      </c>
      <c r="AN49" s="63" t="s">
        <v>34</v>
      </c>
      <c r="AO49" s="63" t="s">
        <v>34</v>
      </c>
      <c r="AP49" s="63" t="s">
        <v>34</v>
      </c>
      <c r="AQ49" s="63" t="s">
        <v>34</v>
      </c>
      <c r="AR49" s="63" t="s">
        <v>34</v>
      </c>
      <c r="AS49" s="63" t="s">
        <v>34</v>
      </c>
      <c r="AT49" s="63" t="s">
        <v>34</v>
      </c>
      <c r="AU49" s="63" t="s">
        <v>34</v>
      </c>
      <c r="AV49" s="63" t="s">
        <v>34</v>
      </c>
      <c r="AW49" s="63" t="s">
        <v>34</v>
      </c>
      <c r="AX49" s="63" t="s">
        <v>34</v>
      </c>
      <c r="AY49" s="63" t="s">
        <v>34</v>
      </c>
      <c r="AZ49" s="63" t="s">
        <v>34</v>
      </c>
      <c r="BA49" s="63" t="s">
        <v>34</v>
      </c>
      <c r="BB49" s="63" t="s">
        <v>34</v>
      </c>
      <c r="BC49" s="63" t="s">
        <v>34</v>
      </c>
      <c r="BD49" s="63" t="s">
        <v>34</v>
      </c>
      <c r="BE49" s="63" t="s">
        <v>34</v>
      </c>
      <c r="BF49" s="63" t="s">
        <v>34</v>
      </c>
      <c r="BG49" s="63" t="s">
        <v>34</v>
      </c>
      <c r="BH49" s="63" t="s">
        <v>34</v>
      </c>
      <c r="BI49" s="63" t="s">
        <v>34</v>
      </c>
      <c r="BJ49" s="63" t="s">
        <v>34</v>
      </c>
      <c r="BK49" s="63" t="s">
        <v>34</v>
      </c>
      <c r="BL49" s="63" t="s">
        <v>34</v>
      </c>
      <c r="BM49" s="63" t="s">
        <v>34</v>
      </c>
      <c r="BN49" s="63" t="s">
        <v>34</v>
      </c>
      <c r="BO49" s="63" t="s">
        <v>34</v>
      </c>
      <c r="BP49" s="63" t="s">
        <v>34</v>
      </c>
      <c r="BQ49" s="63" t="s">
        <v>34</v>
      </c>
    </row>
    <row r="50" spans="1:69" s="21" customFormat="1" ht="16.5" customHeight="1">
      <c r="A50" s="18"/>
      <c r="B50" s="52" t="s">
        <v>110</v>
      </c>
      <c r="C50" s="52"/>
      <c r="D50" s="63" t="s">
        <v>34</v>
      </c>
      <c r="E50" s="63" t="s">
        <v>34</v>
      </c>
      <c r="F50" s="63" t="s">
        <v>34</v>
      </c>
      <c r="G50" s="63" t="s">
        <v>34</v>
      </c>
      <c r="H50" s="63" t="s">
        <v>34</v>
      </c>
      <c r="I50" s="63" t="s">
        <v>34</v>
      </c>
      <c r="J50" s="63" t="s">
        <v>34</v>
      </c>
      <c r="K50" s="63" t="s">
        <v>34</v>
      </c>
      <c r="L50" s="63" t="s">
        <v>34</v>
      </c>
      <c r="M50" s="63" t="s">
        <v>34</v>
      </c>
      <c r="N50" s="63" t="s">
        <v>34</v>
      </c>
      <c r="O50" s="63" t="s">
        <v>34</v>
      </c>
      <c r="P50" s="63" t="s">
        <v>34</v>
      </c>
      <c r="Q50" s="63" t="s">
        <v>34</v>
      </c>
      <c r="R50" s="63" t="s">
        <v>34</v>
      </c>
      <c r="S50" s="63" t="s">
        <v>34</v>
      </c>
      <c r="T50" s="63" t="s">
        <v>34</v>
      </c>
      <c r="U50" s="63" t="s">
        <v>34</v>
      </c>
      <c r="V50" s="63" t="s">
        <v>34</v>
      </c>
      <c r="W50" s="63" t="s">
        <v>34</v>
      </c>
      <c r="X50" s="63" t="s">
        <v>34</v>
      </c>
      <c r="Y50" s="63" t="s">
        <v>34</v>
      </c>
      <c r="Z50" s="63" t="s">
        <v>34</v>
      </c>
      <c r="AA50" s="63" t="s">
        <v>34</v>
      </c>
      <c r="AB50" s="63" t="s">
        <v>34</v>
      </c>
      <c r="AC50" s="63" t="s">
        <v>34</v>
      </c>
      <c r="AD50" s="63">
        <v>-1435</v>
      </c>
      <c r="AE50" s="63">
        <v>-23150</v>
      </c>
      <c r="AF50" s="63" t="s">
        <v>34</v>
      </c>
      <c r="AG50" s="63" t="s">
        <v>34</v>
      </c>
      <c r="AH50" s="63" t="s">
        <v>34</v>
      </c>
      <c r="AI50" s="63" t="s">
        <v>34</v>
      </c>
      <c r="AJ50" s="63" t="s">
        <v>34</v>
      </c>
      <c r="AK50" s="63" t="s">
        <v>34</v>
      </c>
      <c r="AL50" s="63" t="s">
        <v>34</v>
      </c>
      <c r="AM50" s="63" t="s">
        <v>34</v>
      </c>
      <c r="AN50" s="63" t="s">
        <v>34</v>
      </c>
      <c r="AO50" s="63" t="s">
        <v>34</v>
      </c>
      <c r="AP50" s="63" t="s">
        <v>34</v>
      </c>
      <c r="AQ50" s="63" t="s">
        <v>34</v>
      </c>
      <c r="AR50" s="63" t="s">
        <v>34</v>
      </c>
      <c r="AS50" s="63" t="s">
        <v>34</v>
      </c>
      <c r="AT50" s="63" t="s">
        <v>34</v>
      </c>
      <c r="AU50" s="63" t="s">
        <v>34</v>
      </c>
      <c r="AV50" s="63" t="s">
        <v>34</v>
      </c>
      <c r="AW50" s="63" t="s">
        <v>34</v>
      </c>
      <c r="AX50" s="63" t="s">
        <v>34</v>
      </c>
      <c r="AY50" s="63" t="s">
        <v>34</v>
      </c>
      <c r="AZ50" s="63" t="s">
        <v>34</v>
      </c>
      <c r="BA50" s="63" t="s">
        <v>34</v>
      </c>
      <c r="BB50" s="63" t="s">
        <v>34</v>
      </c>
      <c r="BC50" s="63" t="s">
        <v>34</v>
      </c>
      <c r="BD50" s="63" t="s">
        <v>34</v>
      </c>
      <c r="BE50" s="63" t="s">
        <v>34</v>
      </c>
      <c r="BF50" s="63" t="s">
        <v>34</v>
      </c>
      <c r="BG50" s="63" t="s">
        <v>34</v>
      </c>
      <c r="BH50" s="63" t="s">
        <v>34</v>
      </c>
      <c r="BI50" s="63" t="s">
        <v>34</v>
      </c>
      <c r="BJ50" s="63" t="s">
        <v>34</v>
      </c>
      <c r="BK50" s="63" t="s">
        <v>34</v>
      </c>
      <c r="BL50" s="63" t="s">
        <v>34</v>
      </c>
      <c r="BM50" s="63" t="s">
        <v>34</v>
      </c>
      <c r="BN50" s="63" t="s">
        <v>34</v>
      </c>
      <c r="BO50" s="63" t="s">
        <v>34</v>
      </c>
      <c r="BP50" s="63" t="s">
        <v>34</v>
      </c>
      <c r="BQ50" s="63" t="s">
        <v>34</v>
      </c>
    </row>
    <row r="51" spans="1:69" s="21" customFormat="1" ht="16.5" customHeight="1">
      <c r="A51" s="18"/>
      <c r="B51" s="52" t="s">
        <v>159</v>
      </c>
      <c r="C51" s="52"/>
      <c r="D51" s="63" t="s">
        <v>34</v>
      </c>
      <c r="E51" s="63" t="s">
        <v>34</v>
      </c>
      <c r="F51" s="63" t="s">
        <v>34</v>
      </c>
      <c r="G51" s="63" t="s">
        <v>34</v>
      </c>
      <c r="H51" s="63" t="s">
        <v>34</v>
      </c>
      <c r="I51" s="63" t="s">
        <v>34</v>
      </c>
      <c r="J51" s="63" t="s">
        <v>34</v>
      </c>
      <c r="K51" s="63" t="s">
        <v>34</v>
      </c>
      <c r="L51" s="63" t="s">
        <v>34</v>
      </c>
      <c r="M51" s="63" t="s">
        <v>34</v>
      </c>
      <c r="N51" s="63" t="s">
        <v>34</v>
      </c>
      <c r="O51" s="63" t="s">
        <v>34</v>
      </c>
      <c r="P51" s="63" t="s">
        <v>34</v>
      </c>
      <c r="Q51" s="63" t="s">
        <v>34</v>
      </c>
      <c r="R51" s="63" t="s">
        <v>34</v>
      </c>
      <c r="S51" s="63" t="s">
        <v>34</v>
      </c>
      <c r="T51" s="63" t="s">
        <v>34</v>
      </c>
      <c r="U51" s="63" t="s">
        <v>34</v>
      </c>
      <c r="V51" s="63" t="s">
        <v>34</v>
      </c>
      <c r="W51" s="63" t="s">
        <v>34</v>
      </c>
      <c r="X51" s="63" t="s">
        <v>34</v>
      </c>
      <c r="Y51" s="63" t="s">
        <v>34</v>
      </c>
      <c r="Z51" s="63" t="s">
        <v>34</v>
      </c>
      <c r="AA51" s="63" t="s">
        <v>34</v>
      </c>
      <c r="AB51" s="63" t="s">
        <v>34</v>
      </c>
      <c r="AC51" s="63" t="s">
        <v>34</v>
      </c>
      <c r="AD51" s="63"/>
      <c r="AE51" s="63" t="s">
        <v>34</v>
      </c>
      <c r="AF51" s="63" t="s">
        <v>34</v>
      </c>
      <c r="AG51" s="63" t="s">
        <v>34</v>
      </c>
      <c r="AH51" s="63" t="s">
        <v>34</v>
      </c>
      <c r="AI51" s="63" t="s">
        <v>34</v>
      </c>
      <c r="AJ51" s="63" t="s">
        <v>34</v>
      </c>
      <c r="AK51" s="63" t="s">
        <v>34</v>
      </c>
      <c r="AL51" s="63" t="s">
        <v>34</v>
      </c>
      <c r="AM51" s="63" t="s">
        <v>34</v>
      </c>
      <c r="AN51" s="63" t="s">
        <v>34</v>
      </c>
      <c r="AO51" s="63" t="s">
        <v>34</v>
      </c>
      <c r="AP51" s="63" t="s">
        <v>34</v>
      </c>
      <c r="AQ51" s="63" t="s">
        <v>34</v>
      </c>
      <c r="AR51" s="63" t="s">
        <v>34</v>
      </c>
      <c r="AS51" s="63" t="s">
        <v>34</v>
      </c>
      <c r="AT51" s="63" t="s">
        <v>34</v>
      </c>
      <c r="AU51" s="63" t="s">
        <v>34</v>
      </c>
      <c r="AV51" s="63" t="s">
        <v>34</v>
      </c>
      <c r="AW51" s="63" t="s">
        <v>34</v>
      </c>
      <c r="AX51" s="63" t="s">
        <v>34</v>
      </c>
      <c r="AY51" s="63" t="s">
        <v>34</v>
      </c>
      <c r="AZ51" s="63" t="s">
        <v>34</v>
      </c>
      <c r="BA51" s="63" t="s">
        <v>34</v>
      </c>
      <c r="BB51" s="63">
        <v>8</v>
      </c>
      <c r="BC51" s="63" t="s">
        <v>34</v>
      </c>
      <c r="BD51" s="63" t="s">
        <v>34</v>
      </c>
      <c r="BE51" s="63">
        <v>8</v>
      </c>
      <c r="BF51" s="63">
        <v>108</v>
      </c>
      <c r="BG51" s="63">
        <v>83</v>
      </c>
      <c r="BH51" s="63">
        <v>58</v>
      </c>
      <c r="BI51" s="63">
        <v>34</v>
      </c>
      <c r="BJ51" s="63">
        <v>95</v>
      </c>
      <c r="BK51" s="63">
        <v>94</v>
      </c>
      <c r="BL51" s="63">
        <v>96</v>
      </c>
      <c r="BM51" s="63">
        <v>114</v>
      </c>
      <c r="BN51" s="63">
        <v>633</v>
      </c>
      <c r="BO51" s="63">
        <v>481</v>
      </c>
      <c r="BP51" s="63">
        <v>328</v>
      </c>
      <c r="BQ51" s="63">
        <v>175</v>
      </c>
    </row>
    <row r="52" spans="1:69" s="21" customFormat="1" ht="16.5" customHeight="1">
      <c r="A52" s="18"/>
      <c r="B52" s="52" t="s">
        <v>160</v>
      </c>
      <c r="C52" s="52"/>
      <c r="D52" s="63">
        <v>1395</v>
      </c>
      <c r="E52" s="63">
        <v>-22499</v>
      </c>
      <c r="F52" s="63">
        <v>-2995</v>
      </c>
      <c r="G52" s="63">
        <v>-814</v>
      </c>
      <c r="H52" s="63">
        <v>-1742</v>
      </c>
      <c r="I52" s="63">
        <v>-4141</v>
      </c>
      <c r="J52" s="63">
        <v>-3695</v>
      </c>
      <c r="K52" s="63">
        <v>471</v>
      </c>
      <c r="L52" s="63">
        <v>-12466</v>
      </c>
      <c r="M52" s="63">
        <v>-2444</v>
      </c>
      <c r="N52" s="63">
        <v>372</v>
      </c>
      <c r="O52" s="63">
        <v>-11180</v>
      </c>
      <c r="P52" s="63">
        <v>-120</v>
      </c>
      <c r="Q52" s="63">
        <v>1591</v>
      </c>
      <c r="R52" s="63">
        <v>-7856</v>
      </c>
      <c r="S52" s="63">
        <v>3912</v>
      </c>
      <c r="T52" s="63">
        <v>-1842</v>
      </c>
      <c r="U52" s="63">
        <v>792</v>
      </c>
      <c r="V52" s="63">
        <v>-9231</v>
      </c>
      <c r="W52" s="63">
        <v>-11629</v>
      </c>
      <c r="X52" s="63">
        <v>9321</v>
      </c>
      <c r="Y52" s="63">
        <v>-1656</v>
      </c>
      <c r="Z52" s="63">
        <v>-1001</v>
      </c>
      <c r="AA52" s="63">
        <v>-4004</v>
      </c>
      <c r="AB52" s="63">
        <v>-4996</v>
      </c>
      <c r="AC52" s="63">
        <v>264</v>
      </c>
      <c r="AD52" s="63">
        <v>-9672</v>
      </c>
      <c r="AE52" s="63">
        <v>-3683</v>
      </c>
      <c r="AF52" s="63">
        <v>6180</v>
      </c>
      <c r="AG52" s="63">
        <v>4560</v>
      </c>
      <c r="AH52" s="63">
        <v>5775</v>
      </c>
      <c r="AI52" s="63">
        <v>-1089</v>
      </c>
      <c r="AJ52" s="63">
        <v>3821</v>
      </c>
      <c r="AK52" s="63">
        <v>274</v>
      </c>
      <c r="AL52" s="63">
        <v>5623</v>
      </c>
      <c r="AM52" s="63">
        <v>-516</v>
      </c>
      <c r="AN52" s="63">
        <v>7597</v>
      </c>
      <c r="AO52" s="63">
        <v>-4700</v>
      </c>
      <c r="AP52" s="63">
        <v>-16765</v>
      </c>
      <c r="AQ52" s="63">
        <v>-16466</v>
      </c>
      <c r="AR52" s="63">
        <v>-12341</v>
      </c>
      <c r="AS52" s="63">
        <v>-1902</v>
      </c>
      <c r="AT52" s="63">
        <v>-27095</v>
      </c>
      <c r="AU52" s="63">
        <v>-18916</v>
      </c>
      <c r="AV52" s="63">
        <v>-1033</v>
      </c>
      <c r="AW52" s="63">
        <v>-3800</v>
      </c>
      <c r="AX52" s="63">
        <v>-50402</v>
      </c>
      <c r="AY52" s="63">
        <v>-16276</v>
      </c>
      <c r="AZ52" s="63">
        <v>-11535</v>
      </c>
      <c r="BA52" s="63">
        <v>-19459</v>
      </c>
      <c r="BB52" s="63">
        <v>-39460</v>
      </c>
      <c r="BC52" s="63">
        <v>-6549</v>
      </c>
      <c r="BD52" s="63">
        <v>-6208</v>
      </c>
      <c r="BE52" s="63">
        <v>-7694</v>
      </c>
      <c r="BF52" s="63">
        <v>-3596</v>
      </c>
      <c r="BG52" s="63">
        <v>365</v>
      </c>
      <c r="BH52" s="63">
        <v>772</v>
      </c>
      <c r="BI52" s="63">
        <v>-251</v>
      </c>
      <c r="BJ52" s="63">
        <v>-1129</v>
      </c>
      <c r="BK52" s="63">
        <v>-8</v>
      </c>
      <c r="BL52" s="63">
        <v>141</v>
      </c>
      <c r="BM52" s="63">
        <v>-1180</v>
      </c>
      <c r="BN52" s="63">
        <v>3914</v>
      </c>
      <c r="BO52" s="63" t="s">
        <v>34</v>
      </c>
      <c r="BP52" s="63" t="s">
        <v>34</v>
      </c>
      <c r="BQ52" s="63" t="s">
        <v>34</v>
      </c>
    </row>
    <row r="53" spans="1:69" s="21" customFormat="1" ht="16.5" customHeight="1">
      <c r="A53" s="18"/>
      <c r="B53" s="52" t="s">
        <v>152</v>
      </c>
      <c r="C53" s="52"/>
      <c r="D53" s="63">
        <v>0</v>
      </c>
      <c r="E53" s="63">
        <v>12</v>
      </c>
      <c r="F53" s="63" t="s">
        <v>34</v>
      </c>
      <c r="G53" s="63">
        <v>-6</v>
      </c>
      <c r="H53" s="63">
        <v>6</v>
      </c>
      <c r="I53" s="63" t="s">
        <v>34</v>
      </c>
      <c r="J53" s="63">
        <v>-7407</v>
      </c>
      <c r="K53" s="63">
        <v>-4981</v>
      </c>
      <c r="L53" s="63" t="s">
        <v>34</v>
      </c>
      <c r="M53" s="63" t="s">
        <v>34</v>
      </c>
      <c r="N53" s="63" t="s">
        <v>34</v>
      </c>
      <c r="O53" s="63" t="s">
        <v>34</v>
      </c>
      <c r="P53" s="63" t="s">
        <v>34</v>
      </c>
      <c r="Q53" s="63" t="s">
        <v>34</v>
      </c>
      <c r="R53" s="63" t="s">
        <v>34</v>
      </c>
      <c r="S53" s="63" t="s">
        <v>34</v>
      </c>
      <c r="T53" s="63" t="s">
        <v>34</v>
      </c>
      <c r="U53" s="63" t="s">
        <v>34</v>
      </c>
      <c r="V53" s="63">
        <v>-8384</v>
      </c>
      <c r="W53" s="63">
        <v>-18881</v>
      </c>
      <c r="X53" s="63" t="s">
        <v>34</v>
      </c>
      <c r="Y53" s="63" t="s">
        <v>34</v>
      </c>
      <c r="Z53" s="63" t="s">
        <v>34</v>
      </c>
      <c r="AA53" s="63" t="s">
        <v>34</v>
      </c>
      <c r="AB53" s="63" t="s">
        <v>34</v>
      </c>
      <c r="AC53" s="63" t="s">
        <v>34</v>
      </c>
      <c r="AD53" s="63" t="s">
        <v>34</v>
      </c>
      <c r="AE53" s="63" t="s">
        <v>34</v>
      </c>
      <c r="AF53" s="63" t="s">
        <v>34</v>
      </c>
      <c r="AG53" s="63" t="s">
        <v>34</v>
      </c>
      <c r="AH53" s="63" t="s">
        <v>34</v>
      </c>
      <c r="AI53" s="63" t="s">
        <v>34</v>
      </c>
      <c r="AJ53" s="63" t="s">
        <v>34</v>
      </c>
      <c r="AK53" s="63" t="s">
        <v>34</v>
      </c>
      <c r="AL53" s="63" t="s">
        <v>34</v>
      </c>
      <c r="AM53" s="63" t="s">
        <v>34</v>
      </c>
      <c r="AN53" s="63" t="s">
        <v>34</v>
      </c>
      <c r="AO53" s="63" t="s">
        <v>34</v>
      </c>
      <c r="AP53" s="63" t="s">
        <v>34</v>
      </c>
      <c r="AQ53" s="63" t="s">
        <v>34</v>
      </c>
      <c r="AR53" s="63" t="s">
        <v>34</v>
      </c>
      <c r="AS53" s="63" t="s">
        <v>34</v>
      </c>
      <c r="AT53" s="63" t="s">
        <v>34</v>
      </c>
      <c r="AU53" s="63" t="s">
        <v>34</v>
      </c>
      <c r="AV53" s="63" t="s">
        <v>34</v>
      </c>
      <c r="AW53" s="63" t="s">
        <v>34</v>
      </c>
      <c r="AX53" s="63" t="s">
        <v>34</v>
      </c>
      <c r="AY53" s="63" t="s">
        <v>34</v>
      </c>
      <c r="AZ53" s="63" t="s">
        <v>34</v>
      </c>
      <c r="BA53" s="63" t="s">
        <v>34</v>
      </c>
      <c r="BB53" s="63" t="s">
        <v>34</v>
      </c>
      <c r="BC53" s="63" t="s">
        <v>34</v>
      </c>
      <c r="BD53" s="63"/>
      <c r="BE53" s="63"/>
      <c r="BF53" s="63" t="s">
        <v>34</v>
      </c>
      <c r="BG53" s="63" t="s">
        <v>34</v>
      </c>
      <c r="BH53" s="63" t="s">
        <v>34</v>
      </c>
      <c r="BI53" s="63" t="s">
        <v>34</v>
      </c>
      <c r="BJ53" s="63" t="s">
        <v>34</v>
      </c>
      <c r="BK53" s="63" t="s">
        <v>34</v>
      </c>
      <c r="BL53" s="63" t="s">
        <v>34</v>
      </c>
      <c r="BM53" s="63" t="s">
        <v>34</v>
      </c>
      <c r="BN53" s="63">
        <v>10153</v>
      </c>
      <c r="BO53" s="63" t="s">
        <v>34</v>
      </c>
      <c r="BP53" s="63" t="s">
        <v>34</v>
      </c>
      <c r="BQ53" s="63" t="s">
        <v>34</v>
      </c>
    </row>
    <row r="54" spans="1:69" s="21" customFormat="1" ht="16.5" customHeight="1">
      <c r="A54" s="18"/>
      <c r="B54" s="52" t="s">
        <v>77</v>
      </c>
      <c r="C54" s="52"/>
      <c r="D54" s="63" t="s">
        <v>34</v>
      </c>
      <c r="E54" s="63" t="s">
        <v>34</v>
      </c>
      <c r="F54" s="63" t="s">
        <v>34</v>
      </c>
      <c r="G54" s="63" t="s">
        <v>34</v>
      </c>
      <c r="H54" s="63" t="s">
        <v>34</v>
      </c>
      <c r="I54" s="63" t="s">
        <v>34</v>
      </c>
      <c r="J54" s="63" t="s">
        <v>34</v>
      </c>
      <c r="K54" s="63" t="s">
        <v>34</v>
      </c>
      <c r="L54" s="63" t="s">
        <v>34</v>
      </c>
      <c r="M54" s="63" t="s">
        <v>34</v>
      </c>
      <c r="N54" s="63" t="s">
        <v>34</v>
      </c>
      <c r="O54" s="63" t="s">
        <v>34</v>
      </c>
      <c r="P54" s="63" t="s">
        <v>34</v>
      </c>
      <c r="Q54" s="63" t="s">
        <v>34</v>
      </c>
      <c r="R54" s="63" t="s">
        <v>34</v>
      </c>
      <c r="S54" s="63" t="s">
        <v>34</v>
      </c>
      <c r="T54" s="63" t="s">
        <v>34</v>
      </c>
      <c r="U54" s="63" t="s">
        <v>34</v>
      </c>
      <c r="V54" s="63" t="s">
        <v>34</v>
      </c>
      <c r="W54" s="63" t="s">
        <v>34</v>
      </c>
      <c r="X54" s="63" t="s">
        <v>34</v>
      </c>
      <c r="Y54" s="63" t="s">
        <v>34</v>
      </c>
      <c r="Z54" s="63" t="s">
        <v>34</v>
      </c>
      <c r="AA54" s="63" t="s">
        <v>34</v>
      </c>
      <c r="AB54" s="63" t="s">
        <v>34</v>
      </c>
      <c r="AC54" s="63" t="s">
        <v>34</v>
      </c>
      <c r="AD54" s="63" t="s">
        <v>34</v>
      </c>
      <c r="AE54" s="63" t="s">
        <v>34</v>
      </c>
      <c r="AF54" s="63" t="s">
        <v>34</v>
      </c>
      <c r="AG54" s="63" t="s">
        <v>34</v>
      </c>
      <c r="AH54" s="63" t="s">
        <v>34</v>
      </c>
      <c r="AI54" s="63" t="s">
        <v>34</v>
      </c>
      <c r="AJ54" s="63" t="s">
        <v>34</v>
      </c>
      <c r="AK54" s="63" t="s">
        <v>34</v>
      </c>
      <c r="AL54" s="63" t="s">
        <v>34</v>
      </c>
      <c r="AM54" s="63" t="s">
        <v>34</v>
      </c>
      <c r="AN54" s="63" t="s">
        <v>34</v>
      </c>
      <c r="AO54" s="63" t="s">
        <v>34</v>
      </c>
      <c r="AP54" s="63" t="s">
        <v>34</v>
      </c>
      <c r="AQ54" s="63" t="s">
        <v>34</v>
      </c>
      <c r="AR54" s="63" t="s">
        <v>34</v>
      </c>
      <c r="AS54" s="63" t="s">
        <v>34</v>
      </c>
      <c r="AT54" s="63">
        <v>-62927</v>
      </c>
      <c r="AU54" s="63" t="s">
        <v>34</v>
      </c>
      <c r="AV54" s="63" t="s">
        <v>34</v>
      </c>
      <c r="AW54" s="63">
        <v>-62927</v>
      </c>
      <c r="AX54" s="63">
        <v>-144350</v>
      </c>
      <c r="AY54" s="63">
        <v>-65411</v>
      </c>
      <c r="AZ54" s="63">
        <v>-2541</v>
      </c>
      <c r="BA54" s="63">
        <v>-76398</v>
      </c>
      <c r="BB54" s="63">
        <v>-213400</v>
      </c>
      <c r="BC54" s="63">
        <v>-151770</v>
      </c>
      <c r="BD54" s="63">
        <v>-10459</v>
      </c>
      <c r="BE54" s="63">
        <v>-75220</v>
      </c>
      <c r="BF54" s="63">
        <v>-126030</v>
      </c>
      <c r="BG54" s="63">
        <v>-108617</v>
      </c>
      <c r="BH54" s="63">
        <v>-16449</v>
      </c>
      <c r="BI54" s="63">
        <v>-28347</v>
      </c>
      <c r="BJ54" s="63">
        <v>-3533</v>
      </c>
      <c r="BK54" s="63">
        <v>-95439</v>
      </c>
      <c r="BL54" s="63">
        <v>-8833</v>
      </c>
      <c r="BM54" s="63">
        <v>-22499</v>
      </c>
      <c r="BN54" s="63">
        <v>280710</v>
      </c>
      <c r="BO54" s="63">
        <v>289684</v>
      </c>
      <c r="BP54" s="63">
        <v>309997</v>
      </c>
      <c r="BQ54" s="63">
        <v>285737</v>
      </c>
    </row>
    <row r="55" spans="1:69" s="21" customFormat="1" ht="16.5" customHeight="1">
      <c r="A55" s="18"/>
      <c r="B55" s="52" t="s">
        <v>161</v>
      </c>
      <c r="C55" s="52"/>
      <c r="D55" s="63">
        <v>-116815</v>
      </c>
      <c r="E55" s="63">
        <v>-97068</v>
      </c>
      <c r="F55" s="63">
        <v>2063</v>
      </c>
      <c r="G55" s="63">
        <v>88782</v>
      </c>
      <c r="H55" s="63">
        <v>83586</v>
      </c>
      <c r="I55" s="63">
        <v>53174</v>
      </c>
      <c r="J55" s="63">
        <v>-108970</v>
      </c>
      <c r="K55" s="63">
        <v>-18806</v>
      </c>
      <c r="L55" s="63">
        <v>-46520</v>
      </c>
      <c r="M55" s="63">
        <v>-52026</v>
      </c>
      <c r="N55" s="63">
        <v>24300</v>
      </c>
      <c r="O55" s="63">
        <v>25899</v>
      </c>
      <c r="P55" s="63">
        <v>51426</v>
      </c>
      <c r="Q55" s="63">
        <v>33147</v>
      </c>
      <c r="R55" s="63">
        <v>221163</v>
      </c>
      <c r="S55" s="63">
        <v>23699</v>
      </c>
      <c r="T55" s="63">
        <v>39848</v>
      </c>
      <c r="U55" s="63">
        <v>-31005</v>
      </c>
      <c r="V55" s="63">
        <v>42686</v>
      </c>
      <c r="W55" s="63">
        <v>119472</v>
      </c>
      <c r="X55" s="63">
        <v>4918</v>
      </c>
      <c r="Y55" s="63">
        <v>-71747</v>
      </c>
      <c r="Z55" s="63">
        <v>182560</v>
      </c>
      <c r="AA55" s="63">
        <v>-28092</v>
      </c>
      <c r="AB55" s="63">
        <v>87498</v>
      </c>
      <c r="AC55" s="63">
        <v>-4083</v>
      </c>
      <c r="AD55" s="63">
        <v>-52920</v>
      </c>
      <c r="AE55" s="63">
        <v>15884</v>
      </c>
      <c r="AF55" s="63">
        <v>61884</v>
      </c>
      <c r="AG55" s="63">
        <v>-9576</v>
      </c>
      <c r="AH55" s="63">
        <v>3032</v>
      </c>
      <c r="AI55" s="63">
        <v>20897</v>
      </c>
      <c r="AJ55" s="63">
        <v>316</v>
      </c>
      <c r="AK55" s="63">
        <v>17075</v>
      </c>
      <c r="AL55" s="63">
        <v>15157</v>
      </c>
      <c r="AM55" s="63">
        <v>42217</v>
      </c>
      <c r="AN55" s="63">
        <v>-13316</v>
      </c>
      <c r="AO55" s="63">
        <v>-13156</v>
      </c>
      <c r="AP55" s="63">
        <v>-134116</v>
      </c>
      <c r="AQ55" s="63">
        <v>-115815</v>
      </c>
      <c r="AR55" s="63">
        <v>-95122</v>
      </c>
      <c r="AS55" s="63">
        <v>-42130</v>
      </c>
      <c r="AT55" s="63">
        <v>-41485</v>
      </c>
      <c r="AU55" s="63">
        <v>24653</v>
      </c>
      <c r="AV55" s="63">
        <v>-13241</v>
      </c>
      <c r="AW55" s="63">
        <v>-46365</v>
      </c>
      <c r="AX55" s="63">
        <v>21411</v>
      </c>
      <c r="AY55" s="63">
        <v>-14119</v>
      </c>
      <c r="AZ55" s="63">
        <v>7877</v>
      </c>
      <c r="BA55" s="63">
        <v>-30590</v>
      </c>
      <c r="BB55" s="63">
        <v>-178067</v>
      </c>
      <c r="BC55" s="63">
        <v>-90190</v>
      </c>
      <c r="BD55" s="63">
        <v>-9360</v>
      </c>
      <c r="BE55" s="63">
        <v>-22587</v>
      </c>
      <c r="BF55" s="63">
        <f>-144271+64506</f>
        <v>-79765</v>
      </c>
      <c r="BG55" s="63">
        <f>-132284+64506</f>
        <v>-67778</v>
      </c>
      <c r="BH55" s="63">
        <f>-102580+43733</f>
        <v>-58847</v>
      </c>
      <c r="BI55" s="63">
        <f>17290-59045</f>
        <v>-41755</v>
      </c>
      <c r="BJ55" s="63">
        <f>22891+6299</f>
        <v>29190</v>
      </c>
      <c r="BK55" s="63">
        <v>-53069</v>
      </c>
      <c r="BL55" s="63">
        <v>11940</v>
      </c>
      <c r="BM55" s="63">
        <v>19493</v>
      </c>
      <c r="BN55" s="63">
        <v>303077</v>
      </c>
      <c r="BO55" s="63">
        <v>148708</v>
      </c>
      <c r="BP55" s="63">
        <v>85364</v>
      </c>
      <c r="BQ55" s="63">
        <v>31049</v>
      </c>
    </row>
    <row r="56" spans="1:69" s="21" customFormat="1" ht="16.5" customHeight="1">
      <c r="A56" s="18"/>
      <c r="B56" s="52" t="s">
        <v>153</v>
      </c>
      <c r="C56" s="52"/>
      <c r="D56" s="63">
        <v>-100000</v>
      </c>
      <c r="E56" s="63" t="s">
        <v>34</v>
      </c>
      <c r="F56" s="63">
        <v>-100000</v>
      </c>
      <c r="G56" s="63" t="s">
        <v>34</v>
      </c>
      <c r="H56" s="63">
        <v>-54000</v>
      </c>
      <c r="I56" s="63" t="s">
        <v>34</v>
      </c>
      <c r="J56" s="63" t="s">
        <v>34</v>
      </c>
      <c r="K56" s="63">
        <v>-18000</v>
      </c>
      <c r="L56" s="63">
        <v>-18000</v>
      </c>
      <c r="M56" s="63" t="s">
        <v>34</v>
      </c>
      <c r="N56" s="63" t="s">
        <v>34</v>
      </c>
      <c r="O56" s="63">
        <v>-12492</v>
      </c>
      <c r="P56" s="63">
        <v>-12492</v>
      </c>
      <c r="Q56" s="63" t="s">
        <v>34</v>
      </c>
      <c r="R56" s="63" t="s">
        <v>34</v>
      </c>
      <c r="S56" s="63">
        <v>-19963</v>
      </c>
      <c r="T56" s="63">
        <v>-19994</v>
      </c>
      <c r="U56" s="63" t="s">
        <v>34</v>
      </c>
      <c r="V56" s="63" t="s">
        <v>34</v>
      </c>
      <c r="W56" s="63">
        <v>-22497</v>
      </c>
      <c r="X56" s="63">
        <v>-22497</v>
      </c>
      <c r="Y56" s="63" t="s">
        <v>34</v>
      </c>
      <c r="Z56" s="63" t="s">
        <v>34</v>
      </c>
      <c r="AA56" s="63" t="s">
        <v>34</v>
      </c>
      <c r="AB56" s="63" t="s">
        <v>34</v>
      </c>
      <c r="AC56" s="63" t="s">
        <v>34</v>
      </c>
      <c r="AD56" s="63" t="s">
        <v>34</v>
      </c>
      <c r="AE56" s="63" t="s">
        <v>34</v>
      </c>
      <c r="AF56" s="63" t="s">
        <v>34</v>
      </c>
      <c r="AG56" s="63" t="s">
        <v>34</v>
      </c>
      <c r="AH56" s="63" t="s">
        <v>34</v>
      </c>
      <c r="AI56" s="63" t="s">
        <v>34</v>
      </c>
      <c r="AJ56" s="63" t="s">
        <v>34</v>
      </c>
      <c r="AK56" s="63" t="s">
        <v>34</v>
      </c>
      <c r="AL56" s="63" t="s">
        <v>34</v>
      </c>
      <c r="AM56" s="63" t="s">
        <v>34</v>
      </c>
      <c r="AN56" s="63" t="s">
        <v>34</v>
      </c>
      <c r="AO56" s="63" t="s">
        <v>34</v>
      </c>
      <c r="AP56" s="63" t="s">
        <v>34</v>
      </c>
      <c r="AQ56" s="63" t="s">
        <v>34</v>
      </c>
      <c r="AR56" s="63" t="s">
        <v>34</v>
      </c>
      <c r="AS56" s="63" t="s">
        <v>34</v>
      </c>
      <c r="AT56" s="63" t="s">
        <v>34</v>
      </c>
      <c r="AU56" s="63" t="s">
        <v>34</v>
      </c>
      <c r="AV56" s="63" t="s">
        <v>34</v>
      </c>
      <c r="AW56" s="63" t="s">
        <v>34</v>
      </c>
      <c r="AX56" s="63" t="s">
        <v>34</v>
      </c>
      <c r="AY56" s="63" t="s">
        <v>34</v>
      </c>
      <c r="AZ56" s="63" t="s">
        <v>34</v>
      </c>
      <c r="BA56" s="63" t="s">
        <v>34</v>
      </c>
      <c r="BB56" s="63" t="s">
        <v>34</v>
      </c>
      <c r="BC56" s="63" t="s">
        <v>34</v>
      </c>
      <c r="BD56" s="63" t="s">
        <v>34</v>
      </c>
      <c r="BE56" s="63" t="s">
        <v>34</v>
      </c>
      <c r="BF56" s="63" t="s">
        <v>34</v>
      </c>
      <c r="BG56" s="63" t="s">
        <v>34</v>
      </c>
      <c r="BH56" s="63" t="s">
        <v>34</v>
      </c>
      <c r="BI56" s="63" t="s">
        <v>34</v>
      </c>
      <c r="BJ56" s="63">
        <v>-9300</v>
      </c>
      <c r="BK56" s="63" t="s">
        <v>34</v>
      </c>
      <c r="BL56" s="63" t="s">
        <v>34</v>
      </c>
      <c r="BM56" s="63" t="s">
        <v>34</v>
      </c>
      <c r="BN56" s="63">
        <v>-10767</v>
      </c>
      <c r="BO56" s="63" t="s">
        <v>34</v>
      </c>
      <c r="BP56" s="63" t="s">
        <v>34</v>
      </c>
      <c r="BQ56" s="63" t="s">
        <v>34</v>
      </c>
    </row>
    <row r="57" spans="1:69" s="21" customFormat="1" ht="16.5" customHeight="1">
      <c r="A57" s="18"/>
      <c r="B57" s="52" t="s">
        <v>96</v>
      </c>
      <c r="C57" s="52"/>
      <c r="D57" s="63">
        <v>262</v>
      </c>
      <c r="E57" s="63">
        <v>13955</v>
      </c>
      <c r="F57" s="63">
        <v>13756</v>
      </c>
      <c r="G57" s="63">
        <v>-2973</v>
      </c>
      <c r="H57" s="63">
        <v>-3973</v>
      </c>
      <c r="I57" s="63">
        <v>1075</v>
      </c>
      <c r="J57" s="63">
        <v>-6007</v>
      </c>
      <c r="K57" s="63">
        <v>-4196</v>
      </c>
      <c r="L57" s="63">
        <v>16168</v>
      </c>
      <c r="M57" s="63">
        <v>1084</v>
      </c>
      <c r="N57" s="63">
        <v>-1960</v>
      </c>
      <c r="O57" s="63">
        <v>3797</v>
      </c>
      <c r="P57" s="63">
        <v>9738</v>
      </c>
      <c r="Q57" s="63">
        <v>-7100</v>
      </c>
      <c r="R57" s="63">
        <v>9174</v>
      </c>
      <c r="S57" s="63">
        <v>601</v>
      </c>
      <c r="T57" s="63">
        <v>421</v>
      </c>
      <c r="U57" s="63">
        <v>-10117</v>
      </c>
      <c r="V57" s="63">
        <v>1315</v>
      </c>
      <c r="W57" s="63">
        <v>-7379</v>
      </c>
      <c r="X57" s="63">
        <v>-74</v>
      </c>
      <c r="Y57" s="63">
        <v>-1735</v>
      </c>
      <c r="Z57" s="63">
        <v>-2138</v>
      </c>
      <c r="AA57" s="63">
        <v>-6609</v>
      </c>
      <c r="AB57" s="63">
        <v>1422</v>
      </c>
      <c r="AC57" s="63">
        <v>-48</v>
      </c>
      <c r="AD57" s="63">
        <v>-7513</v>
      </c>
      <c r="AE57" s="63">
        <v>10364</v>
      </c>
      <c r="AF57" s="63">
        <v>-4698</v>
      </c>
      <c r="AG57" s="63">
        <v>3060</v>
      </c>
      <c r="AH57" s="63">
        <v>-264</v>
      </c>
      <c r="AI57" s="63">
        <v>-2023</v>
      </c>
      <c r="AJ57" s="63">
        <v>2442</v>
      </c>
      <c r="AK57" s="63">
        <v>1540</v>
      </c>
      <c r="AL57" s="63">
        <v>7069</v>
      </c>
      <c r="AM57" s="63">
        <v>3821</v>
      </c>
      <c r="AN57" s="63">
        <v>342</v>
      </c>
      <c r="AO57" s="63">
        <v>4592</v>
      </c>
      <c r="AP57" s="63">
        <v>-15271</v>
      </c>
      <c r="AQ57" s="63">
        <v>-15432</v>
      </c>
      <c r="AR57" s="63">
        <v>4922</v>
      </c>
      <c r="AS57" s="63">
        <v>-3965</v>
      </c>
      <c r="AT57" s="63">
        <v>-2790</v>
      </c>
      <c r="AU57" s="63">
        <v>10205</v>
      </c>
      <c r="AV57" s="63">
        <v>-6142</v>
      </c>
      <c r="AW57" s="63">
        <v>1584</v>
      </c>
      <c r="AX57" s="63">
        <v>18017</v>
      </c>
      <c r="AY57" s="63">
        <v>3556</v>
      </c>
      <c r="AZ57" s="63">
        <v>11930</v>
      </c>
      <c r="BA57" s="63">
        <v>6714</v>
      </c>
      <c r="BB57" s="63">
        <v>-23677</v>
      </c>
      <c r="BC57" s="63">
        <v>3286</v>
      </c>
      <c r="BD57" s="63">
        <v>-12995</v>
      </c>
      <c r="BE57" s="63">
        <v>-7158</v>
      </c>
      <c r="BF57" s="63">
        <v>3049</v>
      </c>
      <c r="BG57" s="63">
        <v>7668</v>
      </c>
      <c r="BH57" s="63">
        <v>3583</v>
      </c>
      <c r="BI57" s="63">
        <v>4441</v>
      </c>
      <c r="BJ57" s="63">
        <v>-857</v>
      </c>
      <c r="BK57" s="63">
        <v>2792</v>
      </c>
      <c r="BL57" s="63">
        <v>-577</v>
      </c>
      <c r="BM57" s="63">
        <v>1180</v>
      </c>
      <c r="BN57" s="63">
        <v>1118</v>
      </c>
      <c r="BO57" s="63">
        <v>6780</v>
      </c>
      <c r="BP57" s="63">
        <v>3796</v>
      </c>
      <c r="BQ57" s="63">
        <v>-4430</v>
      </c>
    </row>
    <row r="58" spans="1:69" s="25" customFormat="1" ht="16.5" customHeight="1">
      <c r="A58" s="24"/>
      <c r="B58" s="56" t="s">
        <v>162</v>
      </c>
      <c r="C58" s="56"/>
      <c r="D58" s="57">
        <f>SUM(D49:D57)</f>
        <v>-215158</v>
      </c>
      <c r="E58" s="57">
        <f>SUM(E49:E57)</f>
        <v>-105600</v>
      </c>
      <c r="F58" s="57">
        <f>SUM(F49:F57)</f>
        <v>-87176</v>
      </c>
      <c r="G58" s="57">
        <f>SUM(G49:G57)</f>
        <v>84989</v>
      </c>
      <c r="H58" s="57">
        <f>SUM(H49:H57)</f>
        <v>23877</v>
      </c>
      <c r="I58" s="57">
        <f t="shared" ref="I58:BQ58" si="20">SUM(I49:I57)</f>
        <v>50108</v>
      </c>
      <c r="J58" s="57">
        <f t="shared" si="20"/>
        <v>-126079</v>
      </c>
      <c r="K58" s="57">
        <f t="shared" si="20"/>
        <v>-45512</v>
      </c>
      <c r="L58" s="57">
        <f t="shared" si="20"/>
        <v>-60818</v>
      </c>
      <c r="M58" s="57">
        <f t="shared" si="20"/>
        <v>-53386</v>
      </c>
      <c r="N58" s="57">
        <f t="shared" si="20"/>
        <v>22712</v>
      </c>
      <c r="O58" s="57">
        <f t="shared" si="20"/>
        <v>6024</v>
      </c>
      <c r="P58" s="57">
        <f t="shared" si="20"/>
        <v>48552</v>
      </c>
      <c r="Q58" s="57">
        <f t="shared" si="20"/>
        <v>27638</v>
      </c>
      <c r="R58" s="57">
        <f t="shared" si="20"/>
        <v>222481</v>
      </c>
      <c r="S58" s="57">
        <f t="shared" si="20"/>
        <v>8249</v>
      </c>
      <c r="T58" s="57">
        <f t="shared" si="20"/>
        <v>18433</v>
      </c>
      <c r="U58" s="57">
        <f t="shared" si="20"/>
        <v>-40330</v>
      </c>
      <c r="V58" s="57">
        <f t="shared" si="20"/>
        <v>26386</v>
      </c>
      <c r="W58" s="57">
        <f t="shared" si="20"/>
        <v>59086</v>
      </c>
      <c r="X58" s="57">
        <f t="shared" si="20"/>
        <v>-8332</v>
      </c>
      <c r="Y58" s="57">
        <f t="shared" si="20"/>
        <v>-75138</v>
      </c>
      <c r="Z58" s="57">
        <f t="shared" si="20"/>
        <v>179421</v>
      </c>
      <c r="AA58" s="57">
        <f t="shared" si="20"/>
        <v>-38705</v>
      </c>
      <c r="AB58" s="57">
        <f t="shared" si="20"/>
        <v>83924</v>
      </c>
      <c r="AC58" s="57">
        <f t="shared" si="20"/>
        <v>-3867</v>
      </c>
      <c r="AD58" s="57">
        <f t="shared" si="20"/>
        <v>-71540</v>
      </c>
      <c r="AE58" s="57">
        <f t="shared" si="20"/>
        <v>404415</v>
      </c>
      <c r="AF58" s="57">
        <f t="shared" si="20"/>
        <v>63366</v>
      </c>
      <c r="AG58" s="57">
        <f t="shared" si="20"/>
        <v>-1956</v>
      </c>
      <c r="AH58" s="57">
        <f t="shared" si="20"/>
        <v>8543</v>
      </c>
      <c r="AI58" s="57">
        <f t="shared" si="20"/>
        <v>17785</v>
      </c>
      <c r="AJ58" s="57">
        <f t="shared" si="20"/>
        <v>6579</v>
      </c>
      <c r="AK58" s="57">
        <f t="shared" si="20"/>
        <v>18889</v>
      </c>
      <c r="AL58" s="57">
        <f t="shared" si="20"/>
        <v>27849</v>
      </c>
      <c r="AM58" s="57">
        <f t="shared" si="20"/>
        <v>45522</v>
      </c>
      <c r="AN58" s="57">
        <f t="shared" si="20"/>
        <v>-5377</v>
      </c>
      <c r="AO58" s="57">
        <f t="shared" si="20"/>
        <v>-13264</v>
      </c>
      <c r="AP58" s="57">
        <f t="shared" si="20"/>
        <v>-166152</v>
      </c>
      <c r="AQ58" s="57">
        <f t="shared" si="20"/>
        <v>-147713</v>
      </c>
      <c r="AR58" s="57">
        <f t="shared" si="20"/>
        <v>-102541</v>
      </c>
      <c r="AS58" s="57">
        <f t="shared" si="20"/>
        <v>-47997</v>
      </c>
      <c r="AT58" s="57">
        <f t="shared" si="20"/>
        <v>-134297</v>
      </c>
      <c r="AU58" s="57">
        <f t="shared" si="20"/>
        <v>15942</v>
      </c>
      <c r="AV58" s="57">
        <f t="shared" si="20"/>
        <v>-20416</v>
      </c>
      <c r="AW58" s="57">
        <f t="shared" si="20"/>
        <v>-111508</v>
      </c>
      <c r="AX58" s="57">
        <f t="shared" si="20"/>
        <v>-155324</v>
      </c>
      <c r="AY58" s="57">
        <f t="shared" si="20"/>
        <v>-92250</v>
      </c>
      <c r="AZ58" s="57">
        <f t="shared" si="20"/>
        <v>5731</v>
      </c>
      <c r="BA58" s="57">
        <f t="shared" si="20"/>
        <v>-119733</v>
      </c>
      <c r="BB58" s="57">
        <f t="shared" si="20"/>
        <v>-454596</v>
      </c>
      <c r="BC58" s="57">
        <f t="shared" si="20"/>
        <v>-245223</v>
      </c>
      <c r="BD58" s="57">
        <f t="shared" si="20"/>
        <v>-39022</v>
      </c>
      <c r="BE58" s="57">
        <f t="shared" si="20"/>
        <v>-112651</v>
      </c>
      <c r="BF58" s="57">
        <f t="shared" si="20"/>
        <v>-206234</v>
      </c>
      <c r="BG58" s="57">
        <f t="shared" si="20"/>
        <v>-168279</v>
      </c>
      <c r="BH58" s="57">
        <f t="shared" si="20"/>
        <v>-70883</v>
      </c>
      <c r="BI58" s="57">
        <f t="shared" si="20"/>
        <v>-65878</v>
      </c>
      <c r="BJ58" s="57">
        <f t="shared" si="20"/>
        <v>14466</v>
      </c>
      <c r="BK58" s="57">
        <f t="shared" si="20"/>
        <v>-145630</v>
      </c>
      <c r="BL58" s="57">
        <f t="shared" si="20"/>
        <v>2767</v>
      </c>
      <c r="BM58" s="57">
        <f t="shared" si="20"/>
        <v>-2892</v>
      </c>
      <c r="BN58" s="57">
        <f t="shared" si="20"/>
        <v>588838</v>
      </c>
      <c r="BO58" s="57">
        <f t="shared" si="20"/>
        <v>445653</v>
      </c>
      <c r="BP58" s="57">
        <f t="shared" si="20"/>
        <v>399485</v>
      </c>
      <c r="BQ58" s="57">
        <f t="shared" si="20"/>
        <v>312531</v>
      </c>
    </row>
    <row r="59" spans="1:69" s="5" customFormat="1" ht="15.75" customHeight="1">
      <c r="A59" s="10"/>
      <c r="B59" s="47" t="s">
        <v>163</v>
      </c>
      <c r="C59" s="47"/>
      <c r="D59" s="62">
        <f t="shared" ref="D59:AT59" si="21">D58+D47+D36</f>
        <v>-98758</v>
      </c>
      <c r="E59" s="62">
        <f t="shared" si="21"/>
        <v>-19231</v>
      </c>
      <c r="F59" s="62">
        <f t="shared" si="21"/>
        <v>-51753</v>
      </c>
      <c r="G59" s="62">
        <f t="shared" si="21"/>
        <v>28809</v>
      </c>
      <c r="H59" s="62">
        <f t="shared" si="21"/>
        <v>39197</v>
      </c>
      <c r="I59" s="62">
        <f t="shared" si="21"/>
        <v>60783</v>
      </c>
      <c r="J59" s="62">
        <f t="shared" si="21"/>
        <v>67919</v>
      </c>
      <c r="K59" s="62">
        <f t="shared" si="21"/>
        <v>112250</v>
      </c>
      <c r="L59" s="62">
        <f t="shared" si="21"/>
        <v>-42559</v>
      </c>
      <c r="M59" s="62">
        <f t="shared" si="21"/>
        <v>-50734</v>
      </c>
      <c r="N59" s="62">
        <f t="shared" si="21"/>
        <v>109506</v>
      </c>
      <c r="O59" s="62">
        <f t="shared" si="21"/>
        <v>-25171</v>
      </c>
      <c r="P59" s="62">
        <f t="shared" si="21"/>
        <v>245</v>
      </c>
      <c r="Q59" s="62">
        <f t="shared" si="21"/>
        <v>-32928</v>
      </c>
      <c r="R59" s="62">
        <f t="shared" si="21"/>
        <v>83455</v>
      </c>
      <c r="S59" s="62">
        <f t="shared" si="21"/>
        <v>-98609</v>
      </c>
      <c r="T59" s="62">
        <f t="shared" si="21"/>
        <v>9866</v>
      </c>
      <c r="U59" s="62">
        <f t="shared" si="21"/>
        <v>-71865</v>
      </c>
      <c r="V59" s="62">
        <f t="shared" si="21"/>
        <v>-6680</v>
      </c>
      <c r="W59" s="62">
        <f t="shared" si="21"/>
        <v>19648</v>
      </c>
      <c r="X59" s="62">
        <f t="shared" si="21"/>
        <v>-12358</v>
      </c>
      <c r="Y59" s="62">
        <f t="shared" si="21"/>
        <v>-91816</v>
      </c>
      <c r="Z59" s="62">
        <f t="shared" si="21"/>
        <v>174088</v>
      </c>
      <c r="AA59" s="62">
        <f t="shared" si="21"/>
        <v>-62932</v>
      </c>
      <c r="AB59" s="62">
        <f t="shared" si="21"/>
        <v>-37488</v>
      </c>
      <c r="AC59" s="62">
        <f t="shared" si="21"/>
        <v>-83006</v>
      </c>
      <c r="AD59" s="62">
        <f t="shared" si="21"/>
        <v>-43869</v>
      </c>
      <c r="AE59" s="62">
        <f t="shared" si="21"/>
        <v>389213</v>
      </c>
      <c r="AF59" s="62">
        <f t="shared" si="21"/>
        <v>27782</v>
      </c>
      <c r="AG59" s="62">
        <f t="shared" si="21"/>
        <v>15496</v>
      </c>
      <c r="AH59" s="62">
        <f t="shared" si="21"/>
        <v>9198</v>
      </c>
      <c r="AI59" s="62">
        <f t="shared" si="21"/>
        <v>15847</v>
      </c>
      <c r="AJ59" s="62">
        <f t="shared" si="21"/>
        <v>-24416</v>
      </c>
      <c r="AK59" s="62">
        <f t="shared" si="21"/>
        <v>9099</v>
      </c>
      <c r="AL59" s="62">
        <f t="shared" si="21"/>
        <v>65951</v>
      </c>
      <c r="AM59" s="62">
        <f t="shared" si="21"/>
        <v>43536</v>
      </c>
      <c r="AN59" s="62">
        <f t="shared" si="21"/>
        <v>707</v>
      </c>
      <c r="AO59" s="62">
        <f t="shared" si="21"/>
        <v>3185</v>
      </c>
      <c r="AP59" s="62">
        <f t="shared" si="21"/>
        <v>-18857</v>
      </c>
      <c r="AQ59" s="62">
        <f t="shared" si="21"/>
        <v>-14102</v>
      </c>
      <c r="AR59" s="62">
        <f t="shared" si="21"/>
        <v>-20940</v>
      </c>
      <c r="AS59" s="62">
        <f t="shared" si="21"/>
        <v>-1092</v>
      </c>
      <c r="AT59" s="62">
        <f t="shared" si="21"/>
        <v>-94317</v>
      </c>
      <c r="AU59" s="62">
        <v>8821</v>
      </c>
      <c r="AV59" s="62">
        <f t="shared" ref="AV59:BQ59" si="22">AV58+AV47+AV36</f>
        <v>-14036</v>
      </c>
      <c r="AW59" s="62">
        <f t="shared" si="22"/>
        <v>-79798</v>
      </c>
      <c r="AX59" s="62">
        <f t="shared" si="22"/>
        <v>16353</v>
      </c>
      <c r="AY59" s="62">
        <f t="shared" si="22"/>
        <v>-60842</v>
      </c>
      <c r="AZ59" s="62">
        <f t="shared" si="22"/>
        <v>51823</v>
      </c>
      <c r="BA59" s="62">
        <f t="shared" si="22"/>
        <v>-70599</v>
      </c>
      <c r="BB59" s="62">
        <f t="shared" si="22"/>
        <v>-19204</v>
      </c>
      <c r="BC59" s="62">
        <f t="shared" si="22"/>
        <v>-115388</v>
      </c>
      <c r="BD59" s="62">
        <f t="shared" si="22"/>
        <v>109305</v>
      </c>
      <c r="BE59" s="62">
        <f t="shared" si="22"/>
        <v>-53045</v>
      </c>
      <c r="BF59" s="62">
        <f t="shared" si="22"/>
        <v>4795</v>
      </c>
      <c r="BG59" s="62">
        <f t="shared" si="22"/>
        <v>-7593</v>
      </c>
      <c r="BH59" s="62">
        <f t="shared" si="22"/>
        <v>17570</v>
      </c>
      <c r="BI59" s="62">
        <f t="shared" si="22"/>
        <v>6570</v>
      </c>
      <c r="BJ59" s="62">
        <f t="shared" si="22"/>
        <v>41281</v>
      </c>
      <c r="BK59" s="62">
        <f t="shared" si="22"/>
        <v>-85813</v>
      </c>
      <c r="BL59" s="62">
        <f t="shared" si="22"/>
        <v>-649</v>
      </c>
      <c r="BM59" s="62">
        <f t="shared" si="22"/>
        <v>-58858</v>
      </c>
      <c r="BN59" s="62">
        <f t="shared" si="22"/>
        <v>110083</v>
      </c>
      <c r="BO59" s="62">
        <f t="shared" si="22"/>
        <v>235527</v>
      </c>
      <c r="BP59" s="62">
        <f t="shared" si="22"/>
        <v>283226</v>
      </c>
      <c r="BQ59" s="62">
        <f t="shared" si="22"/>
        <v>264653</v>
      </c>
    </row>
    <row r="60" spans="1:69" s="25" customFormat="1" ht="16.5" customHeight="1">
      <c r="A60" s="24"/>
      <c r="B60" s="56" t="s">
        <v>164</v>
      </c>
      <c r="C60" s="56"/>
      <c r="D60" s="57">
        <f t="shared" ref="D60:O60" si="23">D59</f>
        <v>-98758</v>
      </c>
      <c r="E60" s="57">
        <f t="shared" si="23"/>
        <v>-19231</v>
      </c>
      <c r="F60" s="57">
        <f t="shared" si="23"/>
        <v>-51753</v>
      </c>
      <c r="G60" s="57">
        <f t="shared" si="23"/>
        <v>28809</v>
      </c>
      <c r="H60" s="57">
        <f t="shared" si="23"/>
        <v>39197</v>
      </c>
      <c r="I60" s="57">
        <f t="shared" si="23"/>
        <v>60783</v>
      </c>
      <c r="J60" s="57">
        <f t="shared" si="23"/>
        <v>67919</v>
      </c>
      <c r="K60" s="57">
        <f t="shared" si="23"/>
        <v>112250</v>
      </c>
      <c r="L60" s="57">
        <f t="shared" si="23"/>
        <v>-42559</v>
      </c>
      <c r="M60" s="57">
        <f t="shared" si="23"/>
        <v>-50734</v>
      </c>
      <c r="N60" s="57">
        <f t="shared" si="23"/>
        <v>109506</v>
      </c>
      <c r="O60" s="57">
        <f t="shared" si="23"/>
        <v>-25171</v>
      </c>
      <c r="P60" s="57">
        <f t="shared" ref="P60:Z60" si="24">P59</f>
        <v>245</v>
      </c>
      <c r="Q60" s="57">
        <f t="shared" si="24"/>
        <v>-32928</v>
      </c>
      <c r="R60" s="57">
        <f t="shared" si="24"/>
        <v>83455</v>
      </c>
      <c r="S60" s="57">
        <f t="shared" si="24"/>
        <v>-98609</v>
      </c>
      <c r="T60" s="57">
        <f t="shared" si="24"/>
        <v>9866</v>
      </c>
      <c r="U60" s="57">
        <f t="shared" si="24"/>
        <v>-71865</v>
      </c>
      <c r="V60" s="57">
        <f t="shared" si="24"/>
        <v>-6680</v>
      </c>
      <c r="W60" s="57">
        <f t="shared" si="24"/>
        <v>19648</v>
      </c>
      <c r="X60" s="57">
        <f t="shared" si="24"/>
        <v>-12358</v>
      </c>
      <c r="Y60" s="57">
        <f t="shared" si="24"/>
        <v>-91816</v>
      </c>
      <c r="Z60" s="57">
        <f t="shared" si="24"/>
        <v>174088</v>
      </c>
      <c r="AA60" s="57">
        <f t="shared" ref="AA60:AT60" si="25">AA59</f>
        <v>-62932</v>
      </c>
      <c r="AB60" s="57">
        <f t="shared" si="25"/>
        <v>-37488</v>
      </c>
      <c r="AC60" s="57">
        <f t="shared" si="25"/>
        <v>-83006</v>
      </c>
      <c r="AD60" s="57">
        <f t="shared" si="25"/>
        <v>-43869</v>
      </c>
      <c r="AE60" s="57">
        <f t="shared" si="25"/>
        <v>389213</v>
      </c>
      <c r="AF60" s="57">
        <f t="shared" si="25"/>
        <v>27782</v>
      </c>
      <c r="AG60" s="57">
        <f t="shared" si="25"/>
        <v>15496</v>
      </c>
      <c r="AH60" s="57">
        <f t="shared" si="25"/>
        <v>9198</v>
      </c>
      <c r="AI60" s="57">
        <f t="shared" si="25"/>
        <v>15847</v>
      </c>
      <c r="AJ60" s="57">
        <f t="shared" si="25"/>
        <v>-24416</v>
      </c>
      <c r="AK60" s="57">
        <f t="shared" si="25"/>
        <v>9099</v>
      </c>
      <c r="AL60" s="57">
        <f t="shared" si="25"/>
        <v>65951</v>
      </c>
      <c r="AM60" s="57">
        <f t="shared" si="25"/>
        <v>43536</v>
      </c>
      <c r="AN60" s="57">
        <f t="shared" si="25"/>
        <v>707</v>
      </c>
      <c r="AO60" s="57">
        <f t="shared" si="25"/>
        <v>3185</v>
      </c>
      <c r="AP60" s="57">
        <f t="shared" si="25"/>
        <v>-18857</v>
      </c>
      <c r="AQ60" s="57">
        <f t="shared" si="25"/>
        <v>-14102</v>
      </c>
      <c r="AR60" s="57">
        <f t="shared" si="25"/>
        <v>-20940</v>
      </c>
      <c r="AS60" s="57">
        <f t="shared" si="25"/>
        <v>-1092</v>
      </c>
      <c r="AT60" s="57">
        <f t="shared" si="25"/>
        <v>-94317</v>
      </c>
      <c r="AU60" s="57">
        <v>8821</v>
      </c>
      <c r="AV60" s="57">
        <f t="shared" ref="AV60:BJ60" si="26">AV59</f>
        <v>-14036</v>
      </c>
      <c r="AW60" s="57">
        <f t="shared" si="26"/>
        <v>-79798</v>
      </c>
      <c r="AX60" s="57">
        <f t="shared" si="26"/>
        <v>16353</v>
      </c>
      <c r="AY60" s="57">
        <f t="shared" si="26"/>
        <v>-60842</v>
      </c>
      <c r="AZ60" s="57">
        <f t="shared" si="26"/>
        <v>51823</v>
      </c>
      <c r="BA60" s="57">
        <f t="shared" si="26"/>
        <v>-70599</v>
      </c>
      <c r="BB60" s="57">
        <f t="shared" si="26"/>
        <v>-19204</v>
      </c>
      <c r="BC60" s="57">
        <f t="shared" si="26"/>
        <v>-115388</v>
      </c>
      <c r="BD60" s="57">
        <f t="shared" si="26"/>
        <v>109305</v>
      </c>
      <c r="BE60" s="57">
        <f t="shared" si="26"/>
        <v>-53045</v>
      </c>
      <c r="BF60" s="57">
        <f t="shared" si="26"/>
        <v>4795</v>
      </c>
      <c r="BG60" s="57">
        <f t="shared" si="26"/>
        <v>-7593</v>
      </c>
      <c r="BH60" s="57">
        <f t="shared" si="26"/>
        <v>17570</v>
      </c>
      <c r="BI60" s="57">
        <f t="shared" si="26"/>
        <v>6570</v>
      </c>
      <c r="BJ60" s="57">
        <f t="shared" si="26"/>
        <v>41281</v>
      </c>
      <c r="BK60" s="57">
        <f t="shared" ref="BK60:BQ60" si="27">BK59</f>
        <v>-85813</v>
      </c>
      <c r="BL60" s="57">
        <f t="shared" si="27"/>
        <v>-649</v>
      </c>
      <c r="BM60" s="57">
        <f t="shared" si="27"/>
        <v>-58858</v>
      </c>
      <c r="BN60" s="57">
        <f t="shared" si="27"/>
        <v>110083</v>
      </c>
      <c r="BO60" s="57">
        <f t="shared" si="27"/>
        <v>235527</v>
      </c>
      <c r="BP60" s="57">
        <f t="shared" si="27"/>
        <v>283226</v>
      </c>
      <c r="BQ60" s="57">
        <f t="shared" si="27"/>
        <v>264653</v>
      </c>
    </row>
    <row r="61" spans="1:69" s="21" customFormat="1" ht="16.5" customHeight="1">
      <c r="A61" s="18"/>
      <c r="B61" s="52" t="s">
        <v>165</v>
      </c>
      <c r="C61" s="52"/>
      <c r="D61" s="63">
        <v>507574</v>
      </c>
      <c r="E61" s="63">
        <v>526805</v>
      </c>
      <c r="F61" s="63">
        <v>578558</v>
      </c>
      <c r="G61" s="63">
        <v>549749</v>
      </c>
      <c r="H61" s="63">
        <v>510552</v>
      </c>
      <c r="I61" s="63">
        <v>449769</v>
      </c>
      <c r="J61" s="63">
        <v>381850</v>
      </c>
      <c r="K61" s="63">
        <v>269600</v>
      </c>
      <c r="L61" s="63">
        <v>311279</v>
      </c>
      <c r="M61" s="63">
        <v>362013</v>
      </c>
      <c r="N61" s="63">
        <v>252507</v>
      </c>
      <c r="O61" s="63">
        <v>277678</v>
      </c>
      <c r="P61" s="63">
        <v>277433</v>
      </c>
      <c r="Q61" s="63">
        <v>310361</v>
      </c>
      <c r="R61" s="63">
        <v>226906</v>
      </c>
      <c r="S61" s="63">
        <v>325515</v>
      </c>
      <c r="T61" s="63">
        <v>315649</v>
      </c>
      <c r="U61" s="63">
        <f t="shared" ref="U61:BI61" si="28">V62</f>
        <v>387514</v>
      </c>
      <c r="V61" s="63">
        <f t="shared" si="28"/>
        <v>394194</v>
      </c>
      <c r="W61" s="63">
        <f t="shared" si="28"/>
        <v>374546</v>
      </c>
      <c r="X61" s="63">
        <f t="shared" si="28"/>
        <v>386904</v>
      </c>
      <c r="Y61" s="63">
        <f t="shared" si="28"/>
        <v>478720</v>
      </c>
      <c r="Z61" s="63">
        <f t="shared" si="28"/>
        <v>304632</v>
      </c>
      <c r="AA61" s="63">
        <f t="shared" si="28"/>
        <v>367564</v>
      </c>
      <c r="AB61" s="63">
        <f t="shared" si="28"/>
        <v>405052</v>
      </c>
      <c r="AC61" s="63">
        <f t="shared" si="28"/>
        <v>488058</v>
      </c>
      <c r="AD61" s="63">
        <f t="shared" si="28"/>
        <v>531927</v>
      </c>
      <c r="AE61" s="63">
        <f t="shared" si="28"/>
        <v>142714</v>
      </c>
      <c r="AF61" s="63">
        <f t="shared" si="28"/>
        <v>114932</v>
      </c>
      <c r="AG61" s="63">
        <f t="shared" si="28"/>
        <v>99436</v>
      </c>
      <c r="AH61" s="63">
        <f t="shared" si="28"/>
        <v>90238</v>
      </c>
      <c r="AI61" s="63">
        <f t="shared" si="28"/>
        <v>74391</v>
      </c>
      <c r="AJ61" s="63">
        <f t="shared" si="28"/>
        <v>98807</v>
      </c>
      <c r="AK61" s="63">
        <f t="shared" si="28"/>
        <v>89708</v>
      </c>
      <c r="AL61" s="63">
        <v>23757</v>
      </c>
      <c r="AM61" s="63">
        <f t="shared" si="28"/>
        <v>27649</v>
      </c>
      <c r="AN61" s="63">
        <f t="shared" si="28"/>
        <v>26942</v>
      </c>
      <c r="AO61" s="63">
        <f t="shared" si="28"/>
        <v>23757</v>
      </c>
      <c r="AP61" s="63">
        <v>42614</v>
      </c>
      <c r="AQ61" s="63">
        <v>42614</v>
      </c>
      <c r="AR61" s="63">
        <v>42614</v>
      </c>
      <c r="AS61" s="63">
        <f t="shared" si="28"/>
        <v>57841</v>
      </c>
      <c r="AT61" s="63">
        <f>AW61</f>
        <v>152158</v>
      </c>
      <c r="AU61" s="63">
        <f t="shared" si="28"/>
        <v>58324</v>
      </c>
      <c r="AV61" s="63">
        <f t="shared" si="28"/>
        <v>72360</v>
      </c>
      <c r="AW61" s="63">
        <f t="shared" si="28"/>
        <v>152158</v>
      </c>
      <c r="AX61" s="63">
        <f>BA61</f>
        <v>135805</v>
      </c>
      <c r="AY61" s="63">
        <f t="shared" si="28"/>
        <v>117029</v>
      </c>
      <c r="AZ61" s="63">
        <f t="shared" si="28"/>
        <v>65206</v>
      </c>
      <c r="BA61" s="63">
        <f t="shared" si="28"/>
        <v>135805</v>
      </c>
      <c r="BB61" s="63">
        <f>BE61</f>
        <v>155009</v>
      </c>
      <c r="BC61" s="63">
        <f t="shared" si="28"/>
        <v>211269</v>
      </c>
      <c r="BD61" s="63">
        <f t="shared" si="28"/>
        <v>101964</v>
      </c>
      <c r="BE61" s="63">
        <v>155009</v>
      </c>
      <c r="BF61" s="63">
        <f>BG61</f>
        <v>143844</v>
      </c>
      <c r="BG61" s="63">
        <f>BH61</f>
        <v>143844</v>
      </c>
      <c r="BH61" s="63">
        <f>BI61</f>
        <v>143844</v>
      </c>
      <c r="BI61" s="63">
        <f t="shared" si="28"/>
        <v>143844</v>
      </c>
      <c r="BJ61" s="63">
        <f>BK62</f>
        <v>102563</v>
      </c>
      <c r="BK61" s="63">
        <f>BL62</f>
        <v>188376</v>
      </c>
      <c r="BL61" s="63">
        <f>BM62</f>
        <v>189025</v>
      </c>
      <c r="BM61" s="63">
        <f>BN62</f>
        <v>247883</v>
      </c>
      <c r="BN61" s="63">
        <f>BO61</f>
        <v>137800</v>
      </c>
      <c r="BO61" s="63">
        <f>BP61</f>
        <v>137800</v>
      </c>
      <c r="BP61" s="63">
        <f>BQ61</f>
        <v>137800</v>
      </c>
      <c r="BQ61" s="63">
        <v>137800</v>
      </c>
    </row>
    <row r="62" spans="1:69" s="21" customFormat="1" ht="16.5" customHeight="1">
      <c r="A62" s="18"/>
      <c r="B62" s="52" t="s">
        <v>166</v>
      </c>
      <c r="C62" s="52"/>
      <c r="D62" s="63">
        <v>408816</v>
      </c>
      <c r="E62" s="63">
        <v>507574</v>
      </c>
      <c r="F62" s="63">
        <v>526805</v>
      </c>
      <c r="G62" s="63">
        <v>578558</v>
      </c>
      <c r="H62" s="63">
        <v>549749</v>
      </c>
      <c r="I62" s="63">
        <v>510552</v>
      </c>
      <c r="J62" s="63">
        <v>449769</v>
      </c>
      <c r="K62" s="63">
        <v>381850</v>
      </c>
      <c r="L62" s="63">
        <v>269600</v>
      </c>
      <c r="M62" s="63">
        <v>311279</v>
      </c>
      <c r="N62" s="63">
        <v>362013</v>
      </c>
      <c r="O62" s="63">
        <v>252507</v>
      </c>
      <c r="P62" s="63">
        <v>277678</v>
      </c>
      <c r="Q62" s="63">
        <v>277433</v>
      </c>
      <c r="R62" s="63">
        <v>310361</v>
      </c>
      <c r="S62" s="63">
        <v>226906</v>
      </c>
      <c r="T62" s="63">
        <v>325515</v>
      </c>
      <c r="U62" s="63">
        <f t="shared" ref="U62:Z62" si="29">U61+U60</f>
        <v>315649</v>
      </c>
      <c r="V62" s="63">
        <f t="shared" si="29"/>
        <v>387514</v>
      </c>
      <c r="W62" s="63">
        <f t="shared" si="29"/>
        <v>394194</v>
      </c>
      <c r="X62" s="63">
        <f t="shared" si="29"/>
        <v>374546</v>
      </c>
      <c r="Y62" s="63">
        <f t="shared" si="29"/>
        <v>386904</v>
      </c>
      <c r="Z62" s="63">
        <f t="shared" si="29"/>
        <v>478720</v>
      </c>
      <c r="AA62" s="63">
        <f t="shared" ref="AA62:BJ62" si="30">AA61+AA60</f>
        <v>304632</v>
      </c>
      <c r="AB62" s="63">
        <f t="shared" si="30"/>
        <v>367564</v>
      </c>
      <c r="AC62" s="63">
        <f t="shared" si="30"/>
        <v>405052</v>
      </c>
      <c r="AD62" s="63">
        <f t="shared" si="30"/>
        <v>488058</v>
      </c>
      <c r="AE62" s="63">
        <f t="shared" si="30"/>
        <v>531927</v>
      </c>
      <c r="AF62" s="63">
        <f t="shared" si="30"/>
        <v>142714</v>
      </c>
      <c r="AG62" s="63">
        <f t="shared" si="30"/>
        <v>114932</v>
      </c>
      <c r="AH62" s="63">
        <f t="shared" si="30"/>
        <v>99436</v>
      </c>
      <c r="AI62" s="63">
        <f t="shared" si="30"/>
        <v>90238</v>
      </c>
      <c r="AJ62" s="63">
        <f t="shared" si="30"/>
        <v>74391</v>
      </c>
      <c r="AK62" s="63">
        <f t="shared" si="30"/>
        <v>98807</v>
      </c>
      <c r="AL62" s="63">
        <f t="shared" si="30"/>
        <v>89708</v>
      </c>
      <c r="AM62" s="63">
        <f t="shared" si="30"/>
        <v>71185</v>
      </c>
      <c r="AN62" s="63">
        <f t="shared" si="30"/>
        <v>27649</v>
      </c>
      <c r="AO62" s="63">
        <f t="shared" si="30"/>
        <v>26942</v>
      </c>
      <c r="AP62" s="63">
        <f t="shared" si="30"/>
        <v>23757</v>
      </c>
      <c r="AQ62" s="63">
        <f t="shared" si="30"/>
        <v>28512</v>
      </c>
      <c r="AR62" s="63">
        <f t="shared" si="30"/>
        <v>21674</v>
      </c>
      <c r="AS62" s="63">
        <f t="shared" si="30"/>
        <v>56749</v>
      </c>
      <c r="AT62" s="63">
        <f t="shared" si="30"/>
        <v>57841</v>
      </c>
      <c r="AU62" s="63">
        <f t="shared" si="30"/>
        <v>67145</v>
      </c>
      <c r="AV62" s="63">
        <f t="shared" si="30"/>
        <v>58324</v>
      </c>
      <c r="AW62" s="63">
        <f t="shared" si="30"/>
        <v>72360</v>
      </c>
      <c r="AX62" s="63">
        <f t="shared" si="30"/>
        <v>152158</v>
      </c>
      <c r="AY62" s="63">
        <f t="shared" si="30"/>
        <v>56187</v>
      </c>
      <c r="AZ62" s="63">
        <f t="shared" si="30"/>
        <v>117029</v>
      </c>
      <c r="BA62" s="63">
        <f t="shared" si="30"/>
        <v>65206</v>
      </c>
      <c r="BB62" s="63">
        <f t="shared" si="30"/>
        <v>135805</v>
      </c>
      <c r="BC62" s="63">
        <f t="shared" si="30"/>
        <v>95881</v>
      </c>
      <c r="BD62" s="63">
        <f t="shared" si="30"/>
        <v>211269</v>
      </c>
      <c r="BE62" s="63">
        <f t="shared" si="30"/>
        <v>101964</v>
      </c>
      <c r="BF62" s="63">
        <f>BF61+BF60</f>
        <v>148639</v>
      </c>
      <c r="BG62" s="63">
        <f t="shared" si="30"/>
        <v>136251</v>
      </c>
      <c r="BH62" s="63">
        <f t="shared" si="30"/>
        <v>161414</v>
      </c>
      <c r="BI62" s="63">
        <f t="shared" si="30"/>
        <v>150414</v>
      </c>
      <c r="BJ62" s="63">
        <f t="shared" si="30"/>
        <v>143844</v>
      </c>
      <c r="BK62" s="63">
        <f t="shared" ref="BK62:BQ62" si="31">BK61+BK60</f>
        <v>102563</v>
      </c>
      <c r="BL62" s="63">
        <f t="shared" si="31"/>
        <v>188376</v>
      </c>
      <c r="BM62" s="63">
        <f t="shared" si="31"/>
        <v>189025</v>
      </c>
      <c r="BN62" s="63">
        <f t="shared" si="31"/>
        <v>247883</v>
      </c>
      <c r="BO62" s="63">
        <f t="shared" si="31"/>
        <v>373327</v>
      </c>
      <c r="BP62" s="63">
        <f t="shared" si="31"/>
        <v>421026</v>
      </c>
      <c r="BQ62" s="63">
        <f t="shared" si="31"/>
        <v>402453</v>
      </c>
    </row>
    <row r="63" spans="1:69" s="25" customFormat="1" ht="16.5" customHeight="1">
      <c r="A63" s="24"/>
      <c r="B63" s="56" t="s">
        <v>163</v>
      </c>
      <c r="C63" s="56"/>
      <c r="D63" s="57">
        <f t="shared" ref="D63:O63" si="32">+D62-D61</f>
        <v>-98758</v>
      </c>
      <c r="E63" s="57">
        <f t="shared" si="32"/>
        <v>-19231</v>
      </c>
      <c r="F63" s="57">
        <f t="shared" si="32"/>
        <v>-51753</v>
      </c>
      <c r="G63" s="57">
        <f t="shared" si="32"/>
        <v>28809</v>
      </c>
      <c r="H63" s="57">
        <f t="shared" si="32"/>
        <v>39197</v>
      </c>
      <c r="I63" s="57">
        <f t="shared" si="32"/>
        <v>60783</v>
      </c>
      <c r="J63" s="57">
        <f t="shared" si="32"/>
        <v>67919</v>
      </c>
      <c r="K63" s="57">
        <f t="shared" si="32"/>
        <v>112250</v>
      </c>
      <c r="L63" s="57">
        <f t="shared" si="32"/>
        <v>-41679</v>
      </c>
      <c r="M63" s="57">
        <f t="shared" si="32"/>
        <v>-50734</v>
      </c>
      <c r="N63" s="57">
        <f t="shared" si="32"/>
        <v>109506</v>
      </c>
      <c r="O63" s="57">
        <f t="shared" si="32"/>
        <v>-25171</v>
      </c>
      <c r="P63" s="57">
        <f t="shared" ref="P63:Z63" si="33">+P62-P61</f>
        <v>245</v>
      </c>
      <c r="Q63" s="57">
        <f t="shared" si="33"/>
        <v>-32928</v>
      </c>
      <c r="R63" s="57">
        <f t="shared" si="33"/>
        <v>83455</v>
      </c>
      <c r="S63" s="57">
        <f t="shared" si="33"/>
        <v>-98609</v>
      </c>
      <c r="T63" s="57">
        <f t="shared" si="33"/>
        <v>9866</v>
      </c>
      <c r="U63" s="57">
        <f t="shared" si="33"/>
        <v>-71865</v>
      </c>
      <c r="V63" s="57">
        <f t="shared" si="33"/>
        <v>-6680</v>
      </c>
      <c r="W63" s="57">
        <f t="shared" si="33"/>
        <v>19648</v>
      </c>
      <c r="X63" s="57">
        <f t="shared" si="33"/>
        <v>-12358</v>
      </c>
      <c r="Y63" s="57">
        <f t="shared" si="33"/>
        <v>-91816</v>
      </c>
      <c r="Z63" s="57">
        <f t="shared" si="33"/>
        <v>174088</v>
      </c>
      <c r="AA63" s="57">
        <f t="shared" ref="AA63:BJ63" si="34">+AA62-AA61</f>
        <v>-62932</v>
      </c>
      <c r="AB63" s="57">
        <f t="shared" si="34"/>
        <v>-37488</v>
      </c>
      <c r="AC63" s="57">
        <f t="shared" si="34"/>
        <v>-83006</v>
      </c>
      <c r="AD63" s="57">
        <f t="shared" si="34"/>
        <v>-43869</v>
      </c>
      <c r="AE63" s="57">
        <f t="shared" si="34"/>
        <v>389213</v>
      </c>
      <c r="AF63" s="57">
        <f t="shared" si="34"/>
        <v>27782</v>
      </c>
      <c r="AG63" s="57">
        <f t="shared" si="34"/>
        <v>15496</v>
      </c>
      <c r="AH63" s="57">
        <f t="shared" si="34"/>
        <v>9198</v>
      </c>
      <c r="AI63" s="57">
        <f t="shared" si="34"/>
        <v>15847</v>
      </c>
      <c r="AJ63" s="57">
        <f t="shared" si="34"/>
        <v>-24416</v>
      </c>
      <c r="AK63" s="57">
        <f t="shared" si="34"/>
        <v>9099</v>
      </c>
      <c r="AL63" s="57">
        <f t="shared" si="34"/>
        <v>65951</v>
      </c>
      <c r="AM63" s="57">
        <f t="shared" si="34"/>
        <v>43536</v>
      </c>
      <c r="AN63" s="57">
        <f t="shared" si="34"/>
        <v>707</v>
      </c>
      <c r="AO63" s="57">
        <f t="shared" si="34"/>
        <v>3185</v>
      </c>
      <c r="AP63" s="57">
        <f t="shared" si="34"/>
        <v>-18857</v>
      </c>
      <c r="AQ63" s="57">
        <f t="shared" si="34"/>
        <v>-14102</v>
      </c>
      <c r="AR63" s="57">
        <f t="shared" si="34"/>
        <v>-20940</v>
      </c>
      <c r="AS63" s="57">
        <f t="shared" si="34"/>
        <v>-1092</v>
      </c>
      <c r="AT63" s="57">
        <f t="shared" si="34"/>
        <v>-94317</v>
      </c>
      <c r="AU63" s="57">
        <f t="shared" si="34"/>
        <v>8821</v>
      </c>
      <c r="AV63" s="57">
        <f t="shared" si="34"/>
        <v>-14036</v>
      </c>
      <c r="AW63" s="57">
        <f t="shared" si="34"/>
        <v>-79798</v>
      </c>
      <c r="AX63" s="57">
        <f t="shared" si="34"/>
        <v>16353</v>
      </c>
      <c r="AY63" s="57">
        <f t="shared" si="34"/>
        <v>-60842</v>
      </c>
      <c r="AZ63" s="57">
        <f t="shared" si="34"/>
        <v>51823</v>
      </c>
      <c r="BA63" s="57">
        <f t="shared" si="34"/>
        <v>-70599</v>
      </c>
      <c r="BB63" s="57">
        <f t="shared" si="34"/>
        <v>-19204</v>
      </c>
      <c r="BC63" s="57">
        <f t="shared" si="34"/>
        <v>-115388</v>
      </c>
      <c r="BD63" s="57">
        <f t="shared" si="34"/>
        <v>109305</v>
      </c>
      <c r="BE63" s="57">
        <f t="shared" si="34"/>
        <v>-53045</v>
      </c>
      <c r="BF63" s="57">
        <f t="shared" si="34"/>
        <v>4795</v>
      </c>
      <c r="BG63" s="57">
        <f t="shared" si="34"/>
        <v>-7593</v>
      </c>
      <c r="BH63" s="57">
        <f t="shared" si="34"/>
        <v>17570</v>
      </c>
      <c r="BI63" s="57">
        <f t="shared" si="34"/>
        <v>6570</v>
      </c>
      <c r="BJ63" s="57">
        <f t="shared" si="34"/>
        <v>41281</v>
      </c>
      <c r="BK63" s="57">
        <f t="shared" ref="BK63:BQ63" si="35">+BK62-BK61</f>
        <v>-85813</v>
      </c>
      <c r="BL63" s="57">
        <f t="shared" si="35"/>
        <v>-649</v>
      </c>
      <c r="BM63" s="57">
        <f t="shared" si="35"/>
        <v>-58858</v>
      </c>
      <c r="BN63" s="57">
        <f t="shared" si="35"/>
        <v>110083</v>
      </c>
      <c r="BO63" s="57">
        <f t="shared" si="35"/>
        <v>235527</v>
      </c>
      <c r="BP63" s="57">
        <f t="shared" si="35"/>
        <v>283226</v>
      </c>
      <c r="BQ63" s="57">
        <f t="shared" si="35"/>
        <v>264653</v>
      </c>
    </row>
    <row r="64" spans="1:69" ht="6.6" customHeight="1">
      <c r="A64" s="14"/>
      <c r="B64" s="3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35"/>
      <c r="V64" s="35"/>
      <c r="W64" s="35"/>
      <c r="X64" s="35"/>
      <c r="Y64" s="35"/>
      <c r="Z64" s="35"/>
      <c r="AA64" s="35"/>
      <c r="AB64" s="35"/>
      <c r="AC64" s="35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</row>
    <row r="65" spans="2:99 16378:16384" s="21" customFormat="1" ht="16.5" customHeight="1">
      <c r="B65" s="26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XEX65" s="31"/>
      <c r="XEY65" s="31"/>
      <c r="XEZ65" s="31"/>
      <c r="XFA65" s="31"/>
      <c r="XFB65" s="31"/>
      <c r="XFC65" s="31"/>
      <c r="XFD65" s="31"/>
    </row>
    <row r="66" spans="2:99 16378:16384" s="21" customFormat="1" ht="16.5" customHeight="1">
      <c r="B66" s="26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XEX66" s="31"/>
      <c r="XEY66" s="31"/>
      <c r="XEZ66" s="31"/>
      <c r="XFA66" s="31"/>
      <c r="XFB66" s="31"/>
      <c r="XFC66" s="31"/>
      <c r="XFD66" s="31"/>
    </row>
    <row r="67" spans="2:99 16378:16384" s="21" customFormat="1" ht="16.5" customHeight="1">
      <c r="B67" s="26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XEX67" s="31"/>
      <c r="XEY67" s="31"/>
      <c r="XEZ67" s="31"/>
      <c r="XFA67" s="31"/>
      <c r="XFB67" s="31"/>
      <c r="XFC67" s="31"/>
      <c r="XFD67" s="31"/>
    </row>
    <row r="68" spans="2:99 16378:16384" ht="12.75" customHeight="1"/>
    <row r="69" spans="2:99 16378:16384" s="21" customFormat="1" ht="16.5" customHeight="1">
      <c r="B69" s="26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XEX69" s="31"/>
      <c r="XEY69" s="31"/>
      <c r="XEZ69" s="31"/>
      <c r="XFA69" s="31"/>
      <c r="XFB69" s="31"/>
      <c r="XFC69" s="31"/>
      <c r="XFD69" s="31"/>
    </row>
    <row r="70" spans="2:99 16378:16384" s="21" customFormat="1" ht="16.5" customHeight="1">
      <c r="B70" s="26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XEX70" s="31"/>
      <c r="XEY70" s="31"/>
      <c r="XEZ70" s="31"/>
      <c r="XFA70" s="31"/>
      <c r="XFB70" s="31"/>
      <c r="XFC70" s="31"/>
      <c r="XFD70" s="31"/>
    </row>
    <row r="71" spans="2:99 16378:16384" s="21" customFormat="1" ht="16.5" customHeight="1">
      <c r="B71" s="26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XEX71" s="31"/>
      <c r="XEY71" s="31"/>
      <c r="XEZ71" s="31"/>
      <c r="XFA71" s="31"/>
      <c r="XFB71" s="31"/>
      <c r="XFC71" s="31"/>
      <c r="XFD71" s="31"/>
    </row>
    <row r="72" spans="2:99 16378:16384" ht="12.75" customHeight="1"/>
    <row r="73" spans="2:99 16378:16384" s="21" customFormat="1" ht="16.5" customHeight="1">
      <c r="B73" s="26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XEX73" s="31"/>
      <c r="XEY73" s="31"/>
      <c r="XEZ73" s="31"/>
      <c r="XFA73" s="31"/>
      <c r="XFB73" s="31"/>
      <c r="XFC73" s="31"/>
      <c r="XFD73" s="31"/>
    </row>
    <row r="74" spans="2:99 16378:16384" s="21" customFormat="1" ht="16.5" customHeight="1">
      <c r="B74" s="26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XEX74" s="31"/>
      <c r="XEY74" s="31"/>
      <c r="XEZ74" s="31"/>
      <c r="XFA74" s="31"/>
      <c r="XFB74" s="31"/>
      <c r="XFC74" s="31"/>
      <c r="XFD74" s="31"/>
    </row>
    <row r="75" spans="2:99 16378:16384" s="21" customFormat="1" ht="16.5" customHeight="1">
      <c r="B75" s="26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XEX75" s="31"/>
      <c r="XEY75" s="31"/>
      <c r="XEZ75" s="31"/>
      <c r="XFA75" s="31"/>
      <c r="XFB75" s="31"/>
      <c r="XFC75" s="31"/>
      <c r="XFD75" s="31"/>
    </row>
    <row r="76" spans="2:99 16378:16384" s="21" customFormat="1" ht="16.5" customHeight="1">
      <c r="B76" s="26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XEX76" s="31"/>
      <c r="XEY76" s="31"/>
      <c r="XEZ76" s="31"/>
      <c r="XFA76" s="31"/>
      <c r="XFB76" s="31"/>
      <c r="XFC76" s="31"/>
      <c r="XFD76" s="31"/>
    </row>
    <row r="77" spans="2:99 16378:16384" s="21" customFormat="1" ht="16.5" customHeight="1">
      <c r="B77" s="26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</row>
    <row r="78" spans="2:99 16378:16384" s="21" customFormat="1" ht="16.5" customHeight="1">
      <c r="B78" s="2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</row>
    <row r="79" spans="2:99 16378:16384" ht="12.75" customHeight="1"/>
    <row r="80" spans="2:99 16378:16384" s="21" customFormat="1" ht="27.95" customHeight="1">
      <c r="B80" s="26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</row>
    <row r="81" spans="1:99" s="21" customFormat="1" ht="16.5" customHeight="1">
      <c r="B81" s="26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</row>
    <row r="82" spans="1:99" s="21" customFormat="1" ht="16.5" customHeight="1">
      <c r="B82" s="26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</row>
    <row r="83" spans="1:99" s="21" customFormat="1" ht="16.5" customHeight="1">
      <c r="B83" s="26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</row>
    <row r="84" spans="1:99" s="21" customFormat="1" ht="16.5" customHeight="1">
      <c r="B84" s="26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</row>
    <row r="85" spans="1:99" s="21" customFormat="1" ht="16.5" customHeight="1">
      <c r="B85" s="26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</row>
    <row r="86" spans="1:99" s="21" customFormat="1" ht="16.5" customHeight="1">
      <c r="B86" s="26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</row>
    <row r="87" spans="1:99" s="21" customFormat="1" ht="16.5" customHeight="1">
      <c r="A87" s="31"/>
      <c r="B87" s="26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</row>
    <row r="88" spans="1:99" ht="12.75" customHeight="1"/>
    <row r="89" spans="1:99" ht="15" customHeight="1"/>
    <row r="90" spans="1:99" ht="25.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A94AF79-412F-4661-B26C-56D9FA3ED162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Cover</vt:lpstr>
      <vt:lpstr>Informações Operacionais </vt:lpstr>
      <vt:lpstr>DRE </vt:lpstr>
      <vt:lpstr>Balanço Patrimonial </vt:lpstr>
      <vt:lpstr>Fluxo de Caixa </vt:lpstr>
      <vt:lpstr>Cover!Area_de_impressao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Carvalho - PAR CORRETORA</dc:creator>
  <cp:lastModifiedBy>Carla Shizuko Ota</cp:lastModifiedBy>
  <dcterms:created xsi:type="dcterms:W3CDTF">2016-03-09T19:37:24Z</dcterms:created>
  <dcterms:modified xsi:type="dcterms:W3CDTF">2026-08-11T13:49:47Z</dcterms:modified>
</cp:coreProperties>
</file>